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645" windowWidth="18990" windowHeight="6120" tabRatio="911" firstSheet="2" activeTab="2"/>
  </bookViews>
  <sheets>
    <sheet name="MW-Cache" sheetId="82" state="veryHidden" r:id="rId1"/>
    <sheet name="__FDSCACHE__" sheetId="75" state="veryHidden" r:id="rId2"/>
    <sheet name="ImportantDisclosures" sheetId="131" r:id="rId3"/>
    <sheet name="BullBaseBear" sheetId="97" r:id="rId4"/>
    <sheet name="sumry" sheetId="28" r:id="rId5"/>
    <sheet name="segQtrSales" sheetId="127" r:id="rId6"/>
    <sheet name="qtrSales" sheetId="128" r:id="rId7"/>
    <sheet name="qtrP&amp;L" sheetId="29" r:id="rId8"/>
    <sheet name="yrSales" sheetId="129" r:id="rId9"/>
    <sheet name="yrP&amp;L" sheetId="20" r:id="rId10"/>
    <sheet name="Store New" sheetId="118" r:id="rId11"/>
    <sheet name="turn" sheetId="9" r:id="rId12"/>
    <sheet name="dtc" sheetId="36" r:id="rId13"/>
    <sheet name="work" sheetId="34" r:id="rId14"/>
    <sheet name="bal" sheetId="17" r:id="rId15"/>
    <sheet name="flow" sheetId="22" r:id="rId16"/>
    <sheet name="MWA Lease" sheetId="120" r:id="rId17"/>
    <sheet name="DCF" sheetId="122" r:id="rId18"/>
    <sheet name="IndexInformation" sheetId="132" r:id="rId19"/>
    <sheet name="ModPubIndex" sheetId="133" r:id="rId20"/>
  </sheets>
  <functionGroups builtInGroupCount="17"/>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__FDS_HYPERLINK_TOGGLE_STATE__" hidden="1">"ON"</definedName>
    <definedName name="__FDS_UNIQUE_RANGE_ID_GENERATOR_COUNTER" localSheetId="16" hidden="1">1</definedName>
    <definedName name="__FDS_UNIQUE_RANGE_ID_GENERATOR_COUNTER" localSheetId="5">155</definedName>
    <definedName name="__FDS_UNIQUE_RANGE_ID_GENERATOR_COUNTER" hidden="1">3</definedName>
    <definedName name="_1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__FDSAUDITLINK__" hidden="1">{"fdsup://directions/FAT Viewer?action=UPDATE&amp;creator=factset&amp;DYN_ARGS=TRUE&amp;DOC_NAME=FAT:FQL_AUDITING_CLIENT_TEMPLATE.FAT&amp;display_string=Audit&amp;VAR:KEY=YBMRALGHOH&amp;VAR:QUERY=RkZfRU5UUlBSX1ZBTF9EQUlMWSgwLCwsLCwnRElMJyk=&amp;WINDOW=FIRST_POPUP&amp;HEIGHT=450&amp;WIDTH=450&amp;","START_MAXIMIZED=FALSE&amp;VAR:CALENDAR=US&amp;VAR:SYMBOL=GPS&amp;VAR:INDEX=0"}</definedName>
    <definedName name="_10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0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00__FDSAUDITLINK__" localSheetId="5" hidden="1">{"fdsup://Directions/FactSet Auditing Viewer?action=AUDIT_VALUE&amp;DB=129&amp;ID1=07589610&amp;VALUEID=01001&amp;SDATE=200702&amp;PERIODTYPE=QTR_STD&amp;window=popup_no_bar&amp;width=385&amp;height=120&amp;START_MAXIMIZED=FALSE&amp;creator=factset&amp;display_string=Audit"}</definedName>
    <definedName name="_100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localSheetId="5" hidden="1">{"fdsup://Directions/FactSet Auditing Viewer?action=AUDIT_VALUE&amp;DB=129&amp;ID1=07589610&amp;VALUEID=01001&amp;SDATE=200701&amp;PERIODTYPE=QTR_STD&amp;window=popup_no_bar&amp;width=385&amp;height=120&amp;START_MAXIMIZED=FALSE&amp;creator=factset&amp;display_string=Audit"}</definedName>
    <definedName name="_101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localSheetId="5" hidden="1">{"fdsup://Directions/FactSet Auditing Viewer?action=AUDIT_VALUE&amp;DB=129&amp;ID1=07589610&amp;VALUEID=01001&amp;SDATE=200604&amp;PERIODTYPE=QTR_STD&amp;window=popup_no_bar&amp;width=385&amp;height=120&amp;START_MAXIMIZED=FALSE&amp;creator=factset&amp;display_string=Audit"}</definedName>
    <definedName name="_102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localSheetId="5" hidden="1">{"fdsup://Directions/FactSet Auditing Viewer?action=AUDIT_VALUE&amp;DB=129&amp;ID1=07589610&amp;VALUEID=01001&amp;SDATE=200603&amp;PERIODTYPE=QTR_STD&amp;window=popup_no_bar&amp;width=385&amp;height=120&amp;START_MAXIMIZED=FALSE&amp;creator=factset&amp;display_string=Audit"}</definedName>
    <definedName name="_103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localSheetId="5" hidden="1">{"fdsup://Directions/FactSet Auditing Viewer?action=AUDIT_VALUE&amp;DB=129&amp;ID1=07589610&amp;VALUEID=01001&amp;SDATE=200602&amp;PERIODTYPE=QTR_STD&amp;window=popup_no_bar&amp;width=385&amp;height=120&amp;START_MAXIMIZED=FALSE&amp;creator=factset&amp;display_string=Audit"}</definedName>
    <definedName name="_104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localSheetId="5" hidden="1">{"fdsup://Directions/FactSet Auditing Viewer?action=AUDIT_VALUE&amp;DB=129&amp;ID1=07589610&amp;VALUEID=01001&amp;SDATE=200601&amp;PERIODTYPE=QTR_STD&amp;window=popup_no_bar&amp;width=385&amp;height=120&amp;START_MAXIMIZED=FALSE&amp;creator=factset&amp;display_string=Audit"}</definedName>
    <definedName name="_105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localSheetId="5" hidden="1">{"fdsup://Directions/FactSet Auditing Viewer?action=AUDIT_VALUE&amp;DB=129&amp;ID1=07589610&amp;VALUEID=01001&amp;SDATE=200503&amp;PERIODTYPE=QTR_STD&amp;window=popup_no_bar&amp;width=385&amp;height=120&amp;START_MAXIMIZED=FALSE&amp;creator=factset&amp;display_string=Audit"}</definedName>
    <definedName name="_106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localSheetId="5" hidden="1">{"fdsup://Directions/FactSet Auditing Viewer?action=AUDIT_VALUE&amp;DB=129&amp;ID1=96990410&amp;VALUEID=01001&amp;SDATE=200903&amp;PERIODTYPE=QTR_STD&amp;window=popup_no_bar&amp;width=385&amp;height=120&amp;START_MAXIMIZED=FALSE&amp;creator=factset&amp;display_string=Audit"}</definedName>
    <definedName name="_107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localSheetId="5" hidden="1">{"fdsup://Directions/FactSet Auditing Viewer?action=AUDIT_VALUE&amp;DB=129&amp;ID1=96990410&amp;VALUEID=01001&amp;SDATE=200902&amp;PERIODTYPE=QTR_STD&amp;window=popup_no_bar&amp;width=385&amp;height=120&amp;START_MAXIMIZED=FALSE&amp;creator=factset&amp;display_string=Audit"}</definedName>
    <definedName name="_108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localSheetId="5" hidden="1">{"fdsup://Directions/FactSet Auditing Viewer?action=AUDIT_VALUE&amp;DB=129&amp;ID1=96990410&amp;VALUEID=01001&amp;SDATE=200901&amp;PERIODTYPE=QTR_STD&amp;window=popup_no_bar&amp;width=385&amp;height=120&amp;START_MAXIMIZED=FALSE&amp;creator=factset&amp;display_string=Audit"}</definedName>
    <definedName name="_109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1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10__FDSAUDITLINK__" localSheetId="5" hidden="1">{"fdsup://Directions/FactSet Auditing Viewer?action=AUDIT_VALUE&amp;DB=129&amp;ID1=96990410&amp;VALUEID=01001&amp;SDATE=200804&amp;PERIODTYPE=QTR_STD&amp;window=popup_no_bar&amp;width=385&amp;height=120&amp;START_MAXIMIZED=FALSE&amp;creator=factset&amp;display_string=Audit"}</definedName>
    <definedName name="_110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localSheetId="5" hidden="1">{"fdsup://Directions/FactSet Auditing Viewer?action=AUDIT_VALUE&amp;DB=129&amp;ID1=96990410&amp;VALUEID=01001&amp;SDATE=200803&amp;PERIODTYPE=QTR_STD&amp;window=popup_no_bar&amp;width=385&amp;height=120&amp;START_MAXIMIZED=FALSE&amp;creator=factset&amp;display_string=Audit"}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localSheetId="5" hidden="1">{"fdsup://Directions/FactSet Auditing Viewer?action=AUDIT_VALUE&amp;DB=129&amp;ID1=96990410&amp;VALUEID=01001&amp;SDATE=200802&amp;PERIODTYPE=QTR_STD&amp;window=popup_no_bar&amp;width=385&amp;height=120&amp;START_MAXIMIZED=FALSE&amp;creator=factset&amp;display_string=Audit"}</definedName>
    <definedName name="_112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localSheetId="5" hidden="1">{"fdsup://Directions/FactSet Auditing Viewer?action=AUDIT_VALUE&amp;DB=129&amp;ID1=96990410&amp;VALUEID=01001&amp;SDATE=200801&amp;PERIODTYPE=QTR_STD&amp;window=popup_no_bar&amp;width=385&amp;height=120&amp;START_MAXIMIZED=FALSE&amp;creator=factset&amp;display_string=Audit"}</definedName>
    <definedName name="_113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localSheetId="5" hidden="1">{"fdsup://Directions/FactSet Auditing Viewer?action=AUDIT_VALUE&amp;DB=129&amp;ID1=96990410&amp;VALUEID=01001&amp;SDATE=200704&amp;PERIODTYPE=QTR_STD&amp;window=popup_no_bar&amp;width=385&amp;height=120&amp;START_MAXIMIZED=FALSE&amp;creator=factset&amp;display_string=Audit"}</definedName>
    <definedName name="_114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localSheetId="5" hidden="1">{"fdsup://Directions/FactSet Auditing Viewer?action=AUDIT_VALUE&amp;DB=129&amp;ID1=96990410&amp;VALUEID=01001&amp;SDATE=200703&amp;PERIODTYPE=QTR_STD&amp;window=popup_no_bar&amp;width=385&amp;height=120&amp;START_MAXIMIZED=FALSE&amp;creator=factset&amp;display_string=Audit"}</definedName>
    <definedName name="_115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localSheetId="5" hidden="1">{"fdsup://Directions/FactSet Auditing Viewer?action=AUDIT_VALUE&amp;DB=129&amp;ID1=96990410&amp;VALUEID=01001&amp;SDATE=200702&amp;PERIODTYPE=QTR_STD&amp;window=popup_no_bar&amp;width=385&amp;height=120&amp;START_MAXIMIZED=FALSE&amp;creator=factset&amp;display_string=Audit"}</definedName>
    <definedName name="_116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localSheetId="5" hidden="1">{"fdsup://Directions/FactSet Auditing Viewer?action=AUDIT_VALUE&amp;DB=129&amp;ID1=96990410&amp;VALUEID=01001&amp;SDATE=200701&amp;PERIODTYPE=QTR_STD&amp;window=popup_no_bar&amp;width=385&amp;height=120&amp;START_MAXIMIZED=FALSE&amp;creator=factset&amp;display_string=Audit"}</definedName>
    <definedName name="_117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localSheetId="5" hidden="1">{"fdsup://Directions/FactSet Auditing Viewer?action=AUDIT_VALUE&amp;DB=129&amp;ID1=96990410&amp;VALUEID=01001&amp;SDATE=200604&amp;PERIODTYPE=QTR_STD&amp;window=popup_no_bar&amp;width=385&amp;height=120&amp;START_MAXIMIZED=FALSE&amp;creator=factset&amp;display_string=Audit"}</definedName>
    <definedName name="_118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localSheetId="5" hidden="1">{"fdsup://Directions/FactSet Auditing Viewer?action=AUDIT_VALUE&amp;DB=129&amp;ID1=96990410&amp;VALUEID=01001&amp;SDATE=200603&amp;PERIODTYPE=QTR_STD&amp;window=popup_no_bar&amp;width=385&amp;height=120&amp;START_MAXIMIZED=FALSE&amp;creator=factset&amp;display_string=Audit"}</definedName>
    <definedName name="_119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2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20__FDSAUDITLINK__" localSheetId="5" hidden="1">{"fdsup://Directions/FactSet Auditing Viewer?action=AUDIT_VALUE&amp;DB=129&amp;ID1=96990410&amp;VALUEID=01001&amp;SDATE=200602&amp;PERIODTYPE=QTR_STD&amp;window=popup_no_bar&amp;width=385&amp;height=120&amp;START_MAXIMIZED=FALSE&amp;creator=factset&amp;display_string=Audit"}</definedName>
    <definedName name="_120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localSheetId="5" hidden="1">{"fdsup://Directions/FactSet Auditing Viewer?action=AUDIT_VALUE&amp;DB=129&amp;ID1=96990410&amp;VALUEID=01001&amp;SDATE=200601&amp;PERIODTYPE=QTR_STD&amp;window=popup_no_bar&amp;width=385&amp;height=120&amp;START_MAXIMIZED=FALSE&amp;creator=factset&amp;display_string=Audit"}</definedName>
    <definedName name="_121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localSheetId="5" hidden="1">{"fdsup://Directions/FactSet Auditing Viewer?action=AUDIT_VALUE&amp;DB=129&amp;ID1=81235010&amp;VALUEID=01001&amp;SDATE=200903&amp;PERIODTYPE=QTR_STD&amp;window=popup_no_bar&amp;width=385&amp;height=120&amp;START_MAXIMIZED=FALSE&amp;creator=factset&amp;display_string=Audit"}</definedName>
    <definedName name="_122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localSheetId="5" hidden="1">{"fdsup://Directions/FactSet Auditing Viewer?action=AUDIT_VALUE&amp;DB=129&amp;ID1=81235010&amp;VALUEID=01001&amp;SDATE=200902&amp;PERIODTYPE=QTR_STD&amp;window=popup_no_bar&amp;width=385&amp;height=120&amp;START_MAXIMIZED=FALSE&amp;creator=factset&amp;display_string=Audit"}</definedName>
    <definedName name="_123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localSheetId="5" hidden="1">{"fdsup://Directions/FactSet Auditing Viewer?action=AUDIT_VALUE&amp;DB=129&amp;ID1=81235010&amp;VALUEID=01001&amp;SDATE=200901&amp;PERIODTYPE=QTR_STD&amp;window=popup_no_bar&amp;width=385&amp;height=120&amp;START_MAXIMIZED=FALSE&amp;creator=factset&amp;display_string=Audit"}</definedName>
    <definedName name="_124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localSheetId="5" hidden="1">{"fdsup://Directions/FactSet Auditing Viewer?action=AUDIT_VALUE&amp;DB=129&amp;ID1=81235010&amp;VALUEID=01001&amp;SDATE=200804&amp;PERIODTYPE=QTR_STD&amp;window=popup_no_bar&amp;width=385&amp;height=120&amp;START_MAXIMIZED=FALSE&amp;creator=factset&amp;display_string=Audit"}</definedName>
    <definedName name="_125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localSheetId="5" hidden="1">{"fdsup://Directions/FactSet Auditing Viewer?action=AUDIT_VALUE&amp;DB=129&amp;ID1=81235010&amp;VALUEID=01001&amp;SDATE=200803&amp;PERIODTYPE=QTR_STD&amp;window=popup_no_bar&amp;width=385&amp;height=120&amp;START_MAXIMIZED=FALSE&amp;creator=factset&amp;display_string=Audit"}</definedName>
    <definedName name="_126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localSheetId="5" hidden="1">{"fdsup://Directions/FactSet Auditing Viewer?action=AUDIT_VALUE&amp;DB=129&amp;ID1=81235010&amp;VALUEID=01001&amp;SDATE=200802&amp;PERIODTYPE=QTR_STD&amp;window=popup_no_bar&amp;width=385&amp;height=120&amp;START_MAXIMIZED=FALSE&amp;creator=factset&amp;display_string=Audit"}</definedName>
    <definedName name="_127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localSheetId="5" hidden="1">{"fdsup://Directions/FactSet Auditing Viewer?action=AUDIT_VALUE&amp;DB=129&amp;ID1=81235010&amp;VALUEID=01001&amp;SDATE=200801&amp;PERIODTYPE=QTR_STD&amp;window=popup_no_bar&amp;width=385&amp;height=120&amp;START_MAXIMIZED=FALSE&amp;creator=factset&amp;display_string=Audit"}</definedName>
    <definedName name="_128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localSheetId="5" hidden="1">{"fdsup://Directions/FactSet Auditing Viewer?action=AUDIT_VALUE&amp;DB=129&amp;ID1=81235010&amp;VALUEID=01001&amp;SDATE=200704&amp;PERIODTYPE=QTR_STD&amp;window=popup_no_bar&amp;width=385&amp;height=120&amp;START_MAXIMIZED=FALSE&amp;creator=factset&amp;display_string=Audit"}</definedName>
    <definedName name="_129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3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30__FDSAUDITLINK__" localSheetId="5" hidden="1">{"fdsup://Directions/FactSet Auditing Viewer?action=AUDIT_VALUE&amp;DB=129&amp;ID1=81235010&amp;VALUEID=01001&amp;SDATE=200703&amp;PERIODTYPE=QTR_STD&amp;window=popup_no_bar&amp;width=385&amp;height=120&amp;START_MAXIMIZED=FALSE&amp;creator=factset&amp;display_string=Audit"}</definedName>
    <definedName name="_130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localSheetId="5" hidden="1">{"fdsup://Directions/FactSet Auditing Viewer?action=AUDIT_VALUE&amp;DB=129&amp;ID1=81235010&amp;VALUEID=01001&amp;SDATE=200702&amp;PERIODTYPE=QTR_STD&amp;window=popup_no_bar&amp;width=385&amp;height=120&amp;START_MAXIMIZED=FALSE&amp;creator=factset&amp;display_string=Audit"}</definedName>
    <definedName name="_131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localSheetId="5" hidden="1">{"fdsup://Directions/FactSet Auditing Viewer?action=AUDIT_VALUE&amp;DB=129&amp;ID1=81235010&amp;VALUEID=01001&amp;SDATE=200701&amp;PERIODTYPE=QTR_STD&amp;window=popup_no_bar&amp;width=385&amp;height=120&amp;START_MAXIMIZED=FALSE&amp;creator=factset&amp;display_string=Audit"}</definedName>
    <definedName name="_132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localSheetId="5" hidden="1">{"fdsup://Directions/FactSet Auditing Viewer?action=AUDIT_VALUE&amp;DB=129&amp;ID1=81235010&amp;VALUEID=01001&amp;SDATE=200604&amp;PERIODTYPE=QTR_STD&amp;window=popup_no_bar&amp;width=385&amp;height=120&amp;START_MAXIMIZED=FALSE&amp;creator=factset&amp;display_string=Audit"}</definedName>
    <definedName name="_133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localSheetId="5" hidden="1">{"fdsup://Directions/FactSet Auditing Viewer?action=AUDIT_VALUE&amp;DB=129&amp;ID1=81235010&amp;VALUEID=01001&amp;SDATE=200603&amp;PERIODTYPE=QTR_STD&amp;window=popup_no_bar&amp;width=385&amp;height=120&amp;START_MAXIMIZED=FALSE&amp;creator=factset&amp;display_string=Audit"}</definedName>
    <definedName name="_134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localSheetId="5" hidden="1">{"fdsup://Directions/FactSet Auditing Viewer?action=AUDIT_VALUE&amp;DB=129&amp;ID1=81235010&amp;VALUEID=01001&amp;SDATE=200602&amp;PERIODTYPE=QTR_STD&amp;window=popup_no_bar&amp;width=385&amp;height=120&amp;START_MAXIMIZED=FALSE&amp;creator=factset&amp;display_string=Audit"}</definedName>
    <definedName name="_135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localSheetId="5" hidden="1">{"fdsup://Directions/FactSet Auditing Viewer?action=AUDIT_VALUE&amp;DB=129&amp;ID1=81235010&amp;VALUEID=01001&amp;SDATE=200601&amp;PERIODTYPE=QTR_STD&amp;window=popup_no_bar&amp;width=385&amp;height=120&amp;START_MAXIMIZED=FALSE&amp;creator=factset&amp;display_string=Audit"}</definedName>
    <definedName name="_136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localSheetId="5" hidden="1">{"fdsup://Directions/FactSet Auditing Viewer?action=AUDIT_VALUE&amp;DB=129&amp;ID1=82434810&amp;VALUEID=01001&amp;SDATE=200903&amp;PERIODTYPE=QTR_STD&amp;window=popup_no_bar&amp;width=385&amp;height=120&amp;START_MAXIMIZED=FALSE&amp;creator=factset&amp;display_string=Audit"}</definedName>
    <definedName name="_137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localSheetId="5" hidden="1">{"fdsup://Directions/FactSet Auditing Viewer?action=AUDIT_VALUE&amp;DB=129&amp;ID1=82434810&amp;VALUEID=01001&amp;SDATE=200902&amp;PERIODTYPE=QTR_STD&amp;window=popup_no_bar&amp;width=385&amp;height=120&amp;START_MAXIMIZED=FALSE&amp;creator=factset&amp;display_string=Audit"}</definedName>
    <definedName name="_138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localSheetId="5" hidden="1">{"fdsup://Directions/FactSet Auditing Viewer?action=AUDIT_VALUE&amp;DB=129&amp;ID1=82434810&amp;VALUEID=01001&amp;SDATE=200901&amp;PERIODTYPE=QTR_STD&amp;window=popup_no_bar&amp;width=385&amp;height=120&amp;START_MAXIMIZED=FALSE&amp;creator=factset&amp;display_string=Audit"}</definedName>
    <definedName name="_139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4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40__FDSAUDITLINK__" localSheetId="5" hidden="1">{"fdsup://Directions/FactSet Auditing Viewer?action=AUDIT_VALUE&amp;DB=129&amp;ID1=82434810&amp;VALUEID=01001&amp;SDATE=200803&amp;PERIODTYPE=QTR_STD&amp;window=popup_no_bar&amp;width=385&amp;height=120&amp;START_MAXIMIZED=FALSE&amp;creator=factset&amp;display_string=Audit"}</definedName>
    <definedName name="_140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localSheetId="5" hidden="1">{"fdsup://Directions/FactSet Auditing Viewer?action=AUDIT_VALUE&amp;DB=129&amp;ID1=82434810&amp;VALUEID=01001&amp;SDATE=200802&amp;PERIODTYPE=QTR_STD&amp;window=popup_no_bar&amp;width=385&amp;height=120&amp;START_MAXIMIZED=FALSE&amp;creator=factset&amp;display_string=Audit"}</definedName>
    <definedName name="_141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localSheetId="5" hidden="1">{"fdsup://Directions/FactSet Auditing Viewer?action=AUDIT_VALUE&amp;DB=129&amp;ID1=82434810&amp;VALUEID=01001&amp;SDATE=200801&amp;PERIODTYPE=QTR_STD&amp;window=popup_no_bar&amp;width=385&amp;height=120&amp;START_MAXIMIZED=FALSE&amp;creator=factset&amp;display_string=Audit"}</definedName>
    <definedName name="_142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localSheetId="5" hidden="1">{"fdsup://Directions/FactSet Auditing Viewer?action=AUDIT_VALUE&amp;DB=129&amp;ID1=82434810&amp;VALUEID=01001&amp;SDATE=200704&amp;PERIODTYPE=QTR_STD&amp;window=popup_no_bar&amp;width=385&amp;height=120&amp;START_MAXIMIZED=FALSE&amp;creator=factset&amp;display_string=Audit"}</definedName>
    <definedName name="_143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localSheetId="5" hidden="1">{"fdsup://Directions/FactSet Auditing Viewer?action=AUDIT_VALUE&amp;DB=129&amp;ID1=82434810&amp;VALUEID=01001&amp;SDATE=200703&amp;PERIODTYPE=QTR_STD&amp;window=popup_no_bar&amp;width=385&amp;height=120&amp;START_MAXIMIZED=FALSE&amp;creator=factset&amp;display_string=Audit"}</definedName>
    <definedName name="_144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localSheetId="5" hidden="1">{"fdsup://Directions/FactSet Auditing Viewer?action=AUDIT_VALUE&amp;DB=129&amp;ID1=82434810&amp;VALUEID=01001&amp;SDATE=200702&amp;PERIODTYPE=QTR_STD&amp;window=popup_no_bar&amp;width=385&amp;height=120&amp;START_MAXIMIZED=FALSE&amp;creator=factset&amp;display_string=Audit"}</definedName>
    <definedName name="_145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localSheetId="5" hidden="1">{"fdsup://Directions/FactSet Auditing Viewer?action=AUDIT_VALUE&amp;DB=129&amp;ID1=82434810&amp;VALUEID=01001&amp;SDATE=200701&amp;PERIODTYPE=QTR_STD&amp;window=popup_no_bar&amp;width=385&amp;height=120&amp;START_MAXIMIZED=FALSE&amp;creator=factset&amp;display_string=Audit"}</definedName>
    <definedName name="_146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localSheetId="5" hidden="1">{"fdsup://Directions/FactSet Auditing Viewer?action=AUDIT_VALUE&amp;DB=129&amp;ID1=82434810&amp;VALUEID=01001&amp;SDATE=200603&amp;PERIODTYPE=QTR_STD&amp;window=popup_no_bar&amp;width=385&amp;height=120&amp;START_MAXIMIZED=FALSE&amp;creator=factset&amp;display_string=Audit"}</definedName>
    <definedName name="_147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localSheetId="5" hidden="1">{"fdsup://Directions/FactSet Auditing Viewer?action=AUDIT_VALUE&amp;DB=129&amp;ID1=82434810&amp;VALUEID=01001&amp;SDATE=200602&amp;PERIODTYPE=QTR_STD&amp;window=popup_no_bar&amp;width=385&amp;height=120&amp;START_MAXIMIZED=FALSE&amp;creator=factset&amp;display_string=Audit"}</definedName>
    <definedName name="_14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localSheetId="5" hidden="1">{"fdsup://Directions/FactSet Auditing Viewer?action=AUDIT_VALUE&amp;DB=129&amp;ID1=82434810&amp;VALUEID=01001&amp;SDATE=200601&amp;PERIODTYPE=QTR_STD&amp;window=popup_no_bar&amp;width=385&amp;height=120&amp;START_MAXIMIZED=FALSE&amp;creator=factset&amp;display_string=Audit"}</definedName>
    <definedName name="_149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5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0__FDSAUDITLINK__" localSheetId="5" hidden="1">{"fdsup://Directions/FactSet Auditing Viewer?action=AUDIT_VALUE&amp;DB=129&amp;ID1=57459910&amp;VALUEID=01001&amp;SDATE=200903&amp;PERIODTYPE=QTR_STD&amp;window=popup_no_bar&amp;width=385&amp;height=120&amp;START_MAXIMIZED=FALSE&amp;creator=factset&amp;display_string=Audit"}</definedName>
    <definedName name="_150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localSheetId="5" hidden="1">{"fdsup://Directions/FactSet Auditing Viewer?action=AUDIT_VALUE&amp;DB=129&amp;ID1=57459910&amp;VALUEID=01001&amp;SDATE=200902&amp;PERIODTYPE=QTR_STD&amp;window=popup_no_bar&amp;width=385&amp;height=120&amp;START_MAXIMIZED=FALSE&amp;creator=factset&amp;display_string=Audit"}</definedName>
    <definedName name="_151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localSheetId="5" hidden="1">{"fdsup://Directions/FactSet Auditing Viewer?action=AUDIT_VALUE&amp;DB=129&amp;ID1=57459910&amp;VALUEID=01001&amp;SDATE=200901&amp;PERIODTYPE=QTR_STD&amp;window=popup_no_bar&amp;width=385&amp;height=120&amp;START_MAXIMIZED=FALSE&amp;creator=factset&amp;display_string=Audit"}</definedName>
    <definedName name="_152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localSheetId="5" hidden="1">{"fdsup://Directions/FactSet Auditing Viewer?action=AUDIT_VALUE&amp;DB=129&amp;ID1=57459910&amp;VALUEID=01001&amp;SDATE=200804&amp;PERIODTYPE=QTR_STD&amp;window=popup_no_bar&amp;width=385&amp;height=120&amp;START_MAXIMIZED=FALSE&amp;creator=factset&amp;display_string=Audit"}</definedName>
    <definedName name="_153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localSheetId="5" hidden="1">{"fdsup://Directions/FactSet Auditing Viewer?action=AUDIT_VALUE&amp;DB=129&amp;ID1=57459910&amp;VALUEID=01001&amp;SDATE=200803&amp;PERIODTYPE=QTR_STD&amp;window=popup_no_bar&amp;width=385&amp;height=120&amp;START_MAXIMIZED=FALSE&amp;creator=factset&amp;display_string=Audit"}</definedName>
    <definedName name="_154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55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56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57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58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59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6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6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60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161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162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163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164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65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66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67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68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69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7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7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70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171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172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173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174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75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76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77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78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79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8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8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80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181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182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183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184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85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86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87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88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89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9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9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90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191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192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193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194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95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196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97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198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199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__FDSAUDITLINK__" hidden="1">{"fdsup://directions/FAT Viewer?action=UPDATE&amp;creator=factset&amp;DYN_ARGS=TRUE&amp;DOC_NAME=FAT:FQL_AUDITING_CLIENT_TEMPLATE.FAT&amp;display_string=Audit&amp;VAR:KEY=YBMRALGHOH&amp;VAR:QUERY=RkZfRU5UUlBSX1ZBTF9EQUlMWSgwLCwsLCwnRElMJyk=&amp;WINDOW=FIRST_POPUP&amp;HEIGHT=450&amp;WIDTH=450&amp;","START_MAXIMIZED=FALSE&amp;VAR:CALENDAR=US&amp;VAR:SYMBOL=GPS&amp;VAR:INDEX=0"}</definedName>
    <definedName name="_20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0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0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00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01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02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0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04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05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06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07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08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09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1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10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1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12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13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14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15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16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17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18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19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2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2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20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21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22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23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24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25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26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27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28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29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3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3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3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31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32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33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34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35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36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37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38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39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4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4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40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41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42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43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44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45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46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47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48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49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5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50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50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51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52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53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54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55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56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57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58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59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6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60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60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61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62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63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64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65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66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67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68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69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7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70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70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71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72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73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74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75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76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77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78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79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8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8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80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8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81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8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82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8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8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8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84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8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85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86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8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87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8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88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8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89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9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9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90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9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91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9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292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9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93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9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294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9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95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9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296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9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97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9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298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9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299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3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3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0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30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0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30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01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30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02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30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03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30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04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30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05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30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06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07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30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08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30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09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31__FDSAUDITLINK__" localSheetId="5" hidden="1">{"fdsup://Directions/FactSet Auditing Viewer?action=AUDIT_VALUE&amp;DB=129&amp;ID1=87612E10&amp;VALUEID=01001&amp;SDATE=200604&amp;PERIODTYPE=QTR_STD&amp;window=popup_no_bar&amp;width=385&amp;height=120&amp;START_MAXIMIZED=FALSE&amp;creator=factset&amp;display_string=Audit"}</definedName>
    <definedName name="_31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31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10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31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11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31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12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31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13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31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14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31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15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31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16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31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17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31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18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31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19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32__FDSAUDITLINK__" localSheetId="5" hidden="1">{"fdsup://Directions/FactSet Auditing Viewer?action=AUDIT_VALUE&amp;DB=129&amp;ID1=87612E10&amp;VALUEID=01001&amp;SDATE=200701&amp;PERIODTYPE=QTR_STD&amp;window=popup_no_bar&amp;width=385&amp;height=120&amp;START_MAXIMIZED=FALSE&amp;creator=factset&amp;display_string=Audit"}</definedName>
    <definedName name="_32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32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20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32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21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32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22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32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23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32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24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32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25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32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26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32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2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32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28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32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29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33__FDSAUDITLINK__" localSheetId="5" hidden="1">{"fdsup://Directions/FactSet Auditing Viewer?action=AUDIT_VALUE&amp;DB=129&amp;ID1=87612E10&amp;VALUEID=01001&amp;SDATE=200702&amp;PERIODTYPE=QTR_STD&amp;window=popup_no_bar&amp;width=385&amp;height=120&amp;START_MAXIMIZED=FALSE&amp;creator=factset&amp;display_string=Audit"}</definedName>
    <definedName name="_33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33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30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33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31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33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32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33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33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34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33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35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33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36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33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37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33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38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33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39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34__FDSAUDITLINK__" localSheetId="5" hidden="1">{"fdsup://Directions/FactSet Auditing Viewer?action=AUDIT_VALUE&amp;DB=129&amp;ID1=87612E10&amp;VALUEID=01001&amp;SDATE=200703&amp;PERIODTYPE=QTR_STD&amp;window=popup_no_bar&amp;width=385&amp;height=120&amp;START_MAXIMIZED=FALSE&amp;creator=factset&amp;display_string=Audit"}</definedName>
    <definedName name="_34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34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40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34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41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34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42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43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34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44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34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45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34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46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34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47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34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48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34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49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35__FDSAUDITLINK__" localSheetId="5" hidden="1">{"fdsup://Directions/FactSet Auditing Viewer?action=AUDIT_VALUE&amp;DB=129&amp;ID1=87612E10&amp;VALUEID=01001&amp;SDATE=200704&amp;PERIODTYPE=QTR_STD&amp;window=popup_no_bar&amp;width=385&amp;height=120&amp;START_MAXIMIZED=FALSE&amp;creator=factset&amp;display_string=Audit"}</definedName>
    <definedName name="_35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35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50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35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51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35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52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35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53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35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54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35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55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35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56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35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57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35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58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35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59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36__FDSAUDITLINK__" localSheetId="5" hidden="1">{"fdsup://Directions/FactSet Auditing Viewer?action=AUDIT_VALUE&amp;DB=129&amp;ID1=87612E10&amp;VALUEID=01001&amp;SDATE=200801&amp;PERIODTYPE=QTR_STD&amp;window=popup_no_bar&amp;width=385&amp;height=120&amp;START_MAXIMIZED=FALSE&amp;creator=factset&amp;display_string=Audit"}</definedName>
    <definedName name="_3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36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60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36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61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36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62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63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36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64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36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65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36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66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36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67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36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68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36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69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7__FDSAUDITLINK__" localSheetId="5" hidden="1">{"fdsup://Directions/FactSet Auditing Viewer?action=AUDIT_VALUE&amp;DB=129&amp;ID1=87612E10&amp;VALUEID=01001&amp;SDATE=200802&amp;PERIODTYPE=QTR_STD&amp;window=popup_no_bar&amp;width=385&amp;height=120&amp;START_MAXIMIZED=FALSE&amp;creator=factset&amp;display_string=Audit"}</definedName>
    <definedName name="_37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37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70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71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72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37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73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74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75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37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76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77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78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37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79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8__FDSAUDITLINK__" localSheetId="5" hidden="1">{"fdsup://Directions/FactSet Auditing Viewer?action=AUDIT_VALUE&amp;DB=129&amp;ID1=87612E10&amp;VALUEID=01001&amp;SDATE=200803&amp;PERIODTYPE=QTR_STD&amp;window=popup_no_bar&amp;width=385&amp;height=120&amp;START_MAXIMIZED=FALSE&amp;creator=factset&amp;display_string=Audit"}</definedName>
    <definedName name="_38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38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80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38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81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38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82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38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83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38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8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38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85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38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86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38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87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38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8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38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89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39__FDSAUDITLINK__" localSheetId="5" hidden="1">{"fdsup://Directions/FactSet Auditing Viewer?action=AUDIT_VALUE&amp;DB=129&amp;ID1=87612E10&amp;VALUEID=01001&amp;SDATE=200804&amp;PERIODTYPE=QTR_STD&amp;window=popup_no_bar&amp;width=385&amp;height=120&amp;START_MAXIMIZED=FALSE&amp;creator=factset&amp;display_string=Audit"}</definedName>
    <definedName name="_39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39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90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39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9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39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392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39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93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39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394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39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95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39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396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39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97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39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398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39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399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4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0__FDSAUDITLINK__" localSheetId="5" hidden="1">{"fdsup://Directions/FactSet Auditing Viewer?action=AUDIT_VALUE&amp;DB=129&amp;ID1=87612E10&amp;VALUEID=01001&amp;SDATE=200902&amp;PERIODTYPE=QTR_STD&amp;window=popup_no_bar&amp;width=385&amp;height=120&amp;START_MAXIMIZED=FALSE&amp;creator=factset&amp;display_string=Audit"}</definedName>
    <definedName name="_40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0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0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40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01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40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02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40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40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0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40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05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40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06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40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0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40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08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40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09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41__FDSAUDITLINK__" localSheetId="5" hidden="1">{"fdsup://Directions/FactSet Auditing Viewer?action=AUDIT_VALUE&amp;DB=129&amp;ID1=87612E10&amp;VALUEID=01001&amp;SDATE=200903&amp;PERIODTYPE=QTR_STD&amp;window=popup_no_bar&amp;width=385&amp;height=120&amp;START_MAXIMIZED=FALSE&amp;creator=factset&amp;display_string=Audit"}</definedName>
    <definedName name="_41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1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1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41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11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41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12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41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13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41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1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41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15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41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16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41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17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41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1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41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19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42__FDSAUDITLINK__" localSheetId="5" hidden="1">{"fdsup://Directions/FactSet Auditing Viewer?action=AUDIT_VALUE&amp;DB=129&amp;ID1=05548J10&amp;VALUEID=01001&amp;SDATE=200601&amp;PERIODTYPE=QTR_STD&amp;window=popup_no_bar&amp;width=385&amp;height=120&amp;START_MAXIMIZED=FALSE&amp;creator=factset&amp;display_string=Audit"}</definedName>
    <definedName name="_42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2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20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42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2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42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42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23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42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24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42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2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42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26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42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27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42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2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42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29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43__FDSAUDITLINK__" localSheetId="5" hidden="1">{"fdsup://Directions/FactSet Auditing Viewer?action=AUDIT_VALUE&amp;DB=129&amp;ID1=05548J10&amp;VALUEID=01001&amp;SDATE=200602&amp;PERIODTYPE=QTR_STD&amp;window=popup_no_bar&amp;width=385&amp;height=120&amp;START_MAXIMIZED=FALSE&amp;creator=factset&amp;display_string=Audit"}</definedName>
    <definedName name="_43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3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30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43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3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43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32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43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33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43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34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43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3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43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3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43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37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43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3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3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3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4__FDSAUDITLINK__" localSheetId="5" hidden="1">{"fdsup://Directions/FactSet Auditing Viewer?action=AUDIT_VALUE&amp;DB=129&amp;ID1=05548J10&amp;VALUEID=01001&amp;SDATE=200603&amp;PERIODTYPE=QTR_STD&amp;window=popup_no_bar&amp;width=385&amp;height=120&amp;START_MAXIMIZED=FALSE&amp;creator=factset&amp;display_string=Audit"}</definedName>
    <definedName name="_44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4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4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4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4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44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4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44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4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4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44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44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45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44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47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4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48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44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49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45__FDSAUDITLINK__" localSheetId="5" hidden="1">{"fdsup://Directions/FactSet Auditing Viewer?action=AUDIT_VALUE&amp;DB=129&amp;ID1=05548J10&amp;VALUEID=01001&amp;SDATE=200604&amp;PERIODTYPE=QTR_STD&amp;window=popup_no_bar&amp;width=385&amp;height=120&amp;START_MAXIMIZED=FALSE&amp;creator=factset&amp;display_string=Audit"}</definedName>
    <definedName name="_45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5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50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45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51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45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52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45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53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45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54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45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55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5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56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45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57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45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58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45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59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46__FDSAUDITLINK__" localSheetId="5" hidden="1">{"fdsup://Directions/FactSet Auditing Viewer?action=AUDIT_VALUE&amp;DB=129&amp;ID1=05548J10&amp;VALUEID=01001&amp;SDATE=200701&amp;PERIODTYPE=QTR_STD&amp;window=popup_no_bar&amp;width=385&amp;height=120&amp;START_MAXIMIZED=FALSE&amp;creator=factset&amp;display_string=Audit"}</definedName>
    <definedName name="_46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6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60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46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61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46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62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46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63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46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64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46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65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66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46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67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46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68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46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69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7__FDSAUDITLINK__" localSheetId="5" hidden="1">{"fdsup://Directions/FactSet Auditing Viewer?action=AUDIT_VALUE&amp;DB=129&amp;ID1=05548J10&amp;VALUEID=01001&amp;SDATE=200702&amp;PERIODTYPE=QTR_STD&amp;window=popup_no_bar&amp;width=385&amp;height=120&amp;START_MAXIMIZED=FALSE&amp;creator=factset&amp;display_string=Audit"}</definedName>
    <definedName name="_47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7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70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47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71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47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72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47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73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47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74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47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75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47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76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77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47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78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47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79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48__FDSAUDITLINK__" localSheetId="5" hidden="1">{"fdsup://Directions/FactSet Auditing Viewer?action=AUDIT_VALUE&amp;DB=129&amp;ID1=05548J10&amp;VALUEID=01001&amp;SDATE=200703&amp;PERIODTYPE=QTR_STD&amp;window=popup_no_bar&amp;width=385&amp;height=120&amp;START_MAXIMIZED=FALSE&amp;creator=factset&amp;display_string=Audit"}</definedName>
    <definedName name="_48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8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80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48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81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48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82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48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83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8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84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8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85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8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86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8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87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8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8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8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8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9__FDSAUDITLINK__" localSheetId="5" hidden="1">{"fdsup://Directions/FactSet Auditing Viewer?action=AUDIT_VALUE&amp;DB=129&amp;ID1=05548J10&amp;VALUEID=01001&amp;SDATE=200704&amp;PERIODTYPE=QTR_STD&amp;window=popup_no_bar&amp;width=385&amp;height=120&amp;START_MAXIMIZED=FALSE&amp;creator=factset&amp;display_string=Audit"}</definedName>
    <definedName name="_49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90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9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91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9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492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93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49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494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49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95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49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496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49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97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49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498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49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499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__123Graph_Aｸﾞﾗﾌ_1" hidden="1">[2]ｾｸﾞﾒﾝﾄ!$E$164:$I$164</definedName>
    <definedName name="_5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50__FDSAUDITLINK__" localSheetId="5" hidden="1">{"fdsup://Directions/FactSet Auditing Viewer?action=AUDIT_VALUE&amp;DB=129&amp;ID1=05548J10&amp;VALUEID=01001&amp;SDATE=200801&amp;PERIODTYPE=QTR_STD&amp;window=popup_no_bar&amp;width=385&amp;height=120&amp;START_MAXIMIZED=FALSE&amp;creator=factset&amp;display_string=Audit"}</definedName>
    <definedName name="_50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50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00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0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01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0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02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0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03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50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04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50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05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50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06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50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07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50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08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50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09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51__FDSAUDITLINK__" localSheetId="5" hidden="1">{"fdsup://Directions/FactSet Auditing Viewer?action=AUDIT_VALUE&amp;DB=129&amp;ID1=05548J10&amp;VALUEID=01001&amp;SDATE=200802&amp;PERIODTYPE=QTR_STD&amp;window=popup_no_bar&amp;width=385&amp;height=120&amp;START_MAXIMIZED=FALSE&amp;creator=factset&amp;display_string=Audit"}</definedName>
    <definedName name="_51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51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10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51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11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51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12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51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13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51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14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51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1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51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1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51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17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51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18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51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19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52__FDSAUDITLINK__" localSheetId="5" hidden="1">{"fdsup://Directions/FactSet Auditing Viewer?action=AUDIT_VALUE&amp;DB=129&amp;ID1=05548J10&amp;VALUEID=01001&amp;SDATE=200803&amp;PERIODTYPE=QTR_STD&amp;window=popup_no_bar&amp;width=385&amp;height=120&amp;START_MAXIMIZED=FALSE&amp;creator=factset&amp;display_string=Audit"}</definedName>
    <definedName name="_52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52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20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52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21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52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22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52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23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52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24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52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25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52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26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52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27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52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28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52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29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53__FDSAUDITLINK__" localSheetId="5" hidden="1">{"fdsup://Directions/FactSet Auditing Viewer?action=AUDIT_VALUE&amp;DB=129&amp;ID1=05548J10&amp;VALUEID=01001&amp;SDATE=200804&amp;PERIODTYPE=QTR_STD&amp;window=popup_no_bar&amp;width=385&amp;height=120&amp;START_MAXIMIZED=FALSE&amp;creator=factset&amp;display_string=Audit"}</definedName>
    <definedName name="_53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53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30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53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31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53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32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33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53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34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53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35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53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36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53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37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53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38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53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39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54__FDSAUDITLINK__" localSheetId="5" hidden="1">{"fdsup://Directions/FactSet Auditing Viewer?action=AUDIT_VALUE&amp;DB=129&amp;ID1=05548J10&amp;VALUEID=01001&amp;SDATE=200901&amp;PERIODTYPE=QTR_STD&amp;window=popup_no_bar&amp;width=385&amp;height=120&amp;START_MAXIMIZED=FALSE&amp;creator=factset&amp;display_string=Audit"}</definedName>
    <definedName name="_54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54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40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54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41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54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42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54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43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54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44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54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45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54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46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47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54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48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54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49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55__FDSAUDITLINK__" localSheetId="5" hidden="1">{"fdsup://Directions/FactSet Auditing Viewer?action=AUDIT_VALUE&amp;DB=129&amp;ID1=05548J10&amp;VALUEID=01001&amp;SDATE=200902&amp;PERIODTYPE=QTR_STD&amp;window=popup_no_bar&amp;width=385&amp;height=120&amp;START_MAXIMIZED=FALSE&amp;creator=factset&amp;display_string=Audit"}</definedName>
    <definedName name="_55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55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50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55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5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55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52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55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53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55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54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55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55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55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56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57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55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58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55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59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56__FDSAUDITLINK__" localSheetId="5" hidden="1">{"fdsup://Directions/FactSet Auditing Viewer?action=AUDIT_VALUE&amp;DB=129&amp;ID1=05548J10&amp;VALUEID=01001&amp;SDATE=200903&amp;PERIODTYPE=QTR_STD&amp;window=popup_no_bar&amp;width=385&amp;height=120&amp;START_MAXIMIZED=FALSE&amp;creator=factset&amp;display_string=Audit"}</definedName>
    <definedName name="_56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6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60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56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61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56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62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56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63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56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64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56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65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56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66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56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67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56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68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56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69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57__FDSAUDITLINK__" localSheetId="5" hidden="1">{"fdsup://Directions/FactSet Auditing Viewer?action=AUDIT_VALUE&amp;DB=129&amp;ID1=22160K10&amp;VALUEID=01001&amp;SDATE=200602&amp;PERIODTYPE=QTR_STD&amp;window=popup_no_bar&amp;width=385&amp;height=120&amp;START_MAXIMIZED=FALSE&amp;creator=factset&amp;display_string=Audit"}</definedName>
    <definedName name="_57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7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70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57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71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57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72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57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73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57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74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57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75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57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76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57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77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57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78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57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79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58__FDSAUDITLINK__" localSheetId="5" hidden="1">{"fdsup://Directions/FactSet Auditing Viewer?action=AUDIT_VALUE&amp;DB=129&amp;ID1=22160K10&amp;VALUEID=01001&amp;SDATE=200603&amp;PERIODTYPE=QTR_STD&amp;window=popup_no_bar&amp;width=385&amp;height=120&amp;START_MAXIMIZED=FALSE&amp;creator=factset&amp;display_string=Audit"}</definedName>
    <definedName name="_58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8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80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58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8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58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82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58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83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58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84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58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85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58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86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58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87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58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88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58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89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59__FDSAUDITLINK__" localSheetId="5" hidden="1">{"fdsup://Directions/FactSet Auditing Viewer?action=AUDIT_VALUE&amp;DB=129&amp;ID1=22160K10&amp;VALUEID=01001&amp;SDATE=200701&amp;PERIODTYPE=QTR_STD&amp;window=popup_no_bar&amp;width=385&amp;height=120&amp;START_MAXIMIZED=FALSE&amp;creator=factset&amp;display_string=Audit"}</definedName>
    <definedName name="_59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9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90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59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91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59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592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59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93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59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594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59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95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59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596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59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97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59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598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59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599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6__123Graph_Aｸﾞﾗﾌ_2" hidden="1">[2]単独!$AR$14:$AR$18</definedName>
    <definedName name="_6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60__FDSAUDITLINK__" localSheetId="5" hidden="1">{"fdsup://Directions/FactSet Auditing Viewer?action=AUDIT_VALUE&amp;DB=129&amp;ID1=22160K10&amp;VALUEID=01001&amp;SDATE=200702&amp;PERIODTYPE=QTR_STD&amp;window=popup_no_bar&amp;width=385&amp;height=120&amp;START_MAXIMIZED=FALSE&amp;creator=factset&amp;display_string=Audit"}</definedName>
    <definedName name="_60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60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00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60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01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60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02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60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03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60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04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60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05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60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06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60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07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60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0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60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09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61__FDSAUDITLINK__" localSheetId="5" hidden="1">{"fdsup://Directions/FactSet Auditing Viewer?action=AUDIT_VALUE&amp;DB=129&amp;ID1=22160K10&amp;VALUEID=01001&amp;SDATE=200703&amp;PERIODTYPE=QTR_STD&amp;window=popup_no_bar&amp;width=385&amp;height=120&amp;START_MAXIMIZED=FALSE&amp;creator=factset&amp;display_string=Audit"}</definedName>
    <definedName name="_61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61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10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61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11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61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12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61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13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61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14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61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15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61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16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61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1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61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18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61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19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62__FDSAUDITLINK__" localSheetId="5" hidden="1">{"fdsup://Directions/FactSet Auditing Viewer?action=AUDIT_VALUE&amp;DB=129&amp;ID1=22160K10&amp;VALUEID=01001&amp;SDATE=200801&amp;PERIODTYPE=QTR_STD&amp;window=popup_no_bar&amp;width=385&amp;height=120&amp;START_MAXIMIZED=FALSE&amp;creator=factset&amp;display_string=Audit"}</definedName>
    <definedName name="_62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62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20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62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21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62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22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62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23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62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24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62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25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62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26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62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27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62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28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62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29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63__FDSAUDITLINK__" localSheetId="5" hidden="1">{"fdsup://Directions/FactSet Auditing Viewer?action=AUDIT_VALUE&amp;DB=129&amp;ID1=22160K10&amp;VALUEID=01001&amp;SDATE=200802&amp;PERIODTYPE=QTR_STD&amp;window=popup_no_bar&amp;width=385&amp;height=120&amp;START_MAXIMIZED=FALSE&amp;creator=factset&amp;display_string=Audit"}</definedName>
    <definedName name="_6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63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30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63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31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63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32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63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33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63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34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63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35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63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36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63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37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63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38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63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39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64__FDSAUDITLINK__" localSheetId="5" hidden="1">{"fdsup://Directions/FactSet Auditing Viewer?action=AUDIT_VALUE&amp;DB=129&amp;ID1=22160K10&amp;VALUEID=01001&amp;SDATE=200803&amp;PERIODTYPE=QTR_STD&amp;window=popup_no_bar&amp;width=385&amp;height=120&amp;START_MAXIMIZED=FALSE&amp;creator=factset&amp;display_string=Audit"}</definedName>
    <definedName name="_64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64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40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64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41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64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42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64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43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64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44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64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45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64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46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64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47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64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48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64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49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65__FDSAUDITLINK__" localSheetId="5" hidden="1">{"fdsup://Directions/FactSet Auditing Viewer?action=AUDIT_VALUE&amp;DB=129&amp;ID1=22160K10&amp;VALUEID=01001&amp;SDATE=200804&amp;PERIODTYPE=QTR_STD&amp;window=popup_no_bar&amp;width=385&amp;height=120&amp;START_MAXIMIZED=FALSE&amp;creator=factset&amp;display_string=Audit"}</definedName>
    <definedName name="_65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65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50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65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51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65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52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65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53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65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54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65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55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65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56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65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57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65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58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65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59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66__FDSAUDITLINK__" localSheetId="5" hidden="1">{"fdsup://Directions/FactSet Auditing Viewer?action=AUDIT_VALUE&amp;DB=129&amp;ID1=22160K10&amp;VALUEID=01001&amp;SDATE=200901&amp;PERIODTYPE=QTR_STD&amp;window=popup_no_bar&amp;width=385&amp;height=120&amp;START_MAXIMIZED=FALSE&amp;creator=factset&amp;display_string=Audit"}</definedName>
    <definedName name="_66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66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60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66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61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66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62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66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63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66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64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66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65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66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66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66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67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66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68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66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69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67__FDSAUDITLINK__" localSheetId="5" hidden="1">{"fdsup://Directions/FactSet Auditing Viewer?action=AUDIT_VALUE&amp;DB=129&amp;ID1=22160K10&amp;VALUEID=01001&amp;SDATE=200902&amp;PERIODTYPE=QTR_STD&amp;window=popup_no_bar&amp;width=385&amp;height=120&amp;START_MAXIMIZED=FALSE&amp;creator=factset&amp;display_string=Audit"}</definedName>
    <definedName name="_67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67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70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67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71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67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72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67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73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67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74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67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75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67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76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67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77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67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78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67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7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68__FDSAUDITLINK__" localSheetId="5" hidden="1">{"fdsup://Directions/FactSet Auditing Viewer?action=AUDIT_VALUE&amp;DB=129&amp;ID1=22160K10&amp;VALUEID=01001&amp;SDATE=200903&amp;PERIODTYPE=QTR_STD&amp;window=popup_no_bar&amp;width=385&amp;height=120&amp;START_MAXIMIZED=FALSE&amp;creator=factset&amp;display_string=Audit"}</definedName>
    <definedName name="_68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68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80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68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81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68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82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68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83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68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84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685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85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686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686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687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87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688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688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689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89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69__FDSAUDITLINK__" localSheetId="5" hidden="1">{"fdsup://Directions/FactSet Auditing Viewer?action=AUDIT_VALUE&amp;DB=129&amp;ID1=25674610&amp;VALUEID=01001&amp;SDATE=200902&amp;PERIODTYPE=QTR_STD&amp;window=popup_no_bar&amp;width=385&amp;height=120&amp;START_MAXIMIZED=FALSE&amp;creator=factset&amp;display_string=Audit"}</definedName>
    <definedName name="_69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690__FDSAUDITLINK__" localSheetId="5" hidden="1">{"fdsup://Directions/FactSet Auditing Viewer?action=AUDIT_VALUE&amp;DB=129&amp;ID1=50025510&amp;VALUEID=02001&amp;SDATE=201102&amp;PERIODTYPE=QTR_STD&amp;SCFT=3&amp;window=popup_no_bar&amp;width=385&amp;height=120&amp;START_MAXIMIZED=FALSE&amp;creator=factset&amp;display_string=Audit"}</definedName>
    <definedName name="_690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691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91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692__FDSAUDITLINK__" localSheetId="5" hidden="1">{"fdsup://Directions/FactSet Auditing Viewer?action=AUDIT_VALUE&amp;DB=129&amp;ID1=65566410&amp;VALUEID=02001&amp;SDATE=201102&amp;PERIODTYPE=QTR_STD&amp;SCFT=3&amp;window=popup_no_bar&amp;width=385&amp;height=120&amp;START_MAXIMIZED=FALSE&amp;creator=factset&amp;display_string=Audit"}</definedName>
    <definedName name="_692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693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93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694__FDSAUDITLINK__" localSheetId="5" hidden="1">{"fdsup://Directions/FactSet Auditing Viewer?action=AUDIT_VALUE&amp;DB=129&amp;ID1=70816010&amp;VALUEID=02001&amp;SDATE=201102&amp;PERIODTYPE=QTR_STD&amp;SCFT=3&amp;window=popup_no_bar&amp;width=385&amp;height=120&amp;START_MAXIMIZED=FALSE&amp;creator=factset&amp;display_string=Audit"}</definedName>
    <definedName name="_694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7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70__FDSAUDITLINK__" localSheetId="5" hidden="1">{"fdsup://Directions/FactSet Auditing Viewer?action=AUDIT_VALUE&amp;DB=129&amp;ID1=25674610&amp;VALUEID=01001&amp;SDATE=200901&amp;PERIODTYPE=QTR_STD&amp;window=popup_no_bar&amp;width=385&amp;height=120&amp;START_MAXIMIZED=FALSE&amp;creator=factset&amp;display_string=Audit"}</definedName>
    <definedName name="_70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localSheetId="5" hidden="1">{"fdsup://Directions/FactSet Auditing Viewer?action=AUDIT_VALUE&amp;DB=129&amp;ID1=25674610&amp;VALUEID=01001&amp;SDATE=200804&amp;PERIODTYPE=QTR_STD&amp;window=popup_no_bar&amp;width=385&amp;height=120&amp;START_MAXIMIZED=FALSE&amp;creator=factset&amp;display_string=Audit"}</definedName>
    <definedName name="_71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localSheetId="5" hidden="1">{"fdsup://Directions/FactSet Auditing Viewer?action=AUDIT_VALUE&amp;DB=129&amp;ID1=25674610&amp;VALUEID=01001&amp;SDATE=200803&amp;PERIODTYPE=QTR_STD&amp;window=popup_no_bar&amp;width=385&amp;height=120&amp;START_MAXIMIZED=FALSE&amp;creator=factset&amp;display_string=Audit"}</definedName>
    <definedName name="_72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localSheetId="5" hidden="1">{"fdsup://Directions/FactSet Auditing Viewer?action=AUDIT_VALUE&amp;DB=129&amp;ID1=25674610&amp;VALUEID=01001&amp;SDATE=200802&amp;PERIODTYPE=QTR_STD&amp;window=popup_no_bar&amp;width=385&amp;height=120&amp;START_MAXIMIZED=FALSE&amp;creator=factset&amp;display_string=Audit"}</definedName>
    <definedName name="_73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localSheetId="5" hidden="1">{"fdsup://Directions/FactSet Auditing Viewer?action=AUDIT_VALUE&amp;DB=129&amp;ID1=25674610&amp;VALUEID=01001&amp;SDATE=200801&amp;PERIODTYPE=QTR_STD&amp;window=popup_no_bar&amp;width=385&amp;height=120&amp;START_MAXIMIZED=FALSE&amp;creator=factset&amp;display_string=Audit"}</definedName>
    <definedName name="_74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localSheetId="5" hidden="1">{"fdsup://Directions/FactSet Auditing Viewer?action=AUDIT_VALUE&amp;DB=129&amp;ID1=25674610&amp;VALUEID=01001&amp;SDATE=200704&amp;PERIODTYPE=QTR_STD&amp;window=popup_no_bar&amp;width=385&amp;height=120&amp;START_MAXIMIZED=FALSE&amp;creator=factset&amp;display_string=Audit"}</definedName>
    <definedName name="_75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localSheetId="5" hidden="1">{"fdsup://Directions/FactSet Auditing Viewer?action=AUDIT_VALUE&amp;DB=129&amp;ID1=25674610&amp;VALUEID=01001&amp;SDATE=200703&amp;PERIODTYPE=QTR_STD&amp;window=popup_no_bar&amp;width=385&amp;height=120&amp;START_MAXIMIZED=FALSE&amp;creator=factset&amp;display_string=Audit"}</definedName>
    <definedName name="_76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localSheetId="5" hidden="1">{"fdsup://Directions/FactSet Auditing Viewer?action=AUDIT_VALUE&amp;DB=129&amp;ID1=25674610&amp;VALUEID=01001&amp;SDATE=200702&amp;PERIODTYPE=QTR_STD&amp;window=popup_no_bar&amp;width=385&amp;height=120&amp;START_MAXIMIZED=FALSE&amp;creator=factset&amp;display_string=Audit"}</definedName>
    <definedName name="_77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localSheetId="5" hidden="1">{"fdsup://Directions/FactSet Auditing Viewer?action=AUDIT_VALUE&amp;DB=129&amp;ID1=25674610&amp;VALUEID=01001&amp;SDATE=200701&amp;PERIODTYPE=QTR_STD&amp;window=popup_no_bar&amp;width=385&amp;height=120&amp;START_MAXIMIZED=FALSE&amp;creator=factset&amp;display_string=Audit"}</definedName>
    <definedName name="_78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localSheetId="5" hidden="1">{"fdsup://Directions/FactSet Auditing Viewer?action=AUDIT_VALUE&amp;DB=129&amp;ID1=25674610&amp;VALUEID=01001&amp;SDATE=200604&amp;PERIODTYPE=QTR_STD&amp;window=popup_no_bar&amp;width=385&amp;height=120&amp;START_MAXIMIZED=FALSE&amp;creator=factset&amp;display_string=Audit"}</definedName>
    <definedName name="_79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localSheetId="5" hidden="1">{"fdsup://Directions/FactSet Auditing Viewer?action=AUDIT_VALUE&amp;DB=129&amp;ID1=79377W10&amp;VALUEID=02001&amp;SDATE=201102&amp;PERIODTYPE=QTR_STD&amp;SCFT=3&amp;window=popup_no_bar&amp;width=385&amp;height=120&amp;START_MAXIMIZED=FALSE&amp;creator=factset&amp;display_string=Audit"}</definedName>
    <definedName name="_8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80__FDSAUDITLINK__" localSheetId="5" hidden="1">{"fdsup://Directions/FactSet Auditing Viewer?action=AUDIT_VALUE&amp;DB=129&amp;ID1=25674610&amp;VALUEID=01001&amp;SDATE=200603&amp;PERIODTYPE=QTR_STD&amp;window=popup_no_bar&amp;width=385&amp;height=120&amp;START_MAXIMIZED=FALSE&amp;creator=factset&amp;display_string=Audit"}</definedName>
    <definedName name="_80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localSheetId="5" hidden="1">{"fdsup://Directions/FactSet Auditing Viewer?action=AUDIT_VALUE&amp;DB=129&amp;ID1=25674610&amp;VALUEID=01001&amp;SDATE=200602&amp;PERIODTYPE=QTR_STD&amp;window=popup_no_bar&amp;width=385&amp;height=120&amp;START_MAXIMIZED=FALSE&amp;creator=factset&amp;display_string=Audit"}</definedName>
    <definedName name="_81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localSheetId="5" hidden="1">{"fdsup://Directions/FactSet Auditing Viewer?action=AUDIT_VALUE&amp;DB=129&amp;ID1=25667710&amp;VALUEID=01001&amp;SDATE=200903&amp;PERIODTYPE=QTR_STD&amp;window=popup_no_bar&amp;width=385&amp;height=120&amp;START_MAXIMIZED=FALSE&amp;creator=factset&amp;display_string=Audit"}</definedName>
    <definedName name="_82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localSheetId="5" hidden="1">{"fdsup://Directions/FactSet Auditing Viewer?action=AUDIT_VALUE&amp;DB=129&amp;ID1=25667710&amp;VALUEID=01001&amp;SDATE=200902&amp;PERIODTYPE=QTR_STD&amp;window=popup_no_bar&amp;width=385&amp;height=120&amp;START_MAXIMIZED=FALSE&amp;creator=factset&amp;display_string=Audit"}</definedName>
    <definedName name="_83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localSheetId="5" hidden="1">{"fdsup://Directions/FactSet Auditing Viewer?action=AUDIT_VALUE&amp;DB=129&amp;ID1=25667710&amp;VALUEID=01001&amp;SDATE=200901&amp;PERIODTYPE=QTR_STD&amp;window=popup_no_bar&amp;width=385&amp;height=120&amp;START_MAXIMIZED=FALSE&amp;creator=factset&amp;display_string=Audit"}</definedName>
    <definedName name="_84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localSheetId="5" hidden="1">{"fdsup://Directions/FactSet Auditing Viewer?action=AUDIT_VALUE&amp;DB=129&amp;ID1=25667710&amp;VALUEID=01001&amp;SDATE=200803&amp;PERIODTYPE=QTR_STD&amp;window=popup_no_bar&amp;width=385&amp;height=120&amp;START_MAXIMIZED=FALSE&amp;creator=factset&amp;display_string=Audit"}</definedName>
    <definedName name="_85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localSheetId="5" hidden="1">{"fdsup://Directions/FactSet Auditing Viewer?action=AUDIT_VALUE&amp;DB=129&amp;ID1=25667710&amp;VALUEID=01001&amp;SDATE=200802&amp;PERIODTYPE=QTR_STD&amp;window=popup_no_bar&amp;width=385&amp;height=120&amp;START_MAXIMIZED=FALSE&amp;creator=factset&amp;display_string=Audit"}</definedName>
    <definedName name="_86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localSheetId="5" hidden="1">{"fdsup://Directions/FactSet Auditing Viewer?action=AUDIT_VALUE&amp;DB=129&amp;ID1=25667710&amp;VALUEID=01001&amp;SDATE=200801&amp;PERIODTYPE=QTR_STD&amp;window=popup_no_bar&amp;width=385&amp;height=120&amp;START_MAXIMIZED=FALSE&amp;creator=factset&amp;display_string=Audit"}</definedName>
    <definedName name="_87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localSheetId="5" hidden="1">{"fdsup://Directions/FactSet Auditing Viewer?action=AUDIT_VALUE&amp;DB=129&amp;ID1=25667710&amp;VALUEID=01001&amp;SDATE=200701&amp;PERIODTYPE=QTR_STD&amp;window=popup_no_bar&amp;width=385&amp;height=120&amp;START_MAXIMIZED=FALSE&amp;creator=factset&amp;display_string=Audit"}</definedName>
    <definedName name="_88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localSheetId="5" hidden="1">{"fdsup://Directions/FactSet Auditing Viewer?action=AUDIT_VALUE&amp;DB=129&amp;ID1=25667710&amp;VALUEID=01001&amp;SDATE=200603&amp;PERIODTYPE=QTR_STD&amp;window=popup_no_bar&amp;width=385&amp;height=120&amp;START_MAXIMIZED=FALSE&amp;creator=factset&amp;display_string=Audit"}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localSheetId="5" hidden="1">{"fdsup://Directions/FactSet Auditing Viewer?action=AUDIT_VALUE&amp;DB=129&amp;ID1=55616P10&amp;VALUEID=02001&amp;SDATE=201102&amp;PERIODTYPE=QTR_STD&amp;SCFT=3&amp;window=popup_no_bar&amp;width=385&amp;height=120&amp;START_MAXIMIZED=FALSE&amp;creator=factset&amp;display_string=Audit"}</definedName>
    <definedName name="_9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0__FDSAUDITLINK__" localSheetId="5" hidden="1">{"fdsup://Directions/FactSet Auditing Viewer?action=AUDIT_VALUE&amp;DB=129&amp;ID1=25667710&amp;VALUEID=01001&amp;SDATE=200602&amp;PERIODTYPE=QTR_STD&amp;window=popup_no_bar&amp;width=385&amp;height=120&amp;START_MAXIMIZED=FALSE&amp;creator=factset&amp;display_string=Audit"}</definedName>
    <definedName name="_90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localSheetId="5" hidden="1">{"fdsup://Directions/FactSet Auditing Viewer?action=AUDIT_VALUE&amp;DB=129&amp;ID1=25667710&amp;VALUEID=01001&amp;SDATE=200601&amp;PERIODTYPE=QTR_STD&amp;window=popup_no_bar&amp;width=385&amp;height=120&amp;START_MAXIMIZED=FALSE&amp;creator=factset&amp;display_string=Audit"}</definedName>
    <definedName name="_91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localSheetId="5" hidden="1">{"fdsup://Directions/FactSet Auditing Viewer?action=AUDIT_VALUE&amp;DB=129&amp;ID1=07589610&amp;VALUEID=01001&amp;SDATE=200903&amp;PERIODTYPE=QTR_STD&amp;window=popup_no_bar&amp;width=385&amp;height=120&amp;START_MAXIMIZED=FALSE&amp;creator=factset&amp;display_string=Audit"}</definedName>
    <definedName name="_92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localSheetId="5" hidden="1">{"fdsup://Directions/FactSet Auditing Viewer?action=AUDIT_VALUE&amp;DB=129&amp;ID1=07589610&amp;VALUEID=01001&amp;SDATE=200902&amp;PERIODTYPE=QTR_STD&amp;window=popup_no_bar&amp;width=385&amp;height=120&amp;START_MAXIMIZED=FALSE&amp;creator=factset&amp;display_string=Audit"}</definedName>
    <definedName name="_93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localSheetId="5" hidden="1">{"fdsup://Directions/FactSet Auditing Viewer?action=AUDIT_VALUE&amp;DB=129&amp;ID1=07589610&amp;VALUEID=01001&amp;SDATE=200901&amp;PERIODTYPE=QTR_STD&amp;window=popup_no_bar&amp;width=385&amp;height=120&amp;START_MAXIMIZED=FALSE&amp;creator=factset&amp;display_string=Audit"}</definedName>
    <definedName name="_9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localSheetId="5" hidden="1">{"fdsup://Directions/FactSet Auditing Viewer?action=AUDIT_VALUE&amp;DB=129&amp;ID1=07589610&amp;VALUEID=01001&amp;SDATE=200804&amp;PERIODTYPE=QTR_STD&amp;window=popup_no_bar&amp;width=385&amp;height=120&amp;START_MAXIMIZED=FALSE&amp;creator=factset&amp;display_string=Audit"}</definedName>
    <definedName name="_95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localSheetId="5" hidden="1">{"fdsup://Directions/FactSet Auditing Viewer?action=AUDIT_VALUE&amp;DB=129&amp;ID1=07589610&amp;VALUEID=01001&amp;SDATE=200803&amp;PERIODTYPE=QTR_STD&amp;window=popup_no_bar&amp;width=385&amp;height=120&amp;START_MAXIMIZED=FALSE&amp;creator=factset&amp;display_string=Audit"}</definedName>
    <definedName name="_96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localSheetId="5" hidden="1">{"fdsup://Directions/FactSet Auditing Viewer?action=AUDIT_VALUE&amp;DB=129&amp;ID1=07589610&amp;VALUEID=01001&amp;SDATE=200802&amp;PERIODTYPE=QTR_STD&amp;window=popup_no_bar&amp;width=385&amp;height=120&amp;START_MAXIMIZED=FALSE&amp;creator=factset&amp;display_string=Audit"}</definedName>
    <definedName name="_97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localSheetId="5" hidden="1">{"fdsup://Directions/FactSet Auditing Viewer?action=AUDIT_VALUE&amp;DB=129&amp;ID1=07589610&amp;VALUEID=01001&amp;SDATE=200801&amp;PERIODTYPE=QTR_STD&amp;window=popup_no_bar&amp;width=385&amp;height=120&amp;START_MAXIMIZED=FALSE&amp;creator=factset&amp;display_string=Audit"}</definedName>
    <definedName name="_98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localSheetId="5" hidden="1">{"fdsup://Directions/FactSet Auditing Viewer?action=AUDIT_VALUE&amp;DB=129&amp;ID1=07589610&amp;VALUEID=01001&amp;SDATE=200703&amp;PERIODTYPE=QTR_STD&amp;window=popup_no_bar&amp;width=385&amp;height=120&amp;START_MAXIMIZED=FALSE&amp;creator=factset&amp;display_string=Audit"}</definedName>
    <definedName name="_99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02C63217D7EE457685A123065E169AA5.edm" localSheetId="15" hidden="1">flow!$A$8:$AV$62</definedName>
    <definedName name="_bdm.02E29E7B1053433EA3CCCBE4E5141596.edm" hidden="1">[3]Sheet1!$A:$IV</definedName>
    <definedName name="_bdm.048615F701714F7F833E4C52BD0A9DCF.edm" hidden="1">bal!$1:$1048576</definedName>
    <definedName name="_bdm.0A2F11DA94EF47F4ADD86D073DA8EE13.edm" hidden="1">'[4]LTD Variance Chart Data'!$A:$IV</definedName>
    <definedName name="_bdm.186193C0C6844AB18E99154BE239556B.edm" hidden="1" xml:space="preserve">                  '[5]Scenario Inputs'!$A:$IV</definedName>
    <definedName name="_bdm.1D8CE2C45CB1434C98B4307C73C41BB3.edm" hidden="1" xml:space="preserve">                  '[5]Scenario Inputs'!$A:$IV</definedName>
    <definedName name="_bdm.1DF4B3E45DCE4C2A9D635C38C907064B.edm" hidden="1">[5]LIZ!$A:$IV</definedName>
    <definedName name="_bdm.239033D1CBDF4B34B065E13D4FA9D589.edm" hidden="1">'[4]COH Variance Chart Data'!$A:$IV</definedName>
    <definedName name="_bdm.240E5CC7D1A3433BA930B1D7FED87980.edm" hidden="1" xml:space="preserve">                    '[5]Scenario Inputs'!$A:$IV</definedName>
    <definedName name="_bdm.261112BAE8204F8280374C78A1E02552.edm" hidden="1" xml:space="preserve"> [6]C1000!$A:$IV</definedName>
    <definedName name="_bdm.267FB0CEE13C4BA89FBB4CC7CA07E15A.edm" localSheetId="4" hidden="1">sumry!$A$6:$DL$55</definedName>
    <definedName name="_bdm.297446E2985E45DCA44E1E58B339ED35.edm" hidden="1" xml:space="preserve">                                    '[5]Scenario Inputs'!$A:$IV</definedName>
    <definedName name="_bdm.2DDFFB15C42A449AADB01F909D897844.edm" hidden="1" xml:space="preserve">                                    '[5]Scenario Inputs'!$A:$IV</definedName>
    <definedName name="_bdm.34B6E46402CB423B866EE1B877DAF1C5.edm" hidden="1">sumry!$1:$1048576</definedName>
    <definedName name="_bdm.36700029454B46269809EAC509E70B0B.edm" hidden="1" xml:space="preserve">                                    '[5]Scenario Inputs'!$A:$IV</definedName>
    <definedName name="_bdm.38FC3AFFD8DF49F6B1CB73376921CBB3.edm" hidden="1">'[7]Coverage Universe Comp'!$A:$IV</definedName>
    <definedName name="_bdm.4176AC4C677F4FBC8C99A951BC121C6E.edm" hidden="1" xml:space="preserve">                                    '[5]Scenario Inputs'!$A:$IV</definedName>
    <definedName name="_bdm.42F67CCC3C1C45638B5EC98256E90947.edm" hidden="1">'[8]Good 12-00 (2)'!$A:$IV</definedName>
    <definedName name="_bdm.43FA48142E7E4CED84E86C6CCE4A15D5.edm" hidden="1">'[4]M Variance Chart Data'!$A:$IV</definedName>
    <definedName name="_bdm.46D56600DB7840728F138544F8E425DB.edm" hidden="1">'[8]Good 11-36'!$A:$IV</definedName>
    <definedName name="_bdm.5B6A33C7513D4906BBD23CE4D50DA34E.edm" localSheetId="4" hidden="1">sumry!$A$7:$DL$55</definedName>
    <definedName name="_bdm.5F55189316304861B1E09137E617846B.edm" hidden="1" xml:space="preserve">                  '[5]Scenario Inputs'!$A:$IV</definedName>
    <definedName name="_bdm.60A1016E4A5045B0B4BE42FB21AAF6D6.edm" hidden="1">'[8]Good 11-50'!$A:$IV</definedName>
    <definedName name="_bdm.685861E5DD95404DA87C45B834B7A119.edm" localSheetId="14" hidden="1">bal!$A$5:$AW$53</definedName>
    <definedName name="_bdm.7087D4AB48F64E19BD2C8BDFB7209C3F.edm" hidden="1" xml:space="preserve">                  '[5]Scenario Inputs'!$A:$IV</definedName>
    <definedName name="_bdm.72D868114C7B455FB2DD8E1894509A24.edm" hidden="1" xml:space="preserve">                  '[5]Scenario Inputs'!$A:$IV</definedName>
    <definedName name="_bdm.778080B393364632B144C0AF3B6439CD.edm" localSheetId="14" hidden="1">bal!$A$6:$AW$52</definedName>
    <definedName name="_bdm.817AD95774B343A99CB4A577A4F70CBE.edm" hidden="1">flow!$1:$1048576</definedName>
    <definedName name="_bdm.8222873F463F4C3E80ED62D171DB2B51.edm" localSheetId="15" hidden="1">flow!$A$7:$AV$60</definedName>
    <definedName name="_bdm.828EF922B3BF49D5A4BB507669E667E8.edm" hidden="1">'[5]UA Drivers'!$IV$1</definedName>
    <definedName name="_bdm.84245E63505C4AFEAADE86E343E612C8.edm" hidden="1">'[7]Earnings Snapshot'!$A:$IV</definedName>
    <definedName name="_bdm.88BE57C8E16441C3844ACB2DCE4DA074.edm" hidden="1" xml:space="preserve">                  '[5]Scenario Inputs'!$A:$IV</definedName>
    <definedName name="_bdm.8A9E2128FF5D4A3A8C2EFBA3110EBD06.edm" localSheetId="4" hidden="1">sumry!$A$7:$DL$56</definedName>
    <definedName name="_bdm.96DFB45144234BDFB5847031F2D1F5D3.edm" localSheetId="14" hidden="1">bal!$A$6:$AW$53</definedName>
    <definedName name="_bdm.995466707AEE42EF8F2D87C31C8B19A4.edm" localSheetId="4" hidden="1">sumry!$A$7:$DL$54</definedName>
    <definedName name="_bdm.9A0F9A3877A9479AB7B77DDF59A937D6.edm" hidden="1" xml:space="preserve">                  '[5]Scenario Inputs'!$A:$IV</definedName>
    <definedName name="_bdm.9EA75E1986304EE5A17237D5BE7582F4.edm" localSheetId="15" hidden="1">flow!$A$7:$AV$66</definedName>
    <definedName name="_bdm.9EB8FE0446E347D4B59325F189FA9F31.edm" hidden="1" xml:space="preserve">                  '[5]Scenario Inputs'!$A:$IV</definedName>
    <definedName name="_bdm.A032C58306EE41D795E029CB3819274E.edm" localSheetId="4" hidden="1">sumry!$A$7:$DL$72</definedName>
    <definedName name="_bdm.A2D0F3FA285649B7BDDF87BD9C153DE1.edm" hidden="1" xml:space="preserve">                                    '[5]Scenario Inputs'!$A:$IV</definedName>
    <definedName name="_bdm.A339904D6D0347AA9B2B187BC3316370.edm" hidden="1">[9]JWN!$A:$IV</definedName>
    <definedName name="_bdm.A772A7E12EE949A2B2ED88CF7248DD14.edm" hidden="1" xml:space="preserve">                                    '[5]Scenario Inputs'!$A:$IV</definedName>
    <definedName name="_bdm.AF41298052B5438BB5863CF33374793F.edm" hidden="1">[9]JCP!$A:$IV</definedName>
    <definedName name="_bdm.B232A23EC303428E9F3B15E3162F750B.edm" hidden="1">[4]Tables!$A:$IV</definedName>
    <definedName name="_bdm.B584C5E64A5D426DAADBF62530F3550A.edm" localSheetId="15" hidden="1">flow!$A$7:$AV$63</definedName>
    <definedName name="_bdm.B8E7F8D146B34C039CAD519CB46A2D63.edm" hidden="1" xml:space="preserve">                                    '[5]Scenario Inputs'!$A:$IV</definedName>
    <definedName name="_bdm.BA22D4AB60D64ADEBEC5DB94E418D92F.edm" localSheetId="4" hidden="1">sumry!$A$5:$DL$54</definedName>
    <definedName name="_bdm.C7C6FBA36F39444B8BCEC128D5B7F931.edm" hidden="1">'[8]Sheet3 (5)'!$A:$IV</definedName>
    <definedName name="_bdm.D49DCDB7FF224CB1BC63C5534A11A85A.edm" hidden="1" xml:space="preserve">                  '[5]Scenario Inputs'!$A:$IV</definedName>
    <definedName name="_bdm.E0B0E8A77D684FB58AA9469766A75613.edm" hidden="1">'[7]Relative Risk Reward Chart'!$A:$IV</definedName>
    <definedName name="_bdm.E12FB90E97504D9FB610451A2A55636E.edm" hidden="1">'[7]For 2010 Report - misc calc'!$A:$IV</definedName>
    <definedName name="_bdm.EAD1FD3B1C5B4B008EDB79939D83C388.edm" hidden="1" xml:space="preserve">                  '[5]Scenario Inputs'!$A:$IV</definedName>
    <definedName name="_bdm.EF325A886A3842DD8CC90984D4D28C9C.edm" hidden="1">[10]Bear_to_Bull_Data!$A:$IV</definedName>
    <definedName name="_bdm.F30073110F694A8597AF2E62515D28EF.edm" hidden="1">[10]Value_of_Growth_Data!$A:$IV</definedName>
    <definedName name="_bdm.FB89892EBDAE4620819709C7B13FFB90.edm" hidden="1">'[10]Comparative_Risk-Reward_Data'!$A:$IV</definedName>
    <definedName name="_bdm.FC5CA615F4824D84868898D9DFAE1BAC.edm" hidden="1" xml:space="preserve">                  '[5]Scenario Inputs'!$A:$IV</definedName>
    <definedName name="_bdm.FE2CE930D155417CB1C4D24A021793F8.edm" hidden="1">'[4]TJX Variance Chart Data'!$A:$IV</definedName>
    <definedName name="_Order1" hidden="1">255</definedName>
    <definedName name="a">{"Client Name or Project Name"}</definedName>
    <definedName name="AAB_GSPPG" hidden="1">"AAB_Goldman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6">OFFSET(Date_Range,0,1,,1)</definedName>
    <definedName name="Act_Price" localSheetId="5">OFFSET(Date_Range,0,1,,1)</definedName>
    <definedName name="Act_Price" localSheetId="8">OFFSET(Date_Range,0,1,,1)</definedName>
    <definedName name="Act_Price">OFFSET(Date_Range,0,1,,1)</definedName>
    <definedName name="AdditionalInstructions">IndexInformation!$B$42</definedName>
    <definedName name="Address" localSheetId="2">ImportantDisclosures!$A$2:$A$2</definedName>
    <definedName name="ANA" localSheetId="19">ModPubIndex!$A$7</definedName>
    <definedName name="ann_is_short">[11]Income!$C$1:$H$105</definedName>
    <definedName name="anscount" hidden="1">1</definedName>
    <definedName name="Authors" localSheetId="2">ImportantDisclosures!$A$7</definedName>
    <definedName name="Authors" localSheetId="18">IndexInformation!$B$18</definedName>
    <definedName name="Avg">"Avg"</definedName>
    <definedName name="BRO" localSheetId="19">ModPubIndex!$A$1</definedName>
    <definedName name="check" localSheetId="16">'MWA Lease'!$H$190:$P$190</definedName>
    <definedName name="comps_1">[11]Income!$A$119:$IV$119</definedName>
    <definedName name="comps_2">[11]Income!$A$120:$IV$120</definedName>
    <definedName name="comps_3">[11]Income!$A$121:$IV$121</definedName>
    <definedName name="CopyrightStamp">ImportantDisclosures!$A$27</definedName>
    <definedName name="COU" localSheetId="19">ModPubIndex!$A$5</definedName>
    <definedName name="CQEnd" localSheetId="18">IndexInformation!$B$31</definedName>
    <definedName name="Currency" localSheetId="18">IndexInformation!$B$24</definedName>
    <definedName name="CurrentStockPrice" localSheetId="18">IndexInformation!$B$23</definedName>
    <definedName name="CurrQtrEPS" localSheetId="18">IndexInformation!$B$29</definedName>
    <definedName name="CurrYearEPS" localSheetId="18">IndexInformation!$B$11</definedName>
    <definedName name="CurrYearTotalRevenue" localSheetId="18">IndexInformation!$B$10</definedName>
    <definedName name="CurrYearTotalRevenueActual" localSheetId="18">IndexInformation!$B$32</definedName>
    <definedName name="CUSIP" localSheetId="18">IndexInformation!$B$20</definedName>
    <definedName name="CYEnd" localSheetId="18">IndexInformation!$B$30</definedName>
    <definedName name="d">'[12]LEASES NEW'!$A$19</definedName>
    <definedName name="dataseries_minus_space_2">OFFSET([5]LIZ!$AE$31,0,0,COUNTA([5]LIZ!$AE$31:$AE$37)+1,1)</definedName>
    <definedName name="dataseries4">OFFSET([13]c1!$G$12,0,0,COUNTA([13]c1!$G$12:$G$31),1)</definedName>
    <definedName name="Date" localSheetId="2">ImportantDisclosures!$A$8</definedName>
    <definedName name="Deleted" localSheetId="18">IndexInformation!$B$27</definedName>
    <definedName name="Description" localSheetId="18">IndexInformation!$B$7</definedName>
    <definedName name="DEVELOPMENT">5</definedName>
    <definedName name="Discipline" localSheetId="18">IndexInformation!$B$3</definedName>
    <definedName name="DISCIPLINE" localSheetId="19">ModPubIndex!$A$12</definedName>
    <definedName name="DisclosuresText">ImportantDisclosures!$A$22</definedName>
    <definedName name="Distribution" localSheetId="18">IndexInformation!$B$26</definedName>
    <definedName name="DistTable" localSheetId="2">ImportantDisclosures!#REF!</definedName>
    <definedName name="DistTablePreamble" localSheetId="2">ImportantDisclosures!#REF!</definedName>
    <definedName name="Djzh15" xlm="1" functionGroupId="14">0</definedName>
    <definedName name="Djzh16" xlm="1" functionGroupId="14">0</definedName>
    <definedName name="DOCDAT" localSheetId="19">ModPubIndex!$A$2</definedName>
    <definedName name="DOCTIME" localSheetId="19">ModPubIndex!$A$3</definedName>
    <definedName name="DocType" localSheetId="18">IndexInformation!$B$5</definedName>
    <definedName name="Download_series" localSheetId="6">[14]!Download_series</definedName>
    <definedName name="Download_series" localSheetId="8">[14]!Download_series</definedName>
    <definedName name="Download_series">[14]!Download_series</definedName>
    <definedName name="e">[11]Income!$EP$106</definedName>
    <definedName name="EMAIL_ALERT" localSheetId="19">ModPubIndex!$A$10</definedName>
    <definedName name="EmailAlert" localSheetId="18">IndexInformation!$B$28</definedName>
    <definedName name="ExpandModel">[0]!ExpandModel</definedName>
    <definedName name="ExpandOutputs">[0]!ExpandOutputs</definedName>
    <definedName name="ExpandVPeriods">[0]!ExpandVPeriods</definedName>
    <definedName name="ExportFile">[0]!ExportFile</definedName>
    <definedName name="ｆ" hidden="1">"iQShowAnnual"</definedName>
    <definedName name="FINCopyDirection">1</definedName>
    <definedName name="FINCriteriaType">1</definedName>
    <definedName name="FiveYearGrowthRate" localSheetId="18">IndexInformation!$B$16</definedName>
    <definedName name="FollowingYearEPS" localSheetId="18">IndexInformation!$B$15</definedName>
    <definedName name="FollowingYearTotalRevenue" localSheetId="18">IndexInformation!$B$14</definedName>
    <definedName name="FollowingYearTotalRevenueActual" localSheetId="18">IndexInformation!$B$34</definedName>
    <definedName name="Growth_ROIC" localSheetId="16">OFFSET([0]!XRange,10,0)</definedName>
    <definedName name="HL" localSheetId="19">ModPubIndex!$A$8</definedName>
    <definedName name="ImportFile">[0]!ImportFile</definedName>
    <definedName name="income">[11]Income!$A:$IV</definedName>
    <definedName name="IND" localSheetId="19">ModPubIndex!$A$9</definedName>
    <definedName name="Industry" localSheetId="2">ImportantDisclosures!$A$12</definedName>
    <definedName name="IndustryId">IndexInformation!$B$40</definedName>
    <definedName name="IndustryRating" localSheetId="2">ImportantDisclosures!$A$13</definedName>
    <definedName name="InvestCapGrowth" localSheetId="16">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localSheetId="16" hidden="1">"c3460"</definedName>
    <definedName name="IQ_CAPITALIZED_INTEREST" hidden="1">"c2076"</definedName>
    <definedName name="IQ_CAPITALIZED_INTEREST_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ACQUIRE_CF_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UTSTANDING_FILING_DATE_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localSheetId="16" hidden="1">"c2895"</definedName>
    <definedName name="IQ_RETAIL_ACQUIRED_FRANCHISE_STORES" hidden="1">"c2903"</definedName>
    <definedName name="IQ_RETAIL_ACQUIRED_FRANCHISE_STORES_1">"c2903"</definedName>
    <definedName name="IQ_RETAIL_ACQUIRED_OWNED_STORES" localSheetId="16" hidden="1">"c2903"</definedName>
    <definedName name="IQ_RETAIL_ACQUIRED_OWNED_STORES" hidden="1">"c2895"</definedName>
    <definedName name="IQ_RETAIL_ACQUIRED_OWNED_STORES_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16" hidden="1">39489.6256597222</definedName>
    <definedName name="IQ_REVISION_DATE_" hidden="1">39244.4711574074</definedName>
    <definedName name="IQ_REVISION_DATE__1">39244.4711574074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18">IndexInformation!$B$8</definedName>
    <definedName name="LanguageCode">IndexInformation!$B$38</definedName>
    <definedName name="LastCell" localSheetId="2">ImportantDisclosures!$A$22</definedName>
    <definedName name="Linking_10">flow!$A$7:$BN$60</definedName>
    <definedName name="Linking_11">sumry!$A$7:$DT$54</definedName>
    <definedName name="Linking_12">bal!$A$6:$BQ$52</definedName>
    <definedName name="Linking_13">flow!$A$7:$BP$60</definedName>
    <definedName name="Linking_3">sumry!$A$7:$DS$54</definedName>
    <definedName name="Linking_4">flow!$A$7:$BJ$60</definedName>
    <definedName name="Linking_7">bal!$A$1:$BK$52</definedName>
    <definedName name="Linking_8">flow!$A$1:$BK$60</definedName>
    <definedName name="Linking_9">bal!$A$6:$BO$52</definedName>
    <definedName name="Linking_Range_1">sumry!$A$7:$DL$55</definedName>
    <definedName name="Linking_Range_10">bal!$A$6:$BA$52</definedName>
    <definedName name="Linking_Range_11">flow!$A$8:$AZ$60</definedName>
    <definedName name="Linking_Range_12">sumry!$A$7:$DP$54</definedName>
    <definedName name="Linking_Range_13">bal!$A$6:$BB$58</definedName>
    <definedName name="Linking_Range_14">flow!$A$7:$BA$70</definedName>
    <definedName name="Linking_Range_15">sumry!$A$7:$DP$70</definedName>
    <definedName name="Linking_Range_16">'yrP&amp;L'!$A$4:$AM$55</definedName>
    <definedName name="Linking_Range_17">bal!$A$6:$BI$53</definedName>
    <definedName name="Linking_Range_18">flow!$A$7:$BH$63</definedName>
    <definedName name="Linking_Range_19">sumry!$A$6:$DP$54</definedName>
    <definedName name="Linking_Range_2">bal!$A$6:$AW$53</definedName>
    <definedName name="Linking_Range_20">flow!$A$7:$BH$62</definedName>
    <definedName name="Linking_Range_21">bal!$A$6:$BI$52</definedName>
    <definedName name="Linking_Range_22">flow!$A$8:$BH$62</definedName>
    <definedName name="Linking_Range_23">bal!$A$6:$BI$55</definedName>
    <definedName name="Linking_Range_24">'qtrP&amp;L'!$BZ$6:$CZ$84</definedName>
    <definedName name="Linking_Range_25">'qtrP&amp;L'!$A$6:$CZ$164</definedName>
    <definedName name="Linking_Range_26">'yrP&amp;L'!$A$4:$AM$54</definedName>
    <definedName name="Linking_Range_3">flow!$A$8:$AV$62</definedName>
    <definedName name="Linking_Range_31">sumry!$A$7:$DQ$71</definedName>
    <definedName name="Linking_Range_32">'qtrP&amp;L'!$A$6:$DD$81</definedName>
    <definedName name="Linking_Range_33">'qtrP&amp;L'!$A$6:$DD$155</definedName>
    <definedName name="Linking_Range_34">'qtrP&amp;L'!$A$6:$DD$154</definedName>
    <definedName name="Linking_Range_36">sumry!$A$7:$DR$54</definedName>
    <definedName name="Linking_Range_37">bal!$A$6:$BK$52</definedName>
    <definedName name="Linking_Range_38">flow!$A$8:$BJ$60</definedName>
    <definedName name="Linking_Range_4">sumry!$A$7:$DM$55</definedName>
    <definedName name="Linking_Range_5">bal!$A$6:$AY$53</definedName>
    <definedName name="Linking_Range_6">flow!$A$8:$AX$62</definedName>
    <definedName name="Linking_Range_7">sumry!$A$7:$DN$54</definedName>
    <definedName name="Linking_Range_8">bal!$A$6:$BG$52</definedName>
    <definedName name="Linking_Range_9">flow!$A$7:$BF$62</definedName>
    <definedName name="lookup_period">[11]Income!$A$1:$IV$1</definedName>
    <definedName name="MacroVersion" localSheetId="18">IndexInformation!$B$1</definedName>
    <definedName name="me">"Button 5"</definedName>
    <definedName name="ModelPrice" localSheetId="2">ImportantDisclosures!$A$14</definedName>
    <definedName name="MtCap">10000000000</definedName>
    <definedName name="Multiplier" localSheetId="18">IndexInformation!$B$35</definedName>
    <definedName name="NextYearEPS" localSheetId="18">IndexInformation!$B$13</definedName>
    <definedName name="NextYearTotalRevenue" localSheetId="18">IndexInformation!$B$12</definedName>
    <definedName name="NextYearTotalRevenueActual" localSheetId="18">IndexInformation!$B$33</definedName>
    <definedName name="NVCURR">[15]I!$B$1:$U$51</definedName>
    <definedName name="ObjectType">IndexInformation!$B$37</definedName>
    <definedName name="OpMargin" localSheetId="16">OFFSET([0]!XRange2,5,0)</definedName>
    <definedName name="PANA" localSheetId="19">ModPubIndex!$A$11</definedName>
    <definedName name="PathName" localSheetId="18">IndexInformation!$B$25</definedName>
    <definedName name="Phase1NPVFCF" localSheetId="16">OFFSET([0]!XRange,39,0)</definedName>
    <definedName name="Phase2NPVFCF" localSheetId="16">OFFSET([0]!XRange,40,0)</definedName>
    <definedName name="Phase3NPVFCF" localSheetId="16">OFFSET([0]!XRange,41,0)</definedName>
    <definedName name="_xlnm.Print_Area" localSheetId="14">bal!$A$1:$AY$58</definedName>
    <definedName name="_xlnm.Print_Area" localSheetId="15">flow!$A$1:$AX$70</definedName>
    <definedName name="_xlnm.Print_Area" localSheetId="7">'qtrP&amp;L'!$A$6:$DH$215</definedName>
    <definedName name="_xlnm.Print_Area" localSheetId="6">qtrSales!$A$5:$AQ$214</definedName>
    <definedName name="_xlnm.Print_Area" localSheetId="5">segQtrSales!$A$12:$AR$572</definedName>
    <definedName name="_xlnm.Print_Area" localSheetId="4">sumry!$A$7:$DR$70</definedName>
    <definedName name="_xlnm.Print_Area" localSheetId="11">turn!$A$1:$AG$218</definedName>
    <definedName name="_xlnm.Print_Area" localSheetId="13">work!$A$2:$CJ$48</definedName>
    <definedName name="_xlnm.Print_Area" localSheetId="9">'yrP&amp;L'!$A$1:$AM$58</definedName>
    <definedName name="_xlnm.Print_Area" localSheetId="8">yrSales!$A$1:$AM$153</definedName>
    <definedName name="_xlnm.Print_Area">#REF!</definedName>
    <definedName name="_xlnm.Print_Titles" localSheetId="14">bal!$1:$6</definedName>
    <definedName name="_xlnm.Print_Titles" localSheetId="7">'qtrP&amp;L'!$A:$C,'qtrP&amp;L'!$1:$6</definedName>
    <definedName name="_xlnm.Print_Titles" localSheetId="6">qtrSales!$5:$10</definedName>
    <definedName name="_xlnm.Print_Titles">#REF!</definedName>
    <definedName name="PRODUCT" localSheetId="19">ModPubIndex!$A$6</definedName>
    <definedName name="ProImportExport.ImportFile">[0]!ProImportExport.ImportFile</definedName>
    <definedName name="ProImportExport.SaveNewFile">[0]!ProImportExport.SaveNewFile</definedName>
    <definedName name="ProjectName" localSheetId="5">{"Client Name or Project Name"}</definedName>
    <definedName name="ProjectName">{"Client Name or Project Name"}</definedName>
    <definedName name="ProjectName_1">{"Client Name or Project Name"}</definedName>
    <definedName name="PSYM" localSheetId="19">ModPubIndex!$A$4</definedName>
    <definedName name="PublishDate" localSheetId="18">IndexInformation!$B$2</definedName>
    <definedName name="qtr_store_model">[11]Income!$BQ$103:$CB$171</definedName>
    <definedName name="Rating" localSheetId="18">IndexInformation!$B$9</definedName>
    <definedName name="RatingsDefined" localSheetId="2">ImportantDisclosures!$A$21</definedName>
    <definedName name="RatingsDefs" localSheetId="2">ImportantDisclosures!#REF!</definedName>
    <definedName name="RegACDisclosure" localSheetId="2">ImportantDisclosures!#REF!</definedName>
    <definedName name="Rel_Forw" localSheetId="6">OFFSET(Date_Range,0,10,,1)</definedName>
    <definedName name="Rel_Forw" localSheetId="5">OFFSET(Date_Range,0,10,,1)</definedName>
    <definedName name="Rel_Forw" localSheetId="8">OFFSET(Date_Range,0,10,,1)</definedName>
    <definedName name="Rel_Forw">OFFSET(Date_Range,0,10,,1)</definedName>
    <definedName name="Rem_Bus_ROIC" localSheetId="16">OFFSET([0]!XRange,11,0)</definedName>
    <definedName name="RepairedName0359" hidden="1">"iQShowAnnual"</definedName>
    <definedName name="ResearchTopic" localSheetId="18">IndexInformation!$B$4</definedName>
    <definedName name="RIC" localSheetId="18">IndexInformation!$B$21</definedName>
    <definedName name="rngAppName" localSheetId="16">'MWA Lease'!$A$1</definedName>
    <definedName name="rngCompany" localSheetId="16">'MWA Lease'!$F$6</definedName>
    <definedName name="rngTicker" localSheetId="16">'MWA Lease'!$I$3</definedName>
    <definedName name="RNOA_Print">#N/A</definedName>
    <definedName name="s">{"Client Name or Project Name"}</definedName>
    <definedName name="sales_1">[11]Income!$A$113:$IV$113</definedName>
    <definedName name="sales_2">[11]Income!$A$114:$IV$114</definedName>
    <definedName name="sales_3">[11]Income!$A$115:$IV$115</definedName>
    <definedName name="SaveNewFile">[0]!SaveNewFile</definedName>
    <definedName name="SECSettlement" localSheetId="2">ImportantDisclosures!#REF!</definedName>
    <definedName name="SEDOL" localSheetId="18">IndexInformation!$B$22</definedName>
    <definedName name="SedolTicker" localSheetId="16">'MWA Lease'!$F$4</definedName>
    <definedName name="SourceDefined" localSheetId="2">ImportantDisclosures!$A$19</definedName>
    <definedName name="Sp">"       "</definedName>
    <definedName name="StockRating" localSheetId="2">ImportantDisclosures!$A$11</definedName>
    <definedName name="SubjectCode" localSheetId="18">IndexInformation!$B$6</definedName>
    <definedName name="SubmitterUserId">IndexInformation!$B$39</definedName>
    <definedName name="SUPPRESSED" localSheetId="19">ModPubIndex!$A$13</definedName>
    <definedName name="TargetPrice" localSheetId="2">ImportantDisclosures!$A$15</definedName>
    <definedName name="TemplateRegion">IndexInformation!$B$36</definedName>
    <definedName name="Ticker" localSheetId="2">ImportantDisclosures!$A$10</definedName>
    <definedName name="TickerRegion">IndexInformation!$B$41</definedName>
    <definedName name="Tickers" localSheetId="18">IndexInformation!$B$19</definedName>
    <definedName name="Total_Bus_ROIC" localSheetId="16">OFFSET([0]!XRange,12,0)</definedName>
    <definedName name="Update_This" localSheetId="6">[14]!Update_This</definedName>
    <definedName name="Update_This" localSheetId="8">[14]!Update_This</definedName>
    <definedName name="Update_This">[14]!Update_This</definedName>
    <definedName name="UpdateReason" localSheetId="18">IndexInformation!$B$17</definedName>
    <definedName name="USRegDisclosures" localSheetId="2">ImportantDisclosures!#REF!</definedName>
    <definedName name="Version">"June 29, 2004"</definedName>
    <definedName name="WACC" localSheetId="16">OFFSET([0]!XRange,13,0)</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xaxislabels">OFFSET([5]LIZ!$AD$31,0,0,COUNTA([5]LIZ!$AD$31:$AD$37)+1,1)</definedName>
  </definedNames>
  <calcPr calcId="145621"/>
</workbook>
</file>

<file path=xl/calcChain.xml><?xml version="1.0" encoding="utf-8"?>
<calcChain xmlns="http://schemas.openxmlformats.org/spreadsheetml/2006/main">
  <c r="B200" i="128" l="1"/>
  <c r="AD22" i="20"/>
  <c r="AC15" i="20" l="1"/>
  <c r="AC14" i="20"/>
  <c r="C34" i="122" l="1"/>
  <c r="BF22" i="22" l="1"/>
  <c r="BF15" i="22"/>
  <c r="BI44" i="17"/>
  <c r="BI45" i="17"/>
  <c r="DO202" i="29" l="1"/>
  <c r="BH55" i="22" l="1"/>
  <c r="R36" i="97" l="1"/>
  <c r="Q36" i="97"/>
  <c r="AU212" i="128" l="1"/>
  <c r="AU209" i="128"/>
  <c r="AU210" i="128"/>
  <c r="AU211" i="128"/>
  <c r="AU208" i="128"/>
  <c r="O83" i="97" l="1"/>
  <c r="P83" i="97" s="1"/>
  <c r="N83" i="97"/>
  <c r="O42" i="97"/>
  <c r="P42" i="97" s="1"/>
  <c r="N3" i="97"/>
  <c r="O3" i="97" s="1"/>
  <c r="P3" i="97" s="1"/>
  <c r="AD54" i="20" l="1"/>
  <c r="AC54" i="20"/>
  <c r="AC21" i="20"/>
  <c r="AC42" i="20"/>
  <c r="AD36" i="20"/>
  <c r="AC36" i="20"/>
  <c r="AC10" i="20"/>
  <c r="H570" i="127"/>
  <c r="H567" i="127"/>
  <c r="H198" i="127"/>
  <c r="H195" i="127"/>
  <c r="DJ119" i="29" l="1"/>
  <c r="DJ100" i="29"/>
  <c r="DJ110" i="29"/>
  <c r="P191" i="127"/>
  <c r="H191" i="127"/>
  <c r="D191" i="127"/>
  <c r="P398" i="127"/>
  <c r="H398" i="127"/>
  <c r="D398" i="127"/>
  <c r="D563" i="127"/>
  <c r="BE36" i="118"/>
  <c r="BE37" i="118"/>
  <c r="BE38" i="118"/>
  <c r="BE31" i="118"/>
  <c r="BE33" i="118"/>
  <c r="BE26" i="118"/>
  <c r="BE27" i="118"/>
  <c r="BE28" i="118"/>
  <c r="BE18" i="118"/>
  <c r="BE21" i="118" s="1"/>
  <c r="BE19" i="118"/>
  <c r="BE20" i="118"/>
  <c r="BE10" i="118"/>
  <c r="BE13" i="118" s="1"/>
  <c r="BE11" i="118"/>
  <c r="BE12" i="118"/>
  <c r="BE3" i="118"/>
  <c r="BE6" i="118" s="1"/>
  <c r="BE4" i="118"/>
  <c r="BE5" i="118"/>
  <c r="BE142" i="118"/>
  <c r="BE145" i="118" s="1"/>
  <c r="BE148" i="118"/>
  <c r="BE187" i="118" s="1"/>
  <c r="BE149" i="118"/>
  <c r="BE189" i="118"/>
  <c r="BE182" i="118"/>
  <c r="BE183" i="118"/>
  <c r="BE178" i="118"/>
  <c r="BE175" i="118"/>
  <c r="BE126" i="118"/>
  <c r="BE127" i="118"/>
  <c r="BE120" i="118"/>
  <c r="BE123" i="118" s="1"/>
  <c r="BE115" i="118"/>
  <c r="BE116" i="118"/>
  <c r="BE112" i="118"/>
  <c r="BE109" i="118"/>
  <c r="BE104" i="118"/>
  <c r="BE105" i="118"/>
  <c r="BE101" i="118"/>
  <c r="BE98" i="118"/>
  <c r="BE93" i="118"/>
  <c r="BE94" i="118" s="1"/>
  <c r="BE87" i="118"/>
  <c r="BE90" i="118" s="1"/>
  <c r="S204" i="128"/>
  <c r="BE82" i="118"/>
  <c r="BE83" i="118"/>
  <c r="BE32" i="118" s="1"/>
  <c r="BE76" i="118"/>
  <c r="BE79" i="118"/>
  <c r="BE75" i="118"/>
  <c r="BE86" i="118" s="1"/>
  <c r="BE92" i="118" s="1"/>
  <c r="BE108" i="118" s="1"/>
  <c r="BE71" i="118"/>
  <c r="BE72" i="118"/>
  <c r="BE70" i="118"/>
  <c r="BE68" i="118"/>
  <c r="BE65" i="118"/>
  <c r="BE64" i="118"/>
  <c r="BE61" i="118"/>
  <c r="BE60" i="118"/>
  <c r="BE59" i="118"/>
  <c r="BE54" i="118"/>
  <c r="BE57" i="118"/>
  <c r="BE53" i="118"/>
  <c r="BE49" i="118"/>
  <c r="BE50" i="118" s="1"/>
  <c r="BE48" i="118"/>
  <c r="BE46" i="118"/>
  <c r="BE43" i="118"/>
  <c r="BF51" i="22"/>
  <c r="DF43" i="34"/>
  <c r="DF37" i="34"/>
  <c r="DG37" i="34" s="1"/>
  <c r="DH37" i="34"/>
  <c r="DG31" i="34"/>
  <c r="DH31" i="34"/>
  <c r="DF31" i="34"/>
  <c r="DG25" i="34"/>
  <c r="DH25" i="34"/>
  <c r="DG19" i="34"/>
  <c r="DH19" i="34"/>
  <c r="DG13" i="34"/>
  <c r="DH13" i="34"/>
  <c r="BF60" i="36"/>
  <c r="BF54" i="36"/>
  <c r="BF48" i="36"/>
  <c r="BF36" i="36"/>
  <c r="BF30" i="36"/>
  <c r="BF8" i="22"/>
  <c r="BG6" i="17"/>
  <c r="DK100" i="29"/>
  <c r="DK33" i="29"/>
  <c r="DK23" i="29"/>
  <c r="BE81" i="118" l="1"/>
  <c r="BE119" i="118"/>
  <c r="BE114" i="118"/>
  <c r="BE97" i="118"/>
  <c r="BE103" i="118" s="1"/>
  <c r="BE181" i="118"/>
  <c r="D13" i="122"/>
  <c r="E13" i="122"/>
  <c r="F13" i="122"/>
  <c r="G13" i="122"/>
  <c r="C17" i="122"/>
  <c r="G15" i="122"/>
  <c r="F15" i="122"/>
  <c r="E15" i="122"/>
  <c r="D15" i="122"/>
  <c r="C15" i="122"/>
  <c r="C13" i="122"/>
  <c r="P92" i="97"/>
  <c r="P51" i="97"/>
  <c r="BE141" i="118" l="1"/>
  <c r="BE147" i="118"/>
  <c r="BE125" i="118"/>
  <c r="H542" i="127"/>
  <c r="H174" i="127"/>
  <c r="H175" i="127"/>
  <c r="H176" i="127"/>
  <c r="H177" i="127"/>
  <c r="DP64" i="28" l="1"/>
  <c r="DO64" i="28"/>
  <c r="DN64" i="28"/>
  <c r="DM64" i="28"/>
  <c r="DL64" i="28"/>
  <c r="DK64" i="28"/>
  <c r="DJ64" i="28"/>
  <c r="DI64" i="28"/>
  <c r="DH64" i="28"/>
  <c r="DG64" i="28"/>
  <c r="DF64" i="28"/>
  <c r="DE64" i="28"/>
  <c r="DD64" i="28"/>
  <c r="DP63" i="28"/>
  <c r="DO63" i="28"/>
  <c r="DN63" i="28"/>
  <c r="DM63" i="28"/>
  <c r="DL63" i="28"/>
  <c r="DK63" i="28"/>
  <c r="DJ63" i="28"/>
  <c r="DI63" i="28"/>
  <c r="DH63" i="28"/>
  <c r="DG63" i="28"/>
  <c r="DF63" i="28"/>
  <c r="DE63" i="28"/>
  <c r="DD63" i="28"/>
  <c r="DP62" i="28"/>
  <c r="DO62" i="28"/>
  <c r="DN62" i="28"/>
  <c r="DM62" i="28"/>
  <c r="DL62" i="28"/>
  <c r="DK62" i="28"/>
  <c r="DJ62" i="28"/>
  <c r="DI62" i="28"/>
  <c r="DH62" i="28"/>
  <c r="DG62" i="28"/>
  <c r="DF62" i="28"/>
  <c r="DE62" i="28"/>
  <c r="DD62" i="28"/>
  <c r="DP61" i="28"/>
  <c r="DO61" i="28"/>
  <c r="CZ61" i="28"/>
  <c r="CM50" i="28"/>
  <c r="CL50" i="28"/>
  <c r="CK50" i="28"/>
  <c r="CJ50" i="28"/>
  <c r="CM49" i="28"/>
  <c r="CL49" i="28"/>
  <c r="CK49" i="28"/>
  <c r="CJ49" i="28"/>
  <c r="CM48" i="28"/>
  <c r="CL48" i="28"/>
  <c r="CK48" i="28"/>
  <c r="CJ48" i="28"/>
  <c r="CO48" i="28"/>
  <c r="CO49" i="28"/>
  <c r="CO50" i="28"/>
  <c r="CR50" i="28"/>
  <c r="CQ50" i="28"/>
  <c r="CP50" i="28"/>
  <c r="CW50" i="28"/>
  <c r="CV50" i="28"/>
  <c r="CU50" i="28"/>
  <c r="CT50" i="28"/>
  <c r="CR49" i="28"/>
  <c r="CQ49" i="28"/>
  <c r="CP49" i="28"/>
  <c r="CT49" i="28"/>
  <c r="CR48" i="28"/>
  <c r="CQ48" i="28"/>
  <c r="CP48" i="28"/>
  <c r="CT48" i="28"/>
  <c r="DV50" i="28"/>
  <c r="DU50" i="28"/>
  <c r="DT50" i="28"/>
  <c r="DS50" i="28"/>
  <c r="DP50" i="28"/>
  <c r="DM50" i="28"/>
  <c r="DL50" i="28"/>
  <c r="DK50" i="28"/>
  <c r="DG50" i="28"/>
  <c r="DF50" i="28"/>
  <c r="DE50" i="28"/>
  <c r="DD50" i="28"/>
  <c r="DC50" i="28"/>
  <c r="DB50" i="28"/>
  <c r="DA50" i="28"/>
  <c r="CZ50" i="28"/>
  <c r="DV49" i="28"/>
  <c r="DU49" i="28"/>
  <c r="DT49" i="28"/>
  <c r="DS49" i="28"/>
  <c r="DP49" i="28"/>
  <c r="DO49" i="28"/>
  <c r="DM49" i="28"/>
  <c r="DL49" i="28"/>
  <c r="DK49" i="28"/>
  <c r="DI49" i="28"/>
  <c r="DH49" i="28"/>
  <c r="DG49" i="28"/>
  <c r="DF49" i="28"/>
  <c r="DE49" i="28"/>
  <c r="DD49" i="28"/>
  <c r="DC49" i="28"/>
  <c r="DB49" i="28"/>
  <c r="DA49" i="28"/>
  <c r="CZ49" i="28"/>
  <c r="DV48" i="28"/>
  <c r="DU48" i="28"/>
  <c r="DT48" i="28"/>
  <c r="DS48" i="28"/>
  <c r="DP48" i="28"/>
  <c r="DM48" i="28"/>
  <c r="DL48" i="28"/>
  <c r="DK48" i="28"/>
  <c r="DI48" i="28"/>
  <c r="DH48" i="28"/>
  <c r="DG48" i="28"/>
  <c r="DP47" i="28"/>
  <c r="DO47" i="28"/>
  <c r="DN47" i="28"/>
  <c r="DK47" i="28"/>
  <c r="DJ47" i="28"/>
  <c r="DI47" i="28"/>
  <c r="DH47" i="28"/>
  <c r="DG47" i="28"/>
  <c r="DF47" i="28"/>
  <c r="DE47" i="28"/>
  <c r="DD47" i="28"/>
  <c r="DC47" i="28"/>
  <c r="DB47" i="28"/>
  <c r="DA47" i="28"/>
  <c r="CZ47" i="28"/>
  <c r="CY50" i="28"/>
  <c r="CY49" i="28"/>
  <c r="CY47" i="28"/>
  <c r="CW49" i="28"/>
  <c r="CV49" i="28"/>
  <c r="CU49" i="28"/>
  <c r="CW48" i="28"/>
  <c r="CV48" i="28"/>
  <c r="CU48" i="28"/>
  <c r="AB7" i="20"/>
  <c r="AA7" i="20"/>
  <c r="Z7" i="20"/>
  <c r="Y7" i="20"/>
  <c r="X7" i="20"/>
  <c r="AC5" i="20"/>
  <c r="DN209" i="29" l="1"/>
  <c r="DN210" i="29" s="1"/>
  <c r="DN211" i="29" s="1"/>
  <c r="DN212" i="29" s="1"/>
  <c r="DN145" i="29"/>
  <c r="DN146" i="29" s="1"/>
  <c r="DN147" i="29" s="1"/>
  <c r="DN148" i="29" s="1"/>
  <c r="DP22" i="29"/>
  <c r="AA72" i="129"/>
  <c r="AD72" i="129"/>
  <c r="AE72" i="129"/>
  <c r="AF72" i="129" s="1"/>
  <c r="AG72" i="129" s="1"/>
  <c r="AH72" i="129" s="1"/>
  <c r="AD177" i="129" l="1"/>
  <c r="AC177" i="129"/>
  <c r="AB177" i="129"/>
  <c r="AA177" i="129"/>
  <c r="Z177" i="129"/>
  <c r="Y177" i="129"/>
  <c r="X177" i="129"/>
  <c r="AD166" i="129"/>
  <c r="AC166" i="129"/>
  <c r="AB166" i="129"/>
  <c r="AA166" i="129"/>
  <c r="Z166" i="129"/>
  <c r="Y166" i="129"/>
  <c r="X166" i="129"/>
  <c r="W166" i="129"/>
  <c r="V166" i="129"/>
  <c r="AD165" i="129"/>
  <c r="AC165" i="129"/>
  <c r="AB165" i="129"/>
  <c r="AA165" i="129"/>
  <c r="Z165" i="129"/>
  <c r="Y165" i="129"/>
  <c r="X165" i="129"/>
  <c r="W165" i="129"/>
  <c r="V165" i="129"/>
  <c r="V164" i="129"/>
  <c r="AD160" i="129"/>
  <c r="AC160" i="129"/>
  <c r="AB160" i="129"/>
  <c r="AA160" i="129"/>
  <c r="Z160" i="129"/>
  <c r="Y160" i="129"/>
  <c r="X160" i="129"/>
  <c r="W160" i="129"/>
  <c r="V160" i="129"/>
  <c r="U160" i="129"/>
  <c r="T160" i="129"/>
  <c r="S160" i="129"/>
  <c r="R160" i="129"/>
  <c r="Q160" i="129"/>
  <c r="AD161" i="129" l="1"/>
  <c r="AC148" i="129"/>
  <c r="DQ50" i="28" s="1"/>
  <c r="AB148" i="129"/>
  <c r="AA148" i="129"/>
  <c r="DO50" i="28" s="1"/>
  <c r="Z148" i="129"/>
  <c r="DN50" i="28" s="1"/>
  <c r="Y148" i="129"/>
  <c r="X148" i="129"/>
  <c r="W148" i="129"/>
  <c r="V148" i="129"/>
  <c r="DJ50" i="28" s="1"/>
  <c r="U148" i="129"/>
  <c r="DI50" i="28" s="1"/>
  <c r="T148" i="129"/>
  <c r="DH50" i="28" s="1"/>
  <c r="S148" i="129"/>
  <c r="R148" i="129"/>
  <c r="Q148" i="129"/>
  <c r="P148" i="129"/>
  <c r="O148" i="129"/>
  <c r="N148" i="129"/>
  <c r="M148" i="129"/>
  <c r="L148" i="129"/>
  <c r="K148" i="129"/>
  <c r="AB139" i="129"/>
  <c r="AA139" i="129"/>
  <c r="Z139" i="129"/>
  <c r="Y139" i="129"/>
  <c r="X139" i="129"/>
  <c r="W139" i="129"/>
  <c r="V139" i="129"/>
  <c r="U139" i="129"/>
  <c r="T139" i="129"/>
  <c r="S139" i="129"/>
  <c r="R139" i="129"/>
  <c r="Q139" i="129"/>
  <c r="P139" i="129"/>
  <c r="P128" i="129"/>
  <c r="AD128" i="129"/>
  <c r="AC128" i="129"/>
  <c r="AB128" i="129"/>
  <c r="AA128" i="129"/>
  <c r="Z128" i="129"/>
  <c r="Y128" i="129"/>
  <c r="X128" i="129"/>
  <c r="W128" i="129"/>
  <c r="V128" i="129"/>
  <c r="U128" i="129"/>
  <c r="T128" i="129"/>
  <c r="S128" i="129"/>
  <c r="R128" i="129"/>
  <c r="Q128" i="129"/>
  <c r="AD127" i="129"/>
  <c r="AC127" i="129"/>
  <c r="AB127" i="129"/>
  <c r="AA127" i="129"/>
  <c r="Z127" i="129"/>
  <c r="Y127" i="129"/>
  <c r="X127" i="129"/>
  <c r="W127" i="129"/>
  <c r="V127" i="129"/>
  <c r="U127" i="129"/>
  <c r="T127" i="129"/>
  <c r="S127" i="129"/>
  <c r="R127" i="129"/>
  <c r="Q127" i="129"/>
  <c r="P127" i="129"/>
  <c r="P126" i="129"/>
  <c r="AB122" i="129"/>
  <c r="AA122" i="129"/>
  <c r="Z122" i="129"/>
  <c r="Y122" i="129"/>
  <c r="X122" i="129"/>
  <c r="W122" i="129"/>
  <c r="V122" i="129"/>
  <c r="U122" i="129"/>
  <c r="T122" i="129"/>
  <c r="S122" i="129"/>
  <c r="R122" i="129"/>
  <c r="Q122" i="129"/>
  <c r="P122" i="129"/>
  <c r="O122" i="129"/>
  <c r="N122" i="129"/>
  <c r="M122" i="129"/>
  <c r="L122" i="129"/>
  <c r="K122" i="129"/>
  <c r="J122" i="129"/>
  <c r="I122" i="129"/>
  <c r="H122" i="129"/>
  <c r="G122" i="129"/>
  <c r="F122" i="129"/>
  <c r="AB109" i="129"/>
  <c r="AA109" i="129"/>
  <c r="Z109" i="129"/>
  <c r="DN49" i="28" s="1"/>
  <c r="Y109" i="129"/>
  <c r="X109" i="129"/>
  <c r="W109" i="129"/>
  <c r="V109" i="129"/>
  <c r="DJ49" i="28" s="1"/>
  <c r="U109" i="129"/>
  <c r="T109" i="129"/>
  <c r="S109" i="129"/>
  <c r="R109" i="129"/>
  <c r="Q109" i="129"/>
  <c r="P109" i="129"/>
  <c r="O109" i="129"/>
  <c r="N109" i="129"/>
  <c r="M109" i="129"/>
  <c r="L109" i="129"/>
  <c r="K109" i="129"/>
  <c r="AB100" i="129"/>
  <c r="AA100" i="129"/>
  <c r="Z100" i="129"/>
  <c r="Y100" i="129"/>
  <c r="X100" i="129"/>
  <c r="W100" i="129"/>
  <c r="V100" i="129"/>
  <c r="U100" i="129"/>
  <c r="T100" i="129"/>
  <c r="S100" i="129"/>
  <c r="R100" i="129"/>
  <c r="Q100" i="129"/>
  <c r="P100" i="129"/>
  <c r="U88" i="129"/>
  <c r="T88" i="129"/>
  <c r="S88" i="129"/>
  <c r="R88" i="129"/>
  <c r="Q88" i="129"/>
  <c r="P88" i="129"/>
  <c r="Y87" i="129"/>
  <c r="X87" i="129"/>
  <c r="W87" i="129"/>
  <c r="V87" i="129"/>
  <c r="U87" i="129"/>
  <c r="T87" i="129"/>
  <c r="S87" i="129"/>
  <c r="R87" i="129"/>
  <c r="Q87" i="129"/>
  <c r="P87" i="129"/>
  <c r="P86" i="129"/>
  <c r="C82" i="129"/>
  <c r="D82" i="129"/>
  <c r="E82" i="129"/>
  <c r="F82" i="129"/>
  <c r="G82" i="129"/>
  <c r="H82" i="129"/>
  <c r="I82" i="129"/>
  <c r="J82" i="129"/>
  <c r="K82" i="129"/>
  <c r="L82" i="129"/>
  <c r="M82" i="129"/>
  <c r="N82" i="129"/>
  <c r="O82" i="129"/>
  <c r="P82" i="129"/>
  <c r="AB82" i="129"/>
  <c r="AA82" i="129"/>
  <c r="Z82" i="129"/>
  <c r="Y82" i="129"/>
  <c r="X82" i="129"/>
  <c r="W82" i="129"/>
  <c r="V82" i="129"/>
  <c r="U82" i="129"/>
  <c r="T82" i="129"/>
  <c r="S82" i="129"/>
  <c r="R82" i="129"/>
  <c r="Q82" i="129"/>
  <c r="AB60" i="129"/>
  <c r="AA60" i="129"/>
  <c r="Z60" i="129"/>
  <c r="Y60" i="129"/>
  <c r="X60" i="129"/>
  <c r="W60" i="129"/>
  <c r="V60" i="129"/>
  <c r="U60" i="129"/>
  <c r="T60" i="129"/>
  <c r="S60" i="129"/>
  <c r="R60" i="129"/>
  <c r="Q60" i="129"/>
  <c r="P60" i="129"/>
  <c r="AB48" i="129"/>
  <c r="AB47" i="129"/>
  <c r="AA47" i="129"/>
  <c r="AH13" i="129" l="1"/>
  <c r="AG13" i="129"/>
  <c r="AF13" i="129"/>
  <c r="AE13" i="129"/>
  <c r="AF12" i="129"/>
  <c r="AG12" i="129"/>
  <c r="AH12" i="129"/>
  <c r="AE12" i="129"/>
  <c r="AB25" i="129"/>
  <c r="AA25" i="129"/>
  <c r="Z25" i="129"/>
  <c r="Y25" i="129"/>
  <c r="X25" i="129"/>
  <c r="W25" i="129"/>
  <c r="V25" i="129"/>
  <c r="U25" i="129"/>
  <c r="T25" i="129"/>
  <c r="S25" i="129"/>
  <c r="R25" i="129"/>
  <c r="Q25" i="129"/>
  <c r="P25" i="129"/>
  <c r="AA13" i="129" l="1"/>
  <c r="Z13" i="129"/>
  <c r="Y13" i="129"/>
  <c r="X13" i="129"/>
  <c r="W13" i="129"/>
  <c r="V13" i="129"/>
  <c r="U13" i="129"/>
  <c r="T13" i="129"/>
  <c r="S13" i="129"/>
  <c r="R13" i="129"/>
  <c r="Q13" i="129"/>
  <c r="P13" i="129"/>
  <c r="AB13" i="129"/>
  <c r="AB12" i="129"/>
  <c r="AA12" i="129"/>
  <c r="Z12" i="129"/>
  <c r="Y12" i="129"/>
  <c r="X12" i="129"/>
  <c r="W12" i="129"/>
  <c r="V12" i="129"/>
  <c r="U12" i="129"/>
  <c r="T12" i="129"/>
  <c r="S12" i="129"/>
  <c r="R12" i="129"/>
  <c r="Q12" i="129"/>
  <c r="P12" i="129"/>
  <c r="P11" i="129"/>
  <c r="U48" i="129"/>
  <c r="T48" i="129"/>
  <c r="S48" i="129"/>
  <c r="R48" i="129"/>
  <c r="Q48" i="129"/>
  <c r="P48" i="129"/>
  <c r="U47" i="129"/>
  <c r="T47" i="129"/>
  <c r="S47" i="129"/>
  <c r="R47" i="129"/>
  <c r="Q47" i="129"/>
  <c r="P47" i="129"/>
  <c r="P46" i="129"/>
  <c r="Q46" i="129"/>
  <c r="R46" i="129"/>
  <c r="S46" i="129"/>
  <c r="T46" i="129"/>
  <c r="U46" i="129"/>
  <c r="T204" i="128"/>
  <c r="T203" i="128"/>
  <c r="T202" i="128"/>
  <c r="T201" i="128"/>
  <c r="T198" i="128"/>
  <c r="T197" i="128"/>
  <c r="T196" i="128"/>
  <c r="T195" i="128"/>
  <c r="T194" i="128"/>
  <c r="AD203" i="128"/>
  <c r="AD202" i="128"/>
  <c r="AD201" i="128"/>
  <c r="AD197" i="128"/>
  <c r="AD196" i="128"/>
  <c r="AD195" i="128"/>
  <c r="AD194" i="128"/>
  <c r="AD190" i="128"/>
  <c r="AD189" i="128"/>
  <c r="AD188" i="128"/>
  <c r="AD187" i="128"/>
  <c r="AD183" i="128"/>
  <c r="AD182" i="128"/>
  <c r="AD181" i="128"/>
  <c r="AD180" i="128"/>
  <c r="AD176" i="128"/>
  <c r="AD175" i="128"/>
  <c r="AD174" i="128"/>
  <c r="AD173" i="128"/>
  <c r="AD169" i="128"/>
  <c r="AD168" i="128"/>
  <c r="AD167" i="128"/>
  <c r="AD166" i="128"/>
  <c r="AD162" i="128"/>
  <c r="AD161" i="128"/>
  <c r="AD160" i="128"/>
  <c r="AD159" i="128"/>
  <c r="AD155" i="128"/>
  <c r="AD154" i="128"/>
  <c r="AD153" i="128"/>
  <c r="AD152" i="128"/>
  <c r="AD148" i="128"/>
  <c r="AD147" i="128"/>
  <c r="AD146" i="128"/>
  <c r="AD145" i="128"/>
  <c r="AD141" i="128"/>
  <c r="AD140" i="128"/>
  <c r="AD139" i="128"/>
  <c r="AD138" i="128"/>
  <c r="AD134" i="128"/>
  <c r="AD133" i="128"/>
  <c r="AD132" i="128"/>
  <c r="AD131" i="128"/>
  <c r="AD127" i="128"/>
  <c r="AD126" i="128"/>
  <c r="AD125" i="128"/>
  <c r="AD124" i="128"/>
  <c r="AD120" i="128"/>
  <c r="AD119" i="128"/>
  <c r="AD118" i="128"/>
  <c r="AD117" i="128"/>
  <c r="AD113" i="128"/>
  <c r="AD112" i="128"/>
  <c r="J203" i="128"/>
  <c r="J202" i="128"/>
  <c r="J201" i="128"/>
  <c r="J197" i="128"/>
  <c r="J196" i="128"/>
  <c r="J195" i="128"/>
  <c r="J194" i="128"/>
  <c r="J190" i="128"/>
  <c r="J189" i="128"/>
  <c r="J188" i="128"/>
  <c r="J187" i="128"/>
  <c r="J183" i="128"/>
  <c r="J182" i="128"/>
  <c r="J181" i="128"/>
  <c r="J180" i="128"/>
  <c r="J176" i="128"/>
  <c r="J175" i="128"/>
  <c r="J174" i="128"/>
  <c r="J173" i="128"/>
  <c r="J169" i="128"/>
  <c r="J168" i="128"/>
  <c r="J167" i="128"/>
  <c r="J166" i="128"/>
  <c r="J162" i="128"/>
  <c r="J161" i="128"/>
  <c r="J160" i="128"/>
  <c r="J159" i="128"/>
  <c r="J155" i="128"/>
  <c r="J154" i="128"/>
  <c r="J153" i="128"/>
  <c r="J152" i="128"/>
  <c r="J148" i="128"/>
  <c r="J147" i="128"/>
  <c r="J146" i="128"/>
  <c r="J145" i="128"/>
  <c r="J141" i="128"/>
  <c r="J140" i="128"/>
  <c r="J139" i="128"/>
  <c r="J138" i="128"/>
  <c r="J134" i="128"/>
  <c r="J133" i="128"/>
  <c r="J132" i="128"/>
  <c r="J131" i="128"/>
  <c r="J127" i="128"/>
  <c r="J126" i="128"/>
  <c r="J125" i="128"/>
  <c r="J124" i="128"/>
  <c r="J120" i="128"/>
  <c r="J119" i="128"/>
  <c r="J118" i="128"/>
  <c r="J117" i="128"/>
  <c r="J113" i="128"/>
  <c r="J112" i="128"/>
  <c r="J111" i="128"/>
  <c r="AD111" i="128"/>
  <c r="J110" i="128"/>
  <c r="AD110" i="128"/>
  <c r="AB109" i="9"/>
  <c r="AB202" i="9"/>
  <c r="AB201" i="9"/>
  <c r="AB200" i="9"/>
  <c r="AB196" i="9"/>
  <c r="AB195" i="9"/>
  <c r="AB194" i="9"/>
  <c r="AB193" i="9"/>
  <c r="AB189" i="9"/>
  <c r="AB188" i="9"/>
  <c r="AB187" i="9"/>
  <c r="AB186" i="9"/>
  <c r="AB182" i="9"/>
  <c r="AB181" i="9"/>
  <c r="AB180" i="9"/>
  <c r="AB179" i="9"/>
  <c r="AB175" i="9"/>
  <c r="AB174" i="9"/>
  <c r="AB173" i="9"/>
  <c r="AB172" i="9"/>
  <c r="AB168" i="9"/>
  <c r="AB167" i="9"/>
  <c r="AB166" i="9"/>
  <c r="AB165" i="9"/>
  <c r="AB161" i="9"/>
  <c r="AB160" i="9"/>
  <c r="AB159" i="9"/>
  <c r="AB158" i="9"/>
  <c r="AB154" i="9"/>
  <c r="AB153" i="9"/>
  <c r="AB152" i="9"/>
  <c r="AB151" i="9"/>
  <c r="AB147" i="9"/>
  <c r="AB146" i="9"/>
  <c r="AB145" i="9"/>
  <c r="AB144" i="9"/>
  <c r="AB140" i="9"/>
  <c r="AB139" i="9"/>
  <c r="AB138" i="9"/>
  <c r="AB137" i="9"/>
  <c r="AB133" i="9"/>
  <c r="AB132" i="9"/>
  <c r="AB131" i="9"/>
  <c r="AB130" i="9"/>
  <c r="AB126" i="9"/>
  <c r="AB125" i="9"/>
  <c r="AB124" i="9"/>
  <c r="AB123" i="9"/>
  <c r="AB119" i="9"/>
  <c r="AB118" i="9"/>
  <c r="AB117" i="9"/>
  <c r="AB116" i="9"/>
  <c r="AB112" i="9"/>
  <c r="AB111" i="9"/>
  <c r="AB110" i="9"/>
  <c r="V202" i="9"/>
  <c r="V201" i="9"/>
  <c r="V200" i="9"/>
  <c r="V196" i="9"/>
  <c r="V195" i="9"/>
  <c r="V194" i="9"/>
  <c r="V193" i="9"/>
  <c r="V189" i="9"/>
  <c r="V188" i="9"/>
  <c r="V187" i="9"/>
  <c r="V186" i="9"/>
  <c r="V182" i="9"/>
  <c r="V181" i="9"/>
  <c r="V180" i="9"/>
  <c r="V179" i="9"/>
  <c r="V175" i="9"/>
  <c r="V174" i="9"/>
  <c r="V173" i="9"/>
  <c r="V172" i="9"/>
  <c r="V168" i="9"/>
  <c r="V167" i="9"/>
  <c r="V166" i="9"/>
  <c r="V165" i="9"/>
  <c r="V161" i="9"/>
  <c r="V160" i="9"/>
  <c r="V159" i="9"/>
  <c r="V158" i="9"/>
  <c r="V154" i="9"/>
  <c r="V153" i="9"/>
  <c r="V152" i="9"/>
  <c r="V151" i="9"/>
  <c r="V147" i="9"/>
  <c r="V146" i="9"/>
  <c r="V145" i="9"/>
  <c r="V144" i="9"/>
  <c r="V140" i="9"/>
  <c r="V139" i="9"/>
  <c r="V138" i="9"/>
  <c r="V137" i="9"/>
  <c r="V133" i="9"/>
  <c r="V132" i="9"/>
  <c r="V131" i="9"/>
  <c r="V130" i="9"/>
  <c r="V126" i="9"/>
  <c r="V125" i="9"/>
  <c r="V124" i="9"/>
  <c r="V123" i="9"/>
  <c r="V119" i="9"/>
  <c r="V118" i="9"/>
  <c r="V117" i="9"/>
  <c r="V116" i="9"/>
  <c r="V112" i="9"/>
  <c r="V111" i="9"/>
  <c r="V110" i="9"/>
  <c r="V109" i="9"/>
  <c r="BF165" i="118"/>
  <c r="BG165" i="118"/>
  <c r="BH165" i="118"/>
  <c r="BI165" i="118"/>
  <c r="BF166" i="118"/>
  <c r="BG166" i="118"/>
  <c r="BH166" i="118"/>
  <c r="BI166" i="118"/>
  <c r="BE166" i="118"/>
  <c r="AC13" i="129" s="1"/>
  <c r="BE165" i="118"/>
  <c r="BF163" i="118"/>
  <c r="BG163" i="118"/>
  <c r="BH163" i="118"/>
  <c r="BI163" i="118"/>
  <c r="BE164" i="118"/>
  <c r="BF169" i="118"/>
  <c r="BG169" i="118"/>
  <c r="BH169" i="118"/>
  <c r="BI169" i="118"/>
  <c r="BE170" i="118"/>
  <c r="C164" i="118"/>
  <c r="D164" i="118"/>
  <c r="E164" i="118"/>
  <c r="F164" i="118"/>
  <c r="G164" i="118"/>
  <c r="H164" i="118"/>
  <c r="I164" i="118"/>
  <c r="J164" i="118"/>
  <c r="K164" i="118"/>
  <c r="L164" i="118"/>
  <c r="M164" i="118"/>
  <c r="N164" i="118"/>
  <c r="O164" i="118"/>
  <c r="P164" i="118"/>
  <c r="Q164" i="118"/>
  <c r="R164" i="118"/>
  <c r="S164" i="118"/>
  <c r="T164" i="118"/>
  <c r="U164" i="118"/>
  <c r="V164" i="118"/>
  <c r="W164" i="118"/>
  <c r="X164" i="118"/>
  <c r="Y164" i="118"/>
  <c r="C165" i="118"/>
  <c r="D165" i="118"/>
  <c r="E165" i="118"/>
  <c r="F165" i="118"/>
  <c r="G165" i="118"/>
  <c r="H165" i="118"/>
  <c r="I165" i="118"/>
  <c r="J165" i="118"/>
  <c r="K165" i="118"/>
  <c r="L165" i="118"/>
  <c r="M165" i="118"/>
  <c r="N165" i="118"/>
  <c r="O165" i="118"/>
  <c r="P165" i="118"/>
  <c r="Q165" i="118"/>
  <c r="R165" i="118"/>
  <c r="S165" i="118"/>
  <c r="T165" i="118"/>
  <c r="U165" i="118"/>
  <c r="V165" i="118"/>
  <c r="W165" i="118"/>
  <c r="X165" i="118"/>
  <c r="Y165" i="118"/>
  <c r="C166" i="118"/>
  <c r="D166" i="118"/>
  <c r="E166" i="118"/>
  <c r="F166" i="118"/>
  <c r="G166" i="118"/>
  <c r="H166" i="118"/>
  <c r="I166" i="118"/>
  <c r="J166" i="118"/>
  <c r="K166" i="118"/>
  <c r="L166" i="118"/>
  <c r="M166" i="118"/>
  <c r="N166" i="118"/>
  <c r="O166" i="118"/>
  <c r="P166" i="118"/>
  <c r="Q166" i="118"/>
  <c r="R166" i="118"/>
  <c r="S166" i="118"/>
  <c r="T166" i="118"/>
  <c r="U166" i="118"/>
  <c r="V166" i="118"/>
  <c r="W166" i="118"/>
  <c r="X166" i="118"/>
  <c r="Y166" i="118"/>
  <c r="C167" i="118"/>
  <c r="D167" i="118"/>
  <c r="E167" i="118"/>
  <c r="F167" i="118"/>
  <c r="G167" i="118"/>
  <c r="H167" i="118"/>
  <c r="I167" i="118"/>
  <c r="J167" i="118"/>
  <c r="K167" i="118"/>
  <c r="L167" i="118"/>
  <c r="M167" i="118"/>
  <c r="N167" i="118"/>
  <c r="O167" i="118"/>
  <c r="P167" i="118"/>
  <c r="Q167" i="118"/>
  <c r="R167" i="118"/>
  <c r="S167" i="118"/>
  <c r="T167" i="118"/>
  <c r="U167" i="118"/>
  <c r="V167" i="118"/>
  <c r="W167" i="118"/>
  <c r="X167" i="118"/>
  <c r="Y167" i="118"/>
  <c r="B167" i="118"/>
  <c r="B164" i="118"/>
  <c r="B165" i="118"/>
  <c r="B166" i="118"/>
  <c r="D170" i="118"/>
  <c r="E170" i="118"/>
  <c r="F170" i="118"/>
  <c r="G170" i="118"/>
  <c r="H170" i="118"/>
  <c r="I170" i="118"/>
  <c r="J170" i="118"/>
  <c r="K170" i="118"/>
  <c r="L170" i="118"/>
  <c r="M170" i="118"/>
  <c r="N170" i="118"/>
  <c r="O170" i="118"/>
  <c r="P170" i="118"/>
  <c r="Q170" i="118"/>
  <c r="R170" i="118"/>
  <c r="S170" i="118"/>
  <c r="T170" i="118"/>
  <c r="U170" i="118"/>
  <c r="V170" i="118"/>
  <c r="W170" i="118"/>
  <c r="X170" i="118"/>
  <c r="Y170" i="118"/>
  <c r="D171" i="118"/>
  <c r="E171" i="118"/>
  <c r="F171" i="118"/>
  <c r="G171" i="118"/>
  <c r="H171" i="118"/>
  <c r="I171" i="118"/>
  <c r="J171" i="118"/>
  <c r="K171" i="118"/>
  <c r="L171" i="118"/>
  <c r="M171" i="118"/>
  <c r="N171" i="118"/>
  <c r="O171" i="118"/>
  <c r="P171" i="118"/>
  <c r="Q171" i="118"/>
  <c r="R171" i="118"/>
  <c r="S171" i="118"/>
  <c r="T171" i="118"/>
  <c r="U171" i="118"/>
  <c r="V171" i="118"/>
  <c r="W171" i="118"/>
  <c r="X171" i="118"/>
  <c r="Y171" i="118"/>
  <c r="D172" i="118"/>
  <c r="E172" i="118"/>
  <c r="F172" i="118"/>
  <c r="G172" i="118"/>
  <c r="H172" i="118"/>
  <c r="I172" i="118"/>
  <c r="J172" i="118"/>
  <c r="K172" i="118"/>
  <c r="L172" i="118"/>
  <c r="M172" i="118"/>
  <c r="N172" i="118"/>
  <c r="O172" i="118"/>
  <c r="P172" i="118"/>
  <c r="Q172" i="118"/>
  <c r="R172" i="118"/>
  <c r="S172" i="118"/>
  <c r="T172" i="118"/>
  <c r="U172" i="118"/>
  <c r="V172" i="118"/>
  <c r="W172" i="118"/>
  <c r="X172" i="118"/>
  <c r="Y172" i="118"/>
  <c r="C172" i="118"/>
  <c r="C189" i="118"/>
  <c r="C171" i="118"/>
  <c r="C188" i="118"/>
  <c r="C170" i="118"/>
  <c r="C187" i="118"/>
  <c r="B184" i="118"/>
  <c r="B183" i="118"/>
  <c r="B182" i="118"/>
  <c r="B181" i="118"/>
  <c r="J507" i="127"/>
  <c r="J506" i="127"/>
  <c r="J505" i="127"/>
  <c r="J504" i="127"/>
  <c r="J500" i="127"/>
  <c r="J499" i="127"/>
  <c r="J498" i="127"/>
  <c r="J497" i="127"/>
  <c r="J493" i="127"/>
  <c r="J492" i="127"/>
  <c r="J491" i="127"/>
  <c r="J490" i="127"/>
  <c r="J486" i="127"/>
  <c r="J485" i="127"/>
  <c r="J484" i="127"/>
  <c r="J483" i="127"/>
  <c r="J479" i="127"/>
  <c r="J478" i="127"/>
  <c r="J477" i="127"/>
  <c r="J476" i="127"/>
  <c r="J472" i="127"/>
  <c r="J471" i="127"/>
  <c r="J470" i="127"/>
  <c r="J469" i="127"/>
  <c r="AA507" i="127"/>
  <c r="AA506" i="127"/>
  <c r="AA505" i="127"/>
  <c r="AA504" i="127"/>
  <c r="AA500" i="127"/>
  <c r="AA499" i="127"/>
  <c r="AA498" i="127"/>
  <c r="AA497" i="127"/>
  <c r="AA493" i="127"/>
  <c r="AA492" i="127"/>
  <c r="AA491" i="127"/>
  <c r="AA490" i="127"/>
  <c r="AA486" i="127"/>
  <c r="AA485" i="127"/>
  <c r="AA484" i="127"/>
  <c r="AA483" i="127"/>
  <c r="AA479" i="127"/>
  <c r="AA478" i="127"/>
  <c r="AA477" i="127"/>
  <c r="AA476" i="127"/>
  <c r="AA472" i="127"/>
  <c r="AA471" i="127"/>
  <c r="AA470" i="127"/>
  <c r="AA511" i="127"/>
  <c r="J511" i="127"/>
  <c r="J342" i="127"/>
  <c r="J341" i="127"/>
  <c r="J340" i="127"/>
  <c r="J339" i="127"/>
  <c r="J335" i="127"/>
  <c r="J334" i="127"/>
  <c r="J333" i="127"/>
  <c r="J332" i="127"/>
  <c r="J328" i="127"/>
  <c r="J327" i="127"/>
  <c r="J326" i="127"/>
  <c r="J325" i="127"/>
  <c r="J321" i="127"/>
  <c r="J320" i="127"/>
  <c r="J319" i="127"/>
  <c r="J318" i="127"/>
  <c r="J314" i="127"/>
  <c r="J313" i="127"/>
  <c r="J312" i="127"/>
  <c r="J311" i="127"/>
  <c r="J307" i="127"/>
  <c r="J306" i="127"/>
  <c r="J305" i="127"/>
  <c r="J304" i="127"/>
  <c r="AA342" i="127"/>
  <c r="AA341" i="127"/>
  <c r="AA340" i="127"/>
  <c r="AA339" i="127"/>
  <c r="AA335" i="127"/>
  <c r="AA334" i="127"/>
  <c r="AA333" i="127"/>
  <c r="AA332" i="127"/>
  <c r="AA328" i="127"/>
  <c r="AA327" i="127"/>
  <c r="AA326" i="127"/>
  <c r="AA325" i="127"/>
  <c r="AA321" i="127"/>
  <c r="AA320" i="127"/>
  <c r="AA319" i="127"/>
  <c r="AA318" i="127"/>
  <c r="AA314" i="127"/>
  <c r="AA313" i="127"/>
  <c r="AA312" i="127"/>
  <c r="AA311" i="127"/>
  <c r="AA307" i="127"/>
  <c r="AA306" i="127"/>
  <c r="AA305" i="127"/>
  <c r="AA346" i="127"/>
  <c r="J346" i="127"/>
  <c r="AA128" i="127"/>
  <c r="AA127" i="127"/>
  <c r="AA126" i="127"/>
  <c r="AA125" i="127"/>
  <c r="AA121" i="127"/>
  <c r="AA120" i="127"/>
  <c r="AA119" i="127"/>
  <c r="AA118" i="127"/>
  <c r="AA114" i="127"/>
  <c r="AA113" i="127"/>
  <c r="AA112" i="127"/>
  <c r="AA111" i="127"/>
  <c r="AA107" i="127"/>
  <c r="AA106" i="127"/>
  <c r="AA105" i="127"/>
  <c r="AA104" i="127"/>
  <c r="AA100" i="127"/>
  <c r="AA99" i="127"/>
  <c r="AA98" i="127"/>
  <c r="AA135" i="127"/>
  <c r="AA134" i="127"/>
  <c r="AA133" i="127"/>
  <c r="AA132" i="127"/>
  <c r="AA139" i="127"/>
  <c r="J135" i="127"/>
  <c r="J134" i="127"/>
  <c r="J133" i="127"/>
  <c r="J132" i="127"/>
  <c r="J128" i="127"/>
  <c r="J127" i="127"/>
  <c r="J126" i="127"/>
  <c r="J125" i="127"/>
  <c r="J121" i="127"/>
  <c r="J120" i="127"/>
  <c r="J119" i="127"/>
  <c r="J118" i="127"/>
  <c r="J114" i="127"/>
  <c r="J113" i="127"/>
  <c r="J112" i="127"/>
  <c r="J111" i="127"/>
  <c r="J107" i="127"/>
  <c r="J106" i="127"/>
  <c r="J105" i="127"/>
  <c r="J104" i="127"/>
  <c r="J100" i="127"/>
  <c r="J99" i="127"/>
  <c r="J98" i="127"/>
  <c r="J97" i="127"/>
  <c r="AD12" i="129" l="1"/>
  <c r="BE167" i="118"/>
  <c r="BF164" i="118" s="1"/>
  <c r="BF167" i="118" s="1"/>
  <c r="BG164" i="118" s="1"/>
  <c r="BG167" i="118" s="1"/>
  <c r="BH164" i="118" s="1"/>
  <c r="BH167" i="118" s="1"/>
  <c r="AC12" i="129"/>
  <c r="AD13" i="129"/>
  <c r="I38" i="118"/>
  <c r="I37" i="118"/>
  <c r="I36" i="118"/>
  <c r="I35" i="118"/>
  <c r="I33" i="118"/>
  <c r="I32" i="118"/>
  <c r="I31" i="118"/>
  <c r="I30" i="118"/>
  <c r="I28" i="118"/>
  <c r="I27" i="118"/>
  <c r="I26" i="118"/>
  <c r="I20" i="118"/>
  <c r="I19" i="118"/>
  <c r="I18" i="118"/>
  <c r="I21" i="118" s="1"/>
  <c r="I12" i="118"/>
  <c r="I11" i="118"/>
  <c r="I10" i="118"/>
  <c r="I13" i="118" s="1"/>
  <c r="I6" i="118"/>
  <c r="I5" i="118"/>
  <c r="I4" i="118"/>
  <c r="I3" i="118"/>
  <c r="I2" i="118"/>
  <c r="I9" i="118" s="1"/>
  <c r="I17" i="118" s="1"/>
  <c r="H38" i="118"/>
  <c r="H37" i="118"/>
  <c r="H36" i="118"/>
  <c r="H35" i="118"/>
  <c r="H33" i="118"/>
  <c r="H32" i="118"/>
  <c r="H31" i="118"/>
  <c r="H30" i="118"/>
  <c r="H28" i="118"/>
  <c r="H27" i="118"/>
  <c r="H26" i="118"/>
  <c r="H25" i="118"/>
  <c r="H20" i="118"/>
  <c r="H19" i="118"/>
  <c r="H18" i="118"/>
  <c r="H21" i="118" s="1"/>
  <c r="H12" i="118"/>
  <c r="H11" i="118"/>
  <c r="H13" i="118" s="1"/>
  <c r="H10" i="118"/>
  <c r="H9" i="118"/>
  <c r="H17" i="118" s="1"/>
  <c r="H5" i="118"/>
  <c r="H4" i="118"/>
  <c r="H3" i="118"/>
  <c r="H6" i="118" s="1"/>
  <c r="H2" i="118"/>
  <c r="G38" i="118"/>
  <c r="G37" i="118"/>
  <c r="G36" i="118"/>
  <c r="G35" i="118"/>
  <c r="G33" i="118"/>
  <c r="G32" i="118"/>
  <c r="G31" i="118"/>
  <c r="G30" i="118"/>
  <c r="G28" i="118"/>
  <c r="G27" i="118"/>
  <c r="G26" i="118"/>
  <c r="G20" i="118"/>
  <c r="G19" i="118"/>
  <c r="G18" i="118"/>
  <c r="G21" i="118" s="1"/>
  <c r="G12" i="118"/>
  <c r="G11" i="118"/>
  <c r="G10" i="118"/>
  <c r="G13" i="118" s="1"/>
  <c r="G6" i="118"/>
  <c r="G5" i="118"/>
  <c r="G4" i="118"/>
  <c r="G3" i="118"/>
  <c r="G2" i="118"/>
  <c r="G9" i="118" s="1"/>
  <c r="G17" i="118" s="1"/>
  <c r="F38" i="118"/>
  <c r="F37" i="118"/>
  <c r="F36" i="118"/>
  <c r="F35" i="118"/>
  <c r="F33" i="118"/>
  <c r="F32" i="118"/>
  <c r="F31" i="118"/>
  <c r="F30" i="118"/>
  <c r="F28" i="118"/>
  <c r="F27" i="118"/>
  <c r="F26" i="118"/>
  <c r="F20" i="118"/>
  <c r="F19" i="118"/>
  <c r="F18" i="118"/>
  <c r="F21" i="118" s="1"/>
  <c r="F13" i="118"/>
  <c r="F12" i="118"/>
  <c r="F11" i="118"/>
  <c r="F10" i="118"/>
  <c r="F9" i="118"/>
  <c r="F17" i="118" s="1"/>
  <c r="F5" i="118"/>
  <c r="F4" i="118"/>
  <c r="F3" i="118"/>
  <c r="F6" i="118" s="1"/>
  <c r="F2" i="118"/>
  <c r="F25" i="118" s="1"/>
  <c r="E38" i="118"/>
  <c r="E37" i="118"/>
  <c r="E36" i="118"/>
  <c r="E35" i="118"/>
  <c r="E33" i="118"/>
  <c r="E32" i="118"/>
  <c r="E31" i="118"/>
  <c r="E30" i="118"/>
  <c r="E28" i="118"/>
  <c r="E27" i="118"/>
  <c r="E26" i="118"/>
  <c r="E21" i="118"/>
  <c r="E20" i="118"/>
  <c r="E19" i="118"/>
  <c r="E18" i="118"/>
  <c r="E12" i="118"/>
  <c r="E11" i="118"/>
  <c r="E10" i="118"/>
  <c r="E13" i="118" s="1"/>
  <c r="E5" i="118"/>
  <c r="E4" i="118"/>
  <c r="E3" i="118"/>
  <c r="E6" i="118" s="1"/>
  <c r="E2" i="118"/>
  <c r="E9" i="118" s="1"/>
  <c r="E17" i="118" s="1"/>
  <c r="D38" i="118"/>
  <c r="D37" i="118"/>
  <c r="D36" i="118"/>
  <c r="D35" i="118"/>
  <c r="D33" i="118"/>
  <c r="D32" i="118"/>
  <c r="D31" i="118"/>
  <c r="D30" i="118"/>
  <c r="D28" i="118"/>
  <c r="D27" i="118"/>
  <c r="D26" i="118"/>
  <c r="D20" i="118"/>
  <c r="D19" i="118"/>
  <c r="D18" i="118"/>
  <c r="D21" i="118" s="1"/>
  <c r="D13" i="118"/>
  <c r="D12" i="118"/>
  <c r="D11" i="118"/>
  <c r="D10" i="118"/>
  <c r="D9" i="118"/>
  <c r="D17" i="118" s="1"/>
  <c r="D5" i="118"/>
  <c r="D4" i="118"/>
  <c r="D3" i="118"/>
  <c r="D6" i="118" s="1"/>
  <c r="D2" i="118"/>
  <c r="D25" i="118" s="1"/>
  <c r="C38" i="118"/>
  <c r="C37" i="118"/>
  <c r="C36" i="118"/>
  <c r="C35" i="118"/>
  <c r="C33" i="118"/>
  <c r="C32" i="118"/>
  <c r="C31" i="118"/>
  <c r="C30" i="118"/>
  <c r="C28" i="118"/>
  <c r="C27" i="118"/>
  <c r="C26" i="118"/>
  <c r="C20" i="118"/>
  <c r="C19" i="118"/>
  <c r="C18" i="118"/>
  <c r="C21" i="118" s="1"/>
  <c r="C12" i="118"/>
  <c r="C11" i="118"/>
  <c r="C10" i="118"/>
  <c r="C13" i="118" s="1"/>
  <c r="C6" i="118"/>
  <c r="C5" i="118"/>
  <c r="C4" i="118"/>
  <c r="C3" i="118"/>
  <c r="C2" i="118"/>
  <c r="C9" i="118" s="1"/>
  <c r="C17" i="118" s="1"/>
  <c r="B38" i="118"/>
  <c r="B37" i="118"/>
  <c r="B36" i="118"/>
  <c r="B35" i="118"/>
  <c r="B33" i="118"/>
  <c r="B32" i="118"/>
  <c r="B31" i="118"/>
  <c r="B30" i="118"/>
  <c r="B28" i="118"/>
  <c r="B27" i="118"/>
  <c r="B26" i="118"/>
  <c r="B20" i="118"/>
  <c r="B19" i="118"/>
  <c r="B18" i="118"/>
  <c r="B21" i="118" s="1"/>
  <c r="B13" i="118"/>
  <c r="B12" i="118"/>
  <c r="B11" i="118"/>
  <c r="B10" i="118"/>
  <c r="B9" i="118"/>
  <c r="B17" i="118" s="1"/>
  <c r="B5" i="118"/>
  <c r="B4" i="118"/>
  <c r="B3" i="118"/>
  <c r="B6" i="118" s="1"/>
  <c r="B2" i="118"/>
  <c r="B25" i="118" s="1"/>
  <c r="J38" i="118"/>
  <c r="J37" i="118"/>
  <c r="J36" i="118"/>
  <c r="J35" i="118"/>
  <c r="J33" i="118"/>
  <c r="J32" i="118"/>
  <c r="J31" i="118"/>
  <c r="J30" i="118"/>
  <c r="J28" i="118"/>
  <c r="J27" i="118"/>
  <c r="J26" i="118"/>
  <c r="J20" i="118"/>
  <c r="J19" i="118"/>
  <c r="J18" i="118"/>
  <c r="J21" i="118" s="1"/>
  <c r="J12" i="118"/>
  <c r="J11" i="118"/>
  <c r="J10" i="118"/>
  <c r="J13" i="118" s="1"/>
  <c r="J5" i="118"/>
  <c r="J4" i="118"/>
  <c r="J3" i="118"/>
  <c r="J6" i="118" s="1"/>
  <c r="J2" i="118"/>
  <c r="J9" i="118" s="1"/>
  <c r="J17" i="118" s="1"/>
  <c r="K38" i="118"/>
  <c r="K37" i="118"/>
  <c r="K36" i="118"/>
  <c r="K35" i="118"/>
  <c r="K33" i="118"/>
  <c r="K32" i="118"/>
  <c r="K31" i="118"/>
  <c r="K30" i="118"/>
  <c r="K28" i="118"/>
  <c r="K27" i="118"/>
  <c r="K26" i="118"/>
  <c r="K25" i="118"/>
  <c r="K20" i="118"/>
  <c r="K19" i="118"/>
  <c r="K18" i="118"/>
  <c r="K21" i="118" s="1"/>
  <c r="K12" i="118"/>
  <c r="K11" i="118"/>
  <c r="K10" i="118"/>
  <c r="K13" i="118" s="1"/>
  <c r="K5" i="118"/>
  <c r="K4" i="118"/>
  <c r="K3" i="118"/>
  <c r="K6" i="118" s="1"/>
  <c r="K2" i="118"/>
  <c r="K9" i="118" s="1"/>
  <c r="K17" i="118" s="1"/>
  <c r="L38" i="118"/>
  <c r="L37" i="118"/>
  <c r="L36" i="118"/>
  <c r="L35" i="118"/>
  <c r="L33" i="118"/>
  <c r="L32" i="118"/>
  <c r="L31" i="118"/>
  <c r="L30" i="118"/>
  <c r="L28" i="118"/>
  <c r="L27" i="118"/>
  <c r="L26" i="118"/>
  <c r="L25" i="118"/>
  <c r="L20" i="118"/>
  <c r="L19" i="118"/>
  <c r="L18" i="118"/>
  <c r="L21" i="118" s="1"/>
  <c r="L12" i="118"/>
  <c r="L11" i="118"/>
  <c r="L10" i="118"/>
  <c r="L13" i="118" s="1"/>
  <c r="L5" i="118"/>
  <c r="L6" i="118" s="1"/>
  <c r="L4" i="118"/>
  <c r="L3" i="118"/>
  <c r="L2" i="118"/>
  <c r="L9" i="118" s="1"/>
  <c r="L17" i="118" s="1"/>
  <c r="M38" i="118"/>
  <c r="M37" i="118"/>
  <c r="M36" i="118"/>
  <c r="M35" i="118"/>
  <c r="M33" i="118"/>
  <c r="M32" i="118"/>
  <c r="M31" i="118"/>
  <c r="M30" i="118"/>
  <c r="M28" i="118"/>
  <c r="M27" i="118"/>
  <c r="M26" i="118"/>
  <c r="M20" i="118"/>
  <c r="M19" i="118"/>
  <c r="M18" i="118"/>
  <c r="M21" i="118" s="1"/>
  <c r="M12" i="118"/>
  <c r="M13" i="118" s="1"/>
  <c r="M11" i="118"/>
  <c r="M10" i="118"/>
  <c r="M6" i="118"/>
  <c r="M5" i="118"/>
  <c r="M4" i="118"/>
  <c r="M3" i="118"/>
  <c r="M2" i="118"/>
  <c r="M9" i="118" s="1"/>
  <c r="M17" i="118" s="1"/>
  <c r="N38" i="118"/>
  <c r="N37" i="118"/>
  <c r="N36" i="118"/>
  <c r="N35" i="118"/>
  <c r="N33" i="118"/>
  <c r="N32" i="118"/>
  <c r="N31" i="118"/>
  <c r="N30" i="118"/>
  <c r="N28" i="118"/>
  <c r="N27" i="118"/>
  <c r="N26" i="118"/>
  <c r="N20" i="118"/>
  <c r="N19" i="118"/>
  <c r="N21" i="118" s="1"/>
  <c r="N18" i="118"/>
  <c r="N12" i="118"/>
  <c r="N11" i="118"/>
  <c r="N10" i="118"/>
  <c r="N13" i="118" s="1"/>
  <c r="N6" i="118"/>
  <c r="N5" i="118"/>
  <c r="N4" i="118"/>
  <c r="N3" i="118"/>
  <c r="N2" i="118"/>
  <c r="N9" i="118" s="1"/>
  <c r="N17" i="118" s="1"/>
  <c r="O38" i="118"/>
  <c r="O37" i="118"/>
  <c r="O36" i="118"/>
  <c r="O35" i="118"/>
  <c r="O33" i="118"/>
  <c r="O32" i="118"/>
  <c r="O31" i="118"/>
  <c r="O30" i="118"/>
  <c r="O28" i="118"/>
  <c r="O27" i="118"/>
  <c r="O26" i="118"/>
  <c r="O20" i="118"/>
  <c r="O19" i="118"/>
  <c r="O18" i="118"/>
  <c r="O21" i="118" s="1"/>
  <c r="O12" i="118"/>
  <c r="O11" i="118"/>
  <c r="O10" i="118"/>
  <c r="O13" i="118" s="1"/>
  <c r="O6" i="118"/>
  <c r="O5" i="118"/>
  <c r="O4" i="118"/>
  <c r="O3" i="118"/>
  <c r="O2" i="118"/>
  <c r="O9" i="118" s="1"/>
  <c r="O17" i="118" s="1"/>
  <c r="P38" i="118"/>
  <c r="P37" i="118"/>
  <c r="P36" i="118"/>
  <c r="P35" i="118"/>
  <c r="P33" i="118"/>
  <c r="P32" i="118"/>
  <c r="P31" i="118"/>
  <c r="P30" i="118"/>
  <c r="P28" i="118"/>
  <c r="P27" i="118"/>
  <c r="P26" i="118"/>
  <c r="P20" i="118"/>
  <c r="P19" i="118"/>
  <c r="P18" i="118"/>
  <c r="P21" i="118" s="1"/>
  <c r="P12" i="118"/>
  <c r="P13" i="118" s="1"/>
  <c r="P11" i="118"/>
  <c r="P10" i="118"/>
  <c r="P6" i="118"/>
  <c r="P5" i="118"/>
  <c r="P4" i="118"/>
  <c r="P3" i="118"/>
  <c r="P2" i="118"/>
  <c r="P9" i="118" s="1"/>
  <c r="P17" i="118" s="1"/>
  <c r="Q38" i="118"/>
  <c r="Q37" i="118"/>
  <c r="Q36" i="118"/>
  <c r="Q35" i="118"/>
  <c r="Q33" i="118"/>
  <c r="Q32" i="118"/>
  <c r="Q31" i="118"/>
  <c r="Q30" i="118"/>
  <c r="Q28" i="118"/>
  <c r="Q27" i="118"/>
  <c r="Q26" i="118"/>
  <c r="Q20" i="118"/>
  <c r="Q19" i="118"/>
  <c r="Q18" i="118"/>
  <c r="Q21" i="118" s="1"/>
  <c r="Q13" i="118"/>
  <c r="Q12" i="118"/>
  <c r="Q11" i="118"/>
  <c r="Q10" i="118"/>
  <c r="Q9" i="118"/>
  <c r="Q17" i="118" s="1"/>
  <c r="Q5" i="118"/>
  <c r="Q4" i="118"/>
  <c r="Q3" i="118"/>
  <c r="Q6" i="118" s="1"/>
  <c r="Q2" i="118"/>
  <c r="Q25" i="118" s="1"/>
  <c r="R38" i="118"/>
  <c r="R37" i="118"/>
  <c r="R36" i="118"/>
  <c r="R35" i="118"/>
  <c r="R33" i="118"/>
  <c r="R32" i="118"/>
  <c r="R31" i="118"/>
  <c r="R30" i="118"/>
  <c r="R28" i="118"/>
  <c r="R27" i="118"/>
  <c r="R26" i="118"/>
  <c r="R25" i="118"/>
  <c r="R20" i="118"/>
  <c r="R19" i="118"/>
  <c r="R18" i="118"/>
  <c r="R21" i="118" s="1"/>
  <c r="R12" i="118"/>
  <c r="R11" i="118"/>
  <c r="R10" i="118"/>
  <c r="R13" i="118" s="1"/>
  <c r="R5" i="118"/>
  <c r="R4" i="118"/>
  <c r="R3" i="118"/>
  <c r="R6" i="118" s="1"/>
  <c r="R2" i="118"/>
  <c r="R9" i="118" s="1"/>
  <c r="R17" i="118" s="1"/>
  <c r="S38" i="118"/>
  <c r="S37" i="118"/>
  <c r="S36" i="118"/>
  <c r="S35" i="118"/>
  <c r="S33" i="118"/>
  <c r="S32" i="118"/>
  <c r="S31" i="118"/>
  <c r="S30" i="118"/>
  <c r="S28" i="118"/>
  <c r="S27" i="118"/>
  <c r="S26" i="118"/>
  <c r="S25" i="118"/>
  <c r="S20" i="118"/>
  <c r="S19" i="118"/>
  <c r="S18" i="118"/>
  <c r="S21" i="118" s="1"/>
  <c r="S13" i="118"/>
  <c r="S12" i="118"/>
  <c r="S11" i="118"/>
  <c r="S10" i="118"/>
  <c r="S9" i="118"/>
  <c r="S17" i="118" s="1"/>
  <c r="S5" i="118"/>
  <c r="S4" i="118"/>
  <c r="S3" i="118"/>
  <c r="S6" i="118" s="1"/>
  <c r="S2" i="118"/>
  <c r="T38" i="118"/>
  <c r="T37" i="118"/>
  <c r="T36" i="118"/>
  <c r="T35" i="118"/>
  <c r="T33" i="118"/>
  <c r="T32" i="118"/>
  <c r="T31" i="118"/>
  <c r="T30" i="118"/>
  <c r="T28" i="118"/>
  <c r="T27" i="118"/>
  <c r="T26" i="118"/>
  <c r="T25" i="118"/>
  <c r="T20" i="118"/>
  <c r="T19" i="118"/>
  <c r="T18" i="118"/>
  <c r="T21" i="118" s="1"/>
  <c r="T12" i="118"/>
  <c r="T11" i="118"/>
  <c r="T10" i="118"/>
  <c r="T13" i="118" s="1"/>
  <c r="T5" i="118"/>
  <c r="T4" i="118"/>
  <c r="T3" i="118"/>
  <c r="T6" i="118" s="1"/>
  <c r="T2" i="118"/>
  <c r="T9" i="118" s="1"/>
  <c r="T17" i="118" s="1"/>
  <c r="U38" i="118"/>
  <c r="U37" i="118"/>
  <c r="U36" i="118"/>
  <c r="U35" i="118"/>
  <c r="U33" i="118"/>
  <c r="U32" i="118"/>
  <c r="U31" i="118"/>
  <c r="U30" i="118"/>
  <c r="U28" i="118"/>
  <c r="U27" i="118"/>
  <c r="U26" i="118"/>
  <c r="U21" i="118"/>
  <c r="U20" i="118"/>
  <c r="U19" i="118"/>
  <c r="U18" i="118"/>
  <c r="U12" i="118"/>
  <c r="U11" i="118"/>
  <c r="U10" i="118"/>
  <c r="U13" i="118" s="1"/>
  <c r="U5" i="118"/>
  <c r="U4" i="118"/>
  <c r="U3" i="118"/>
  <c r="U6" i="118" s="1"/>
  <c r="U2" i="118"/>
  <c r="U9" i="118" s="1"/>
  <c r="U17" i="118" s="1"/>
  <c r="V38" i="118"/>
  <c r="V37" i="118"/>
  <c r="V36" i="118"/>
  <c r="V35" i="118"/>
  <c r="V33" i="118"/>
  <c r="V32" i="118"/>
  <c r="V31" i="118"/>
  <c r="V30" i="118"/>
  <c r="V28" i="118"/>
  <c r="V27" i="118"/>
  <c r="V26" i="118"/>
  <c r="V20" i="118"/>
  <c r="V19" i="118"/>
  <c r="V18" i="118"/>
  <c r="V21" i="118" s="1"/>
  <c r="V12" i="118"/>
  <c r="V13" i="118" s="1"/>
  <c r="V11" i="118"/>
  <c r="V10" i="118"/>
  <c r="V6" i="118"/>
  <c r="V5" i="118"/>
  <c r="V4" i="118"/>
  <c r="V3" i="118"/>
  <c r="V2" i="118"/>
  <c r="V9" i="118" s="1"/>
  <c r="V17" i="118" s="1"/>
  <c r="W38" i="118"/>
  <c r="W37" i="118"/>
  <c r="W36" i="118"/>
  <c r="W35" i="118"/>
  <c r="W33" i="118"/>
  <c r="W32" i="118"/>
  <c r="W31" i="118"/>
  <c r="W30" i="118"/>
  <c r="W28" i="118"/>
  <c r="W27" i="118"/>
  <c r="W26" i="118"/>
  <c r="W25" i="118"/>
  <c r="W20" i="118"/>
  <c r="W19" i="118"/>
  <c r="W18" i="118"/>
  <c r="W21" i="118" s="1"/>
  <c r="W12" i="118"/>
  <c r="W11" i="118"/>
  <c r="W13" i="118" s="1"/>
  <c r="W10" i="118"/>
  <c r="W9" i="118"/>
  <c r="W17" i="118" s="1"/>
  <c r="W5" i="118"/>
  <c r="W4" i="118"/>
  <c r="W3" i="118"/>
  <c r="W6" i="118" s="1"/>
  <c r="W2" i="118"/>
  <c r="X38" i="118"/>
  <c r="X37" i="118"/>
  <c r="X36" i="118"/>
  <c r="X35" i="118"/>
  <c r="X33" i="118"/>
  <c r="X32" i="118"/>
  <c r="X31" i="118"/>
  <c r="X30" i="118"/>
  <c r="X28" i="118"/>
  <c r="X27" i="118"/>
  <c r="X26" i="118"/>
  <c r="X20" i="118"/>
  <c r="X19" i="118"/>
  <c r="X18" i="118"/>
  <c r="X21" i="118" s="1"/>
  <c r="X13" i="118"/>
  <c r="X12" i="118"/>
  <c r="X11" i="118"/>
  <c r="X10" i="118"/>
  <c r="X9" i="118"/>
  <c r="X17" i="118" s="1"/>
  <c r="X5" i="118"/>
  <c r="X4" i="118"/>
  <c r="X3" i="118"/>
  <c r="X6" i="118" s="1"/>
  <c r="X2" i="118"/>
  <c r="X25" i="118" s="1"/>
  <c r="Y38" i="118"/>
  <c r="Y37" i="118"/>
  <c r="Y36" i="118"/>
  <c r="Y35" i="118"/>
  <c r="Y33" i="118"/>
  <c r="Y32" i="118"/>
  <c r="Y31" i="118"/>
  <c r="Y30" i="118"/>
  <c r="Y28" i="118"/>
  <c r="Y27" i="118"/>
  <c r="Y26" i="118"/>
  <c r="Y25" i="118"/>
  <c r="Y20" i="118"/>
  <c r="Y19" i="118"/>
  <c r="Y18" i="118"/>
  <c r="Y21" i="118" s="1"/>
  <c r="Y12" i="118"/>
  <c r="Y11" i="118"/>
  <c r="Y10" i="118"/>
  <c r="Y13" i="118" s="1"/>
  <c r="Y9" i="118"/>
  <c r="Y17" i="118" s="1"/>
  <c r="Y5" i="118"/>
  <c r="Y4" i="118"/>
  <c r="Y3" i="118"/>
  <c r="Y6" i="118" s="1"/>
  <c r="Y2" i="118"/>
  <c r="Y189" i="118"/>
  <c r="X189" i="118"/>
  <c r="W189" i="118"/>
  <c r="V189" i="118"/>
  <c r="U189" i="118"/>
  <c r="T189" i="118"/>
  <c r="S189" i="118"/>
  <c r="R189" i="118"/>
  <c r="Q189" i="118"/>
  <c r="P189" i="118"/>
  <c r="O189" i="118"/>
  <c r="N189" i="118"/>
  <c r="M189" i="118"/>
  <c r="L189" i="118"/>
  <c r="K189" i="118"/>
  <c r="J189" i="118"/>
  <c r="I189" i="118"/>
  <c r="H189" i="118"/>
  <c r="G189" i="118"/>
  <c r="F189" i="118"/>
  <c r="E189" i="118"/>
  <c r="D189" i="118"/>
  <c r="Y188" i="118"/>
  <c r="X188" i="118"/>
  <c r="W188" i="118"/>
  <c r="V188" i="118"/>
  <c r="U188" i="118"/>
  <c r="T188" i="118"/>
  <c r="S188" i="118"/>
  <c r="R188" i="118"/>
  <c r="Q188" i="118"/>
  <c r="P188" i="118"/>
  <c r="O188" i="118"/>
  <c r="N188" i="118"/>
  <c r="M188" i="118"/>
  <c r="L188" i="118"/>
  <c r="K188" i="118"/>
  <c r="J188" i="118"/>
  <c r="I188" i="118"/>
  <c r="H188" i="118"/>
  <c r="G188" i="118"/>
  <c r="F188" i="118"/>
  <c r="E188" i="118"/>
  <c r="D188" i="118"/>
  <c r="Y187" i="118"/>
  <c r="X187" i="118"/>
  <c r="W187" i="118"/>
  <c r="V187" i="118"/>
  <c r="U187" i="118"/>
  <c r="T187" i="118"/>
  <c r="S187" i="118"/>
  <c r="R187" i="118"/>
  <c r="Q187" i="118"/>
  <c r="P187" i="118"/>
  <c r="O187" i="118"/>
  <c r="N187" i="118"/>
  <c r="M187" i="118"/>
  <c r="L187" i="118"/>
  <c r="K187" i="118"/>
  <c r="J187" i="118"/>
  <c r="I187" i="118"/>
  <c r="H187" i="118"/>
  <c r="G187" i="118"/>
  <c r="F187" i="118"/>
  <c r="E187" i="118"/>
  <c r="D187" i="118"/>
  <c r="Z187" i="118"/>
  <c r="Z188" i="118"/>
  <c r="Z189" i="118"/>
  <c r="P184" i="118"/>
  <c r="O184" i="118"/>
  <c r="N184" i="118"/>
  <c r="M184" i="118"/>
  <c r="L184" i="118"/>
  <c r="K184" i="118"/>
  <c r="J184" i="118"/>
  <c r="I184" i="118"/>
  <c r="H184" i="118"/>
  <c r="G184" i="118"/>
  <c r="F184" i="118"/>
  <c r="E184" i="118"/>
  <c r="D184" i="118"/>
  <c r="C184" i="118"/>
  <c r="P183" i="118"/>
  <c r="O183" i="118"/>
  <c r="N183" i="118"/>
  <c r="M183" i="118"/>
  <c r="L183" i="118"/>
  <c r="K183" i="118"/>
  <c r="J183" i="118"/>
  <c r="I183" i="118"/>
  <c r="H183" i="118"/>
  <c r="G183" i="118"/>
  <c r="F183" i="118"/>
  <c r="E183" i="118"/>
  <c r="D183" i="118"/>
  <c r="C183" i="118"/>
  <c r="P182" i="118"/>
  <c r="O182" i="118"/>
  <c r="N182" i="118"/>
  <c r="M182" i="118"/>
  <c r="L182" i="118"/>
  <c r="K182" i="118"/>
  <c r="J182" i="118"/>
  <c r="I182" i="118"/>
  <c r="H182" i="118"/>
  <c r="G182" i="118"/>
  <c r="F182" i="118"/>
  <c r="E182" i="118"/>
  <c r="D182" i="118"/>
  <c r="C182" i="118"/>
  <c r="P181" i="118"/>
  <c r="O181" i="118"/>
  <c r="N181" i="118"/>
  <c r="M181" i="118"/>
  <c r="L181" i="118"/>
  <c r="K181" i="118"/>
  <c r="J181" i="118"/>
  <c r="I181" i="118"/>
  <c r="H181" i="118"/>
  <c r="G181" i="118"/>
  <c r="F181" i="118"/>
  <c r="E181" i="118"/>
  <c r="D181" i="118"/>
  <c r="C181" i="118"/>
  <c r="Q184" i="118"/>
  <c r="Q183" i="118"/>
  <c r="Q182" i="118"/>
  <c r="Q181" i="118"/>
  <c r="R184" i="118"/>
  <c r="R183" i="118"/>
  <c r="R182" i="118"/>
  <c r="R181" i="118"/>
  <c r="S184" i="118"/>
  <c r="S183" i="118"/>
  <c r="S182" i="118"/>
  <c r="S181" i="118"/>
  <c r="T184" i="118"/>
  <c r="T183" i="118"/>
  <c r="T182" i="118"/>
  <c r="T181" i="118"/>
  <c r="U184" i="118"/>
  <c r="U183" i="118"/>
  <c r="U182" i="118"/>
  <c r="U181" i="118"/>
  <c r="V184" i="118"/>
  <c r="V183" i="118"/>
  <c r="V182" i="118"/>
  <c r="V181" i="118"/>
  <c r="W184" i="118"/>
  <c r="W183" i="118"/>
  <c r="W182" i="118"/>
  <c r="W181" i="118"/>
  <c r="X184" i="118"/>
  <c r="X183" i="118"/>
  <c r="X182" i="118"/>
  <c r="X181" i="118"/>
  <c r="Y184" i="118"/>
  <c r="Y183" i="118"/>
  <c r="Y182" i="118"/>
  <c r="Y181" i="118"/>
  <c r="J204" i="128" l="1"/>
  <c r="V203" i="9"/>
  <c r="V207" i="9"/>
  <c r="V208" i="9"/>
  <c r="J209" i="128"/>
  <c r="J208" i="128"/>
  <c r="BI164" i="118"/>
  <c r="BI167" i="118" s="1"/>
  <c r="J210" i="128"/>
  <c r="V209" i="9"/>
  <c r="I25" i="118"/>
  <c r="G25" i="118"/>
  <c r="E25" i="118"/>
  <c r="C25" i="118"/>
  <c r="J25" i="118"/>
  <c r="M25" i="118"/>
  <c r="N25" i="118"/>
  <c r="O25" i="118"/>
  <c r="P25" i="118"/>
  <c r="U25" i="118"/>
  <c r="V25" i="118"/>
  <c r="E159" i="118"/>
  <c r="F159" i="118"/>
  <c r="G159" i="118"/>
  <c r="G160" i="118" s="1"/>
  <c r="H159" i="118"/>
  <c r="I159" i="118"/>
  <c r="J159" i="118"/>
  <c r="K159" i="118"/>
  <c r="K160" i="118" s="1"/>
  <c r="L159" i="118"/>
  <c r="L160" i="118" s="1"/>
  <c r="M159" i="118"/>
  <c r="N159" i="118"/>
  <c r="O159" i="118"/>
  <c r="O160" i="118" s="1"/>
  <c r="P159" i="118"/>
  <c r="P160" i="118" s="1"/>
  <c r="Q159" i="118"/>
  <c r="R159" i="118"/>
  <c r="S159" i="118"/>
  <c r="S160" i="118" s="1"/>
  <c r="T159" i="118"/>
  <c r="T160" i="118" s="1"/>
  <c r="U159" i="118"/>
  <c r="V159" i="118"/>
  <c r="W159" i="118"/>
  <c r="W160" i="118" s="1"/>
  <c r="X159" i="118"/>
  <c r="Y159" i="118"/>
  <c r="E160" i="118"/>
  <c r="F160" i="118"/>
  <c r="H160" i="118"/>
  <c r="I160" i="118"/>
  <c r="J160" i="118"/>
  <c r="M160" i="118"/>
  <c r="N160" i="118"/>
  <c r="Q160" i="118"/>
  <c r="R160" i="118"/>
  <c r="U160" i="118"/>
  <c r="V160" i="118"/>
  <c r="X160" i="118"/>
  <c r="Y160" i="118"/>
  <c r="D160" i="118"/>
  <c r="D159" i="118"/>
  <c r="E148" i="118"/>
  <c r="E149" i="118" s="1"/>
  <c r="F148" i="118"/>
  <c r="G148" i="118"/>
  <c r="G149" i="118" s="1"/>
  <c r="H148" i="118"/>
  <c r="I148" i="118"/>
  <c r="J148" i="118"/>
  <c r="K148" i="118"/>
  <c r="K149" i="118" s="1"/>
  <c r="L148" i="118"/>
  <c r="M148" i="118"/>
  <c r="N148" i="118"/>
  <c r="O148" i="118"/>
  <c r="O149" i="118" s="1"/>
  <c r="P148" i="118"/>
  <c r="Q148" i="118"/>
  <c r="R148" i="118"/>
  <c r="S148" i="118"/>
  <c r="S149" i="118" s="1"/>
  <c r="T148" i="118"/>
  <c r="U148" i="118"/>
  <c r="V148" i="118"/>
  <c r="W148" i="118"/>
  <c r="W149" i="118" s="1"/>
  <c r="X148" i="118"/>
  <c r="Y148" i="118"/>
  <c r="F149" i="118"/>
  <c r="H149" i="118"/>
  <c r="I149" i="118"/>
  <c r="J149" i="118"/>
  <c r="L149" i="118"/>
  <c r="M149" i="118"/>
  <c r="N149" i="118"/>
  <c r="P149" i="118"/>
  <c r="Q149" i="118"/>
  <c r="R149" i="118"/>
  <c r="T149" i="118"/>
  <c r="U149" i="118"/>
  <c r="V149" i="118"/>
  <c r="X149" i="118"/>
  <c r="Y149" i="118"/>
  <c r="D149" i="118"/>
  <c r="D148" i="118"/>
  <c r="E137" i="118"/>
  <c r="E138" i="118" s="1"/>
  <c r="F137" i="118"/>
  <c r="G137" i="118"/>
  <c r="G138" i="118" s="1"/>
  <c r="H137" i="118"/>
  <c r="H138" i="118" s="1"/>
  <c r="I137" i="118"/>
  <c r="I138" i="118" s="1"/>
  <c r="J137" i="118"/>
  <c r="J138" i="118" s="1"/>
  <c r="K137" i="118"/>
  <c r="K138" i="118" s="1"/>
  <c r="L137" i="118"/>
  <c r="L138" i="118" s="1"/>
  <c r="M137" i="118"/>
  <c r="M138" i="118" s="1"/>
  <c r="N137" i="118"/>
  <c r="O137" i="118"/>
  <c r="O138" i="118" s="1"/>
  <c r="P137" i="118"/>
  <c r="P138" i="118" s="1"/>
  <c r="Q137" i="118"/>
  <c r="Q138" i="118" s="1"/>
  <c r="R137" i="118"/>
  <c r="S137" i="118"/>
  <c r="S138" i="118" s="1"/>
  <c r="T137" i="118"/>
  <c r="U137" i="118"/>
  <c r="U138" i="118" s="1"/>
  <c r="V137" i="118"/>
  <c r="W137" i="118"/>
  <c r="W138" i="118" s="1"/>
  <c r="X137" i="118"/>
  <c r="Y137" i="118"/>
  <c r="F138" i="118"/>
  <c r="N138" i="118"/>
  <c r="R138" i="118"/>
  <c r="T138" i="118"/>
  <c r="V138" i="118"/>
  <c r="X138" i="118"/>
  <c r="Y138" i="118"/>
  <c r="D138" i="118"/>
  <c r="D137" i="118"/>
  <c r="E126" i="118"/>
  <c r="E127" i="118" s="1"/>
  <c r="F126" i="118"/>
  <c r="G126" i="118"/>
  <c r="G127" i="118" s="1"/>
  <c r="H126" i="118"/>
  <c r="I126" i="118"/>
  <c r="I127" i="118" s="1"/>
  <c r="J126" i="118"/>
  <c r="J127" i="118" s="1"/>
  <c r="K126" i="118"/>
  <c r="K127" i="118" s="1"/>
  <c r="L126" i="118"/>
  <c r="M126" i="118"/>
  <c r="N126" i="118"/>
  <c r="O126" i="118"/>
  <c r="O127" i="118" s="1"/>
  <c r="P126" i="118"/>
  <c r="Q126" i="118"/>
  <c r="R126" i="118"/>
  <c r="S126" i="118"/>
  <c r="S127" i="118" s="1"/>
  <c r="T126" i="118"/>
  <c r="T127" i="118" s="1"/>
  <c r="U126" i="118"/>
  <c r="V126" i="118"/>
  <c r="W126" i="118"/>
  <c r="W127" i="118" s="1"/>
  <c r="X126" i="118"/>
  <c r="Y126" i="118"/>
  <c r="F127" i="118"/>
  <c r="H127" i="118"/>
  <c r="L127" i="118"/>
  <c r="M127" i="118"/>
  <c r="N127" i="118"/>
  <c r="P127" i="118"/>
  <c r="Q127" i="118"/>
  <c r="R127" i="118"/>
  <c r="U127" i="118"/>
  <c r="V127" i="118"/>
  <c r="X127" i="118"/>
  <c r="Y127" i="118"/>
  <c r="D127" i="118"/>
  <c r="D126" i="118"/>
  <c r="E115" i="118"/>
  <c r="F115" i="118"/>
  <c r="F116" i="118" s="1"/>
  <c r="G115" i="118"/>
  <c r="G116" i="118" s="1"/>
  <c r="H115" i="118"/>
  <c r="I115" i="118"/>
  <c r="I116" i="118" s="1"/>
  <c r="J115" i="118"/>
  <c r="K115" i="118"/>
  <c r="K116" i="118" s="1"/>
  <c r="L115" i="118"/>
  <c r="M115" i="118"/>
  <c r="M116" i="118" s="1"/>
  <c r="N115" i="118"/>
  <c r="O115" i="118"/>
  <c r="O116" i="118" s="1"/>
  <c r="P115" i="118"/>
  <c r="Q115" i="118"/>
  <c r="Q116" i="118" s="1"/>
  <c r="R115" i="118"/>
  <c r="R116" i="118" s="1"/>
  <c r="S115" i="118"/>
  <c r="S116" i="118" s="1"/>
  <c r="T115" i="118"/>
  <c r="U115" i="118"/>
  <c r="V115" i="118"/>
  <c r="W115" i="118"/>
  <c r="W116" i="118" s="1"/>
  <c r="X115" i="118"/>
  <c r="X116" i="118" s="1"/>
  <c r="Y115" i="118"/>
  <c r="Y116" i="118" s="1"/>
  <c r="E116" i="118"/>
  <c r="H116" i="118"/>
  <c r="J116" i="118"/>
  <c r="L116" i="118"/>
  <c r="N116" i="118"/>
  <c r="P116" i="118"/>
  <c r="T116" i="118"/>
  <c r="U116" i="118"/>
  <c r="V116" i="118"/>
  <c r="D116" i="118"/>
  <c r="D115" i="118"/>
  <c r="E104" i="118"/>
  <c r="F104" i="118"/>
  <c r="F105" i="118" s="1"/>
  <c r="G104" i="118"/>
  <c r="H104" i="118"/>
  <c r="H105" i="118" s="1"/>
  <c r="I104" i="118"/>
  <c r="J104" i="118"/>
  <c r="J105" i="118" s="1"/>
  <c r="K104" i="118"/>
  <c r="L104" i="118"/>
  <c r="L105" i="118" s="1"/>
  <c r="M104" i="118"/>
  <c r="N104" i="118"/>
  <c r="N105" i="118" s="1"/>
  <c r="O104" i="118"/>
  <c r="P104" i="118"/>
  <c r="P105" i="118" s="1"/>
  <c r="Q104" i="118"/>
  <c r="Q105" i="118" s="1"/>
  <c r="R104" i="118"/>
  <c r="S104" i="118"/>
  <c r="T104" i="118"/>
  <c r="T105" i="118" s="1"/>
  <c r="U104" i="118"/>
  <c r="V104" i="118"/>
  <c r="V105" i="118" s="1"/>
  <c r="W104" i="118"/>
  <c r="X104" i="118"/>
  <c r="X105" i="118" s="1"/>
  <c r="Y104" i="118"/>
  <c r="E105" i="118"/>
  <c r="G105" i="118"/>
  <c r="I105" i="118"/>
  <c r="K105" i="118"/>
  <c r="M105" i="118"/>
  <c r="O105" i="118"/>
  <c r="R105" i="118"/>
  <c r="S105" i="118"/>
  <c r="U105" i="118"/>
  <c r="W105" i="118"/>
  <c r="Y105" i="118"/>
  <c r="D105" i="118"/>
  <c r="D104" i="118"/>
  <c r="E93" i="118"/>
  <c r="E94" i="118" s="1"/>
  <c r="F93" i="118"/>
  <c r="F94" i="118" s="1"/>
  <c r="G93" i="118"/>
  <c r="H93" i="118"/>
  <c r="H94" i="118" s="1"/>
  <c r="I93" i="118"/>
  <c r="I94" i="118" s="1"/>
  <c r="J93" i="118"/>
  <c r="J94" i="118" s="1"/>
  <c r="K93" i="118"/>
  <c r="L93" i="118"/>
  <c r="M93" i="118"/>
  <c r="N93" i="118"/>
  <c r="N94" i="118" s="1"/>
  <c r="O93" i="118"/>
  <c r="P93" i="118"/>
  <c r="Q93" i="118"/>
  <c r="Q94" i="118" s="1"/>
  <c r="R93" i="118"/>
  <c r="R94" i="118" s="1"/>
  <c r="S93" i="118"/>
  <c r="S94" i="118" s="1"/>
  <c r="T93" i="118"/>
  <c r="U93" i="118"/>
  <c r="V93" i="118"/>
  <c r="V94" i="118" s="1"/>
  <c r="W93" i="118"/>
  <c r="W94" i="118" s="1"/>
  <c r="X93" i="118"/>
  <c r="X94" i="118" s="1"/>
  <c r="Y93" i="118"/>
  <c r="Y94" i="118" s="1"/>
  <c r="G94" i="118"/>
  <c r="K94" i="118"/>
  <c r="L94" i="118"/>
  <c r="M94" i="118"/>
  <c r="O94" i="118"/>
  <c r="P94" i="118"/>
  <c r="T94" i="118"/>
  <c r="U94" i="118"/>
  <c r="D94" i="118"/>
  <c r="D93" i="118"/>
  <c r="E82" i="118"/>
  <c r="E83" i="118" s="1"/>
  <c r="F82" i="118"/>
  <c r="F83" i="118" s="1"/>
  <c r="G82" i="118"/>
  <c r="H82" i="118"/>
  <c r="H83" i="118" s="1"/>
  <c r="I82" i="118"/>
  <c r="I83" i="118" s="1"/>
  <c r="J82" i="118"/>
  <c r="J83" i="118" s="1"/>
  <c r="K82" i="118"/>
  <c r="L82" i="118"/>
  <c r="M82" i="118"/>
  <c r="N82" i="118"/>
  <c r="O82" i="118"/>
  <c r="P82" i="118"/>
  <c r="Q82" i="118"/>
  <c r="R82" i="118"/>
  <c r="S82" i="118"/>
  <c r="T82" i="118"/>
  <c r="U82" i="118"/>
  <c r="V82" i="118"/>
  <c r="V83" i="118" s="1"/>
  <c r="W82" i="118"/>
  <c r="W83" i="118" s="1"/>
  <c r="X82" i="118"/>
  <c r="Y82" i="118"/>
  <c r="Y83" i="118" s="1"/>
  <c r="G83" i="118"/>
  <c r="K83" i="118"/>
  <c r="L83" i="118"/>
  <c r="M83" i="118"/>
  <c r="N83" i="118"/>
  <c r="O83" i="118"/>
  <c r="P83" i="118"/>
  <c r="Q83" i="118"/>
  <c r="R83" i="118"/>
  <c r="S83" i="118"/>
  <c r="T83" i="118"/>
  <c r="U83" i="118"/>
  <c r="X83" i="118"/>
  <c r="D83" i="118"/>
  <c r="D82" i="118"/>
  <c r="E71" i="118"/>
  <c r="E72" i="118" s="1"/>
  <c r="F71" i="118"/>
  <c r="F72" i="118" s="1"/>
  <c r="G71" i="118"/>
  <c r="H71" i="118"/>
  <c r="H72" i="118" s="1"/>
  <c r="I71" i="118"/>
  <c r="I72" i="118" s="1"/>
  <c r="J71" i="118"/>
  <c r="J72" i="118" s="1"/>
  <c r="K71" i="118"/>
  <c r="L71" i="118"/>
  <c r="L72" i="118" s="1"/>
  <c r="M71" i="118"/>
  <c r="M72" i="118" s="1"/>
  <c r="N71" i="118"/>
  <c r="N72" i="118" s="1"/>
  <c r="O71" i="118"/>
  <c r="O72" i="118" s="1"/>
  <c r="P71" i="118"/>
  <c r="P72" i="118" s="1"/>
  <c r="Q71" i="118"/>
  <c r="R71" i="118"/>
  <c r="R72" i="118" s="1"/>
  <c r="S71" i="118"/>
  <c r="S72" i="118" s="1"/>
  <c r="T71" i="118"/>
  <c r="T72" i="118" s="1"/>
  <c r="U71" i="118"/>
  <c r="V71" i="118"/>
  <c r="V72" i="118" s="1"/>
  <c r="W71" i="118"/>
  <c r="X71" i="118"/>
  <c r="X72" i="118" s="1"/>
  <c r="Y71" i="118"/>
  <c r="G72" i="118"/>
  <c r="K72" i="118"/>
  <c r="Q72" i="118"/>
  <c r="U72" i="118"/>
  <c r="W72" i="118"/>
  <c r="Y72" i="118"/>
  <c r="D72" i="118"/>
  <c r="D71" i="118"/>
  <c r="E60" i="118"/>
  <c r="F60" i="118"/>
  <c r="G60" i="118"/>
  <c r="G61" i="118" s="1"/>
  <c r="H60" i="118"/>
  <c r="I60" i="118"/>
  <c r="J60" i="118"/>
  <c r="K60" i="118"/>
  <c r="K61" i="118" s="1"/>
  <c r="L60" i="118"/>
  <c r="L61" i="118" s="1"/>
  <c r="M60" i="118"/>
  <c r="M61" i="118" s="1"/>
  <c r="N60" i="118"/>
  <c r="O60" i="118"/>
  <c r="O61" i="118" s="1"/>
  <c r="P60" i="118"/>
  <c r="Q60" i="118"/>
  <c r="R60" i="118"/>
  <c r="S60" i="118"/>
  <c r="S61" i="118" s="1"/>
  <c r="T60" i="118"/>
  <c r="U60" i="118"/>
  <c r="U61" i="118" s="1"/>
  <c r="V60" i="118"/>
  <c r="V61" i="118" s="1"/>
  <c r="W60" i="118"/>
  <c r="W61" i="118" s="1"/>
  <c r="X60" i="118"/>
  <c r="Y60" i="118"/>
  <c r="E61" i="118"/>
  <c r="F61" i="118"/>
  <c r="H61" i="118"/>
  <c r="I61" i="118"/>
  <c r="J61" i="118"/>
  <c r="N61" i="118"/>
  <c r="P61" i="118"/>
  <c r="Q61" i="118"/>
  <c r="R61" i="118"/>
  <c r="T61" i="118"/>
  <c r="X61" i="118"/>
  <c r="Y61" i="118"/>
  <c r="D61" i="118"/>
  <c r="D60" i="118"/>
  <c r="E49" i="118"/>
  <c r="E50" i="118" s="1"/>
  <c r="F49" i="118"/>
  <c r="G49" i="118"/>
  <c r="G50" i="118" s="1"/>
  <c r="H49" i="118"/>
  <c r="I49" i="118"/>
  <c r="I50" i="118" s="1"/>
  <c r="J49" i="118"/>
  <c r="J50" i="118" s="1"/>
  <c r="K49" i="118"/>
  <c r="K50" i="118" s="1"/>
  <c r="L49" i="118"/>
  <c r="M49" i="118"/>
  <c r="N49" i="118"/>
  <c r="O49" i="118"/>
  <c r="O50" i="118" s="1"/>
  <c r="P49" i="118"/>
  <c r="Q49" i="118"/>
  <c r="R49" i="118"/>
  <c r="S49" i="118"/>
  <c r="S50" i="118" s="1"/>
  <c r="T49" i="118"/>
  <c r="T50" i="118" s="1"/>
  <c r="U49" i="118"/>
  <c r="V49" i="118"/>
  <c r="V50" i="118" s="1"/>
  <c r="W49" i="118"/>
  <c r="W50" i="118" s="1"/>
  <c r="X49" i="118"/>
  <c r="Y49" i="118"/>
  <c r="Y50" i="118" s="1"/>
  <c r="F50" i="118"/>
  <c r="H50" i="118"/>
  <c r="L50" i="118"/>
  <c r="M50" i="118"/>
  <c r="N50" i="118"/>
  <c r="P50" i="118"/>
  <c r="Q50" i="118"/>
  <c r="R50" i="118"/>
  <c r="U50" i="118"/>
  <c r="X50" i="118"/>
  <c r="D50" i="118"/>
  <c r="D49" i="118"/>
  <c r="C61" i="118"/>
  <c r="C186" i="118"/>
  <c r="D186" i="118"/>
  <c r="E186" i="118"/>
  <c r="F186" i="118"/>
  <c r="G186" i="118"/>
  <c r="H186" i="118"/>
  <c r="I186" i="118"/>
  <c r="J186" i="118"/>
  <c r="K186" i="118"/>
  <c r="L186" i="118"/>
  <c r="M186" i="118"/>
  <c r="N186" i="118"/>
  <c r="O186" i="118"/>
  <c r="P186" i="118"/>
  <c r="Q186" i="118"/>
  <c r="R186" i="118"/>
  <c r="S186" i="118"/>
  <c r="T186" i="118"/>
  <c r="U186" i="118"/>
  <c r="V186" i="118"/>
  <c r="W186" i="118"/>
  <c r="X186" i="118"/>
  <c r="Y186" i="118"/>
  <c r="C180" i="118"/>
  <c r="D180" i="118"/>
  <c r="E180" i="118"/>
  <c r="F180" i="118"/>
  <c r="G180" i="118"/>
  <c r="H180" i="118"/>
  <c r="I180" i="118"/>
  <c r="J180" i="118"/>
  <c r="K180" i="118"/>
  <c r="L180" i="118"/>
  <c r="M180" i="118"/>
  <c r="N180" i="118"/>
  <c r="O180" i="118"/>
  <c r="P180" i="118"/>
  <c r="Q180" i="118"/>
  <c r="R180" i="118"/>
  <c r="S180" i="118"/>
  <c r="T180" i="118"/>
  <c r="U180" i="118"/>
  <c r="V180" i="118"/>
  <c r="W180" i="118"/>
  <c r="X180" i="118"/>
  <c r="Y180" i="118"/>
  <c r="C174" i="118"/>
  <c r="D174" i="118"/>
  <c r="E174" i="118"/>
  <c r="F174" i="118"/>
  <c r="G174" i="118"/>
  <c r="H174" i="118"/>
  <c r="I174" i="118"/>
  <c r="J174" i="118"/>
  <c r="K174" i="118"/>
  <c r="L174" i="118"/>
  <c r="M174" i="118"/>
  <c r="N174" i="118"/>
  <c r="O174" i="118"/>
  <c r="P174" i="118"/>
  <c r="Q174" i="118"/>
  <c r="R174" i="118"/>
  <c r="S174" i="118"/>
  <c r="T174" i="118"/>
  <c r="U174" i="118"/>
  <c r="V174" i="118"/>
  <c r="W174" i="118"/>
  <c r="X174" i="118"/>
  <c r="Y174" i="118"/>
  <c r="C169" i="118"/>
  <c r="D169" i="118"/>
  <c r="E169" i="118"/>
  <c r="F169" i="118"/>
  <c r="G169" i="118"/>
  <c r="H169" i="118"/>
  <c r="I169" i="118"/>
  <c r="J169" i="118"/>
  <c r="K169" i="118"/>
  <c r="L169" i="118"/>
  <c r="M169" i="118"/>
  <c r="N169" i="118"/>
  <c r="O169" i="118"/>
  <c r="P169" i="118"/>
  <c r="Q169" i="118"/>
  <c r="R169" i="118"/>
  <c r="S169" i="118"/>
  <c r="T169" i="118"/>
  <c r="U169" i="118"/>
  <c r="V169" i="118"/>
  <c r="W169" i="118"/>
  <c r="X169" i="118"/>
  <c r="Y169" i="118"/>
  <c r="C163" i="118"/>
  <c r="D163" i="118"/>
  <c r="E163" i="118"/>
  <c r="F163" i="118"/>
  <c r="G163" i="118"/>
  <c r="H163" i="118"/>
  <c r="I163" i="118"/>
  <c r="J163" i="118"/>
  <c r="K163" i="118"/>
  <c r="L163" i="118"/>
  <c r="M163" i="118"/>
  <c r="N163" i="118"/>
  <c r="O163" i="118"/>
  <c r="P163" i="118"/>
  <c r="Q163" i="118"/>
  <c r="R163" i="118"/>
  <c r="S163" i="118"/>
  <c r="T163" i="118"/>
  <c r="U163" i="118"/>
  <c r="V163" i="118"/>
  <c r="W163" i="118"/>
  <c r="X163" i="118"/>
  <c r="Y163" i="118"/>
  <c r="C158" i="118"/>
  <c r="D158" i="118"/>
  <c r="E158" i="118"/>
  <c r="F158" i="118"/>
  <c r="G158" i="118"/>
  <c r="H158" i="118"/>
  <c r="I158" i="118"/>
  <c r="J158" i="118"/>
  <c r="K158" i="118"/>
  <c r="L158" i="118"/>
  <c r="M158" i="118"/>
  <c r="N158" i="118"/>
  <c r="O158" i="118"/>
  <c r="P158" i="118"/>
  <c r="Q158" i="118"/>
  <c r="R158" i="118"/>
  <c r="S158" i="118"/>
  <c r="T158" i="118"/>
  <c r="U158" i="118"/>
  <c r="V158" i="118"/>
  <c r="W158" i="118"/>
  <c r="X158" i="118"/>
  <c r="Y158" i="118"/>
  <c r="C152" i="118"/>
  <c r="D152" i="118"/>
  <c r="E152" i="118"/>
  <c r="F152" i="118"/>
  <c r="G152" i="118"/>
  <c r="H152" i="118"/>
  <c r="I152" i="118"/>
  <c r="J152" i="118"/>
  <c r="K152" i="118"/>
  <c r="L152" i="118"/>
  <c r="M152" i="118"/>
  <c r="N152" i="118"/>
  <c r="O152" i="118"/>
  <c r="P152" i="118"/>
  <c r="Q152" i="118"/>
  <c r="R152" i="118"/>
  <c r="S152" i="118"/>
  <c r="T152" i="118"/>
  <c r="U152" i="118"/>
  <c r="V152" i="118"/>
  <c r="W152" i="118"/>
  <c r="X152" i="118"/>
  <c r="Y152" i="118"/>
  <c r="C147" i="118"/>
  <c r="D147" i="118"/>
  <c r="E147" i="118"/>
  <c r="F147" i="118"/>
  <c r="G147" i="118"/>
  <c r="H147" i="118"/>
  <c r="I147" i="118"/>
  <c r="J147" i="118"/>
  <c r="K147" i="118"/>
  <c r="L147" i="118"/>
  <c r="M147" i="118"/>
  <c r="N147" i="118"/>
  <c r="O147" i="118"/>
  <c r="P147" i="118"/>
  <c r="Q147" i="118"/>
  <c r="R147" i="118"/>
  <c r="S147" i="118"/>
  <c r="T147" i="118"/>
  <c r="U147" i="118"/>
  <c r="V147" i="118"/>
  <c r="W147" i="118"/>
  <c r="X147" i="118"/>
  <c r="Y147" i="118"/>
  <c r="C141" i="118"/>
  <c r="D141" i="118"/>
  <c r="E141" i="118"/>
  <c r="F141" i="118"/>
  <c r="G141" i="118"/>
  <c r="H141" i="118"/>
  <c r="I141" i="118"/>
  <c r="J141" i="118"/>
  <c r="K141" i="118"/>
  <c r="L141" i="118"/>
  <c r="M141" i="118"/>
  <c r="N141" i="118"/>
  <c r="O141" i="118"/>
  <c r="P141" i="118"/>
  <c r="Q141" i="118"/>
  <c r="R141" i="118"/>
  <c r="S141" i="118"/>
  <c r="T141" i="118"/>
  <c r="U141" i="118"/>
  <c r="V141" i="118"/>
  <c r="W141" i="118"/>
  <c r="X141" i="118"/>
  <c r="Y141" i="118"/>
  <c r="C136" i="118"/>
  <c r="D136" i="118"/>
  <c r="E136" i="118"/>
  <c r="F136" i="118"/>
  <c r="G136" i="118"/>
  <c r="H136" i="118"/>
  <c r="I136" i="118"/>
  <c r="J136" i="118"/>
  <c r="K136" i="118"/>
  <c r="L136" i="118"/>
  <c r="M136" i="118"/>
  <c r="N136" i="118"/>
  <c r="O136" i="118"/>
  <c r="P136" i="118"/>
  <c r="Q136" i="118"/>
  <c r="R136" i="118"/>
  <c r="S136" i="118"/>
  <c r="T136" i="118"/>
  <c r="U136" i="118"/>
  <c r="V136" i="118"/>
  <c r="W136" i="118"/>
  <c r="X136" i="118"/>
  <c r="Y136" i="118"/>
  <c r="C130" i="118"/>
  <c r="D130" i="118"/>
  <c r="E130" i="118"/>
  <c r="F130" i="118"/>
  <c r="G130" i="118"/>
  <c r="H130" i="118"/>
  <c r="I130" i="118"/>
  <c r="J130" i="118"/>
  <c r="K130" i="118"/>
  <c r="L130" i="118"/>
  <c r="M130" i="118"/>
  <c r="N130" i="118"/>
  <c r="O130" i="118"/>
  <c r="P130" i="118"/>
  <c r="Q130" i="118"/>
  <c r="R130" i="118"/>
  <c r="S130" i="118"/>
  <c r="T130" i="118"/>
  <c r="U130" i="118"/>
  <c r="V130" i="118"/>
  <c r="W130" i="118"/>
  <c r="X130" i="118"/>
  <c r="Y130" i="118"/>
  <c r="C125" i="118"/>
  <c r="D125" i="118"/>
  <c r="E125" i="118"/>
  <c r="F125" i="118"/>
  <c r="G125" i="118"/>
  <c r="H125" i="118"/>
  <c r="I125" i="118"/>
  <c r="J125" i="118"/>
  <c r="K125" i="118"/>
  <c r="L125" i="118"/>
  <c r="M125" i="118"/>
  <c r="N125" i="118"/>
  <c r="O125" i="118"/>
  <c r="P125" i="118"/>
  <c r="Q125" i="118"/>
  <c r="R125" i="118"/>
  <c r="S125" i="118"/>
  <c r="T125" i="118"/>
  <c r="U125" i="118"/>
  <c r="V125" i="118"/>
  <c r="W125" i="118"/>
  <c r="X125" i="118"/>
  <c r="Y125" i="118"/>
  <c r="C119" i="118"/>
  <c r="D119" i="118"/>
  <c r="E119" i="118"/>
  <c r="F119" i="118"/>
  <c r="G119" i="118"/>
  <c r="H119" i="118"/>
  <c r="I119" i="118"/>
  <c r="J119" i="118"/>
  <c r="K119" i="118"/>
  <c r="L119" i="118"/>
  <c r="M119" i="118"/>
  <c r="N119" i="118"/>
  <c r="O119" i="118"/>
  <c r="P119" i="118"/>
  <c r="Q119" i="118"/>
  <c r="R119" i="118"/>
  <c r="S119" i="118"/>
  <c r="T119" i="118"/>
  <c r="U119" i="118"/>
  <c r="V119" i="118"/>
  <c r="W119" i="118"/>
  <c r="X119" i="118"/>
  <c r="Y119" i="118"/>
  <c r="C114" i="118"/>
  <c r="D114" i="118"/>
  <c r="E114" i="118"/>
  <c r="F114" i="118"/>
  <c r="G114" i="118"/>
  <c r="H114" i="118"/>
  <c r="I114" i="118"/>
  <c r="J114" i="118"/>
  <c r="K114" i="118"/>
  <c r="L114" i="118"/>
  <c r="M114" i="118"/>
  <c r="N114" i="118"/>
  <c r="O114" i="118"/>
  <c r="P114" i="118"/>
  <c r="Q114" i="118"/>
  <c r="R114" i="118"/>
  <c r="S114" i="118"/>
  <c r="T114" i="118"/>
  <c r="U114" i="118"/>
  <c r="V114" i="118"/>
  <c r="W114" i="118"/>
  <c r="X114" i="118"/>
  <c r="Y114" i="118"/>
  <c r="C108" i="118"/>
  <c r="D108" i="118"/>
  <c r="E108" i="118"/>
  <c r="F108" i="118"/>
  <c r="G108" i="118"/>
  <c r="H108" i="118"/>
  <c r="I108" i="118"/>
  <c r="J108" i="118"/>
  <c r="K108" i="118"/>
  <c r="L108" i="118"/>
  <c r="M108" i="118"/>
  <c r="N108" i="118"/>
  <c r="O108" i="118"/>
  <c r="P108" i="118"/>
  <c r="Q108" i="118"/>
  <c r="R108" i="118"/>
  <c r="S108" i="118"/>
  <c r="T108" i="118"/>
  <c r="U108" i="118"/>
  <c r="V108" i="118"/>
  <c r="W108" i="118"/>
  <c r="X108" i="118"/>
  <c r="Y108" i="118"/>
  <c r="C103" i="118"/>
  <c r="D103" i="118"/>
  <c r="E103" i="118"/>
  <c r="F103" i="118"/>
  <c r="G103" i="118"/>
  <c r="H103" i="118"/>
  <c r="I103" i="118"/>
  <c r="J103" i="118"/>
  <c r="K103" i="118"/>
  <c r="L103" i="118"/>
  <c r="M103" i="118"/>
  <c r="N103" i="118"/>
  <c r="O103" i="118"/>
  <c r="P103" i="118"/>
  <c r="Q103" i="118"/>
  <c r="R103" i="118"/>
  <c r="S103" i="118"/>
  <c r="T103" i="118"/>
  <c r="U103" i="118"/>
  <c r="V103" i="118"/>
  <c r="W103" i="118"/>
  <c r="X103" i="118"/>
  <c r="Y103" i="118"/>
  <c r="C97" i="118"/>
  <c r="D97" i="118"/>
  <c r="E97" i="118"/>
  <c r="F97" i="118"/>
  <c r="G97" i="118"/>
  <c r="H97" i="118"/>
  <c r="I97" i="118"/>
  <c r="J97" i="118"/>
  <c r="K97" i="118"/>
  <c r="L97" i="118"/>
  <c r="M97" i="118"/>
  <c r="N97" i="118"/>
  <c r="O97" i="118"/>
  <c r="P97" i="118"/>
  <c r="Q97" i="118"/>
  <c r="R97" i="118"/>
  <c r="S97" i="118"/>
  <c r="T97" i="118"/>
  <c r="U97" i="118"/>
  <c r="V97" i="118"/>
  <c r="W97" i="118"/>
  <c r="X97" i="118"/>
  <c r="Y97" i="118"/>
  <c r="C92" i="118"/>
  <c r="D92" i="118"/>
  <c r="E92" i="118"/>
  <c r="F92" i="118"/>
  <c r="G92" i="118"/>
  <c r="H92" i="118"/>
  <c r="I92" i="118"/>
  <c r="J92" i="118"/>
  <c r="K92" i="118"/>
  <c r="L92" i="118"/>
  <c r="M92" i="118"/>
  <c r="N92" i="118"/>
  <c r="O92" i="118"/>
  <c r="P92" i="118"/>
  <c r="Q92" i="118"/>
  <c r="R92" i="118"/>
  <c r="S92" i="118"/>
  <c r="T92" i="118"/>
  <c r="U92" i="118"/>
  <c r="V92" i="118"/>
  <c r="W92" i="118"/>
  <c r="X92" i="118"/>
  <c r="Y92" i="118"/>
  <c r="C86" i="118"/>
  <c r="D86" i="118"/>
  <c r="E86" i="118"/>
  <c r="F86" i="118"/>
  <c r="G86" i="118"/>
  <c r="H86" i="118"/>
  <c r="I86" i="118"/>
  <c r="J86" i="118"/>
  <c r="K86" i="118"/>
  <c r="L86" i="118"/>
  <c r="M86" i="118"/>
  <c r="N86" i="118"/>
  <c r="O86" i="118"/>
  <c r="P86" i="118"/>
  <c r="Q86" i="118"/>
  <c r="R86" i="118"/>
  <c r="S86" i="118"/>
  <c r="T86" i="118"/>
  <c r="U86" i="118"/>
  <c r="V86" i="118"/>
  <c r="W86" i="118"/>
  <c r="X86" i="118"/>
  <c r="Y86" i="118"/>
  <c r="C81" i="118"/>
  <c r="D81" i="118"/>
  <c r="E81" i="118"/>
  <c r="F81" i="118"/>
  <c r="G81" i="118"/>
  <c r="H81" i="118"/>
  <c r="I81" i="118"/>
  <c r="J81" i="118"/>
  <c r="K81" i="118"/>
  <c r="L81" i="118"/>
  <c r="M81" i="118"/>
  <c r="N81" i="118"/>
  <c r="O81" i="118"/>
  <c r="P81" i="118"/>
  <c r="Q81" i="118"/>
  <c r="R81" i="118"/>
  <c r="S81" i="118"/>
  <c r="T81" i="118"/>
  <c r="U81" i="118"/>
  <c r="V81" i="118"/>
  <c r="W81" i="118"/>
  <c r="X81" i="118"/>
  <c r="Y81" i="118"/>
  <c r="C75" i="118"/>
  <c r="D75" i="118"/>
  <c r="E75" i="118"/>
  <c r="F75" i="118"/>
  <c r="G75" i="118"/>
  <c r="H75" i="118"/>
  <c r="I75" i="118"/>
  <c r="J75" i="118"/>
  <c r="K75" i="118"/>
  <c r="L75" i="118"/>
  <c r="M75" i="118"/>
  <c r="N75" i="118"/>
  <c r="O75" i="118"/>
  <c r="P75" i="118"/>
  <c r="Q75" i="118"/>
  <c r="R75" i="118"/>
  <c r="S75" i="118"/>
  <c r="T75" i="118"/>
  <c r="U75" i="118"/>
  <c r="V75" i="118"/>
  <c r="W75" i="118"/>
  <c r="X75" i="118"/>
  <c r="Y75" i="118"/>
  <c r="C70" i="118"/>
  <c r="D70" i="118"/>
  <c r="E70" i="118"/>
  <c r="F70" i="118"/>
  <c r="G70" i="118"/>
  <c r="H70" i="118"/>
  <c r="I70" i="118"/>
  <c r="J70" i="118"/>
  <c r="K70" i="118"/>
  <c r="L70" i="118"/>
  <c r="M70" i="118"/>
  <c r="N70" i="118"/>
  <c r="O70" i="118"/>
  <c r="P70" i="118"/>
  <c r="Q70" i="118"/>
  <c r="R70" i="118"/>
  <c r="S70" i="118"/>
  <c r="T70" i="118"/>
  <c r="U70" i="118"/>
  <c r="V70" i="118"/>
  <c r="W70" i="118"/>
  <c r="X70" i="118"/>
  <c r="Y70" i="118"/>
  <c r="C64" i="118"/>
  <c r="D64" i="118"/>
  <c r="E64" i="118"/>
  <c r="F64" i="118"/>
  <c r="G64" i="118"/>
  <c r="H64" i="118"/>
  <c r="I64" i="118"/>
  <c r="J64" i="118"/>
  <c r="K64" i="118"/>
  <c r="L64" i="118"/>
  <c r="M64" i="118"/>
  <c r="N64" i="118"/>
  <c r="O64" i="118"/>
  <c r="P64" i="118"/>
  <c r="Q64" i="118"/>
  <c r="R64" i="118"/>
  <c r="S64" i="118"/>
  <c r="T64" i="118"/>
  <c r="U64" i="118"/>
  <c r="V64" i="118"/>
  <c r="W64" i="118"/>
  <c r="X64" i="118"/>
  <c r="Y64" i="118"/>
  <c r="C59" i="118"/>
  <c r="D59" i="118"/>
  <c r="E59" i="118"/>
  <c r="F59" i="118"/>
  <c r="G59" i="118"/>
  <c r="H59" i="118"/>
  <c r="I59" i="118"/>
  <c r="J59" i="118"/>
  <c r="K59" i="118"/>
  <c r="L59" i="118"/>
  <c r="M59" i="118"/>
  <c r="N59" i="118"/>
  <c r="O59" i="118"/>
  <c r="P59" i="118"/>
  <c r="Q59" i="118"/>
  <c r="R59" i="118"/>
  <c r="S59" i="118"/>
  <c r="T59" i="118"/>
  <c r="U59" i="118"/>
  <c r="V59" i="118"/>
  <c r="W59" i="118"/>
  <c r="X59" i="118"/>
  <c r="Y59" i="118"/>
  <c r="C53" i="118"/>
  <c r="D53" i="118"/>
  <c r="E53" i="118"/>
  <c r="F53" i="118"/>
  <c r="G53" i="118"/>
  <c r="H53" i="118"/>
  <c r="I53" i="118"/>
  <c r="J53" i="118"/>
  <c r="K53" i="118"/>
  <c r="L53" i="118"/>
  <c r="M53" i="118"/>
  <c r="N53" i="118"/>
  <c r="O53" i="118"/>
  <c r="P53" i="118"/>
  <c r="Q53" i="118"/>
  <c r="R53" i="118"/>
  <c r="S53" i="118"/>
  <c r="T53" i="118"/>
  <c r="U53" i="118"/>
  <c r="V53" i="118"/>
  <c r="W53" i="118"/>
  <c r="X53" i="118"/>
  <c r="Y53" i="118"/>
  <c r="C48" i="118"/>
  <c r="D48" i="118"/>
  <c r="E48" i="118"/>
  <c r="F48" i="118"/>
  <c r="G48" i="118"/>
  <c r="H48" i="118"/>
  <c r="I48" i="118"/>
  <c r="J48" i="118"/>
  <c r="K48" i="118"/>
  <c r="L48" i="118"/>
  <c r="M48" i="118"/>
  <c r="N48" i="118"/>
  <c r="O48" i="118"/>
  <c r="P48" i="118"/>
  <c r="Q48" i="118"/>
  <c r="R48" i="118"/>
  <c r="S48" i="118"/>
  <c r="T48" i="118"/>
  <c r="U48" i="118"/>
  <c r="V48" i="118"/>
  <c r="W48" i="118"/>
  <c r="X48" i="118"/>
  <c r="Y48" i="118"/>
  <c r="B186" i="118"/>
  <c r="B180" i="118"/>
  <c r="B174" i="118"/>
  <c r="B169" i="118"/>
  <c r="B163" i="118"/>
  <c r="B158" i="118"/>
  <c r="B152" i="118"/>
  <c r="B147" i="118"/>
  <c r="B141" i="118"/>
  <c r="B136" i="118"/>
  <c r="B130" i="118"/>
  <c r="B125" i="118"/>
  <c r="B119" i="118"/>
  <c r="B114" i="118"/>
  <c r="B108" i="118"/>
  <c r="B103" i="118"/>
  <c r="B97" i="118"/>
  <c r="B92" i="118"/>
  <c r="B86" i="118"/>
  <c r="B81" i="118"/>
  <c r="B75" i="118"/>
  <c r="B70" i="118"/>
  <c r="B64" i="118"/>
  <c r="B59" i="118"/>
  <c r="B53" i="118"/>
  <c r="B48" i="118"/>
  <c r="C160" i="118"/>
  <c r="C149" i="118"/>
  <c r="C138" i="118"/>
  <c r="C127" i="118"/>
  <c r="C116" i="118"/>
  <c r="C105" i="118"/>
  <c r="C94" i="118"/>
  <c r="C83" i="118"/>
  <c r="C72" i="118"/>
  <c r="C50" i="118"/>
  <c r="D142" i="118"/>
  <c r="D145" i="118" s="1"/>
  <c r="E142" i="118" s="1"/>
  <c r="E145" i="118" s="1"/>
  <c r="F142" i="118" s="1"/>
  <c r="F145" i="118" s="1"/>
  <c r="G142" i="118" s="1"/>
  <c r="G145" i="118" s="1"/>
  <c r="H142" i="118" s="1"/>
  <c r="H145" i="118" s="1"/>
  <c r="I142" i="118" s="1"/>
  <c r="I145" i="118" s="1"/>
  <c r="J142" i="118" s="1"/>
  <c r="J145" i="118" s="1"/>
  <c r="K142" i="118" s="1"/>
  <c r="K145" i="118" s="1"/>
  <c r="L142" i="118" s="1"/>
  <c r="L145" i="118" s="1"/>
  <c r="M142" i="118" s="1"/>
  <c r="M145" i="118" s="1"/>
  <c r="N142" i="118" s="1"/>
  <c r="N145" i="118" s="1"/>
  <c r="O142" i="118" s="1"/>
  <c r="O145" i="118" s="1"/>
  <c r="P142" i="118" s="1"/>
  <c r="P145" i="118" s="1"/>
  <c r="Q142" i="118" s="1"/>
  <c r="Q145" i="118" s="1"/>
  <c r="R142" i="118" s="1"/>
  <c r="R145" i="118" s="1"/>
  <c r="S142" i="118" s="1"/>
  <c r="S145" i="118" s="1"/>
  <c r="T142" i="118" s="1"/>
  <c r="T145" i="118" s="1"/>
  <c r="U142" i="118" s="1"/>
  <c r="U145" i="118" s="1"/>
  <c r="V142" i="118" s="1"/>
  <c r="V145" i="118" s="1"/>
  <c r="W142" i="118" s="1"/>
  <c r="W145" i="118" s="1"/>
  <c r="X142" i="118" s="1"/>
  <c r="X145" i="118" s="1"/>
  <c r="Y142" i="118" s="1"/>
  <c r="Y145" i="118" s="1"/>
  <c r="B156" i="118"/>
  <c r="C153" i="118"/>
  <c r="C156" i="118" s="1"/>
  <c r="D153" i="118" s="1"/>
  <c r="D156" i="118" s="1"/>
  <c r="E153" i="118" s="1"/>
  <c r="E156" i="118" s="1"/>
  <c r="F153" i="118" s="1"/>
  <c r="F156" i="118" s="1"/>
  <c r="G153" i="118" s="1"/>
  <c r="G156" i="118" s="1"/>
  <c r="H153" i="118" s="1"/>
  <c r="H156" i="118" s="1"/>
  <c r="I153" i="118" s="1"/>
  <c r="I156" i="118" s="1"/>
  <c r="J153" i="118" s="1"/>
  <c r="J156" i="118" s="1"/>
  <c r="K153" i="118" s="1"/>
  <c r="K156" i="118" s="1"/>
  <c r="L153" i="118" s="1"/>
  <c r="L156" i="118" s="1"/>
  <c r="M153" i="118" s="1"/>
  <c r="M156" i="118" s="1"/>
  <c r="N153" i="118" s="1"/>
  <c r="N156" i="118" s="1"/>
  <c r="O153" i="118" s="1"/>
  <c r="O156" i="118" s="1"/>
  <c r="P153" i="118" s="1"/>
  <c r="P156" i="118" s="1"/>
  <c r="Q153" i="118" s="1"/>
  <c r="Q156" i="118" s="1"/>
  <c r="R153" i="118" s="1"/>
  <c r="R156" i="118" s="1"/>
  <c r="S153" i="118" s="1"/>
  <c r="S156" i="118" s="1"/>
  <c r="T153" i="118" s="1"/>
  <c r="T156" i="118" s="1"/>
  <c r="U153" i="118" s="1"/>
  <c r="U156" i="118" s="1"/>
  <c r="V153" i="118" s="1"/>
  <c r="V156" i="118" s="1"/>
  <c r="W153" i="118" s="1"/>
  <c r="W156" i="118" s="1"/>
  <c r="X153" i="118" s="1"/>
  <c r="X156" i="118" s="1"/>
  <c r="Y153" i="118" s="1"/>
  <c r="Y156" i="118" s="1"/>
  <c r="B145" i="118"/>
  <c r="C142" i="118" s="1"/>
  <c r="C145" i="118" s="1"/>
  <c r="C134" i="118"/>
  <c r="D131" i="118" s="1"/>
  <c r="D134" i="118" s="1"/>
  <c r="E131" i="118" s="1"/>
  <c r="E134" i="118" s="1"/>
  <c r="F131" i="118" s="1"/>
  <c r="F134" i="118" s="1"/>
  <c r="G131" i="118" s="1"/>
  <c r="G134" i="118" s="1"/>
  <c r="H131" i="118" s="1"/>
  <c r="H134" i="118" s="1"/>
  <c r="I131" i="118" s="1"/>
  <c r="I134" i="118" s="1"/>
  <c r="J131" i="118" s="1"/>
  <c r="J134" i="118" s="1"/>
  <c r="K131" i="118" s="1"/>
  <c r="K134" i="118" s="1"/>
  <c r="L131" i="118" s="1"/>
  <c r="L134" i="118" s="1"/>
  <c r="M131" i="118" s="1"/>
  <c r="M134" i="118" s="1"/>
  <c r="N131" i="118" s="1"/>
  <c r="N134" i="118" s="1"/>
  <c r="O131" i="118" s="1"/>
  <c r="O134" i="118" s="1"/>
  <c r="P131" i="118" s="1"/>
  <c r="P134" i="118" s="1"/>
  <c r="Q131" i="118" s="1"/>
  <c r="Q134" i="118" s="1"/>
  <c r="R131" i="118" s="1"/>
  <c r="R134" i="118" s="1"/>
  <c r="S131" i="118" s="1"/>
  <c r="S134" i="118" s="1"/>
  <c r="T131" i="118" s="1"/>
  <c r="T134" i="118" s="1"/>
  <c r="U131" i="118" s="1"/>
  <c r="U134" i="118" s="1"/>
  <c r="V131" i="118" s="1"/>
  <c r="V134" i="118" s="1"/>
  <c r="W131" i="118" s="1"/>
  <c r="W134" i="118" s="1"/>
  <c r="X131" i="118" s="1"/>
  <c r="X134" i="118" s="1"/>
  <c r="Y131" i="118" s="1"/>
  <c r="Y134" i="118" s="1"/>
  <c r="C131" i="118"/>
  <c r="B134" i="118"/>
  <c r="C123" i="118"/>
  <c r="D120" i="118" s="1"/>
  <c r="D123" i="118" s="1"/>
  <c r="E120" i="118" s="1"/>
  <c r="E123" i="118" s="1"/>
  <c r="F120" i="118" s="1"/>
  <c r="F123" i="118" s="1"/>
  <c r="G120" i="118" s="1"/>
  <c r="G123" i="118" s="1"/>
  <c r="H120" i="118" s="1"/>
  <c r="H123" i="118" s="1"/>
  <c r="I120" i="118" s="1"/>
  <c r="I123" i="118" s="1"/>
  <c r="J120" i="118" s="1"/>
  <c r="J123" i="118" s="1"/>
  <c r="K120" i="118" s="1"/>
  <c r="K123" i="118" s="1"/>
  <c r="L120" i="118" s="1"/>
  <c r="L123" i="118" s="1"/>
  <c r="M120" i="118" s="1"/>
  <c r="M123" i="118" s="1"/>
  <c r="N120" i="118" s="1"/>
  <c r="N123" i="118" s="1"/>
  <c r="O120" i="118" s="1"/>
  <c r="O123" i="118" s="1"/>
  <c r="P120" i="118" s="1"/>
  <c r="P123" i="118" s="1"/>
  <c r="Q120" i="118" s="1"/>
  <c r="Q123" i="118" s="1"/>
  <c r="R120" i="118" s="1"/>
  <c r="R123" i="118" s="1"/>
  <c r="S120" i="118" s="1"/>
  <c r="S123" i="118" s="1"/>
  <c r="T120" i="118" s="1"/>
  <c r="T123" i="118" s="1"/>
  <c r="U120" i="118" s="1"/>
  <c r="U123" i="118" s="1"/>
  <c r="V120" i="118" s="1"/>
  <c r="V123" i="118" s="1"/>
  <c r="W120" i="118" s="1"/>
  <c r="W123" i="118" s="1"/>
  <c r="X120" i="118" s="1"/>
  <c r="X123" i="118" s="1"/>
  <c r="Y120" i="118" s="1"/>
  <c r="Y123" i="118" s="1"/>
  <c r="C120" i="118"/>
  <c r="B123" i="118"/>
  <c r="D109" i="118"/>
  <c r="D112" i="118" s="1"/>
  <c r="E109" i="118" s="1"/>
  <c r="E112" i="118" s="1"/>
  <c r="F109" i="118" s="1"/>
  <c r="F112" i="118" s="1"/>
  <c r="G109" i="118" s="1"/>
  <c r="G112" i="118" s="1"/>
  <c r="H109" i="118" s="1"/>
  <c r="H112" i="118" s="1"/>
  <c r="I109" i="118" s="1"/>
  <c r="I112" i="118" s="1"/>
  <c r="J109" i="118" s="1"/>
  <c r="J112" i="118" s="1"/>
  <c r="K109" i="118" s="1"/>
  <c r="K112" i="118" s="1"/>
  <c r="L109" i="118" s="1"/>
  <c r="L112" i="118" s="1"/>
  <c r="M109" i="118" s="1"/>
  <c r="M112" i="118" s="1"/>
  <c r="N109" i="118" s="1"/>
  <c r="N112" i="118" s="1"/>
  <c r="O109" i="118" s="1"/>
  <c r="O112" i="118" s="1"/>
  <c r="P109" i="118" s="1"/>
  <c r="P112" i="118" s="1"/>
  <c r="Q109" i="118" s="1"/>
  <c r="Q112" i="118" s="1"/>
  <c r="R109" i="118" s="1"/>
  <c r="R112" i="118" s="1"/>
  <c r="S109" i="118" s="1"/>
  <c r="S112" i="118" s="1"/>
  <c r="T109" i="118" s="1"/>
  <c r="T112" i="118" s="1"/>
  <c r="U109" i="118" s="1"/>
  <c r="U112" i="118" s="1"/>
  <c r="V109" i="118" s="1"/>
  <c r="V112" i="118" s="1"/>
  <c r="W109" i="118" s="1"/>
  <c r="W112" i="118" s="1"/>
  <c r="X109" i="118" s="1"/>
  <c r="X112" i="118" s="1"/>
  <c r="Y109" i="118" s="1"/>
  <c r="Y112" i="118" s="1"/>
  <c r="C112" i="118"/>
  <c r="C109" i="118"/>
  <c r="B112" i="118"/>
  <c r="D98" i="118"/>
  <c r="D101" i="118" s="1"/>
  <c r="E98" i="118" s="1"/>
  <c r="E101" i="118" s="1"/>
  <c r="F98" i="118" s="1"/>
  <c r="F101" i="118" s="1"/>
  <c r="G98" i="118" s="1"/>
  <c r="G101" i="118" s="1"/>
  <c r="H98" i="118" s="1"/>
  <c r="H101" i="118" s="1"/>
  <c r="I98" i="118" s="1"/>
  <c r="I101" i="118" s="1"/>
  <c r="J98" i="118" s="1"/>
  <c r="J101" i="118" s="1"/>
  <c r="K98" i="118" s="1"/>
  <c r="K101" i="118" s="1"/>
  <c r="L98" i="118" s="1"/>
  <c r="L101" i="118" s="1"/>
  <c r="M98" i="118" s="1"/>
  <c r="M101" i="118" s="1"/>
  <c r="N98" i="118" s="1"/>
  <c r="N101" i="118" s="1"/>
  <c r="O98" i="118" s="1"/>
  <c r="O101" i="118" s="1"/>
  <c r="P98" i="118" s="1"/>
  <c r="P101" i="118" s="1"/>
  <c r="Q98" i="118" s="1"/>
  <c r="Q101" i="118" s="1"/>
  <c r="R98" i="118" s="1"/>
  <c r="R101" i="118" s="1"/>
  <c r="S98" i="118" s="1"/>
  <c r="S101" i="118" s="1"/>
  <c r="T98" i="118" s="1"/>
  <c r="T101" i="118" s="1"/>
  <c r="U98" i="118" s="1"/>
  <c r="U101" i="118" s="1"/>
  <c r="V98" i="118" s="1"/>
  <c r="V101" i="118" s="1"/>
  <c r="W98" i="118" s="1"/>
  <c r="W101" i="118" s="1"/>
  <c r="X98" i="118" s="1"/>
  <c r="X101" i="118" s="1"/>
  <c r="Y98" i="118" s="1"/>
  <c r="Y101" i="118" s="1"/>
  <c r="C101" i="118"/>
  <c r="C98" i="118"/>
  <c r="B101" i="118"/>
  <c r="C90" i="118"/>
  <c r="D87" i="118" s="1"/>
  <c r="D90" i="118" s="1"/>
  <c r="E87" i="118" s="1"/>
  <c r="E90" i="118" s="1"/>
  <c r="F87" i="118" s="1"/>
  <c r="F90" i="118" s="1"/>
  <c r="G87" i="118" s="1"/>
  <c r="G90" i="118" s="1"/>
  <c r="H87" i="118" s="1"/>
  <c r="H90" i="118" s="1"/>
  <c r="I87" i="118" s="1"/>
  <c r="I90" i="118" s="1"/>
  <c r="J87" i="118" s="1"/>
  <c r="J90" i="118" s="1"/>
  <c r="K87" i="118" s="1"/>
  <c r="K90" i="118" s="1"/>
  <c r="L87" i="118" s="1"/>
  <c r="L90" i="118" s="1"/>
  <c r="M87" i="118" s="1"/>
  <c r="M90" i="118" s="1"/>
  <c r="N87" i="118" s="1"/>
  <c r="N90" i="118" s="1"/>
  <c r="O87" i="118" s="1"/>
  <c r="O90" i="118" s="1"/>
  <c r="P87" i="118" s="1"/>
  <c r="P90" i="118" s="1"/>
  <c r="Q87" i="118" s="1"/>
  <c r="Q90" i="118" s="1"/>
  <c r="R87" i="118" s="1"/>
  <c r="R90" i="118" s="1"/>
  <c r="S87" i="118" s="1"/>
  <c r="S90" i="118" s="1"/>
  <c r="T87" i="118" s="1"/>
  <c r="T90" i="118" s="1"/>
  <c r="U87" i="118" s="1"/>
  <c r="U90" i="118" s="1"/>
  <c r="V87" i="118" s="1"/>
  <c r="V90" i="118" s="1"/>
  <c r="W87" i="118" s="1"/>
  <c r="W90" i="118" s="1"/>
  <c r="X87" i="118" s="1"/>
  <c r="X90" i="118" s="1"/>
  <c r="Y87" i="118" s="1"/>
  <c r="Y90" i="118" s="1"/>
  <c r="C87" i="118"/>
  <c r="B90" i="118"/>
  <c r="C79" i="118"/>
  <c r="D76" i="118" s="1"/>
  <c r="D79" i="118" s="1"/>
  <c r="E76" i="118" s="1"/>
  <c r="E79" i="118" s="1"/>
  <c r="F76" i="118" s="1"/>
  <c r="F79" i="118" s="1"/>
  <c r="G76" i="118" s="1"/>
  <c r="G79" i="118" s="1"/>
  <c r="H76" i="118" s="1"/>
  <c r="H79" i="118" s="1"/>
  <c r="I76" i="118" s="1"/>
  <c r="I79" i="118" s="1"/>
  <c r="J76" i="118" s="1"/>
  <c r="J79" i="118" s="1"/>
  <c r="K76" i="118" s="1"/>
  <c r="K79" i="118" s="1"/>
  <c r="L76" i="118" s="1"/>
  <c r="L79" i="118" s="1"/>
  <c r="M76" i="118" s="1"/>
  <c r="M79" i="118" s="1"/>
  <c r="N76" i="118" s="1"/>
  <c r="N79" i="118" s="1"/>
  <c r="O76" i="118" s="1"/>
  <c r="O79" i="118" s="1"/>
  <c r="P76" i="118" s="1"/>
  <c r="P79" i="118" s="1"/>
  <c r="Q76" i="118" s="1"/>
  <c r="Q79" i="118" s="1"/>
  <c r="R76" i="118" s="1"/>
  <c r="R79" i="118" s="1"/>
  <c r="S76" i="118" s="1"/>
  <c r="S79" i="118" s="1"/>
  <c r="T76" i="118" s="1"/>
  <c r="T79" i="118" s="1"/>
  <c r="U76" i="118" s="1"/>
  <c r="U79" i="118" s="1"/>
  <c r="V76" i="118" s="1"/>
  <c r="V79" i="118" s="1"/>
  <c r="W76" i="118" s="1"/>
  <c r="W79" i="118" s="1"/>
  <c r="X76" i="118" s="1"/>
  <c r="X79" i="118" s="1"/>
  <c r="Y76" i="118" s="1"/>
  <c r="Y79" i="118" s="1"/>
  <c r="C76" i="118"/>
  <c r="B79" i="118"/>
  <c r="C68" i="118"/>
  <c r="D65" i="118" s="1"/>
  <c r="D68" i="118" s="1"/>
  <c r="E65" i="118" s="1"/>
  <c r="E68" i="118" s="1"/>
  <c r="F65" i="118" s="1"/>
  <c r="F68" i="118" s="1"/>
  <c r="G65" i="118" s="1"/>
  <c r="G68" i="118" s="1"/>
  <c r="H65" i="118" s="1"/>
  <c r="H68" i="118" s="1"/>
  <c r="I65" i="118" s="1"/>
  <c r="I68" i="118" s="1"/>
  <c r="J65" i="118" s="1"/>
  <c r="J68" i="118" s="1"/>
  <c r="K65" i="118" s="1"/>
  <c r="K68" i="118" s="1"/>
  <c r="L65" i="118" s="1"/>
  <c r="L68" i="118" s="1"/>
  <c r="M65" i="118" s="1"/>
  <c r="M68" i="118" s="1"/>
  <c r="N65" i="118" s="1"/>
  <c r="N68" i="118" s="1"/>
  <c r="O65" i="118" s="1"/>
  <c r="O68" i="118" s="1"/>
  <c r="P65" i="118" s="1"/>
  <c r="P68" i="118" s="1"/>
  <c r="Q65" i="118" s="1"/>
  <c r="Q68" i="118" s="1"/>
  <c r="R65" i="118" s="1"/>
  <c r="R68" i="118" s="1"/>
  <c r="S65" i="118" s="1"/>
  <c r="S68" i="118" s="1"/>
  <c r="T65" i="118" s="1"/>
  <c r="T68" i="118" s="1"/>
  <c r="U65" i="118" s="1"/>
  <c r="U68" i="118" s="1"/>
  <c r="V65" i="118" s="1"/>
  <c r="V68" i="118" s="1"/>
  <c r="W65" i="118" s="1"/>
  <c r="W68" i="118" s="1"/>
  <c r="X65" i="118" s="1"/>
  <c r="X68" i="118" s="1"/>
  <c r="Y65" i="118" s="1"/>
  <c r="Y68" i="118" s="1"/>
  <c r="C65" i="118"/>
  <c r="B68" i="118"/>
  <c r="C54" i="118"/>
  <c r="C57" i="118" s="1"/>
  <c r="D54" i="118" s="1"/>
  <c r="D57" i="118" s="1"/>
  <c r="E54" i="118" s="1"/>
  <c r="E57" i="118" s="1"/>
  <c r="F54" i="118" s="1"/>
  <c r="F57" i="118" s="1"/>
  <c r="G54" i="118" s="1"/>
  <c r="G57" i="118" s="1"/>
  <c r="H54" i="118" s="1"/>
  <c r="H57" i="118" s="1"/>
  <c r="I54" i="118" s="1"/>
  <c r="I57" i="118" s="1"/>
  <c r="J54" i="118" s="1"/>
  <c r="J57" i="118" s="1"/>
  <c r="K54" i="118" s="1"/>
  <c r="K57" i="118" s="1"/>
  <c r="L54" i="118" s="1"/>
  <c r="L57" i="118" s="1"/>
  <c r="M54" i="118" s="1"/>
  <c r="M57" i="118" s="1"/>
  <c r="N54" i="118" s="1"/>
  <c r="N57" i="118" s="1"/>
  <c r="O54" i="118" s="1"/>
  <c r="O57" i="118" s="1"/>
  <c r="P54" i="118" s="1"/>
  <c r="P57" i="118" s="1"/>
  <c r="Q54" i="118" s="1"/>
  <c r="Q57" i="118" s="1"/>
  <c r="R54" i="118" s="1"/>
  <c r="R57" i="118" s="1"/>
  <c r="S54" i="118" s="1"/>
  <c r="S57" i="118" s="1"/>
  <c r="T54" i="118" s="1"/>
  <c r="T57" i="118" s="1"/>
  <c r="U54" i="118" s="1"/>
  <c r="U57" i="118" s="1"/>
  <c r="V54" i="118" s="1"/>
  <c r="V57" i="118" s="1"/>
  <c r="W54" i="118" s="1"/>
  <c r="W57" i="118" s="1"/>
  <c r="X54" i="118" s="1"/>
  <c r="X57" i="118" s="1"/>
  <c r="Y54" i="118" s="1"/>
  <c r="Y57" i="118" s="1"/>
  <c r="B57" i="118"/>
  <c r="C46" i="118"/>
  <c r="D43" i="118" s="1"/>
  <c r="D46" i="118" s="1"/>
  <c r="E43" i="118" s="1"/>
  <c r="E46" i="118" s="1"/>
  <c r="F43" i="118" s="1"/>
  <c r="F46" i="118" s="1"/>
  <c r="G43" i="118" s="1"/>
  <c r="G46" i="118" s="1"/>
  <c r="H43" i="118" s="1"/>
  <c r="H46" i="118" s="1"/>
  <c r="I43" i="118" s="1"/>
  <c r="I46" i="118" s="1"/>
  <c r="J43" i="118" s="1"/>
  <c r="J46" i="118" s="1"/>
  <c r="K43" i="118" s="1"/>
  <c r="K46" i="118" s="1"/>
  <c r="L43" i="118" s="1"/>
  <c r="L46" i="118" s="1"/>
  <c r="M43" i="118" s="1"/>
  <c r="M46" i="118" s="1"/>
  <c r="N43" i="118" s="1"/>
  <c r="N46" i="118" s="1"/>
  <c r="O43" i="118" s="1"/>
  <c r="O46" i="118" s="1"/>
  <c r="P43" i="118" s="1"/>
  <c r="P46" i="118" s="1"/>
  <c r="Q43" i="118" s="1"/>
  <c r="Q46" i="118" s="1"/>
  <c r="R43" i="118" s="1"/>
  <c r="R46" i="118" s="1"/>
  <c r="S43" i="118" s="1"/>
  <c r="S46" i="118" s="1"/>
  <c r="T43" i="118" s="1"/>
  <c r="T46" i="118" s="1"/>
  <c r="U43" i="118" s="1"/>
  <c r="U46" i="118" s="1"/>
  <c r="V43" i="118" s="1"/>
  <c r="V46" i="118" s="1"/>
  <c r="W43" i="118" s="1"/>
  <c r="W46" i="118" s="1"/>
  <c r="X43" i="118" s="1"/>
  <c r="X46" i="118" s="1"/>
  <c r="Y43" i="118" s="1"/>
  <c r="Y46" i="118" s="1"/>
  <c r="B46" i="118"/>
  <c r="C43" i="118"/>
  <c r="V210" i="9" l="1"/>
  <c r="J211" i="128"/>
  <c r="AD202" i="9"/>
  <c r="AD209" i="9" s="1"/>
  <c r="BE159" i="118"/>
  <c r="BF159" i="118"/>
  <c r="BF160" i="118" s="1"/>
  <c r="BG159" i="118"/>
  <c r="BG160" i="118" s="1"/>
  <c r="BH159" i="118"/>
  <c r="BI159" i="118"/>
  <c r="BE160" i="118"/>
  <c r="BH160" i="118"/>
  <c r="BI160" i="118"/>
  <c r="BF136" i="118"/>
  <c r="BG136" i="118"/>
  <c r="BH136" i="118"/>
  <c r="BI136" i="118"/>
  <c r="BE136" i="118"/>
  <c r="BE130" i="118"/>
  <c r="BE152" i="118" s="1"/>
  <c r="BE137" i="118"/>
  <c r="BF137" i="118"/>
  <c r="BG137" i="118"/>
  <c r="BG138" i="118" s="1"/>
  <c r="BH137" i="118"/>
  <c r="BI137" i="118"/>
  <c r="BE138" i="118"/>
  <c r="BF138" i="118"/>
  <c r="BH138" i="118"/>
  <c r="BI138" i="118"/>
  <c r="BF130" i="118"/>
  <c r="BF152" i="118" s="1"/>
  <c r="BF158" i="118" s="1"/>
  <c r="BG130" i="118"/>
  <c r="BG152" i="118" s="1"/>
  <c r="BG158" i="118" s="1"/>
  <c r="BH130" i="118"/>
  <c r="BH152" i="118" s="1"/>
  <c r="BH158" i="118" s="1"/>
  <c r="BI130" i="118"/>
  <c r="BI152" i="118" s="1"/>
  <c r="BI158" i="118" s="1"/>
  <c r="T12" i="128"/>
  <c r="T13" i="128"/>
  <c r="T16" i="128" s="1"/>
  <c r="T14" i="128"/>
  <c r="T15" i="128"/>
  <c r="T19" i="128"/>
  <c r="T20" i="128"/>
  <c r="T21" i="128"/>
  <c r="T22" i="128"/>
  <c r="T23" i="128"/>
  <c r="T26" i="128"/>
  <c r="T27" i="128"/>
  <c r="T28" i="128"/>
  <c r="T29" i="128"/>
  <c r="T30" i="128" s="1"/>
  <c r="T33" i="128"/>
  <c r="T34" i="128"/>
  <c r="T35" i="128"/>
  <c r="T37" i="128" s="1"/>
  <c r="T36" i="128"/>
  <c r="T40" i="128"/>
  <c r="T41" i="128"/>
  <c r="T44" i="128" s="1"/>
  <c r="T42" i="128"/>
  <c r="T43" i="128"/>
  <c r="T47" i="128"/>
  <c r="T48" i="128"/>
  <c r="T49" i="128"/>
  <c r="T50" i="128"/>
  <c r="T51" i="128"/>
  <c r="T54" i="128"/>
  <c r="T55" i="128"/>
  <c r="T56" i="128"/>
  <c r="T57" i="128"/>
  <c r="T58" i="128" s="1"/>
  <c r="T61" i="128"/>
  <c r="T62" i="128"/>
  <c r="T63" i="128"/>
  <c r="T65" i="128" s="1"/>
  <c r="T64" i="128"/>
  <c r="T68" i="128"/>
  <c r="T69" i="128"/>
  <c r="T72" i="128" s="1"/>
  <c r="T70" i="128"/>
  <c r="T71" i="128"/>
  <c r="T75" i="128"/>
  <c r="T76" i="128"/>
  <c r="T77" i="128"/>
  <c r="T78" i="128"/>
  <c r="T79" i="128"/>
  <c r="T82" i="128"/>
  <c r="T83" i="128"/>
  <c r="T84" i="128"/>
  <c r="T85" i="128"/>
  <c r="T86" i="128" s="1"/>
  <c r="T87" i="128" s="1"/>
  <c r="T89" i="128"/>
  <c r="T90" i="128"/>
  <c r="T93" i="128" s="1"/>
  <c r="T91" i="128"/>
  <c r="T92" i="128"/>
  <c r="T96" i="128"/>
  <c r="T97" i="128"/>
  <c r="T98" i="128"/>
  <c r="T99" i="128"/>
  <c r="T100" i="128"/>
  <c r="T103" i="128"/>
  <c r="T104" i="128"/>
  <c r="T105" i="128"/>
  <c r="T106" i="128"/>
  <c r="T107" i="128" s="1"/>
  <c r="T110" i="128"/>
  <c r="T111" i="128"/>
  <c r="T112" i="128"/>
  <c r="T114" i="128" s="1"/>
  <c r="T113" i="128"/>
  <c r="T117" i="128"/>
  <c r="T118" i="128"/>
  <c r="T121" i="128" s="1"/>
  <c r="T119" i="128"/>
  <c r="T120" i="128"/>
  <c r="T124" i="128"/>
  <c r="T125" i="128"/>
  <c r="T126" i="128"/>
  <c r="T127" i="128"/>
  <c r="T128" i="128"/>
  <c r="T131" i="128"/>
  <c r="T132" i="128"/>
  <c r="T134" i="128"/>
  <c r="T173" i="128"/>
  <c r="T174" i="128"/>
  <c r="T177" i="128" s="1"/>
  <c r="T175" i="128"/>
  <c r="T176" i="128"/>
  <c r="T180" i="128"/>
  <c r="T181" i="128"/>
  <c r="T182" i="128"/>
  <c r="T183" i="128"/>
  <c r="T184" i="128"/>
  <c r="T187" i="128"/>
  <c r="T188" i="128"/>
  <c r="T189" i="128"/>
  <c r="T190" i="128"/>
  <c r="T191" i="128" s="1"/>
  <c r="S183" i="128"/>
  <c r="S182" i="128"/>
  <c r="S131" i="128"/>
  <c r="S132" i="128"/>
  <c r="S133" i="128"/>
  <c r="S134" i="128"/>
  <c r="S138" i="128"/>
  <c r="S139" i="128"/>
  <c r="S140" i="128"/>
  <c r="S141" i="128"/>
  <c r="S145" i="128"/>
  <c r="S146" i="128"/>
  <c r="S147" i="128"/>
  <c r="S148" i="128"/>
  <c r="S152" i="128"/>
  <c r="S153" i="128"/>
  <c r="S154" i="128"/>
  <c r="S155" i="128"/>
  <c r="S159" i="128"/>
  <c r="S160" i="128"/>
  <c r="S161" i="128"/>
  <c r="S162" i="128"/>
  <c r="S166" i="128"/>
  <c r="S167" i="128"/>
  <c r="S168" i="128"/>
  <c r="S169" i="128"/>
  <c r="S173" i="128"/>
  <c r="S174" i="128"/>
  <c r="S175" i="128"/>
  <c r="S176" i="128"/>
  <c r="S180" i="128"/>
  <c r="S181" i="128"/>
  <c r="S187" i="128"/>
  <c r="S188" i="128"/>
  <c r="S189" i="128"/>
  <c r="S190" i="128"/>
  <c r="S194" i="128"/>
  <c r="S195" i="128"/>
  <c r="S196" i="128"/>
  <c r="S197" i="128"/>
  <c r="S201" i="128"/>
  <c r="S202" i="128"/>
  <c r="S203" i="128"/>
  <c r="R89" i="129"/>
  <c r="AD88" i="129"/>
  <c r="AD87" i="129"/>
  <c r="AD48" i="129"/>
  <c r="AD47" i="129"/>
  <c r="BE188" i="118" l="1"/>
  <c r="BE158" i="118"/>
  <c r="S191" i="128"/>
  <c r="S184" i="128"/>
  <c r="S170" i="128"/>
  <c r="S156" i="128"/>
  <c r="S149" i="128"/>
  <c r="S177" i="128"/>
  <c r="S198" i="128"/>
  <c r="S163" i="128"/>
  <c r="S135" i="128"/>
  <c r="S142" i="128"/>
  <c r="AC69" i="129"/>
  <c r="DQ48" i="28" s="1"/>
  <c r="AB69" i="129"/>
  <c r="AA69" i="129"/>
  <c r="DO48" i="28" s="1"/>
  <c r="Z69" i="129"/>
  <c r="DN48" i="28" s="1"/>
  <c r="Y69" i="129"/>
  <c r="X69" i="129"/>
  <c r="W69" i="129"/>
  <c r="V69" i="129"/>
  <c r="DJ48" i="28" s="1"/>
  <c r="U69" i="129"/>
  <c r="T69" i="129"/>
  <c r="S69" i="129"/>
  <c r="R69" i="129"/>
  <c r="DF48" i="28" s="1"/>
  <c r="Q69" i="129"/>
  <c r="DE48" i="28" s="1"/>
  <c r="P69" i="129"/>
  <c r="DD48" i="28" s="1"/>
  <c r="O69" i="129"/>
  <c r="DC48" i="28" s="1"/>
  <c r="N69" i="129"/>
  <c r="DB48" i="28" s="1"/>
  <c r="M69" i="129"/>
  <c r="DA48" i="28" s="1"/>
  <c r="L69" i="129"/>
  <c r="CZ48" i="28" s="1"/>
  <c r="K69" i="129"/>
  <c r="CY48" i="28" s="1"/>
  <c r="BE174" i="118" l="1"/>
  <c r="BE180" i="118"/>
  <c r="BE163" i="118"/>
  <c r="BE186" i="118" s="1"/>
  <c r="BE169" i="118"/>
  <c r="AL41" i="129"/>
  <c r="AB43" i="129"/>
  <c r="AA43" i="129"/>
  <c r="Z43" i="129"/>
  <c r="Y43" i="129"/>
  <c r="X43" i="129"/>
  <c r="W43" i="129"/>
  <c r="V43" i="129"/>
  <c r="U43" i="129"/>
  <c r="T43" i="129"/>
  <c r="S43" i="129"/>
  <c r="R43" i="129"/>
  <c r="Q43" i="129"/>
  <c r="P43" i="129"/>
  <c r="O43" i="129"/>
  <c r="N43" i="129"/>
  <c r="M43" i="129"/>
  <c r="L43" i="129"/>
  <c r="K43" i="129"/>
  <c r="J43" i="129"/>
  <c r="I43" i="129"/>
  <c r="H43" i="129"/>
  <c r="G43" i="129"/>
  <c r="C43" i="129"/>
  <c r="D43" i="129"/>
  <c r="E43" i="129"/>
  <c r="F43" i="129"/>
  <c r="B43" i="129"/>
  <c r="C44" i="129" s="1"/>
  <c r="L41" i="129"/>
  <c r="B41" i="129"/>
  <c r="A1" i="34"/>
  <c r="A39" i="129"/>
  <c r="AS46" i="129"/>
  <c r="AH44" i="129"/>
  <c r="AG44" i="129"/>
  <c r="AF44" i="129"/>
  <c r="AE44" i="129"/>
  <c r="AJ41" i="129"/>
  <c r="P44" i="129" l="1"/>
  <c r="P70" i="129" s="1"/>
  <c r="D44" i="129"/>
  <c r="J44" i="129"/>
  <c r="Z44" i="129"/>
  <c r="Z70" i="129" s="1"/>
  <c r="X44" i="129"/>
  <c r="X70" i="129" s="1"/>
  <c r="K44" i="129"/>
  <c r="K70" i="129" s="1"/>
  <c r="Y44" i="129"/>
  <c r="Y70" i="129" s="1"/>
  <c r="L44" i="129"/>
  <c r="L70" i="129" s="1"/>
  <c r="AA44" i="129"/>
  <c r="AA70" i="129" s="1"/>
  <c r="N44" i="129"/>
  <c r="N70" i="129" s="1"/>
  <c r="AB44" i="129"/>
  <c r="AB70" i="129" s="1"/>
  <c r="G44" i="129"/>
  <c r="F44" i="129"/>
  <c r="H44" i="129"/>
  <c r="T44" i="129"/>
  <c r="T70" i="129" s="1"/>
  <c r="R44" i="129"/>
  <c r="R70" i="129" s="1"/>
  <c r="O44" i="129"/>
  <c r="O70" i="129" s="1"/>
  <c r="E44" i="129"/>
  <c r="M44" i="129"/>
  <c r="M70" i="129" s="1"/>
  <c r="I44" i="129"/>
  <c r="W44" i="129"/>
  <c r="W70" i="129" s="1"/>
  <c r="AJ43" i="129"/>
  <c r="V44" i="129"/>
  <c r="V70" i="129" s="1"/>
  <c r="S44" i="129"/>
  <c r="S70" i="129" s="1"/>
  <c r="Q44" i="129"/>
  <c r="Q70" i="129" s="1"/>
  <c r="U44" i="129"/>
  <c r="U70" i="129" s="1"/>
  <c r="AD186" i="129" l="1"/>
  <c r="AE186" i="129" s="1"/>
  <c r="AF186" i="129" s="1"/>
  <c r="AG186" i="129" s="1"/>
  <c r="AH186" i="129" s="1"/>
  <c r="Y161" i="129"/>
  <c r="AD157" i="129"/>
  <c r="AE157" i="129" s="1"/>
  <c r="AF157" i="129" s="1"/>
  <c r="AG157" i="129" s="1"/>
  <c r="AH157" i="129" s="1"/>
  <c r="L156" i="129"/>
  <c r="AD151" i="129"/>
  <c r="AE151" i="129" s="1"/>
  <c r="AF151" i="129" s="1"/>
  <c r="AG151" i="129" s="1"/>
  <c r="AH151" i="129" s="1"/>
  <c r="AB140" i="129"/>
  <c r="X140" i="129"/>
  <c r="P136" i="129"/>
  <c r="P145" i="129" s="1"/>
  <c r="E130" i="129"/>
  <c r="E133" i="129" s="1"/>
  <c r="F126" i="129"/>
  <c r="P123" i="129"/>
  <c r="P149" i="129" s="1"/>
  <c r="O123" i="129"/>
  <c r="O149" i="129" s="1"/>
  <c r="N123" i="129"/>
  <c r="N149" i="129" s="1"/>
  <c r="M123" i="129"/>
  <c r="M149" i="129" s="1"/>
  <c r="L123" i="129"/>
  <c r="L149" i="129" s="1"/>
  <c r="K123" i="129"/>
  <c r="K149" i="129" s="1"/>
  <c r="J123" i="129"/>
  <c r="I123" i="129"/>
  <c r="H123" i="129"/>
  <c r="G123" i="129"/>
  <c r="F123" i="129"/>
  <c r="Q123" i="129"/>
  <c r="AL120" i="129"/>
  <c r="AJ120" i="129"/>
  <c r="L120" i="129"/>
  <c r="B120" i="129"/>
  <c r="A118" i="129"/>
  <c r="A156" i="129" s="1"/>
  <c r="AD112" i="129"/>
  <c r="AE112" i="129" s="1"/>
  <c r="AF112" i="129" s="1"/>
  <c r="AG112" i="129" s="1"/>
  <c r="AH112" i="129" s="1"/>
  <c r="AA112" i="129"/>
  <c r="V97" i="129"/>
  <c r="Z97" i="129"/>
  <c r="U97" i="129"/>
  <c r="Q97" i="129"/>
  <c r="AS86" i="129"/>
  <c r="P83" i="129"/>
  <c r="P110" i="129" s="1"/>
  <c r="O83" i="129"/>
  <c r="O110" i="129" s="1"/>
  <c r="N83" i="129"/>
  <c r="N110" i="129" s="1"/>
  <c r="M83" i="129"/>
  <c r="M110" i="129" s="1"/>
  <c r="L83" i="129"/>
  <c r="L110" i="129" s="1"/>
  <c r="K83" i="129"/>
  <c r="K110" i="129" s="1"/>
  <c r="J83" i="129"/>
  <c r="I83" i="129"/>
  <c r="H83" i="129"/>
  <c r="G83" i="129"/>
  <c r="F83" i="129"/>
  <c r="E83" i="129"/>
  <c r="D83" i="129"/>
  <c r="C83" i="129"/>
  <c r="B83" i="129"/>
  <c r="X110" i="129"/>
  <c r="AL80" i="129"/>
  <c r="AJ80" i="129"/>
  <c r="L80" i="129"/>
  <c r="B80" i="129"/>
  <c r="A78" i="129"/>
  <c r="AJ309" i="129"/>
  <c r="AJ300" i="129"/>
  <c r="AJ297" i="129"/>
  <c r="N287" i="129"/>
  <c r="J282" i="129"/>
  <c r="I282" i="129"/>
  <c r="H282" i="129"/>
  <c r="G282" i="129"/>
  <c r="F282" i="129"/>
  <c r="E282" i="129"/>
  <c r="D282" i="129"/>
  <c r="C282" i="129"/>
  <c r="AJ281" i="129"/>
  <c r="AJ279" i="129"/>
  <c r="L279" i="129"/>
  <c r="B279" i="129"/>
  <c r="AA270" i="129"/>
  <c r="AB270" i="129" s="1"/>
  <c r="AC270" i="129" s="1"/>
  <c r="AD270" i="129" s="1"/>
  <c r="AE270" i="129" s="1"/>
  <c r="AF270" i="129" s="1"/>
  <c r="AG270" i="129" s="1"/>
  <c r="AH270" i="129" s="1"/>
  <c r="T270" i="129"/>
  <c r="U270" i="129" s="1"/>
  <c r="V270" i="129" s="1"/>
  <c r="W255" i="129"/>
  <c r="L261" i="129"/>
  <c r="N245" i="129"/>
  <c r="M245" i="129"/>
  <c r="M249" i="129" s="1"/>
  <c r="AH241" i="129"/>
  <c r="AG241" i="129"/>
  <c r="AF241" i="129"/>
  <c r="AE241" i="129"/>
  <c r="AD241" i="129"/>
  <c r="AC241" i="129"/>
  <c r="AH239" i="129"/>
  <c r="AG239" i="129"/>
  <c r="AF239" i="129"/>
  <c r="AE239" i="129"/>
  <c r="AD239" i="129"/>
  <c r="AC239" i="129"/>
  <c r="AB239" i="129"/>
  <c r="AA239" i="129"/>
  <c r="P239" i="129"/>
  <c r="P268" i="129" s="1"/>
  <c r="O239" i="129"/>
  <c r="O268" i="129" s="1"/>
  <c r="N239" i="129"/>
  <c r="N268" i="129" s="1"/>
  <c r="M239" i="129"/>
  <c r="M268" i="129" s="1"/>
  <c r="L239" i="129"/>
  <c r="L268" i="129" s="1"/>
  <c r="K239" i="129"/>
  <c r="K268" i="129" s="1"/>
  <c r="J239" i="129"/>
  <c r="I239" i="129"/>
  <c r="H239" i="129"/>
  <c r="G239" i="129"/>
  <c r="F239" i="129"/>
  <c r="E239" i="129"/>
  <c r="D239" i="129"/>
  <c r="C239" i="129"/>
  <c r="Q239" i="129"/>
  <c r="AL236" i="129"/>
  <c r="AJ236" i="129"/>
  <c r="L236" i="129"/>
  <c r="B236" i="129"/>
  <c r="A234" i="129"/>
  <c r="AD228" i="129"/>
  <c r="AE228" i="129" s="1"/>
  <c r="AF228" i="129" s="1"/>
  <c r="AG228" i="129" s="1"/>
  <c r="AH228" i="129" s="1"/>
  <c r="N60" i="129"/>
  <c r="K222" i="129"/>
  <c r="J60" i="129"/>
  <c r="F60" i="129"/>
  <c r="L48" i="129"/>
  <c r="AQ204" i="129"/>
  <c r="AP204" i="129"/>
  <c r="O47" i="129"/>
  <c r="K47" i="129"/>
  <c r="G47" i="129"/>
  <c r="C47" i="129"/>
  <c r="AB203" i="129"/>
  <c r="N203" i="129"/>
  <c r="M203" i="129"/>
  <c r="K46" i="129"/>
  <c r="B46" i="129"/>
  <c r="AH199" i="129"/>
  <c r="AG199" i="129"/>
  <c r="AF199" i="129"/>
  <c r="AE199" i="129"/>
  <c r="AD199" i="129"/>
  <c r="AH197" i="129"/>
  <c r="AG197" i="129"/>
  <c r="AF197" i="129"/>
  <c r="AE197" i="129"/>
  <c r="AD197" i="129"/>
  <c r="P197" i="129"/>
  <c r="P226" i="129" s="1"/>
  <c r="O197" i="129"/>
  <c r="O226" i="129" s="1"/>
  <c r="N197" i="129"/>
  <c r="N226" i="129" s="1"/>
  <c r="M197" i="129"/>
  <c r="M226" i="129" s="1"/>
  <c r="L197" i="129"/>
  <c r="L226" i="129" s="1"/>
  <c r="K197" i="129"/>
  <c r="K226" i="129" s="1"/>
  <c r="J197" i="129"/>
  <c r="I197" i="129"/>
  <c r="H197" i="129"/>
  <c r="G197" i="129"/>
  <c r="F197" i="129"/>
  <c r="E197" i="129"/>
  <c r="D197" i="129"/>
  <c r="C197" i="129"/>
  <c r="B197" i="129"/>
  <c r="AA8" i="129"/>
  <c r="Z8" i="129"/>
  <c r="U231" i="129"/>
  <c r="Q197" i="129"/>
  <c r="AL194" i="129"/>
  <c r="AJ194" i="129"/>
  <c r="L194" i="129"/>
  <c r="B194" i="129"/>
  <c r="A192" i="129"/>
  <c r="AC35" i="129"/>
  <c r="DQ47" i="28" s="1"/>
  <c r="AB35" i="129"/>
  <c r="AA35" i="129"/>
  <c r="Z35" i="129"/>
  <c r="Y35" i="129"/>
  <c r="DM47" i="28" s="1"/>
  <c r="X35" i="129"/>
  <c r="DL47" i="28" s="1"/>
  <c r="W35" i="129"/>
  <c r="V35" i="129"/>
  <c r="L35" i="129"/>
  <c r="K35" i="129"/>
  <c r="J35" i="129"/>
  <c r="I35" i="129"/>
  <c r="H35" i="129"/>
  <c r="G35" i="129"/>
  <c r="F35" i="129"/>
  <c r="E35" i="129"/>
  <c r="D35" i="129"/>
  <c r="C35" i="129"/>
  <c r="B35" i="129"/>
  <c r="B22" i="129"/>
  <c r="AB11" i="129"/>
  <c r="I11" i="129"/>
  <c r="P8" i="129"/>
  <c r="O8" i="129"/>
  <c r="N8" i="129"/>
  <c r="M8" i="129"/>
  <c r="L8" i="129"/>
  <c r="K8" i="129"/>
  <c r="J8" i="129"/>
  <c r="I8" i="129"/>
  <c r="H8" i="129"/>
  <c r="G8" i="129"/>
  <c r="F8" i="129"/>
  <c r="E8" i="129"/>
  <c r="D8" i="129"/>
  <c r="C8" i="129"/>
  <c r="B8" i="129"/>
  <c r="AB7" i="129"/>
  <c r="AA7" i="129"/>
  <c r="Z7" i="129"/>
  <c r="Y7" i="129"/>
  <c r="X7" i="129"/>
  <c r="W7" i="129"/>
  <c r="V7" i="129"/>
  <c r="U7" i="129"/>
  <c r="T7" i="129"/>
  <c r="S7" i="129"/>
  <c r="R7" i="129"/>
  <c r="Q7" i="129"/>
  <c r="Q124" i="129" s="1"/>
  <c r="P7" i="129"/>
  <c r="O7" i="129"/>
  <c r="L7" i="129"/>
  <c r="K7" i="129"/>
  <c r="J7" i="129"/>
  <c r="I7" i="129"/>
  <c r="I84" i="129" s="1"/>
  <c r="H7" i="129"/>
  <c r="G7" i="129"/>
  <c r="F7" i="129"/>
  <c r="E7" i="129"/>
  <c r="D7" i="129"/>
  <c r="C7" i="129"/>
  <c r="B7" i="129"/>
  <c r="M5" i="129"/>
  <c r="M41" i="129" s="1"/>
  <c r="C5" i="129"/>
  <c r="K48" i="129" l="1"/>
  <c r="K49" i="129" s="1"/>
  <c r="CY62" i="28" s="1"/>
  <c r="O48" i="129"/>
  <c r="T8" i="129"/>
  <c r="P27" i="129"/>
  <c r="L27" i="129"/>
  <c r="S8" i="129"/>
  <c r="W8" i="129"/>
  <c r="N48" i="129"/>
  <c r="E97" i="129"/>
  <c r="E106" i="129" s="1"/>
  <c r="AA213" i="129"/>
  <c r="G140" i="129"/>
  <c r="R8" i="129"/>
  <c r="E48" i="129"/>
  <c r="I48" i="129"/>
  <c r="M48" i="129"/>
  <c r="E47" i="129"/>
  <c r="M47" i="129"/>
  <c r="C48" i="129"/>
  <c r="AA219" i="129"/>
  <c r="F97" i="129"/>
  <c r="B47" i="129"/>
  <c r="F47" i="129"/>
  <c r="J47" i="129"/>
  <c r="N47" i="129"/>
  <c r="D48" i="129"/>
  <c r="H48" i="129"/>
  <c r="E60" i="129"/>
  <c r="I60" i="129"/>
  <c r="B89" i="129"/>
  <c r="C86" i="129" s="1"/>
  <c r="C89" i="129" s="1"/>
  <c r="H140" i="129"/>
  <c r="L140" i="129"/>
  <c r="I47" i="129"/>
  <c r="G48" i="129"/>
  <c r="J97" i="129"/>
  <c r="J106" i="129" s="1"/>
  <c r="N46" i="129"/>
  <c r="N49" i="129" s="1"/>
  <c r="W199" i="129"/>
  <c r="AA199" i="129"/>
  <c r="Q226" i="129"/>
  <c r="D47" i="129"/>
  <c r="H47" i="129"/>
  <c r="L47" i="129"/>
  <c r="B48" i="129"/>
  <c r="F48" i="129"/>
  <c r="J48" i="129"/>
  <c r="F22" i="129"/>
  <c r="F32" i="129" s="1"/>
  <c r="J22" i="129"/>
  <c r="N22" i="129"/>
  <c r="R22" i="129"/>
  <c r="R32" i="129" s="1"/>
  <c r="V22" i="129"/>
  <c r="V32" i="129" s="1"/>
  <c r="G213" i="129"/>
  <c r="G222" i="129" s="1"/>
  <c r="W213" i="129"/>
  <c r="W222" i="129" s="1"/>
  <c r="N290" i="129"/>
  <c r="O287" i="129" s="1"/>
  <c r="O290" i="129" s="1"/>
  <c r="U136" i="129"/>
  <c r="U145" i="129" s="1"/>
  <c r="C22" i="129"/>
  <c r="C23" i="129" s="1"/>
  <c r="G26" i="129"/>
  <c r="K26" i="129"/>
  <c r="O26" i="129"/>
  <c r="S26" i="129"/>
  <c r="O213" i="129"/>
  <c r="O222" i="129" s="1"/>
  <c r="P223" i="129" s="1"/>
  <c r="C60" i="129"/>
  <c r="G60" i="129"/>
  <c r="K60" i="129"/>
  <c r="O60" i="129"/>
  <c r="O61" i="129" s="1"/>
  <c r="S61" i="129"/>
  <c r="C213" i="129"/>
  <c r="S213" i="129"/>
  <c r="S222" i="129" s="1"/>
  <c r="I255" i="129"/>
  <c r="I264" i="129" s="1"/>
  <c r="M255" i="129"/>
  <c r="M264" i="129" s="1"/>
  <c r="Q255" i="129"/>
  <c r="Q264" i="129" s="1"/>
  <c r="U255" i="129"/>
  <c r="U264" i="129" s="1"/>
  <c r="Y255" i="129"/>
  <c r="G101" i="129"/>
  <c r="K101" i="129"/>
  <c r="W101" i="129"/>
  <c r="AA101" i="129"/>
  <c r="AA61" i="129"/>
  <c r="X255" i="129"/>
  <c r="X256" i="129" s="1"/>
  <c r="M207" i="129"/>
  <c r="M46" i="129"/>
  <c r="D213" i="129"/>
  <c r="D222" i="129" s="1"/>
  <c r="D60" i="129"/>
  <c r="H213" i="129"/>
  <c r="H222" i="129" s="1"/>
  <c r="H60" i="129"/>
  <c r="L213" i="129"/>
  <c r="L222" i="129" s="1"/>
  <c r="L223" i="129" s="1"/>
  <c r="L60" i="129"/>
  <c r="P213" i="129"/>
  <c r="P222" i="129" s="1"/>
  <c r="T213" i="129"/>
  <c r="U61" i="129"/>
  <c r="X213" i="129"/>
  <c r="AB213" i="129"/>
  <c r="AB222" i="129" s="1"/>
  <c r="V167" i="129"/>
  <c r="W164" i="129" s="1"/>
  <c r="W167" i="129" s="1"/>
  <c r="W168" i="129" s="1"/>
  <c r="W171" i="129" s="1"/>
  <c r="S199" i="129"/>
  <c r="J57" i="129"/>
  <c r="I61" i="129"/>
  <c r="M219" i="129"/>
  <c r="M60" i="129"/>
  <c r="R57" i="129"/>
  <c r="Q61" i="129"/>
  <c r="V57" i="129"/>
  <c r="Z57" i="129"/>
  <c r="Y61" i="129"/>
  <c r="B49" i="129"/>
  <c r="J61" i="129"/>
  <c r="N61" i="129"/>
  <c r="S57" i="129"/>
  <c r="R61" i="129"/>
  <c r="V61" i="129"/>
  <c r="AA57" i="129"/>
  <c r="Z61" i="129"/>
  <c r="Y136" i="129"/>
  <c r="H255" i="129"/>
  <c r="H264" i="129" s="1"/>
  <c r="AB136" i="129"/>
  <c r="AB145" i="129" s="1"/>
  <c r="Q136" i="129"/>
  <c r="Q145" i="129" s="1"/>
  <c r="Q146" i="129" s="1"/>
  <c r="F98" i="129"/>
  <c r="T136" i="129"/>
  <c r="F9" i="129"/>
  <c r="S255" i="129"/>
  <c r="S264" i="129" s="1"/>
  <c r="H136" i="129"/>
  <c r="H145" i="129" s="1"/>
  <c r="P259" i="129"/>
  <c r="Q268" i="129"/>
  <c r="Y241" i="129"/>
  <c r="K89" i="129"/>
  <c r="D5" i="129"/>
  <c r="D41" i="129" s="1"/>
  <c r="C41" i="129"/>
  <c r="N9" i="129"/>
  <c r="N36" i="129" s="1"/>
  <c r="Z110" i="129"/>
  <c r="I136" i="129"/>
  <c r="U158" i="129"/>
  <c r="Y158" i="129"/>
  <c r="S217" i="129"/>
  <c r="W241" i="129"/>
  <c r="AA241" i="129"/>
  <c r="AB255" i="129"/>
  <c r="AA83" i="129"/>
  <c r="AA110" i="129" s="1"/>
  <c r="Z178" i="129"/>
  <c r="K22" i="129"/>
  <c r="K23" i="129" s="1"/>
  <c r="AJ82" i="129"/>
  <c r="X136" i="129"/>
  <c r="X145" i="129" s="1"/>
  <c r="AJ139" i="129"/>
  <c r="U161" i="129"/>
  <c r="I14" i="129"/>
  <c r="J11" i="129" s="1"/>
  <c r="J14" i="129" s="1"/>
  <c r="J29" i="129" s="1"/>
  <c r="O22" i="129"/>
  <c r="O32" i="129" s="1"/>
  <c r="U239" i="129"/>
  <c r="U268" i="129" s="1"/>
  <c r="G255" i="129"/>
  <c r="G264" i="129" s="1"/>
  <c r="H265" i="129" s="1"/>
  <c r="O27" i="129"/>
  <c r="S22" i="129"/>
  <c r="S32" i="129" s="1"/>
  <c r="U123" i="129"/>
  <c r="U149" i="129" s="1"/>
  <c r="G22" i="129"/>
  <c r="G32" i="129" s="1"/>
  <c r="W239" i="129"/>
  <c r="W268" i="129" s="1"/>
  <c r="L136" i="129"/>
  <c r="L145" i="129" s="1"/>
  <c r="J136" i="129"/>
  <c r="J145" i="129" s="1"/>
  <c r="N27" i="129"/>
  <c r="R27" i="129"/>
  <c r="V136" i="129"/>
  <c r="V145" i="129" s="1"/>
  <c r="Z136" i="129"/>
  <c r="Z145" i="129" s="1"/>
  <c r="V8" i="129"/>
  <c r="AB8" i="129"/>
  <c r="X8" i="129"/>
  <c r="AA15" i="129"/>
  <c r="Z22" i="129"/>
  <c r="Z32" i="129" s="1"/>
  <c r="M27" i="129"/>
  <c r="Q27" i="129"/>
  <c r="N206" i="129"/>
  <c r="O203" i="129" s="1"/>
  <c r="E213" i="129"/>
  <c r="E222" i="129" s="1"/>
  <c r="T239" i="129"/>
  <c r="T268" i="129" s="1"/>
  <c r="B248" i="129"/>
  <c r="B249" i="129" s="1"/>
  <c r="B252" i="129" s="1"/>
  <c r="V241" i="129"/>
  <c r="Z241" i="129"/>
  <c r="T83" i="129"/>
  <c r="T110" i="129" s="1"/>
  <c r="AB83" i="129"/>
  <c r="AB110" i="129" s="1"/>
  <c r="L97" i="129"/>
  <c r="L106" i="129" s="1"/>
  <c r="V98" i="129"/>
  <c r="AC161" i="129"/>
  <c r="AA174" i="129"/>
  <c r="AA183" i="129" s="1"/>
  <c r="Q8" i="129"/>
  <c r="U8" i="129"/>
  <c r="Y8" i="129"/>
  <c r="AA29" i="129"/>
  <c r="B206" i="129"/>
  <c r="X268" i="129"/>
  <c r="T241" i="129"/>
  <c r="P255" i="129"/>
  <c r="P264" i="129" s="1"/>
  <c r="AB259" i="129"/>
  <c r="B290" i="129"/>
  <c r="P97" i="129"/>
  <c r="P106" i="129" s="1"/>
  <c r="Q149" i="129"/>
  <c r="Y149" i="129"/>
  <c r="F136" i="129"/>
  <c r="F145" i="129" s="1"/>
  <c r="P140" i="129"/>
  <c r="T140" i="129"/>
  <c r="V161" i="129"/>
  <c r="AE160" i="129"/>
  <c r="I22" i="129"/>
  <c r="I32" i="129" s="1"/>
  <c r="M22" i="129"/>
  <c r="M32" i="129" s="1"/>
  <c r="P26" i="129"/>
  <c r="T26" i="129"/>
  <c r="K27" i="129"/>
  <c r="U197" i="129"/>
  <c r="U226" i="129" s="1"/>
  <c r="AC197" i="129"/>
  <c r="AC226" i="129" s="1"/>
  <c r="AB206" i="129"/>
  <c r="AB207" i="129" s="1"/>
  <c r="AB210" i="129" s="1"/>
  <c r="G217" i="129"/>
  <c r="K217" i="129"/>
  <c r="O217" i="129"/>
  <c r="W217" i="129"/>
  <c r="AA217" i="129"/>
  <c r="AB97" i="129"/>
  <c r="O101" i="129"/>
  <c r="R136" i="129"/>
  <c r="B14" i="129"/>
  <c r="B17" i="129" s="1"/>
  <c r="C26" i="129"/>
  <c r="R197" i="129"/>
  <c r="R226" i="129" s="1"/>
  <c r="V197" i="129"/>
  <c r="V226" i="129" s="1"/>
  <c r="Z197" i="129"/>
  <c r="Z226" i="129" s="1"/>
  <c r="AD196" i="129"/>
  <c r="AE196" i="129" s="1"/>
  <c r="K206" i="129"/>
  <c r="K219" i="129" s="1"/>
  <c r="U199" i="129"/>
  <c r="Y199" i="129"/>
  <c r="AC199" i="129"/>
  <c r="O140" i="129"/>
  <c r="X158" i="129"/>
  <c r="AB158" i="129"/>
  <c r="Y174" i="129"/>
  <c r="Y183" i="129" s="1"/>
  <c r="Y226" i="129"/>
  <c r="AR204" i="129"/>
  <c r="T199" i="129"/>
  <c r="X199" i="129"/>
  <c r="AB199" i="129"/>
  <c r="M213" i="129"/>
  <c r="I213" i="129"/>
  <c r="I222" i="129" s="1"/>
  <c r="N248" i="129"/>
  <c r="O245" i="129" s="1"/>
  <c r="O248" i="129" s="1"/>
  <c r="O261" i="129" s="1"/>
  <c r="S241" i="129"/>
  <c r="E255" i="129"/>
  <c r="E264" i="129" s="1"/>
  <c r="AJ100" i="129"/>
  <c r="R123" i="129"/>
  <c r="R149" i="129" s="1"/>
  <c r="X149" i="129"/>
  <c r="R97" i="129"/>
  <c r="R98" i="129" s="1"/>
  <c r="S123" i="129"/>
  <c r="S149" i="129" s="1"/>
  <c r="W123" i="129"/>
  <c r="W149" i="129" s="1"/>
  <c r="AA123" i="129"/>
  <c r="AA149" i="129" s="1"/>
  <c r="AC158" i="129"/>
  <c r="AB15" i="129"/>
  <c r="V199" i="129"/>
  <c r="Z199" i="129"/>
  <c r="R239" i="129"/>
  <c r="R268" i="129" s="1"/>
  <c r="X241" i="129"/>
  <c r="AB241" i="129"/>
  <c r="U241" i="129"/>
  <c r="L255" i="129"/>
  <c r="L264" i="129" s="1"/>
  <c r="F129" i="129"/>
  <c r="F142" i="129" s="1"/>
  <c r="M136" i="129"/>
  <c r="V158" i="129"/>
  <c r="Z158" i="129"/>
  <c r="AA178" i="129"/>
  <c r="B207" i="129"/>
  <c r="B210" i="129" s="1"/>
  <c r="C203" i="129"/>
  <c r="J124" i="129"/>
  <c r="J84" i="129"/>
  <c r="J240" i="129"/>
  <c r="J32" i="129"/>
  <c r="J198" i="129"/>
  <c r="V9" i="129"/>
  <c r="C120" i="129"/>
  <c r="C80" i="129"/>
  <c r="C279" i="129"/>
  <c r="C236" i="129"/>
  <c r="C194" i="129"/>
  <c r="K124" i="129"/>
  <c r="K84" i="129"/>
  <c r="K240" i="129"/>
  <c r="O124" i="129"/>
  <c r="O84" i="129"/>
  <c r="O240" i="129"/>
  <c r="AJ7" i="129"/>
  <c r="C9" i="129"/>
  <c r="G9" i="129"/>
  <c r="K9" i="129"/>
  <c r="K36" i="129" s="1"/>
  <c r="O9" i="129"/>
  <c r="S9" i="129"/>
  <c r="W9" i="129"/>
  <c r="AA9" i="129"/>
  <c r="AA19" i="129"/>
  <c r="D22" i="129"/>
  <c r="D23" i="129" s="1"/>
  <c r="H22" i="129"/>
  <c r="H32" i="129" s="1"/>
  <c r="L22" i="129"/>
  <c r="P22" i="129"/>
  <c r="T22" i="129"/>
  <c r="M26" i="129"/>
  <c r="L29" i="129"/>
  <c r="Q198" i="129"/>
  <c r="K198" i="129"/>
  <c r="AA198" i="129"/>
  <c r="D120" i="129"/>
  <c r="L124" i="129"/>
  <c r="L84" i="129"/>
  <c r="L240" i="129"/>
  <c r="L198" i="129"/>
  <c r="T124" i="129"/>
  <c r="T84" i="129"/>
  <c r="AB162" i="129"/>
  <c r="AB124" i="129"/>
  <c r="AB84" i="129"/>
  <c r="D9" i="129"/>
  <c r="H9" i="129"/>
  <c r="H36" i="129" s="1"/>
  <c r="L9" i="129"/>
  <c r="L36" i="129" s="1"/>
  <c r="P9" i="129"/>
  <c r="T9" i="129"/>
  <c r="X9" i="129"/>
  <c r="AB9" i="129"/>
  <c r="E22" i="129"/>
  <c r="Q22" i="129"/>
  <c r="Q32" i="129" s="1"/>
  <c r="U22" i="129"/>
  <c r="U32" i="129" s="1"/>
  <c r="B29" i="129"/>
  <c r="Q26" i="129"/>
  <c r="O198" i="129"/>
  <c r="M210" i="129"/>
  <c r="B32" i="129"/>
  <c r="M156" i="129"/>
  <c r="M120" i="129"/>
  <c r="M80" i="129"/>
  <c r="M279" i="129"/>
  <c r="M236" i="129"/>
  <c r="M194" i="129"/>
  <c r="P124" i="129"/>
  <c r="P84" i="129"/>
  <c r="P240" i="129"/>
  <c r="P198" i="129"/>
  <c r="X162" i="129"/>
  <c r="X124" i="129"/>
  <c r="X84" i="129"/>
  <c r="N5" i="129"/>
  <c r="N41" i="129" s="1"/>
  <c r="I124" i="129"/>
  <c r="I240" i="129"/>
  <c r="I198" i="129"/>
  <c r="M124" i="129"/>
  <c r="M84" i="129"/>
  <c r="M240" i="129"/>
  <c r="M198" i="129"/>
  <c r="U162" i="129"/>
  <c r="U124" i="129"/>
  <c r="Y162" i="129"/>
  <c r="Y124" i="129"/>
  <c r="Y198" i="129"/>
  <c r="E9" i="129"/>
  <c r="I9" i="129"/>
  <c r="I36" i="129" s="1"/>
  <c r="M9" i="129"/>
  <c r="Q9" i="129"/>
  <c r="U9" i="129"/>
  <c r="Y9" i="129"/>
  <c r="M11" i="129"/>
  <c r="M14" i="129" s="1"/>
  <c r="AC11" i="129"/>
  <c r="AC14" i="129" s="1"/>
  <c r="DQ61" i="28" s="1"/>
  <c r="E26" i="129"/>
  <c r="U26" i="129"/>
  <c r="S198" i="129"/>
  <c r="Z207" i="129"/>
  <c r="Z210" i="129" s="1"/>
  <c r="N124" i="129"/>
  <c r="N84" i="129"/>
  <c r="N240" i="129"/>
  <c r="N198" i="129"/>
  <c r="B9" i="129"/>
  <c r="J9" i="129"/>
  <c r="J36" i="129" s="1"/>
  <c r="R9" i="129"/>
  <c r="Z9" i="129"/>
  <c r="D26" i="129"/>
  <c r="H26" i="129"/>
  <c r="L26" i="129"/>
  <c r="I26" i="129"/>
  <c r="Y26" i="129"/>
  <c r="H29" i="129"/>
  <c r="T231" i="129"/>
  <c r="T198" i="129"/>
  <c r="T197" i="129"/>
  <c r="T226" i="129" s="1"/>
  <c r="X231" i="129"/>
  <c r="X198" i="129"/>
  <c r="X226" i="129"/>
  <c r="AB231" i="129"/>
  <c r="AB198" i="129"/>
  <c r="AB197" i="129"/>
  <c r="AB226" i="129" s="1"/>
  <c r="AJ196" i="129"/>
  <c r="W198" i="129"/>
  <c r="W231" i="129"/>
  <c r="AA222" i="129"/>
  <c r="AA231" i="129"/>
  <c r="R198" i="129"/>
  <c r="V198" i="129"/>
  <c r="Z198" i="129"/>
  <c r="Z219" i="129"/>
  <c r="K264" i="129"/>
  <c r="N261" i="129"/>
  <c r="B26" i="129"/>
  <c r="F26" i="129"/>
  <c r="J26" i="129"/>
  <c r="N26" i="129"/>
  <c r="R26" i="129"/>
  <c r="V26" i="129"/>
  <c r="Z26" i="129"/>
  <c r="AA203" i="129"/>
  <c r="AA207" i="129" s="1"/>
  <c r="D217" i="129"/>
  <c r="H217" i="129"/>
  <c r="L219" i="129"/>
  <c r="L217" i="129"/>
  <c r="P217" i="129"/>
  <c r="Q213" i="129"/>
  <c r="T217" i="129"/>
  <c r="U213" i="129"/>
  <c r="X217" i="129"/>
  <c r="Y213" i="129"/>
  <c r="AB217" i="129"/>
  <c r="AC213" i="129"/>
  <c r="AC214" i="129" s="1"/>
  <c r="AJ216" i="129"/>
  <c r="V231" i="129"/>
  <c r="Z231" i="129"/>
  <c r="S197" i="129"/>
  <c r="S226" i="129" s="1"/>
  <c r="W197" i="129"/>
  <c r="W226" i="129" s="1"/>
  <c r="AA197" i="129"/>
  <c r="AA226" i="129" s="1"/>
  <c r="U198" i="129"/>
  <c r="AB214" i="129"/>
  <c r="M222" i="129"/>
  <c r="M252" i="129"/>
  <c r="F217" i="129"/>
  <c r="J217" i="129"/>
  <c r="N217" i="129"/>
  <c r="R217" i="129"/>
  <c r="V217" i="129"/>
  <c r="Z217" i="129"/>
  <c r="U273" i="129"/>
  <c r="S239" i="129"/>
  <c r="S268" i="129" s="1"/>
  <c r="Q240" i="129"/>
  <c r="U240" i="129"/>
  <c r="K248" i="129"/>
  <c r="AA255" i="129"/>
  <c r="F259" i="129"/>
  <c r="E259" i="129"/>
  <c r="F255" i="129"/>
  <c r="G256" i="129" s="1"/>
  <c r="J259" i="129"/>
  <c r="I259" i="129"/>
  <c r="J255" i="129"/>
  <c r="N259" i="129"/>
  <c r="M261" i="129"/>
  <c r="M262" i="129" s="1"/>
  <c r="M259" i="129"/>
  <c r="N255" i="129"/>
  <c r="R259" i="129"/>
  <c r="Q259" i="129"/>
  <c r="R255" i="129"/>
  <c r="R256" i="129" s="1"/>
  <c r="V259" i="129"/>
  <c r="U259" i="129"/>
  <c r="V255" i="129"/>
  <c r="Z259" i="129"/>
  <c r="AJ258" i="129"/>
  <c r="Y259" i="129"/>
  <c r="Z255" i="129"/>
  <c r="AC258" i="129"/>
  <c r="L259" i="129"/>
  <c r="B291" i="129"/>
  <c r="B294" i="129" s="1"/>
  <c r="C287" i="129"/>
  <c r="C290" i="129" s="1"/>
  <c r="U84" i="129"/>
  <c r="V273" i="129"/>
  <c r="R240" i="129"/>
  <c r="V240" i="129"/>
  <c r="W273" i="129"/>
  <c r="W264" i="129"/>
  <c r="S240" i="129"/>
  <c r="W240" i="129"/>
  <c r="G259" i="129"/>
  <c r="K259" i="129"/>
  <c r="O259" i="129"/>
  <c r="S259" i="129"/>
  <c r="W259" i="129"/>
  <c r="AA259" i="129"/>
  <c r="D259" i="129"/>
  <c r="T259" i="129"/>
  <c r="F213" i="129"/>
  <c r="J213" i="129"/>
  <c r="K214" i="129" s="1"/>
  <c r="N213" i="129"/>
  <c r="R213" i="129"/>
  <c r="V213" i="129"/>
  <c r="Z213" i="129"/>
  <c r="Z222" i="129" s="1"/>
  <c r="AD216" i="129"/>
  <c r="E217" i="129"/>
  <c r="I217" i="129"/>
  <c r="M217" i="129"/>
  <c r="Q217" i="129"/>
  <c r="U217" i="129"/>
  <c r="Y217" i="129"/>
  <c r="AC217" i="129"/>
  <c r="T273" i="129"/>
  <c r="X273" i="129"/>
  <c r="X264" i="129"/>
  <c r="V239" i="129"/>
  <c r="V268" i="129" s="1"/>
  <c r="T240" i="129"/>
  <c r="X240" i="129"/>
  <c r="D255" i="129"/>
  <c r="D264" i="129" s="1"/>
  <c r="O255" i="129"/>
  <c r="T255" i="129"/>
  <c r="H259" i="129"/>
  <c r="X259" i="129"/>
  <c r="S84" i="129"/>
  <c r="W115" i="129"/>
  <c r="W84" i="129"/>
  <c r="AA115" i="129"/>
  <c r="AA84" i="129"/>
  <c r="S83" i="129"/>
  <c r="S110" i="129" s="1"/>
  <c r="Q106" i="129"/>
  <c r="Q83" i="129"/>
  <c r="Q110" i="129" s="1"/>
  <c r="U115" i="129"/>
  <c r="U106" i="129"/>
  <c r="U83" i="129"/>
  <c r="U110" i="129" s="1"/>
  <c r="Y110" i="129"/>
  <c r="V83" i="129"/>
  <c r="V110" i="129" s="1"/>
  <c r="R84" i="129"/>
  <c r="V115" i="129"/>
  <c r="V84" i="129"/>
  <c r="V106" i="129"/>
  <c r="Z115" i="129"/>
  <c r="Z106" i="129"/>
  <c r="Z84" i="129"/>
  <c r="R83" i="129"/>
  <c r="R110" i="129" s="1"/>
  <c r="W83" i="129"/>
  <c r="W110" i="129" s="1"/>
  <c r="Q84" i="129"/>
  <c r="Y84" i="129"/>
  <c r="AB106" i="129"/>
  <c r="D97" i="129"/>
  <c r="D106" i="129" s="1"/>
  <c r="I97" i="129"/>
  <c r="J98" i="129" s="1"/>
  <c r="N97" i="129"/>
  <c r="T97" i="129"/>
  <c r="Y97" i="129"/>
  <c r="Z98" i="129" s="1"/>
  <c r="D101" i="129"/>
  <c r="I101" i="129"/>
  <c r="T101" i="129"/>
  <c r="Y101" i="129"/>
  <c r="F106" i="129"/>
  <c r="X115" i="129"/>
  <c r="E101" i="129"/>
  <c r="P101" i="129"/>
  <c r="U101" i="129"/>
  <c r="L101" i="129"/>
  <c r="Q101" i="129"/>
  <c r="AB101" i="129"/>
  <c r="T115" i="129"/>
  <c r="AB115" i="129"/>
  <c r="H97" i="129"/>
  <c r="M97" i="129"/>
  <c r="X97" i="129"/>
  <c r="F101" i="129"/>
  <c r="G97" i="129"/>
  <c r="J101" i="129"/>
  <c r="K97" i="129"/>
  <c r="N101" i="129"/>
  <c r="O97" i="129"/>
  <c r="R101" i="129"/>
  <c r="S97" i="129"/>
  <c r="V101" i="129"/>
  <c r="W97" i="129"/>
  <c r="W98" i="129" s="1"/>
  <c r="Z101" i="129"/>
  <c r="AA97" i="129"/>
  <c r="AA98" i="129" s="1"/>
  <c r="H101" i="129"/>
  <c r="M101" i="129"/>
  <c r="S101" i="129"/>
  <c r="X101" i="129"/>
  <c r="S124" i="129"/>
  <c r="W124" i="129"/>
  <c r="AA124" i="129"/>
  <c r="V123" i="129"/>
  <c r="V149" i="129" s="1"/>
  <c r="Z149" i="129"/>
  <c r="N136" i="129"/>
  <c r="I140" i="129"/>
  <c r="M140" i="129"/>
  <c r="Q140" i="129"/>
  <c r="U140" i="129"/>
  <c r="Y140" i="129"/>
  <c r="G136" i="129"/>
  <c r="J140" i="129"/>
  <c r="K136" i="129"/>
  <c r="N140" i="129"/>
  <c r="O136" i="129"/>
  <c r="R140" i="129"/>
  <c r="S136" i="129"/>
  <c r="W140" i="129"/>
  <c r="V140" i="129"/>
  <c r="W136" i="129"/>
  <c r="AA140" i="129"/>
  <c r="Z140" i="129"/>
  <c r="AA136" i="129"/>
  <c r="AJ122" i="129"/>
  <c r="T123" i="129"/>
  <c r="T149" i="129" s="1"/>
  <c r="AB123" i="129"/>
  <c r="AB149" i="129" s="1"/>
  <c r="R124" i="129"/>
  <c r="V124" i="129"/>
  <c r="Z124" i="129"/>
  <c r="Q137" i="129"/>
  <c r="K140" i="129"/>
  <c r="S140" i="129"/>
  <c r="W162" i="129"/>
  <c r="AA162" i="129"/>
  <c r="W158" i="129"/>
  <c r="AA158" i="129"/>
  <c r="W161" i="129"/>
  <c r="AA161" i="129"/>
  <c r="V162" i="129"/>
  <c r="Z162" i="129"/>
  <c r="Z174" i="129"/>
  <c r="X161" i="129"/>
  <c r="AB161" i="129"/>
  <c r="Y178" i="129"/>
  <c r="Z161" i="129"/>
  <c r="BI25" i="118"/>
  <c r="BI30" i="118" s="1"/>
  <c r="BI35" i="118" s="1"/>
  <c r="BI9" i="118"/>
  <c r="BI17" i="118" s="1"/>
  <c r="BH25" i="118"/>
  <c r="BH30" i="118" s="1"/>
  <c r="BH35" i="118" s="1"/>
  <c r="BH9" i="118"/>
  <c r="BH17" i="118" s="1"/>
  <c r="BG25" i="118"/>
  <c r="BG30" i="118" s="1"/>
  <c r="BG35" i="118" s="1"/>
  <c r="BG9" i="118"/>
  <c r="BG17" i="118" s="1"/>
  <c r="BF25" i="118"/>
  <c r="BF30" i="118" s="1"/>
  <c r="BF35" i="118" s="1"/>
  <c r="BF9" i="118"/>
  <c r="BF17" i="118" s="1"/>
  <c r="BE25" i="118"/>
  <c r="BE30" i="118" s="1"/>
  <c r="BE35" i="118" s="1"/>
  <c r="BE9" i="118"/>
  <c r="BE17" i="118" s="1"/>
  <c r="BE42" i="118" s="1"/>
  <c r="AR108" i="127"/>
  <c r="AR106" i="127"/>
  <c r="AR105" i="127"/>
  <c r="AR104" i="127"/>
  <c r="AR115" i="127"/>
  <c r="AR113" i="127"/>
  <c r="AR112" i="127"/>
  <c r="AR111" i="127"/>
  <c r="AR122" i="127"/>
  <c r="AR120" i="127"/>
  <c r="AR119" i="127"/>
  <c r="AR118" i="127"/>
  <c r="AR315" i="127"/>
  <c r="AR313" i="127"/>
  <c r="AR312" i="127"/>
  <c r="AR311" i="127"/>
  <c r="AR322" i="127"/>
  <c r="AR320" i="127"/>
  <c r="AR319" i="127"/>
  <c r="AR318" i="127"/>
  <c r="AR329" i="127"/>
  <c r="AR327" i="127"/>
  <c r="AR326" i="127"/>
  <c r="AR325" i="127"/>
  <c r="AR480" i="127"/>
  <c r="AR478" i="127"/>
  <c r="AR477" i="127"/>
  <c r="AR476" i="127"/>
  <c r="AR487" i="127"/>
  <c r="AR485" i="127"/>
  <c r="AR484" i="127"/>
  <c r="AR483" i="127"/>
  <c r="AR494" i="127"/>
  <c r="AR492" i="127"/>
  <c r="AR491" i="127"/>
  <c r="AR490" i="127"/>
  <c r="AQ472" i="127"/>
  <c r="AQ479" i="127"/>
  <c r="AQ486" i="127"/>
  <c r="N50" i="129" l="1"/>
  <c r="N54" i="129" s="1"/>
  <c r="DB62" i="28"/>
  <c r="M29" i="129"/>
  <c r="M30" i="129" s="1"/>
  <c r="DA61" i="28"/>
  <c r="K103" i="129"/>
  <c r="CY63" i="28"/>
  <c r="P214" i="129"/>
  <c r="P230" i="129" s="1"/>
  <c r="I265" i="129"/>
  <c r="I256" i="129"/>
  <c r="K90" i="129"/>
  <c r="Z256" i="129"/>
  <c r="X214" i="129"/>
  <c r="AR479" i="127"/>
  <c r="AR486" i="127"/>
  <c r="AR493" i="127"/>
  <c r="K50" i="129"/>
  <c r="K52" i="129"/>
  <c r="V168" i="129"/>
  <c r="G57" i="129"/>
  <c r="G66" i="129" s="1"/>
  <c r="S137" i="129"/>
  <c r="S153" i="129" s="1"/>
  <c r="F107" i="129"/>
  <c r="N291" i="129"/>
  <c r="K57" i="129"/>
  <c r="K58" i="129" s="1"/>
  <c r="K74" i="129" s="1"/>
  <c r="F57" i="129"/>
  <c r="Y137" i="129"/>
  <c r="Y153" i="129" s="1"/>
  <c r="AA114" i="129"/>
  <c r="K92" i="129"/>
  <c r="B90" i="129"/>
  <c r="B94" i="129" s="1"/>
  <c r="P23" i="129"/>
  <c r="Y145" i="129"/>
  <c r="G126" i="129"/>
  <c r="G129" i="129" s="1"/>
  <c r="G151" i="129" s="1"/>
  <c r="L86" i="129"/>
  <c r="L89" i="129" s="1"/>
  <c r="B92" i="129"/>
  <c r="Z114" i="129"/>
  <c r="E107" i="129"/>
  <c r="M265" i="129"/>
  <c r="V256" i="129"/>
  <c r="V272" i="129" s="1"/>
  <c r="AB219" i="129"/>
  <c r="AB220" i="129" s="1"/>
  <c r="F61" i="129"/>
  <c r="AJ136" i="129"/>
  <c r="G214" i="129"/>
  <c r="R23" i="129"/>
  <c r="L214" i="129"/>
  <c r="L230" i="129" s="1"/>
  <c r="T214" i="129"/>
  <c r="K61" i="129"/>
  <c r="AA137" i="129"/>
  <c r="AA153" i="129" s="1"/>
  <c r="R214" i="129"/>
  <c r="R230" i="129" s="1"/>
  <c r="L256" i="129"/>
  <c r="L272" i="129" s="1"/>
  <c r="R272" i="129"/>
  <c r="Z137" i="129"/>
  <c r="C32" i="129"/>
  <c r="C33" i="129" s="1"/>
  <c r="H223" i="129"/>
  <c r="M256" i="129"/>
  <c r="M272" i="129" s="1"/>
  <c r="G61" i="129"/>
  <c r="K63" i="129"/>
  <c r="L98" i="129"/>
  <c r="L114" i="129" s="1"/>
  <c r="V214" i="129"/>
  <c r="V230" i="129" s="1"/>
  <c r="AB256" i="129"/>
  <c r="AB272" i="129" s="1"/>
  <c r="M220" i="129"/>
  <c r="L265" i="129"/>
  <c r="AC203" i="129"/>
  <c r="AC206" i="129" s="1"/>
  <c r="AC219" i="129" s="1"/>
  <c r="L23" i="129"/>
  <c r="K32" i="129"/>
  <c r="S98" i="129"/>
  <c r="S114" i="129" s="1"/>
  <c r="R264" i="129"/>
  <c r="Y214" i="129"/>
  <c r="Y230" i="129" s="1"/>
  <c r="Q214" i="129"/>
  <c r="Q230" i="129" s="1"/>
  <c r="N249" i="129"/>
  <c r="N252" i="129" s="1"/>
  <c r="N253" i="129" s="1"/>
  <c r="X222" i="129"/>
  <c r="O57" i="129"/>
  <c r="O66" i="129" s="1"/>
  <c r="H214" i="129"/>
  <c r="I223" i="129"/>
  <c r="O214" i="129"/>
  <c r="O230" i="129" s="1"/>
  <c r="X57" i="129"/>
  <c r="X66" i="129" s="1"/>
  <c r="O23" i="129"/>
  <c r="E214" i="129"/>
  <c r="L32" i="129"/>
  <c r="I15" i="129"/>
  <c r="I19" i="129" s="1"/>
  <c r="V137" i="129"/>
  <c r="R137" i="129"/>
  <c r="R153" i="129" s="1"/>
  <c r="W57" i="129"/>
  <c r="W58" i="129" s="1"/>
  <c r="D57" i="129"/>
  <c r="D66" i="129" s="1"/>
  <c r="F130" i="129"/>
  <c r="R114" i="129"/>
  <c r="R106" i="129"/>
  <c r="R107" i="129" s="1"/>
  <c r="N32" i="129"/>
  <c r="O33" i="129" s="1"/>
  <c r="I17" i="129"/>
  <c r="AJ213" i="129"/>
  <c r="W61" i="129"/>
  <c r="Z153" i="129"/>
  <c r="P98" i="129"/>
  <c r="P114" i="129" s="1"/>
  <c r="E223" i="129"/>
  <c r="T222" i="129"/>
  <c r="T223" i="129" s="1"/>
  <c r="I29" i="129"/>
  <c r="J30" i="129" s="1"/>
  <c r="H23" i="129"/>
  <c r="M214" i="129"/>
  <c r="M230" i="129" s="1"/>
  <c r="J137" i="129"/>
  <c r="U137" i="129"/>
  <c r="U153" i="129" s="1"/>
  <c r="O206" i="129"/>
  <c r="P203" i="129" s="1"/>
  <c r="O46" i="129"/>
  <c r="O49" i="129" s="1"/>
  <c r="DC62" i="28" s="1"/>
  <c r="B50" i="129"/>
  <c r="B54" i="129" s="1"/>
  <c r="B52" i="129"/>
  <c r="M57" i="129"/>
  <c r="L61" i="129"/>
  <c r="L137" i="129"/>
  <c r="L153" i="129" s="1"/>
  <c r="I145" i="129"/>
  <c r="I146" i="129" s="1"/>
  <c r="T145" i="129"/>
  <c r="U146" i="129" s="1"/>
  <c r="N207" i="129"/>
  <c r="N208" i="129" s="1"/>
  <c r="I214" i="129"/>
  <c r="D80" i="129"/>
  <c r="T23" i="129"/>
  <c r="C206" i="129"/>
  <c r="C207" i="129" s="1"/>
  <c r="M137" i="129"/>
  <c r="M153" i="129" s="1"/>
  <c r="S23" i="129"/>
  <c r="Y256" i="129"/>
  <c r="AA66" i="129"/>
  <c r="AA58" i="129"/>
  <c r="AA74" i="129" s="1"/>
  <c r="G58" i="129"/>
  <c r="Z66" i="129"/>
  <c r="J66" i="129"/>
  <c r="F66" i="129"/>
  <c r="T57" i="129"/>
  <c r="AB178" i="129"/>
  <c r="V153" i="129"/>
  <c r="N219" i="129"/>
  <c r="N220" i="129" s="1"/>
  <c r="D236" i="129"/>
  <c r="B15" i="129"/>
  <c r="B16" i="129" s="1"/>
  <c r="N63" i="129"/>
  <c r="R66" i="129"/>
  <c r="S66" i="129"/>
  <c r="S58" i="129"/>
  <c r="S74" i="129" s="1"/>
  <c r="AB61" i="129"/>
  <c r="AJ60" i="129"/>
  <c r="U57" i="129"/>
  <c r="V58" i="129" s="1"/>
  <c r="T61" i="129"/>
  <c r="E57" i="129"/>
  <c r="D61" i="129"/>
  <c r="I137" i="129"/>
  <c r="H256" i="129"/>
  <c r="T230" i="129"/>
  <c r="D194" i="129"/>
  <c r="E5" i="129"/>
  <c r="E41" i="129" s="1"/>
  <c r="D279" i="129"/>
  <c r="V66" i="129"/>
  <c r="N57" i="129"/>
  <c r="M61" i="129"/>
  <c r="E61" i="129"/>
  <c r="X61" i="129"/>
  <c r="Y57" i="129"/>
  <c r="Q57" i="129"/>
  <c r="P61" i="129"/>
  <c r="I57" i="129"/>
  <c r="J58" i="129" s="1"/>
  <c r="H61" i="129"/>
  <c r="AB57" i="129"/>
  <c r="P57" i="129"/>
  <c r="L57" i="129"/>
  <c r="H57" i="129"/>
  <c r="K54" i="129"/>
  <c r="G23" i="129"/>
  <c r="G33" i="129"/>
  <c r="H33" i="129"/>
  <c r="R265" i="129"/>
  <c r="AB16" i="129"/>
  <c r="X272" i="129"/>
  <c r="Y146" i="129"/>
  <c r="E98" i="129"/>
  <c r="AB174" i="129"/>
  <c r="AB175" i="129" s="1"/>
  <c r="M223" i="129"/>
  <c r="K207" i="129"/>
  <c r="K210" i="129" s="1"/>
  <c r="X26" i="129"/>
  <c r="K261" i="129"/>
  <c r="L262" i="129" s="1"/>
  <c r="Q256" i="129"/>
  <c r="Q272" i="129" s="1"/>
  <c r="T98" i="129"/>
  <c r="T114" i="129" s="1"/>
  <c r="L203" i="129"/>
  <c r="M145" i="129"/>
  <c r="M146" i="129" s="1"/>
  <c r="P256" i="129"/>
  <c r="P272" i="129" s="1"/>
  <c r="Q265" i="129"/>
  <c r="X230" i="129"/>
  <c r="N23" i="129"/>
  <c r="Q153" i="129"/>
  <c r="S145" i="129"/>
  <c r="T146" i="129" s="1"/>
  <c r="R145" i="129"/>
  <c r="R146" i="129" s="1"/>
  <c r="U23" i="129"/>
  <c r="V146" i="129"/>
  <c r="AC178" i="129"/>
  <c r="AD174" i="129"/>
  <c r="AD183" i="129" s="1"/>
  <c r="AC174" i="129"/>
  <c r="AC183" i="129" s="1"/>
  <c r="Z175" i="129"/>
  <c r="X98" i="129"/>
  <c r="Q107" i="129"/>
  <c r="V264" i="129"/>
  <c r="V265" i="129" s="1"/>
  <c r="N262" i="129"/>
  <c r="C11" i="129"/>
  <c r="C14" i="129" s="1"/>
  <c r="C17" i="129" s="1"/>
  <c r="Q98" i="129"/>
  <c r="Q114" i="129" s="1"/>
  <c r="W145" i="129"/>
  <c r="W146" i="129" s="1"/>
  <c r="AJ97" i="129"/>
  <c r="C245" i="129"/>
  <c r="C248" i="129" s="1"/>
  <c r="C249" i="129" s="1"/>
  <c r="J23" i="129"/>
  <c r="Y22" i="129"/>
  <c r="Y32" i="129" s="1"/>
  <c r="AB19" i="129"/>
  <c r="W26" i="129"/>
  <c r="W22" i="129"/>
  <c r="J33" i="129"/>
  <c r="AA26" i="129"/>
  <c r="AA22" i="129"/>
  <c r="AC230" i="129"/>
  <c r="X22" i="129"/>
  <c r="Z146" i="129"/>
  <c r="O262" i="129"/>
  <c r="T32" i="129"/>
  <c r="T33" i="129" s="1"/>
  <c r="D32" i="129"/>
  <c r="D33" i="129" s="1"/>
  <c r="X223" i="129"/>
  <c r="E256" i="129"/>
  <c r="AB230" i="129"/>
  <c r="V107" i="129"/>
  <c r="W106" i="129"/>
  <c r="AJ106" i="129" s="1"/>
  <c r="E265" i="129"/>
  <c r="E23" i="129"/>
  <c r="L33" i="129"/>
  <c r="L220" i="129"/>
  <c r="O145" i="129"/>
  <c r="O137" i="129"/>
  <c r="O153" i="129" s="1"/>
  <c r="W169" i="129"/>
  <c r="Z183" i="129"/>
  <c r="Z184" i="129" s="1"/>
  <c r="AA175" i="129"/>
  <c r="X164" i="129"/>
  <c r="X167" i="129" s="1"/>
  <c r="X168" i="129" s="1"/>
  <c r="AA145" i="129"/>
  <c r="AA146" i="129" s="1"/>
  <c r="P137" i="129"/>
  <c r="P153" i="129" s="1"/>
  <c r="H106" i="129"/>
  <c r="H98" i="129"/>
  <c r="Y98" i="129"/>
  <c r="T106" i="129"/>
  <c r="U107" i="129" s="1"/>
  <c r="Y106" i="129"/>
  <c r="X265" i="129"/>
  <c r="Z214" i="129"/>
  <c r="Z230" i="129" s="1"/>
  <c r="J214" i="129"/>
  <c r="J222" i="129"/>
  <c r="K94" i="129"/>
  <c r="C103" i="129"/>
  <c r="C92" i="129"/>
  <c r="C90" i="129"/>
  <c r="D86" i="129"/>
  <c r="D89" i="129" s="1"/>
  <c r="AC259" i="129"/>
  <c r="AD258" i="129"/>
  <c r="AD255" i="129" s="1"/>
  <c r="AC255" i="129"/>
  <c r="AC256" i="129" s="1"/>
  <c r="AC272" i="129" s="1"/>
  <c r="R222" i="129"/>
  <c r="Y222" i="129"/>
  <c r="U214" i="129"/>
  <c r="U230" i="129" s="1"/>
  <c r="U222" i="129"/>
  <c r="AA214" i="129"/>
  <c r="AA230" i="129" s="1"/>
  <c r="W256" i="129"/>
  <c r="W272" i="129" s="1"/>
  <c r="AF196" i="129"/>
  <c r="O207" i="129"/>
  <c r="AJ222" i="129"/>
  <c r="AB223" i="129"/>
  <c r="R36" i="129"/>
  <c r="V23" i="129"/>
  <c r="F23" i="129"/>
  <c r="Y36" i="129"/>
  <c r="P32" i="129"/>
  <c r="P33" i="129" s="1"/>
  <c r="Q23" i="129"/>
  <c r="X36" i="129"/>
  <c r="S36" i="129"/>
  <c r="K33" i="129"/>
  <c r="E32" i="129"/>
  <c r="E33" i="129" s="1"/>
  <c r="I23" i="129"/>
  <c r="I33" i="129"/>
  <c r="K145" i="129"/>
  <c r="K137" i="129"/>
  <c r="K153" i="129" s="1"/>
  <c r="G145" i="129"/>
  <c r="H137" i="129"/>
  <c r="G137" i="129"/>
  <c r="N145" i="129"/>
  <c r="N137" i="129"/>
  <c r="N153" i="129" s="1"/>
  <c r="K98" i="129"/>
  <c r="K114" i="129" s="1"/>
  <c r="K106" i="129"/>
  <c r="G98" i="129"/>
  <c r="G106" i="129"/>
  <c r="G107" i="129" s="1"/>
  <c r="U98" i="129"/>
  <c r="U114" i="129" s="1"/>
  <c r="T256" i="129"/>
  <c r="T272" i="129" s="1"/>
  <c r="AJ255" i="129"/>
  <c r="F214" i="129"/>
  <c r="F222" i="129"/>
  <c r="P287" i="129"/>
  <c r="P290" i="129" s="1"/>
  <c r="O291" i="129"/>
  <c r="D287" i="129"/>
  <c r="D290" i="129" s="1"/>
  <c r="C291" i="129"/>
  <c r="V222" i="129"/>
  <c r="S214" i="129"/>
  <c r="S230" i="129" s="1"/>
  <c r="AC15" i="129"/>
  <c r="AD11" i="129"/>
  <c r="AD14" i="129" s="1"/>
  <c r="DR61" i="28" s="1"/>
  <c r="U36" i="129"/>
  <c r="T36" i="129"/>
  <c r="O36" i="129"/>
  <c r="V36" i="129"/>
  <c r="F133" i="129"/>
  <c r="F134" i="129" s="1"/>
  <c r="F131" i="129"/>
  <c r="O98" i="129"/>
  <c r="O114" i="129" s="1"/>
  <c r="O106" i="129"/>
  <c r="N106" i="129"/>
  <c r="N98" i="129"/>
  <c r="N114" i="129" s="1"/>
  <c r="AA106" i="129"/>
  <c r="AA107" i="129" s="1"/>
  <c r="O264" i="129"/>
  <c r="P265" i="129" s="1"/>
  <c r="O256" i="129"/>
  <c r="O272" i="129" s="1"/>
  <c r="T264" i="129"/>
  <c r="T265" i="129" s="1"/>
  <c r="C261" i="129"/>
  <c r="N256" i="129"/>
  <c r="N272" i="129" s="1"/>
  <c r="N264" i="129"/>
  <c r="N265" i="129" s="1"/>
  <c r="J256" i="129"/>
  <c r="J264" i="129"/>
  <c r="J265" i="129" s="1"/>
  <c r="F256" i="129"/>
  <c r="F264" i="129"/>
  <c r="AA256" i="129"/>
  <c r="AA272" i="129" s="1"/>
  <c r="U256" i="129"/>
  <c r="U272" i="129" s="1"/>
  <c r="S256" i="129"/>
  <c r="S272" i="129" s="1"/>
  <c r="AA208" i="129"/>
  <c r="AA210" i="129"/>
  <c r="AA211" i="129" s="1"/>
  <c r="K256" i="129"/>
  <c r="K272" i="129" s="1"/>
  <c r="Q222" i="129"/>
  <c r="Q223" i="129" s="1"/>
  <c r="W214" i="129"/>
  <c r="W230" i="129" s="1"/>
  <c r="AA223" i="129"/>
  <c r="M15" i="129"/>
  <c r="M17" i="129"/>
  <c r="N11" i="129"/>
  <c r="N14" i="129" s="1"/>
  <c r="DB61" i="28" s="1"/>
  <c r="Q36" i="129"/>
  <c r="N156" i="129"/>
  <c r="N120" i="129"/>
  <c r="O120" i="129" s="1"/>
  <c r="P120" i="129" s="1"/>
  <c r="Q120" i="129" s="1"/>
  <c r="R120" i="129" s="1"/>
  <c r="S120" i="129" s="1"/>
  <c r="T120" i="129" s="1"/>
  <c r="U120" i="129" s="1"/>
  <c r="V120" i="129" s="1"/>
  <c r="W120" i="129" s="1"/>
  <c r="X120" i="129" s="1"/>
  <c r="Y120" i="129" s="1"/>
  <c r="Z120" i="129" s="1"/>
  <c r="AA120" i="129" s="1"/>
  <c r="AB120" i="129" s="1"/>
  <c r="AC120" i="129" s="1"/>
  <c r="AD120" i="129" s="1"/>
  <c r="AE120" i="129" s="1"/>
  <c r="AF120" i="129" s="1"/>
  <c r="AG120" i="129" s="1"/>
  <c r="AH120" i="129" s="1"/>
  <c r="N279" i="129"/>
  <c r="N80" i="129"/>
  <c r="O80" i="129" s="1"/>
  <c r="P80" i="129" s="1"/>
  <c r="Q80" i="129" s="1"/>
  <c r="R80" i="129" s="1"/>
  <c r="S80" i="129" s="1"/>
  <c r="T80" i="129" s="1"/>
  <c r="U80" i="129" s="1"/>
  <c r="V80" i="129" s="1"/>
  <c r="W80" i="129" s="1"/>
  <c r="X80" i="129" s="1"/>
  <c r="Y80" i="129" s="1"/>
  <c r="Z80" i="129" s="1"/>
  <c r="AA80" i="129" s="1"/>
  <c r="AB80" i="129" s="1"/>
  <c r="AC80" i="129" s="1"/>
  <c r="AD80" i="129" s="1"/>
  <c r="AE80" i="129" s="1"/>
  <c r="AF80" i="129" s="1"/>
  <c r="AG80" i="129" s="1"/>
  <c r="AH80" i="129" s="1"/>
  <c r="N236" i="129"/>
  <c r="O236" i="129" s="1"/>
  <c r="P236" i="129" s="1"/>
  <c r="Q236" i="129" s="1"/>
  <c r="R236" i="129" s="1"/>
  <c r="S236" i="129" s="1"/>
  <c r="T236" i="129" s="1"/>
  <c r="U236" i="129" s="1"/>
  <c r="V236" i="129" s="1"/>
  <c r="W236" i="129" s="1"/>
  <c r="X236" i="129" s="1"/>
  <c r="Y236" i="129" s="1"/>
  <c r="Z236" i="129" s="1"/>
  <c r="AA236" i="129" s="1"/>
  <c r="AB236" i="129" s="1"/>
  <c r="AC236" i="129" s="1"/>
  <c r="AD236" i="129" s="1"/>
  <c r="AE236" i="129" s="1"/>
  <c r="AF236" i="129" s="1"/>
  <c r="AG236" i="129" s="1"/>
  <c r="AH236" i="129" s="1"/>
  <c r="N194" i="129"/>
  <c r="O194" i="129" s="1"/>
  <c r="P194" i="129" s="1"/>
  <c r="Q194" i="129" s="1"/>
  <c r="R194" i="129" s="1"/>
  <c r="S194" i="129" s="1"/>
  <c r="T194" i="129" s="1"/>
  <c r="U194" i="129" s="1"/>
  <c r="V194" i="129" s="1"/>
  <c r="W194" i="129" s="1"/>
  <c r="X194" i="129" s="1"/>
  <c r="Y194" i="129" s="1"/>
  <c r="Z194" i="129" s="1"/>
  <c r="AA194" i="129" s="1"/>
  <c r="AB194" i="129" s="1"/>
  <c r="AC194" i="129" s="1"/>
  <c r="AD194" i="129" s="1"/>
  <c r="AE194" i="129" s="1"/>
  <c r="AF194" i="129" s="1"/>
  <c r="AG194" i="129" s="1"/>
  <c r="AH194" i="129" s="1"/>
  <c r="O5" i="129"/>
  <c r="O41" i="129" s="1"/>
  <c r="R33" i="129"/>
  <c r="AB20" i="129"/>
  <c r="P36" i="129"/>
  <c r="AA36" i="129"/>
  <c r="V33" i="129"/>
  <c r="M33" i="129"/>
  <c r="D203" i="129"/>
  <c r="J17" i="129"/>
  <c r="J15" i="129"/>
  <c r="K11" i="129"/>
  <c r="K14" i="129" s="1"/>
  <c r="CY61" i="28" s="1"/>
  <c r="AF160" i="129"/>
  <c r="X137" i="129"/>
  <c r="X153" i="129" s="1"/>
  <c r="W137" i="129"/>
  <c r="W153" i="129" s="1"/>
  <c r="AB137" i="129"/>
  <c r="AB153" i="129" s="1"/>
  <c r="M98" i="129"/>
  <c r="M114" i="129" s="1"/>
  <c r="M106" i="129"/>
  <c r="M107" i="129" s="1"/>
  <c r="AB98" i="129"/>
  <c r="AB114" i="129" s="1"/>
  <c r="T137" i="129"/>
  <c r="T153" i="129" s="1"/>
  <c r="I106" i="129"/>
  <c r="I98" i="129"/>
  <c r="X106" i="129"/>
  <c r="Z107" i="129"/>
  <c r="S106" i="129"/>
  <c r="AD213" i="129"/>
  <c r="AD217" i="129"/>
  <c r="AE216" i="129"/>
  <c r="AE213" i="129" s="1"/>
  <c r="N214" i="129"/>
  <c r="N230" i="129" s="1"/>
  <c r="N222" i="129"/>
  <c r="S265" i="129"/>
  <c r="M86" i="129"/>
  <c r="M89" i="129" s="1"/>
  <c r="DA63" i="28" s="1"/>
  <c r="L245" i="129"/>
  <c r="K249" i="129"/>
  <c r="AC222" i="129"/>
  <c r="AC223" i="129" s="1"/>
  <c r="O249" i="129"/>
  <c r="P245" i="129"/>
  <c r="P248" i="129" s="1"/>
  <c r="AA220" i="129"/>
  <c r="Z36" i="129"/>
  <c r="M36" i="129"/>
  <c r="E120" i="129"/>
  <c r="E80" i="129"/>
  <c r="E279" i="129"/>
  <c r="E236" i="129"/>
  <c r="E194" i="129"/>
  <c r="F5" i="129"/>
  <c r="F41" i="129" s="1"/>
  <c r="AB36" i="129"/>
  <c r="AB208" i="129"/>
  <c r="W36" i="129"/>
  <c r="M23" i="129"/>
  <c r="S33" i="129"/>
  <c r="S363" i="127"/>
  <c r="S528" i="127"/>
  <c r="S521" i="127"/>
  <c r="S356" i="127"/>
  <c r="S149" i="127"/>
  <c r="S142" i="127"/>
  <c r="S349" i="127"/>
  <c r="S514" i="127"/>
  <c r="S507" i="127"/>
  <c r="S342" i="127"/>
  <c r="S135" i="127"/>
  <c r="S128" i="127"/>
  <c r="S335" i="127"/>
  <c r="S500" i="127"/>
  <c r="S493" i="127"/>
  <c r="S328" i="127"/>
  <c r="D245" i="129" l="1"/>
  <c r="D248" i="129" s="1"/>
  <c r="N33" i="129"/>
  <c r="L112" i="129"/>
  <c r="CZ63" i="28"/>
  <c r="H126" i="129"/>
  <c r="H129" i="129" s="1"/>
  <c r="J146" i="129"/>
  <c r="O292" i="129"/>
  <c r="O58" i="129"/>
  <c r="O74" i="129" s="1"/>
  <c r="K66" i="129"/>
  <c r="K67" i="129" s="1"/>
  <c r="N210" i="129"/>
  <c r="N211" i="129" s="1"/>
  <c r="G130" i="129"/>
  <c r="AC220" i="129"/>
  <c r="G142" i="129"/>
  <c r="G143" i="129" s="1"/>
  <c r="L90" i="129"/>
  <c r="L94" i="129" s="1"/>
  <c r="L95" i="129" s="1"/>
  <c r="O219" i="129"/>
  <c r="O220" i="129" s="1"/>
  <c r="Y223" i="129"/>
  <c r="L103" i="129"/>
  <c r="L104" i="129" s="1"/>
  <c r="L92" i="129"/>
  <c r="I30" i="129"/>
  <c r="W66" i="129"/>
  <c r="X67" i="129" s="1"/>
  <c r="N250" i="129"/>
  <c r="AD203" i="129"/>
  <c r="AD206" i="129" s="1"/>
  <c r="AD219" i="129" s="1"/>
  <c r="AD220" i="129" s="1"/>
  <c r="AC207" i="129"/>
  <c r="AC208" i="129" s="1"/>
  <c r="S67" i="129"/>
  <c r="AA67" i="129"/>
  <c r="C219" i="129"/>
  <c r="N146" i="129"/>
  <c r="AB146" i="129"/>
  <c r="X58" i="129"/>
  <c r="U223" i="129"/>
  <c r="S107" i="129"/>
  <c r="X146" i="129"/>
  <c r="B19" i="129"/>
  <c r="D206" i="129"/>
  <c r="D207" i="129" s="1"/>
  <c r="D46" i="129"/>
  <c r="D49" i="129" s="1"/>
  <c r="D72" i="129" s="1"/>
  <c r="P206" i="129"/>
  <c r="P207" i="129" s="1"/>
  <c r="P49" i="129"/>
  <c r="H66" i="129"/>
  <c r="H67" i="129" s="1"/>
  <c r="H58" i="129"/>
  <c r="E66" i="129"/>
  <c r="E67" i="129" s="1"/>
  <c r="E58" i="129"/>
  <c r="G67" i="129"/>
  <c r="M58" i="129"/>
  <c r="M74" i="129" s="1"/>
  <c r="M66" i="129"/>
  <c r="L46" i="129"/>
  <c r="L49" i="129" s="1"/>
  <c r="L66" i="129"/>
  <c r="L58" i="129"/>
  <c r="L74" i="129" s="1"/>
  <c r="T58" i="129"/>
  <c r="T74" i="129" s="1"/>
  <c r="T66" i="129"/>
  <c r="T67" i="129" s="1"/>
  <c r="P66" i="129"/>
  <c r="P67" i="129" s="1"/>
  <c r="P58" i="129"/>
  <c r="P74" i="129" s="1"/>
  <c r="Q66" i="129"/>
  <c r="Q58" i="129"/>
  <c r="Q74" i="129" s="1"/>
  <c r="N66" i="129"/>
  <c r="N58" i="129"/>
  <c r="N74" i="129" s="1"/>
  <c r="R67" i="129"/>
  <c r="F58" i="129"/>
  <c r="AJ57" i="129"/>
  <c r="AB66" i="129"/>
  <c r="AB58" i="129"/>
  <c r="AB74" i="129" s="1"/>
  <c r="I58" i="129"/>
  <c r="I66" i="129"/>
  <c r="J67" i="129" s="1"/>
  <c r="Y58" i="129"/>
  <c r="Y66" i="129"/>
  <c r="Y67" i="129" s="1"/>
  <c r="U58" i="129"/>
  <c r="U74" i="129" s="1"/>
  <c r="U66" i="129"/>
  <c r="R58" i="129"/>
  <c r="R74" i="129" s="1"/>
  <c r="Z58" i="129"/>
  <c r="Z74" i="129" s="1"/>
  <c r="C46" i="129"/>
  <c r="C49" i="129" s="1"/>
  <c r="O50" i="129"/>
  <c r="O63" i="129"/>
  <c r="O64" i="129" s="1"/>
  <c r="S146" i="129"/>
  <c r="AB183" i="129"/>
  <c r="AB184" i="129" s="1"/>
  <c r="AD256" i="129"/>
  <c r="AD272" i="129" s="1"/>
  <c r="U33" i="129"/>
  <c r="AC175" i="129"/>
  <c r="Q33" i="129"/>
  <c r="W107" i="129"/>
  <c r="X107" i="129"/>
  <c r="U265" i="129"/>
  <c r="V223" i="129"/>
  <c r="AE177" i="129"/>
  <c r="AE174" i="129" s="1"/>
  <c r="AE183" i="129" s="1"/>
  <c r="AE184" i="129" s="1"/>
  <c r="C15" i="129"/>
  <c r="C16" i="129" s="1"/>
  <c r="L207" i="129"/>
  <c r="L228" i="129"/>
  <c r="X23" i="129"/>
  <c r="X32" i="129"/>
  <c r="Y33" i="129" s="1"/>
  <c r="AB29" i="129"/>
  <c r="AB30" i="129" s="1"/>
  <c r="AJ25" i="129"/>
  <c r="AB22" i="129"/>
  <c r="AB26" i="129"/>
  <c r="AD175" i="129"/>
  <c r="AA23" i="129"/>
  <c r="AA32" i="129"/>
  <c r="AA33" i="129" s="1"/>
  <c r="Z223" i="129"/>
  <c r="C29" i="129"/>
  <c r="C30" i="129" s="1"/>
  <c r="AA184" i="129"/>
  <c r="F33" i="129"/>
  <c r="D11" i="129"/>
  <c r="D14" i="129" s="1"/>
  <c r="D17" i="129" s="1"/>
  <c r="AJ145" i="129"/>
  <c r="W265" i="129"/>
  <c r="AD178" i="129"/>
  <c r="W32" i="129"/>
  <c r="W33" i="129" s="1"/>
  <c r="W23" i="129"/>
  <c r="Y23" i="129"/>
  <c r="Z23" i="129"/>
  <c r="AE214" i="129"/>
  <c r="AE230" i="129" s="1"/>
  <c r="K265" i="129"/>
  <c r="X169" i="129"/>
  <c r="X171" i="129"/>
  <c r="X172" i="129" s="1"/>
  <c r="AG160" i="129"/>
  <c r="AB211" i="129"/>
  <c r="Q245" i="129"/>
  <c r="Q248" i="129" s="1"/>
  <c r="P261" i="129"/>
  <c r="P262" i="129" s="1"/>
  <c r="P249" i="129"/>
  <c r="K252" i="129"/>
  <c r="J16" i="129"/>
  <c r="J19" i="129"/>
  <c r="J20" i="129" s="1"/>
  <c r="C210" i="129"/>
  <c r="C211" i="129" s="1"/>
  <c r="C208" i="129"/>
  <c r="O156" i="129"/>
  <c r="O279" i="129"/>
  <c r="P5" i="129"/>
  <c r="P41" i="129" s="1"/>
  <c r="O265" i="129"/>
  <c r="O107" i="129"/>
  <c r="P107" i="129"/>
  <c r="C294" i="129"/>
  <c r="C295" i="129" s="1"/>
  <c r="C292" i="129"/>
  <c r="F223" i="129"/>
  <c r="G223" i="129"/>
  <c r="H142" i="129"/>
  <c r="H130" i="129"/>
  <c r="I126" i="129"/>
  <c r="I129" i="129" s="1"/>
  <c r="H151" i="129"/>
  <c r="Z33" i="129"/>
  <c r="W223" i="129"/>
  <c r="AG196" i="129"/>
  <c r="AE222" i="129"/>
  <c r="R223" i="129"/>
  <c r="S223" i="129"/>
  <c r="T107" i="129"/>
  <c r="N17" i="129"/>
  <c r="N15" i="129"/>
  <c r="O11" i="129"/>
  <c r="O14" i="129" s="1"/>
  <c r="DC61" i="28" s="1"/>
  <c r="N29" i="129"/>
  <c r="N30" i="129" s="1"/>
  <c r="F265" i="129"/>
  <c r="G265" i="129"/>
  <c r="AB107" i="129"/>
  <c r="AD15" i="129"/>
  <c r="AD16" i="129" s="1"/>
  <c r="AE11" i="129"/>
  <c r="AE14" i="129" s="1"/>
  <c r="DS61" i="28" s="1"/>
  <c r="E287" i="129"/>
  <c r="E290" i="129" s="1"/>
  <c r="D291" i="129"/>
  <c r="K107" i="129"/>
  <c r="L107" i="129"/>
  <c r="G146" i="129"/>
  <c r="H146" i="129"/>
  <c r="D92" i="129"/>
  <c r="D90" i="129"/>
  <c r="E86" i="129"/>
  <c r="E89" i="129" s="1"/>
  <c r="D112" i="129"/>
  <c r="D103" i="129"/>
  <c r="D104" i="129" s="1"/>
  <c r="AD184" i="129"/>
  <c r="L249" i="129"/>
  <c r="L270" i="129"/>
  <c r="AD214" i="129"/>
  <c r="AD230" i="129" s="1"/>
  <c r="AD222" i="129"/>
  <c r="AD223" i="129" s="1"/>
  <c r="M90" i="129"/>
  <c r="N86" i="129"/>
  <c r="N89" i="129" s="1"/>
  <c r="DB63" i="28" s="1"/>
  <c r="M92" i="129"/>
  <c r="M103" i="129"/>
  <c r="N223" i="129"/>
  <c r="O223" i="129"/>
  <c r="AE217" i="129"/>
  <c r="AF216" i="129"/>
  <c r="AF213" i="129" s="1"/>
  <c r="AF214" i="129" s="1"/>
  <c r="AF230" i="129" s="1"/>
  <c r="I107" i="129"/>
  <c r="J107" i="129"/>
  <c r="AE203" i="129"/>
  <c r="AE206" i="129" s="1"/>
  <c r="AC16" i="129"/>
  <c r="C252" i="129"/>
  <c r="C253" i="129" s="1"/>
  <c r="C250" i="129"/>
  <c r="O208" i="129"/>
  <c r="O210" i="129"/>
  <c r="O211" i="129" s="1"/>
  <c r="AD259" i="129"/>
  <c r="AE258" i="129"/>
  <c r="AE255" i="129" s="1"/>
  <c r="AE256" i="129" s="1"/>
  <c r="AE272" i="129" s="1"/>
  <c r="C94" i="129"/>
  <c r="C91" i="129"/>
  <c r="J223" i="129"/>
  <c r="K223" i="129"/>
  <c r="O146" i="129"/>
  <c r="P146" i="129"/>
  <c r="O250" i="129"/>
  <c r="O252" i="129"/>
  <c r="O253" i="129" s="1"/>
  <c r="F120" i="129"/>
  <c r="F80" i="129"/>
  <c r="F279" i="129"/>
  <c r="F236" i="129"/>
  <c r="F194" i="129"/>
  <c r="G5" i="129"/>
  <c r="G41" i="129" s="1"/>
  <c r="L91" i="129"/>
  <c r="K17" i="129"/>
  <c r="K15" i="129"/>
  <c r="L11" i="129"/>
  <c r="L17" i="129"/>
  <c r="K29" i="129"/>
  <c r="E203" i="129"/>
  <c r="D219" i="129"/>
  <c r="M19" i="129"/>
  <c r="N107" i="129"/>
  <c r="Q287" i="129"/>
  <c r="Q290" i="129" s="1"/>
  <c r="P291" i="129"/>
  <c r="P292" i="129" s="1"/>
  <c r="D249" i="129"/>
  <c r="D261" i="129"/>
  <c r="D262" i="129" s="1"/>
  <c r="E245" i="129"/>
  <c r="E248" i="129" s="1"/>
  <c r="G131" i="129"/>
  <c r="G133" i="129"/>
  <c r="G134" i="129" s="1"/>
  <c r="K146" i="129"/>
  <c r="L146" i="129"/>
  <c r="Y107" i="129"/>
  <c r="H107" i="129"/>
  <c r="Y164" i="129"/>
  <c r="Y167" i="129" s="1"/>
  <c r="L72" i="129" l="1"/>
  <c r="CZ62" i="28"/>
  <c r="M104" i="129"/>
  <c r="H143" i="129"/>
  <c r="L67" i="129"/>
  <c r="AD207" i="129"/>
  <c r="AD210" i="129" s="1"/>
  <c r="D228" i="129"/>
  <c r="W67" i="129"/>
  <c r="D29" i="129"/>
  <c r="D30" i="129" s="1"/>
  <c r="AC210" i="129"/>
  <c r="AC211" i="129" s="1"/>
  <c r="N67" i="129"/>
  <c r="Q203" i="129"/>
  <c r="Q206" i="129" s="1"/>
  <c r="Q67" i="129"/>
  <c r="D220" i="129"/>
  <c r="M67" i="129"/>
  <c r="U67" i="129"/>
  <c r="E206" i="129"/>
  <c r="E228" i="129" s="1"/>
  <c r="E46" i="129"/>
  <c r="E49" i="129" s="1"/>
  <c r="E72" i="129" s="1"/>
  <c r="P219" i="129"/>
  <c r="P220" i="129" s="1"/>
  <c r="O51" i="129"/>
  <c r="O54" i="129"/>
  <c r="O55" i="129" s="1"/>
  <c r="Z67" i="129"/>
  <c r="M49" i="129"/>
  <c r="DA62" i="28" s="1"/>
  <c r="L52" i="129"/>
  <c r="L50" i="129"/>
  <c r="L63" i="129"/>
  <c r="L64" i="129" s="1"/>
  <c r="P50" i="129"/>
  <c r="P63" i="129"/>
  <c r="P64" i="129" s="1"/>
  <c r="C52" i="129"/>
  <c r="C50" i="129"/>
  <c r="C63" i="129"/>
  <c r="AJ66" i="129"/>
  <c r="AB67" i="129"/>
  <c r="I67" i="129"/>
  <c r="D52" i="129"/>
  <c r="D50" i="129"/>
  <c r="D63" i="129"/>
  <c r="Q49" i="129"/>
  <c r="F67" i="129"/>
  <c r="V67" i="129"/>
  <c r="O67" i="129"/>
  <c r="AE175" i="129"/>
  <c r="AC184" i="129"/>
  <c r="AE178" i="129"/>
  <c r="C19" i="129"/>
  <c r="C20" i="129" s="1"/>
  <c r="X33" i="129"/>
  <c r="AF177" i="129"/>
  <c r="AF174" i="129" s="1"/>
  <c r="AF175" i="129" s="1"/>
  <c r="D15" i="129"/>
  <c r="D19" i="129" s="1"/>
  <c r="M208" i="129"/>
  <c r="L210" i="129"/>
  <c r="L208" i="129"/>
  <c r="E11" i="129"/>
  <c r="E14" i="129" s="1"/>
  <c r="F11" i="129" s="1"/>
  <c r="F14" i="129" s="1"/>
  <c r="AB32" i="129"/>
  <c r="AB23" i="129"/>
  <c r="AJ22" i="129"/>
  <c r="Q291" i="129"/>
  <c r="Q292" i="129" s="1"/>
  <c r="R287" i="129"/>
  <c r="R290" i="129" s="1"/>
  <c r="R291" i="129" s="1"/>
  <c r="Z164" i="129"/>
  <c r="Z167" i="129" s="1"/>
  <c r="Z168" i="129" s="1"/>
  <c r="Y180" i="129"/>
  <c r="Y168" i="129"/>
  <c r="D250" i="129"/>
  <c r="D252" i="129"/>
  <c r="D253" i="129" s="1"/>
  <c r="K30" i="129"/>
  <c r="L30" i="129"/>
  <c r="K16" i="129"/>
  <c r="K19" i="129"/>
  <c r="K20" i="129" s="1"/>
  <c r="G120" i="129"/>
  <c r="G80" i="129"/>
  <c r="G279" i="129"/>
  <c r="G236" i="129"/>
  <c r="G194" i="129"/>
  <c r="H5" i="129"/>
  <c r="H41" i="129" s="1"/>
  <c r="AF217" i="129"/>
  <c r="AG216" i="129"/>
  <c r="AG213" i="129" s="1"/>
  <c r="AG214" i="129" s="1"/>
  <c r="AG230" i="129" s="1"/>
  <c r="M91" i="129"/>
  <c r="M94" i="129"/>
  <c r="M95" i="129" s="1"/>
  <c r="L252" i="129"/>
  <c r="L250" i="129"/>
  <c r="M250" i="129"/>
  <c r="D294" i="129"/>
  <c r="D295" i="129" s="1"/>
  <c r="D292" i="129"/>
  <c r="O15" i="129"/>
  <c r="P14" i="129"/>
  <c r="DD61" i="28" s="1"/>
  <c r="O29" i="129"/>
  <c r="O30" i="129" s="1"/>
  <c r="AH196" i="129"/>
  <c r="H131" i="129"/>
  <c r="H133" i="129"/>
  <c r="H134" i="129" s="1"/>
  <c r="AH160" i="129"/>
  <c r="F245" i="129"/>
  <c r="F248" i="129" s="1"/>
  <c r="E249" i="129"/>
  <c r="E261" i="129"/>
  <c r="E262" i="129" s="1"/>
  <c r="F203" i="129"/>
  <c r="AE207" i="129"/>
  <c r="AF203" i="129"/>
  <c r="AF206" i="129" s="1"/>
  <c r="F287" i="129"/>
  <c r="F290" i="129" s="1"/>
  <c r="E291" i="129"/>
  <c r="N16" i="129"/>
  <c r="N19" i="129"/>
  <c r="N20" i="129" s="1"/>
  <c r="P156" i="129"/>
  <c r="P279" i="129"/>
  <c r="Q5" i="129"/>
  <c r="Q41" i="129" s="1"/>
  <c r="R245" i="129"/>
  <c r="R248" i="129" s="1"/>
  <c r="Q249" i="129"/>
  <c r="Q261" i="129"/>
  <c r="Q262" i="129" s="1"/>
  <c r="D210" i="129"/>
  <c r="D211" i="129" s="1"/>
  <c r="D208" i="129"/>
  <c r="AE259" i="129"/>
  <c r="AF258" i="129"/>
  <c r="AE219" i="129"/>
  <c r="AE220" i="129" s="1"/>
  <c r="E90" i="129"/>
  <c r="F86" i="129"/>
  <c r="F89" i="129" s="1"/>
  <c r="E92" i="129"/>
  <c r="E112" i="129"/>
  <c r="E103" i="129"/>
  <c r="E104" i="129" s="1"/>
  <c r="AE15" i="129"/>
  <c r="AF11" i="129"/>
  <c r="AF14" i="129" s="1"/>
  <c r="DT61" i="28" s="1"/>
  <c r="AF222" i="129"/>
  <c r="AF223" i="129" s="1"/>
  <c r="L15" i="129"/>
  <c r="N90" i="129"/>
  <c r="O86" i="129"/>
  <c r="O89" i="129" s="1"/>
  <c r="DC63" i="28" s="1"/>
  <c r="N103" i="129"/>
  <c r="N104" i="129" s="1"/>
  <c r="D94" i="129"/>
  <c r="D95" i="129" s="1"/>
  <c r="D91" i="129"/>
  <c r="P210" i="129"/>
  <c r="P211" i="129" s="1"/>
  <c r="P208" i="129"/>
  <c r="AE223" i="129"/>
  <c r="I130" i="129"/>
  <c r="J126" i="129"/>
  <c r="J129" i="129" s="1"/>
  <c r="I151" i="129"/>
  <c r="I142" i="129"/>
  <c r="I143" i="129" s="1"/>
  <c r="P252" i="129"/>
  <c r="P253" i="129" s="1"/>
  <c r="P250" i="129"/>
  <c r="AT170" i="128"/>
  <c r="AT163" i="128"/>
  <c r="AT162" i="128" s="1"/>
  <c r="AT155" i="128"/>
  <c r="AT148" i="128"/>
  <c r="AT141" i="128"/>
  <c r="AU134" i="128"/>
  <c r="AT134" i="128"/>
  <c r="S486" i="127"/>
  <c r="S321" i="127"/>
  <c r="AQ321" i="127"/>
  <c r="AR328" i="127" s="1"/>
  <c r="S114" i="127"/>
  <c r="AQ114" i="127"/>
  <c r="AU127" i="128"/>
  <c r="AT127" i="128"/>
  <c r="AT120" i="128"/>
  <c r="S107" i="127"/>
  <c r="AQ107" i="127"/>
  <c r="S314" i="127"/>
  <c r="AQ314" i="127"/>
  <c r="S479" i="127"/>
  <c r="S472" i="127"/>
  <c r="AQ307" i="127"/>
  <c r="AQ100" i="127"/>
  <c r="AT113" i="128"/>
  <c r="AD208" i="129" l="1"/>
  <c r="AR314" i="127"/>
  <c r="AR321" i="127"/>
  <c r="AR114" i="127"/>
  <c r="AR121" i="127"/>
  <c r="AR107" i="127"/>
  <c r="AD211" i="129"/>
  <c r="E17" i="129"/>
  <c r="D16" i="129"/>
  <c r="R203" i="129"/>
  <c r="R206" i="129" s="1"/>
  <c r="R207" i="129" s="1"/>
  <c r="Q207" i="129"/>
  <c r="E219" i="129"/>
  <c r="E220" i="129" s="1"/>
  <c r="E207" i="129"/>
  <c r="E210" i="129" s="1"/>
  <c r="E211" i="129" s="1"/>
  <c r="Q219" i="129"/>
  <c r="Q220" i="129" s="1"/>
  <c r="R49" i="129"/>
  <c r="P51" i="129"/>
  <c r="P54" i="129"/>
  <c r="P55" i="129" s="1"/>
  <c r="Q50" i="129"/>
  <c r="Q63" i="129"/>
  <c r="Q64" i="129" s="1"/>
  <c r="D54" i="129"/>
  <c r="D51" i="129"/>
  <c r="C54" i="129"/>
  <c r="C51" i="129"/>
  <c r="M50" i="129"/>
  <c r="M52" i="129"/>
  <c r="M63" i="129"/>
  <c r="E52" i="129"/>
  <c r="E50" i="129"/>
  <c r="E63" i="129"/>
  <c r="E64" i="129" s="1"/>
  <c r="F206" i="129"/>
  <c r="F207" i="129" s="1"/>
  <c r="F46" i="129"/>
  <c r="F49" i="129" s="1"/>
  <c r="F72" i="129" s="1"/>
  <c r="D64" i="129"/>
  <c r="L51" i="129"/>
  <c r="L54" i="129"/>
  <c r="L55" i="129" s="1"/>
  <c r="AF183" i="129"/>
  <c r="AF184" i="129" s="1"/>
  <c r="AF178" i="129"/>
  <c r="AG177" i="129"/>
  <c r="AG174" i="129" s="1"/>
  <c r="AG175" i="129" s="1"/>
  <c r="D20" i="129"/>
  <c r="E29" i="129"/>
  <c r="E30" i="129" s="1"/>
  <c r="E15" i="129"/>
  <c r="E16" i="129" s="1"/>
  <c r="M211" i="129"/>
  <c r="L211" i="129"/>
  <c r="AJ32" i="129"/>
  <c r="AB33" i="129"/>
  <c r="AF255" i="129"/>
  <c r="AF256" i="129" s="1"/>
  <c r="AF272" i="129" s="1"/>
  <c r="R292" i="129"/>
  <c r="AE16" i="129"/>
  <c r="F291" i="129"/>
  <c r="G287" i="129"/>
  <c r="G290" i="129" s="1"/>
  <c r="L16" i="129"/>
  <c r="L19" i="129"/>
  <c r="M16" i="129"/>
  <c r="N94" i="129"/>
  <c r="N95" i="129" s="1"/>
  <c r="N91" i="129"/>
  <c r="I133" i="129"/>
  <c r="I134" i="129" s="1"/>
  <c r="I131" i="129"/>
  <c r="AF15" i="129"/>
  <c r="AF16" i="129" s="1"/>
  <c r="AG11" i="129"/>
  <c r="AG14" i="129" s="1"/>
  <c r="DU61" i="28" s="1"/>
  <c r="Q208" i="129"/>
  <c r="Q210" i="129"/>
  <c r="Q211" i="129" s="1"/>
  <c r="F92" i="129"/>
  <c r="F90" i="129"/>
  <c r="G86" i="129"/>
  <c r="G89" i="129" s="1"/>
  <c r="F103" i="129"/>
  <c r="F104" i="129" s="1"/>
  <c r="F112" i="129"/>
  <c r="F17" i="129"/>
  <c r="F15" i="129"/>
  <c r="G11" i="129"/>
  <c r="G14" i="129" s="1"/>
  <c r="F29" i="129"/>
  <c r="Q250" i="129"/>
  <c r="Q252" i="129"/>
  <c r="Q253" i="129" s="1"/>
  <c r="E294" i="129"/>
  <c r="E295" i="129" s="1"/>
  <c r="E292" i="129"/>
  <c r="AF207" i="129"/>
  <c r="AG203" i="129"/>
  <c r="AG206" i="129" s="1"/>
  <c r="AG219" i="129" s="1"/>
  <c r="F261" i="129"/>
  <c r="F262" i="129" s="1"/>
  <c r="F249" i="129"/>
  <c r="G245" i="129"/>
  <c r="G248" i="129" s="1"/>
  <c r="AG222" i="129"/>
  <c r="AG223" i="129" s="1"/>
  <c r="AF219" i="129"/>
  <c r="AF220" i="129" s="1"/>
  <c r="AA164" i="129"/>
  <c r="AA167" i="129" s="1"/>
  <c r="AA168" i="129" s="1"/>
  <c r="Z180" i="129"/>
  <c r="Z181" i="129" s="1"/>
  <c r="R261" i="129"/>
  <c r="R262" i="129" s="1"/>
  <c r="R249" i="129"/>
  <c r="S245" i="129"/>
  <c r="S248" i="129" s="1"/>
  <c r="H120" i="129"/>
  <c r="H80" i="129"/>
  <c r="H279" i="129"/>
  <c r="H236" i="129"/>
  <c r="H194" i="129"/>
  <c r="I5" i="129"/>
  <c r="I41" i="129" s="1"/>
  <c r="Z169" i="129"/>
  <c r="Z171" i="129"/>
  <c r="E91" i="129"/>
  <c r="E94" i="129"/>
  <c r="E95" i="129" s="1"/>
  <c r="AE208" i="129"/>
  <c r="AE210" i="129"/>
  <c r="AE211" i="129" s="1"/>
  <c r="L253" i="129"/>
  <c r="M253" i="129"/>
  <c r="O90" i="129"/>
  <c r="O103" i="129"/>
  <c r="O104" i="129" s="1"/>
  <c r="P89" i="129"/>
  <c r="Q156" i="129"/>
  <c r="Q279" i="129"/>
  <c r="R5" i="129"/>
  <c r="R41" i="129" s="1"/>
  <c r="AL196" i="129"/>
  <c r="P15" i="129"/>
  <c r="Q11" i="129"/>
  <c r="Q14" i="129" s="1"/>
  <c r="DE61" i="28" s="1"/>
  <c r="P29" i="129"/>
  <c r="P30" i="129" s="1"/>
  <c r="AG217" i="129"/>
  <c r="AH216" i="129"/>
  <c r="AH213" i="129" s="1"/>
  <c r="Y171" i="129"/>
  <c r="Y172" i="129" s="1"/>
  <c r="Y169" i="129"/>
  <c r="J130" i="129"/>
  <c r="K126" i="129"/>
  <c r="K129" i="129" s="1"/>
  <c r="CY64" i="28" s="1"/>
  <c r="J142" i="129"/>
  <c r="J143" i="129" s="1"/>
  <c r="J151" i="129"/>
  <c r="AF259" i="129"/>
  <c r="AG258" i="129"/>
  <c r="AG255" i="129" s="1"/>
  <c r="E252" i="129"/>
  <c r="E253" i="129" s="1"/>
  <c r="E250" i="129"/>
  <c r="O16" i="129"/>
  <c r="O19" i="129"/>
  <c r="O20" i="129" s="1"/>
  <c r="AT168" i="128"/>
  <c r="AT167" i="128"/>
  <c r="AT166" i="128"/>
  <c r="S155" i="127"/>
  <c r="S362" i="127"/>
  <c r="S527" i="127"/>
  <c r="S526" i="127"/>
  <c r="S361" i="127"/>
  <c r="S154" i="127"/>
  <c r="S153" i="127"/>
  <c r="S360" i="127"/>
  <c r="S525" i="127"/>
  <c r="S520" i="127"/>
  <c r="S355" i="127"/>
  <c r="S148" i="127"/>
  <c r="S147" i="127"/>
  <c r="S354" i="127"/>
  <c r="S519" i="127"/>
  <c r="S518" i="127"/>
  <c r="S353" i="127"/>
  <c r="S146" i="127"/>
  <c r="S141" i="127"/>
  <c r="S348" i="127"/>
  <c r="S513" i="127"/>
  <c r="S512" i="127"/>
  <c r="S347" i="127"/>
  <c r="S140" i="127"/>
  <c r="S139" i="127"/>
  <c r="S346" i="127"/>
  <c r="S511" i="127"/>
  <c r="S506" i="127"/>
  <c r="S341" i="127"/>
  <c r="S134" i="127"/>
  <c r="S133" i="127"/>
  <c r="S340" i="127"/>
  <c r="S505" i="127"/>
  <c r="S504" i="127"/>
  <c r="S339" i="127"/>
  <c r="S132" i="127"/>
  <c r="S127" i="127"/>
  <c r="S334" i="127"/>
  <c r="S499" i="127"/>
  <c r="S498" i="127"/>
  <c r="S333" i="127"/>
  <c r="S126" i="127"/>
  <c r="S125" i="127"/>
  <c r="S332" i="127"/>
  <c r="S497" i="127"/>
  <c r="S492" i="127"/>
  <c r="S327" i="127"/>
  <c r="S326" i="127"/>
  <c r="S491" i="127"/>
  <c r="S490" i="127"/>
  <c r="S325" i="127"/>
  <c r="S320" i="127"/>
  <c r="S485" i="127"/>
  <c r="S484" i="127"/>
  <c r="S319" i="127"/>
  <c r="S318" i="127"/>
  <c r="S483" i="127"/>
  <c r="S471" i="127"/>
  <c r="S478" i="127"/>
  <c r="F228" i="129" l="1"/>
  <c r="F30" i="129"/>
  <c r="E208" i="129"/>
  <c r="D55" i="129"/>
  <c r="R219" i="129"/>
  <c r="R220" i="129" s="1"/>
  <c r="E19" i="129"/>
  <c r="E20" i="129" s="1"/>
  <c r="F219" i="129"/>
  <c r="F220" i="129" s="1"/>
  <c r="M64" i="129"/>
  <c r="N64" i="129"/>
  <c r="Q54" i="129"/>
  <c r="Q55" i="129" s="1"/>
  <c r="Q51" i="129"/>
  <c r="S203" i="129"/>
  <c r="G203" i="129"/>
  <c r="F52" i="129"/>
  <c r="F50" i="129"/>
  <c r="F63" i="129"/>
  <c r="F64" i="129" s="1"/>
  <c r="E51" i="129"/>
  <c r="E54" i="129"/>
  <c r="E55" i="129" s="1"/>
  <c r="M51" i="129"/>
  <c r="M54" i="129"/>
  <c r="N51" i="129"/>
  <c r="R50" i="129"/>
  <c r="R63" i="129"/>
  <c r="R64" i="129" s="1"/>
  <c r="AT169" i="128"/>
  <c r="AG183" i="129"/>
  <c r="AG184" i="129" s="1"/>
  <c r="AH177" i="129"/>
  <c r="AH174" i="129" s="1"/>
  <c r="AH175" i="129" s="1"/>
  <c r="AG178" i="129"/>
  <c r="AG220" i="129"/>
  <c r="AG256" i="129"/>
  <c r="AG272" i="129" s="1"/>
  <c r="AH214" i="129"/>
  <c r="AH230" i="129" s="1"/>
  <c r="AL213" i="129"/>
  <c r="AH222" i="129"/>
  <c r="R208" i="129"/>
  <c r="R210" i="129"/>
  <c r="R211" i="129" s="1"/>
  <c r="R250" i="129"/>
  <c r="R252" i="129"/>
  <c r="R253" i="129" s="1"/>
  <c r="AB164" i="129"/>
  <c r="AB167" i="129" s="1"/>
  <c r="AB168" i="129" s="1"/>
  <c r="AA180" i="129"/>
  <c r="AA181" i="129" s="1"/>
  <c r="G17" i="129"/>
  <c r="G15" i="129"/>
  <c r="H11" i="129"/>
  <c r="H17" i="129"/>
  <c r="G29" i="129"/>
  <c r="AH217" i="129"/>
  <c r="AL216" i="129"/>
  <c r="Q15" i="129"/>
  <c r="R11" i="129"/>
  <c r="R14" i="129" s="1"/>
  <c r="DF61" i="28" s="1"/>
  <c r="Q29" i="129"/>
  <c r="Q30" i="129" s="1"/>
  <c r="R156" i="129"/>
  <c r="R279" i="129"/>
  <c r="S5" i="129"/>
  <c r="S41" i="129" s="1"/>
  <c r="P90" i="129"/>
  <c r="Q86" i="129"/>
  <c r="Q89" i="129" s="1"/>
  <c r="P103" i="129"/>
  <c r="P104" i="129" s="1"/>
  <c r="I156" i="129"/>
  <c r="I120" i="129"/>
  <c r="I80" i="129"/>
  <c r="I279" i="129"/>
  <c r="I236" i="129"/>
  <c r="I194" i="129"/>
  <c r="J5" i="129"/>
  <c r="J41" i="129" s="1"/>
  <c r="AG207" i="129"/>
  <c r="AH203" i="129"/>
  <c r="AH206" i="129" s="1"/>
  <c r="AH219" i="129" s="1"/>
  <c r="AH220" i="129" s="1"/>
  <c r="F16" i="129"/>
  <c r="F19" i="129"/>
  <c r="H287" i="129"/>
  <c r="H290" i="129" s="1"/>
  <c r="G291" i="129"/>
  <c r="K130" i="129"/>
  <c r="L126" i="129"/>
  <c r="L129" i="129" s="1"/>
  <c r="CZ64" i="28" s="1"/>
  <c r="K142" i="129"/>
  <c r="K143" i="129" s="1"/>
  <c r="K151" i="129"/>
  <c r="P16" i="129"/>
  <c r="P19" i="129"/>
  <c r="P20" i="129" s="1"/>
  <c r="H245" i="129"/>
  <c r="H248" i="129" s="1"/>
  <c r="G249" i="129"/>
  <c r="G261" i="129"/>
  <c r="G262" i="129" s="1"/>
  <c r="AF208" i="129"/>
  <c r="AF210" i="129"/>
  <c r="AF211" i="129" s="1"/>
  <c r="G103" i="129"/>
  <c r="G104" i="129" s="1"/>
  <c r="G92" i="129"/>
  <c r="G90" i="129"/>
  <c r="H86" i="129"/>
  <c r="H89" i="129" s="1"/>
  <c r="G112" i="129"/>
  <c r="F294" i="129"/>
  <c r="F295" i="129" s="1"/>
  <c r="F292" i="129"/>
  <c r="AG259" i="129"/>
  <c r="AH258" i="129"/>
  <c r="AH255" i="129" s="1"/>
  <c r="J133" i="129"/>
  <c r="J134" i="129" s="1"/>
  <c r="J131" i="129"/>
  <c r="O94" i="129"/>
  <c r="O95" i="129" s="1"/>
  <c r="O91" i="129"/>
  <c r="Z172" i="129"/>
  <c r="S249" i="129"/>
  <c r="T245" i="129"/>
  <c r="T248" i="129" s="1"/>
  <c r="S261" i="129"/>
  <c r="S262" i="129" s="1"/>
  <c r="AA169" i="129"/>
  <c r="AA171" i="129"/>
  <c r="AA172" i="129" s="1"/>
  <c r="F250" i="129"/>
  <c r="F252" i="129"/>
  <c r="F253" i="129" s="1"/>
  <c r="F210" i="129"/>
  <c r="F211" i="129" s="1"/>
  <c r="F208" i="129"/>
  <c r="F94" i="129"/>
  <c r="F95" i="129" s="1"/>
  <c r="F91" i="129"/>
  <c r="AG15" i="129"/>
  <c r="AG16" i="129" s="1"/>
  <c r="AH11" i="129"/>
  <c r="AH14" i="129" s="1"/>
  <c r="DV61" i="28" s="1"/>
  <c r="L20" i="129"/>
  <c r="M20" i="129"/>
  <c r="AA38" i="118"/>
  <c r="AA347" i="127" s="1"/>
  <c r="AB38" i="118"/>
  <c r="AA348" i="127" s="1"/>
  <c r="AC38" i="118"/>
  <c r="AA349" i="127" s="1"/>
  <c r="AD38" i="118"/>
  <c r="AA353" i="127" s="1"/>
  <c r="AE38" i="118"/>
  <c r="AA354" i="127" s="1"/>
  <c r="AF38" i="118"/>
  <c r="AA355" i="127" s="1"/>
  <c r="AG38" i="118"/>
  <c r="AA356" i="127" s="1"/>
  <c r="AH38" i="118"/>
  <c r="AA360" i="127" s="1"/>
  <c r="AI38" i="118"/>
  <c r="AA361" i="127" s="1"/>
  <c r="AJ38" i="118"/>
  <c r="AA362" i="127" s="1"/>
  <c r="AK38" i="118"/>
  <c r="AA363" i="127" s="1"/>
  <c r="AL38" i="118"/>
  <c r="AA367" i="127" s="1"/>
  <c r="AM38" i="118"/>
  <c r="AA368" i="127" s="1"/>
  <c r="AN38" i="118"/>
  <c r="AA369" i="127" s="1"/>
  <c r="AO38" i="118"/>
  <c r="AA370" i="127" s="1"/>
  <c r="AP38" i="118"/>
  <c r="AA374" i="127" s="1"/>
  <c r="AQ38" i="118"/>
  <c r="AA375" i="127" s="1"/>
  <c r="AR38" i="118"/>
  <c r="AA376" i="127" s="1"/>
  <c r="AS38" i="118"/>
  <c r="AA377" i="127" s="1"/>
  <c r="AT38" i="118"/>
  <c r="AA381" i="127" s="1"/>
  <c r="AU38" i="118"/>
  <c r="AA382" i="127" s="1"/>
  <c r="AV38" i="118"/>
  <c r="AA383" i="127" s="1"/>
  <c r="AW38" i="118"/>
  <c r="AA384" i="127" s="1"/>
  <c r="AX38" i="118"/>
  <c r="AA388" i="127" s="1"/>
  <c r="AY38" i="118"/>
  <c r="AA389" i="127" s="1"/>
  <c r="AZ38" i="118"/>
  <c r="AA390" i="127" s="1"/>
  <c r="BA38" i="118"/>
  <c r="AA391" i="127" s="1"/>
  <c r="BB38" i="118"/>
  <c r="AA395" i="127" s="1"/>
  <c r="BC38" i="118"/>
  <c r="AA396" i="127" s="1"/>
  <c r="BD38" i="118"/>
  <c r="Z38" i="118"/>
  <c r="AA33" i="118"/>
  <c r="AA140" i="127" s="1"/>
  <c r="AB33" i="118"/>
  <c r="AA141" i="127" s="1"/>
  <c r="AC33" i="118"/>
  <c r="AA142" i="127" s="1"/>
  <c r="AD33" i="118"/>
  <c r="AA146" i="127" s="1"/>
  <c r="AE33" i="118"/>
  <c r="AA147" i="127" s="1"/>
  <c r="AF33" i="118"/>
  <c r="AA148" i="127" s="1"/>
  <c r="AG33" i="118"/>
  <c r="AA149" i="127" s="1"/>
  <c r="AH33" i="118"/>
  <c r="AA153" i="127" s="1"/>
  <c r="AI33" i="118"/>
  <c r="AA154" i="127" s="1"/>
  <c r="AJ33" i="118"/>
  <c r="AA155" i="127" s="1"/>
  <c r="AK33" i="118"/>
  <c r="AA156" i="127" s="1"/>
  <c r="AL33" i="118"/>
  <c r="AA160" i="127" s="1"/>
  <c r="AM33" i="118"/>
  <c r="AA161" i="127" s="1"/>
  <c r="AN33" i="118"/>
  <c r="AA162" i="127" s="1"/>
  <c r="AO33" i="118"/>
  <c r="AA163" i="127" s="1"/>
  <c r="AP33" i="118"/>
  <c r="AA167" i="127" s="1"/>
  <c r="AQ33" i="118"/>
  <c r="AA168" i="127" s="1"/>
  <c r="AR33" i="118"/>
  <c r="AA169" i="127" s="1"/>
  <c r="AS33" i="118"/>
  <c r="AA170" i="127" s="1"/>
  <c r="AT33" i="118"/>
  <c r="AA174" i="127" s="1"/>
  <c r="AU33" i="118"/>
  <c r="AA175" i="127" s="1"/>
  <c r="AV33" i="118"/>
  <c r="AA176" i="127" s="1"/>
  <c r="AW33" i="118"/>
  <c r="AA177" i="127" s="1"/>
  <c r="AX33" i="118"/>
  <c r="AA181" i="127" s="1"/>
  <c r="AY33" i="118"/>
  <c r="AA182" i="127" s="1"/>
  <c r="AZ33" i="118"/>
  <c r="AA183" i="127" s="1"/>
  <c r="BA33" i="118"/>
  <c r="AA184" i="127" s="1"/>
  <c r="BB33" i="118"/>
  <c r="AA188" i="127" s="1"/>
  <c r="BC33" i="118"/>
  <c r="AA189" i="127" s="1"/>
  <c r="BD33" i="118"/>
  <c r="Z33" i="118"/>
  <c r="AA28" i="118"/>
  <c r="AA512" i="127" s="1"/>
  <c r="AB28" i="118"/>
  <c r="AA513" i="127" s="1"/>
  <c r="AC28" i="118"/>
  <c r="AA514" i="127" s="1"/>
  <c r="AD28" i="118"/>
  <c r="AA518" i="127" s="1"/>
  <c r="AE28" i="118"/>
  <c r="AA519" i="127" s="1"/>
  <c r="AF28" i="118"/>
  <c r="AA520" i="127" s="1"/>
  <c r="AG28" i="118"/>
  <c r="AA521" i="127" s="1"/>
  <c r="AH28" i="118"/>
  <c r="AA525" i="127" s="1"/>
  <c r="AI28" i="118"/>
  <c r="AA526" i="127" s="1"/>
  <c r="AJ28" i="118"/>
  <c r="AA527" i="127" s="1"/>
  <c r="AK28" i="118"/>
  <c r="AA528" i="127" s="1"/>
  <c r="AL28" i="118"/>
  <c r="AA532" i="127" s="1"/>
  <c r="AM28" i="118"/>
  <c r="AA533" i="127" s="1"/>
  <c r="AN28" i="118"/>
  <c r="AA534" i="127" s="1"/>
  <c r="AO28" i="118"/>
  <c r="AA535" i="127" s="1"/>
  <c r="AP28" i="118"/>
  <c r="AA539" i="127" s="1"/>
  <c r="AQ28" i="118"/>
  <c r="AA540" i="127" s="1"/>
  <c r="AR28" i="118"/>
  <c r="AA541" i="127" s="1"/>
  <c r="AS28" i="118"/>
  <c r="AA542" i="127" s="1"/>
  <c r="AT28" i="118"/>
  <c r="AA546" i="127" s="1"/>
  <c r="AU28" i="118"/>
  <c r="AA547" i="127" s="1"/>
  <c r="AV28" i="118"/>
  <c r="AA548" i="127" s="1"/>
  <c r="AW28" i="118"/>
  <c r="AA549" i="127" s="1"/>
  <c r="AX28" i="118"/>
  <c r="AA553" i="127" s="1"/>
  <c r="AY28" i="118"/>
  <c r="AA554" i="127" s="1"/>
  <c r="AZ28" i="118"/>
  <c r="AA555" i="127" s="1"/>
  <c r="BA28" i="118"/>
  <c r="AA556" i="127" s="1"/>
  <c r="BB28" i="118"/>
  <c r="AA560" i="127" s="1"/>
  <c r="BC28" i="118"/>
  <c r="AA561" i="127" s="1"/>
  <c r="BD28" i="118"/>
  <c r="Z28" i="118"/>
  <c r="Z36" i="118"/>
  <c r="Z31" i="118"/>
  <c r="Z26" i="118"/>
  <c r="AZ25" i="118"/>
  <c r="BA25" i="118"/>
  <c r="BB25" i="118"/>
  <c r="BC25" i="118"/>
  <c r="BD25" i="118"/>
  <c r="AW35" i="118"/>
  <c r="AV35" i="118"/>
  <c r="AU35" i="118"/>
  <c r="AT35" i="118"/>
  <c r="AS35" i="118"/>
  <c r="AR35" i="118"/>
  <c r="AQ35" i="118"/>
  <c r="AP35" i="118"/>
  <c r="AO35" i="118"/>
  <c r="AN35" i="118"/>
  <c r="AM35" i="118"/>
  <c r="AL35" i="118"/>
  <c r="AK35" i="118"/>
  <c r="AJ35" i="118"/>
  <c r="AI35" i="118"/>
  <c r="AH35" i="118"/>
  <c r="AG35" i="118"/>
  <c r="AF35" i="118"/>
  <c r="AE35" i="118"/>
  <c r="AD35" i="118"/>
  <c r="AC35" i="118"/>
  <c r="AB35" i="118"/>
  <c r="AA35" i="118"/>
  <c r="Z35" i="118"/>
  <c r="AW30" i="118"/>
  <c r="AV30" i="118"/>
  <c r="AU30" i="118"/>
  <c r="AT30" i="118"/>
  <c r="AS30" i="118"/>
  <c r="AR30" i="118"/>
  <c r="AQ30" i="118"/>
  <c r="AP30" i="118"/>
  <c r="AO30" i="118"/>
  <c r="AN30" i="118"/>
  <c r="AM30" i="118"/>
  <c r="AL30" i="118"/>
  <c r="AK30" i="118"/>
  <c r="AJ30" i="118"/>
  <c r="AI30" i="118"/>
  <c r="AH30" i="118"/>
  <c r="AG30" i="118"/>
  <c r="AF30" i="118"/>
  <c r="AE30" i="118"/>
  <c r="AD30" i="118"/>
  <c r="AC30" i="118"/>
  <c r="AB30" i="118"/>
  <c r="AA30" i="118"/>
  <c r="Z30" i="118"/>
  <c r="Z3" i="118"/>
  <c r="V46" i="129" s="1"/>
  <c r="S477" i="127"/>
  <c r="S470" i="127"/>
  <c r="S476" i="127"/>
  <c r="S469" i="127"/>
  <c r="F16" i="128"/>
  <c r="F15" i="128"/>
  <c r="F14" i="128"/>
  <c r="F13" i="128"/>
  <c r="F12" i="128"/>
  <c r="F20" i="129" l="1"/>
  <c r="AH178" i="129"/>
  <c r="M55" i="129"/>
  <c r="N55" i="129"/>
  <c r="G206" i="129"/>
  <c r="G46" i="129"/>
  <c r="G49" i="129" s="1"/>
  <c r="G72" i="129" s="1"/>
  <c r="S206" i="129"/>
  <c r="S49" i="129"/>
  <c r="R51" i="129"/>
  <c r="R54" i="129"/>
  <c r="R55" i="129" s="1"/>
  <c r="F54" i="129"/>
  <c r="F55" i="129" s="1"/>
  <c r="F51" i="129"/>
  <c r="AA562" i="127"/>
  <c r="AA198" i="127"/>
  <c r="AA190" i="127"/>
  <c r="AA197" i="127"/>
  <c r="AA196" i="127"/>
  <c r="AA195" i="127"/>
  <c r="AA397" i="127"/>
  <c r="AH183" i="129"/>
  <c r="AH184" i="129" s="1"/>
  <c r="AL258" i="129"/>
  <c r="AH259" i="129"/>
  <c r="G94" i="129"/>
  <c r="G95" i="129" s="1"/>
  <c r="G91" i="129"/>
  <c r="K131" i="129"/>
  <c r="K133" i="129"/>
  <c r="K134" i="129" s="1"/>
  <c r="G294" i="129"/>
  <c r="G295" i="129" s="1"/>
  <c r="G292" i="129"/>
  <c r="J156" i="129"/>
  <c r="J120" i="129"/>
  <c r="J279" i="129"/>
  <c r="J80" i="129"/>
  <c r="J236" i="129"/>
  <c r="J194" i="129"/>
  <c r="K5" i="129"/>
  <c r="K41" i="129" s="1"/>
  <c r="Q90" i="129"/>
  <c r="R86" i="129"/>
  <c r="Q103" i="129"/>
  <c r="Q104" i="129" s="1"/>
  <c r="G30" i="129"/>
  <c r="H30" i="129"/>
  <c r="G16" i="129"/>
  <c r="G19" i="129"/>
  <c r="G20" i="129" s="1"/>
  <c r="AC164" i="129"/>
  <c r="AC167" i="129" s="1"/>
  <c r="AB180" i="129"/>
  <c r="AB181" i="129" s="1"/>
  <c r="I287" i="129"/>
  <c r="I290" i="129" s="1"/>
  <c r="H291" i="129"/>
  <c r="P94" i="129"/>
  <c r="P95" i="129" s="1"/>
  <c r="P91" i="129"/>
  <c r="AH223" i="129"/>
  <c r="AL222" i="129"/>
  <c r="T249" i="129"/>
  <c r="T261" i="129"/>
  <c r="T262" i="129" s="1"/>
  <c r="U245" i="129"/>
  <c r="U248" i="129" s="1"/>
  <c r="G252" i="129"/>
  <c r="G253" i="129" s="1"/>
  <c r="G250" i="129"/>
  <c r="AH207" i="129"/>
  <c r="AL206" i="129"/>
  <c r="S156" i="129"/>
  <c r="T5" i="129"/>
  <c r="T41" i="129" s="1"/>
  <c r="R15" i="129"/>
  <c r="S11" i="129"/>
  <c r="S14" i="129" s="1"/>
  <c r="DG61" i="28" s="1"/>
  <c r="R29" i="129"/>
  <c r="R30" i="129" s="1"/>
  <c r="AL14" i="129"/>
  <c r="AH15" i="129"/>
  <c r="S250" i="129"/>
  <c r="S252" i="129"/>
  <c r="S253" i="129" s="1"/>
  <c r="AH256" i="129"/>
  <c r="AH272" i="129" s="1"/>
  <c r="AL255" i="129"/>
  <c r="H92" i="129"/>
  <c r="H90" i="129"/>
  <c r="I86" i="129"/>
  <c r="I89" i="129" s="1"/>
  <c r="H103" i="129"/>
  <c r="H104" i="129" s="1"/>
  <c r="H112" i="129"/>
  <c r="I245" i="129"/>
  <c r="I248" i="129" s="1"/>
  <c r="H249" i="129"/>
  <c r="H261" i="129"/>
  <c r="H262" i="129" s="1"/>
  <c r="L142" i="129"/>
  <c r="L143" i="129" s="1"/>
  <c r="L130" i="129"/>
  <c r="M126" i="129"/>
  <c r="M129" i="129" s="1"/>
  <c r="DA64" i="28" s="1"/>
  <c r="L151" i="129"/>
  <c r="AG208" i="129"/>
  <c r="AG210" i="129"/>
  <c r="AG211" i="129" s="1"/>
  <c r="Q16" i="129"/>
  <c r="Q19" i="129"/>
  <c r="Q20" i="129" s="1"/>
  <c r="H15" i="129"/>
  <c r="AB169" i="129"/>
  <c r="AB171" i="129"/>
  <c r="AB172" i="129" s="1"/>
  <c r="B212" i="128"/>
  <c r="B211" i="128"/>
  <c r="A211" i="128"/>
  <c r="B210" i="128"/>
  <c r="A210" i="128"/>
  <c r="B209" i="128"/>
  <c r="A209" i="128"/>
  <c r="B208" i="128"/>
  <c r="A208" i="128"/>
  <c r="B205" i="128"/>
  <c r="B204" i="128"/>
  <c r="A204" i="128"/>
  <c r="B203" i="128"/>
  <c r="A203" i="128"/>
  <c r="B202" i="128"/>
  <c r="A202" i="128"/>
  <c r="B201" i="128"/>
  <c r="A201" i="128"/>
  <c r="B198" i="128"/>
  <c r="B197" i="128"/>
  <c r="A197" i="128"/>
  <c r="AM196" i="128"/>
  <c r="B196" i="128"/>
  <c r="A196" i="128"/>
  <c r="D202" i="128"/>
  <c r="H202" i="128" s="1"/>
  <c r="B195" i="128"/>
  <c r="A195" i="128"/>
  <c r="B194" i="128"/>
  <c r="A194" i="128"/>
  <c r="BO191" i="128"/>
  <c r="B191" i="128"/>
  <c r="AM190" i="128"/>
  <c r="B190" i="128"/>
  <c r="A190" i="128"/>
  <c r="BP189" i="128"/>
  <c r="AM189" i="128"/>
  <c r="B189" i="128"/>
  <c r="A189" i="128"/>
  <c r="BP188" i="128"/>
  <c r="AM188" i="128"/>
  <c r="B188" i="128"/>
  <c r="A188" i="128"/>
  <c r="BP187" i="128"/>
  <c r="AM187" i="128"/>
  <c r="B187" i="128"/>
  <c r="A187" i="128"/>
  <c r="BO184" i="128"/>
  <c r="B184" i="128"/>
  <c r="BP183" i="128"/>
  <c r="B183" i="128"/>
  <c r="A183" i="128"/>
  <c r="BP182" i="128"/>
  <c r="BJ182" i="128"/>
  <c r="B182" i="128"/>
  <c r="A182" i="128"/>
  <c r="BP181" i="128"/>
  <c r="AM181" i="128"/>
  <c r="B181" i="128"/>
  <c r="A181" i="128"/>
  <c r="BP180" i="128"/>
  <c r="B180" i="128"/>
  <c r="A180" i="128"/>
  <c r="BO177" i="128"/>
  <c r="BM177" i="128" s="1"/>
  <c r="BM178" i="128" s="1"/>
  <c r="AT177" i="128"/>
  <c r="B177" i="128"/>
  <c r="BH176" i="128"/>
  <c r="BH183" i="128" s="1"/>
  <c r="BH184" i="128" s="1"/>
  <c r="BK184" i="128" s="1"/>
  <c r="AT176" i="128"/>
  <c r="B176" i="128"/>
  <c r="A176" i="128"/>
  <c r="AT175" i="128"/>
  <c r="AM175" i="128"/>
  <c r="B175" i="128"/>
  <c r="A175" i="128"/>
  <c r="AT174" i="128"/>
  <c r="AM174" i="128"/>
  <c r="B174" i="128"/>
  <c r="A174" i="128"/>
  <c r="AM173" i="128"/>
  <c r="B173" i="128"/>
  <c r="A173" i="128"/>
  <c r="B170" i="128"/>
  <c r="BH169" i="128"/>
  <c r="B169" i="128"/>
  <c r="A169" i="128"/>
  <c r="B168" i="128"/>
  <c r="A168" i="128"/>
  <c r="BG174" i="128"/>
  <c r="B167" i="128"/>
  <c r="A167" i="128"/>
  <c r="L167" i="128"/>
  <c r="B166" i="128"/>
  <c r="A166" i="128"/>
  <c r="CB163" i="128"/>
  <c r="CA163" i="128"/>
  <c r="BH163" i="128"/>
  <c r="B163" i="128"/>
  <c r="CB162" i="128"/>
  <c r="BY162" i="128"/>
  <c r="BW162" i="128"/>
  <c r="T162" i="128"/>
  <c r="D169" i="128"/>
  <c r="H169" i="128" s="1"/>
  <c r="B162" i="128"/>
  <c r="A162" i="128"/>
  <c r="CB161" i="128"/>
  <c r="CA161" i="128"/>
  <c r="B161" i="128"/>
  <c r="A161" i="128"/>
  <c r="CB160" i="128"/>
  <c r="CA160" i="128"/>
  <c r="B160" i="128"/>
  <c r="A160" i="128"/>
  <c r="CB159" i="128"/>
  <c r="CA159" i="128"/>
  <c r="BI159" i="128"/>
  <c r="BI160" i="128" s="1"/>
  <c r="B159" i="128"/>
  <c r="A159" i="128"/>
  <c r="CB156" i="128"/>
  <c r="CA156" i="128"/>
  <c r="BJ156" i="128"/>
  <c r="B156" i="128"/>
  <c r="CB155" i="128"/>
  <c r="BY155" i="128"/>
  <c r="BW155" i="128"/>
  <c r="D162" i="128"/>
  <c r="H162" i="128" s="1"/>
  <c r="B155" i="128"/>
  <c r="A155" i="128"/>
  <c r="CB154" i="128"/>
  <c r="CA154" i="128"/>
  <c r="B154" i="128"/>
  <c r="A154" i="128"/>
  <c r="CB153" i="128"/>
  <c r="CA153" i="128"/>
  <c r="B153" i="128"/>
  <c r="A153" i="128"/>
  <c r="CB152" i="128"/>
  <c r="CA152" i="128"/>
  <c r="B152" i="128"/>
  <c r="A152" i="128"/>
  <c r="B149" i="128"/>
  <c r="BW148" i="128"/>
  <c r="L152" i="128"/>
  <c r="B148" i="128"/>
  <c r="A148" i="128"/>
  <c r="B147" i="128"/>
  <c r="A147" i="128"/>
  <c r="B146" i="128"/>
  <c r="A146" i="128"/>
  <c r="BY145" i="128"/>
  <c r="B145" i="128"/>
  <c r="A145" i="128"/>
  <c r="B142" i="128"/>
  <c r="BY141" i="128"/>
  <c r="BW141" i="128"/>
  <c r="B141" i="128"/>
  <c r="A141" i="128"/>
  <c r="B140" i="128"/>
  <c r="A140" i="128"/>
  <c r="BG146" i="128"/>
  <c r="B139" i="128"/>
  <c r="A139" i="128"/>
  <c r="B138" i="128"/>
  <c r="A138" i="128"/>
  <c r="BZ135" i="128"/>
  <c r="BH135" i="128"/>
  <c r="B135" i="128"/>
  <c r="B134" i="128"/>
  <c r="A134" i="128"/>
  <c r="BO133" i="128"/>
  <c r="T133" i="128" s="1"/>
  <c r="T135" i="128" s="1"/>
  <c r="B133" i="128"/>
  <c r="A133" i="128"/>
  <c r="BP132" i="128"/>
  <c r="AM132" i="128"/>
  <c r="B132" i="128"/>
  <c r="A132" i="128"/>
  <c r="BP131" i="128"/>
  <c r="B131" i="128"/>
  <c r="A131" i="128"/>
  <c r="BP128" i="128"/>
  <c r="BH128" i="128"/>
  <c r="B128" i="128"/>
  <c r="BO127" i="128"/>
  <c r="BP134" i="128" s="1"/>
  <c r="AM127" i="128"/>
  <c r="B127" i="128"/>
  <c r="A127" i="128"/>
  <c r="AM126" i="128"/>
  <c r="B126" i="128"/>
  <c r="A126" i="128"/>
  <c r="AM125" i="128"/>
  <c r="B125" i="128"/>
  <c r="A125" i="128"/>
  <c r="AM124" i="128"/>
  <c r="B124" i="128"/>
  <c r="A124" i="128"/>
  <c r="BP121" i="128"/>
  <c r="B121" i="128"/>
  <c r="AM120" i="128"/>
  <c r="B120" i="128"/>
  <c r="A120" i="128"/>
  <c r="B119" i="128"/>
  <c r="A119" i="128"/>
  <c r="AM118" i="128"/>
  <c r="B118" i="128"/>
  <c r="A118" i="128"/>
  <c r="B117" i="128"/>
  <c r="A117" i="128"/>
  <c r="B114" i="128"/>
  <c r="B113" i="128"/>
  <c r="A113" i="128"/>
  <c r="AM112" i="128"/>
  <c r="B112" i="128"/>
  <c r="A112" i="128"/>
  <c r="AM111" i="128"/>
  <c r="B111" i="128"/>
  <c r="A111" i="128"/>
  <c r="B110" i="128"/>
  <c r="A110" i="128"/>
  <c r="B107" i="128"/>
  <c r="B106" i="128"/>
  <c r="A106" i="128"/>
  <c r="B105" i="128"/>
  <c r="A105" i="128"/>
  <c r="B104" i="128"/>
  <c r="A104" i="128"/>
  <c r="AM103" i="128"/>
  <c r="B103" i="128"/>
  <c r="A103" i="128"/>
  <c r="B100" i="128"/>
  <c r="AM99" i="128"/>
  <c r="B99" i="128"/>
  <c r="A99" i="128"/>
  <c r="B98" i="128"/>
  <c r="A98" i="128"/>
  <c r="AM97" i="128"/>
  <c r="B97" i="128"/>
  <c r="A97" i="128"/>
  <c r="AM96" i="128"/>
  <c r="B96" i="128"/>
  <c r="A96" i="128"/>
  <c r="B93" i="128"/>
  <c r="B92" i="128"/>
  <c r="A92" i="128"/>
  <c r="AM91" i="128"/>
  <c r="B91" i="128"/>
  <c r="A91" i="128"/>
  <c r="B90" i="128"/>
  <c r="A90" i="128"/>
  <c r="B89" i="128"/>
  <c r="A89" i="128"/>
  <c r="B86" i="128"/>
  <c r="AM85" i="128"/>
  <c r="B85" i="128"/>
  <c r="A85" i="128"/>
  <c r="AM84" i="128"/>
  <c r="B84" i="128"/>
  <c r="A84" i="128"/>
  <c r="B83" i="128"/>
  <c r="A83" i="128"/>
  <c r="B82" i="128"/>
  <c r="A82" i="128"/>
  <c r="B79" i="128"/>
  <c r="AM78" i="128"/>
  <c r="B78" i="128"/>
  <c r="A78" i="128"/>
  <c r="B77" i="128"/>
  <c r="A77" i="128"/>
  <c r="AM76" i="128"/>
  <c r="B76" i="128"/>
  <c r="A76" i="128"/>
  <c r="AM75" i="128"/>
  <c r="B75" i="128"/>
  <c r="A75" i="128"/>
  <c r="B72" i="128"/>
  <c r="B71" i="128"/>
  <c r="A71" i="128"/>
  <c r="AM70" i="128"/>
  <c r="B70" i="128"/>
  <c r="A70" i="128"/>
  <c r="B69" i="128"/>
  <c r="A69" i="128"/>
  <c r="B68" i="128"/>
  <c r="A68" i="128"/>
  <c r="B65" i="128"/>
  <c r="AF64" i="128"/>
  <c r="AM64" i="128"/>
  <c r="L64" i="128"/>
  <c r="B64" i="128"/>
  <c r="A64" i="128"/>
  <c r="AF63" i="128"/>
  <c r="L63" i="128"/>
  <c r="B63" i="128"/>
  <c r="A63" i="128"/>
  <c r="AF62" i="128"/>
  <c r="L62" i="128"/>
  <c r="B62" i="128"/>
  <c r="A62" i="128"/>
  <c r="AM61" i="128"/>
  <c r="B61" i="128"/>
  <c r="A61" i="128"/>
  <c r="B58" i="128"/>
  <c r="AF57" i="128"/>
  <c r="L57" i="128"/>
  <c r="B57" i="128"/>
  <c r="A57" i="128"/>
  <c r="AF56" i="128"/>
  <c r="AM56" i="128"/>
  <c r="L56" i="128"/>
  <c r="B56" i="128"/>
  <c r="A56" i="128"/>
  <c r="AF55" i="128"/>
  <c r="AM55" i="128"/>
  <c r="L55" i="128"/>
  <c r="B55" i="128"/>
  <c r="A55" i="128"/>
  <c r="B54" i="128"/>
  <c r="A54" i="128"/>
  <c r="B51" i="128"/>
  <c r="AM50" i="128"/>
  <c r="B50" i="128"/>
  <c r="A50" i="128"/>
  <c r="AF49" i="128"/>
  <c r="AM49" i="128"/>
  <c r="L49" i="128"/>
  <c r="B49" i="128"/>
  <c r="A49" i="128"/>
  <c r="AF48" i="128"/>
  <c r="AM48" i="128"/>
  <c r="L48" i="128"/>
  <c r="B48" i="128"/>
  <c r="A48" i="128"/>
  <c r="B47" i="128"/>
  <c r="A47" i="128"/>
  <c r="AF43" i="128"/>
  <c r="D50" i="128"/>
  <c r="H50" i="128" s="1"/>
  <c r="L43" i="128"/>
  <c r="AF42" i="128"/>
  <c r="AM42" i="128"/>
  <c r="L42" i="128"/>
  <c r="AF41" i="128"/>
  <c r="L41" i="128"/>
  <c r="B37" i="128"/>
  <c r="AF36" i="128"/>
  <c r="B36" i="128"/>
  <c r="A36" i="128"/>
  <c r="AF35" i="128"/>
  <c r="AM35" i="128"/>
  <c r="L35" i="128"/>
  <c r="B35" i="128"/>
  <c r="A35" i="128"/>
  <c r="AF34" i="128"/>
  <c r="AM34" i="128"/>
  <c r="L34" i="128"/>
  <c r="B34" i="128"/>
  <c r="A34" i="128"/>
  <c r="B33" i="128"/>
  <c r="A33" i="128"/>
  <c r="B30" i="128"/>
  <c r="AM29" i="128"/>
  <c r="B29" i="128"/>
  <c r="A29" i="128"/>
  <c r="AF28" i="128"/>
  <c r="AM28" i="128"/>
  <c r="L28" i="128"/>
  <c r="B28" i="128"/>
  <c r="A28" i="128"/>
  <c r="AF27" i="128"/>
  <c r="AM27" i="128"/>
  <c r="L27" i="128"/>
  <c r="B27" i="128"/>
  <c r="A27" i="128"/>
  <c r="B26" i="128"/>
  <c r="A26" i="128"/>
  <c r="B23" i="128"/>
  <c r="AF26" i="128"/>
  <c r="B22" i="128"/>
  <c r="A22" i="128"/>
  <c r="AF21" i="128"/>
  <c r="L21" i="128"/>
  <c r="B21" i="128"/>
  <c r="A21" i="128"/>
  <c r="AF20" i="128"/>
  <c r="AM20" i="128"/>
  <c r="L20" i="128"/>
  <c r="B20" i="128"/>
  <c r="A20" i="128"/>
  <c r="B19" i="128"/>
  <c r="A19" i="128"/>
  <c r="B18" i="128"/>
  <c r="B25" i="128" s="1"/>
  <c r="B32" i="128" s="1"/>
  <c r="B39" i="128" s="1"/>
  <c r="B46" i="128" s="1"/>
  <c r="B53" i="128" s="1"/>
  <c r="B60" i="128" s="1"/>
  <c r="B67" i="128" s="1"/>
  <c r="B74" i="128" s="1"/>
  <c r="B81" i="128" s="1"/>
  <c r="B88" i="128" s="1"/>
  <c r="B95" i="128" s="1"/>
  <c r="B102" i="128" s="1"/>
  <c r="B109" i="128" s="1"/>
  <c r="B116" i="128" s="1"/>
  <c r="B123" i="128" s="1"/>
  <c r="B130" i="128" s="1"/>
  <c r="B137" i="128" s="1"/>
  <c r="B144" i="128" s="1"/>
  <c r="B151" i="128" s="1"/>
  <c r="B158" i="128" s="1"/>
  <c r="B165" i="128" s="1"/>
  <c r="B172" i="128" s="1"/>
  <c r="B179" i="128" s="1"/>
  <c r="B186" i="128" s="1"/>
  <c r="B193" i="128" s="1"/>
  <c r="B207" i="128" s="1"/>
  <c r="D16" i="128"/>
  <c r="B16" i="128"/>
  <c r="AF19" i="128"/>
  <c r="L19" i="128"/>
  <c r="D15" i="128"/>
  <c r="H15" i="128" s="1"/>
  <c r="B15" i="128"/>
  <c r="A15" i="128"/>
  <c r="AF14" i="128"/>
  <c r="AM14" i="128"/>
  <c r="D14" i="128"/>
  <c r="H14" i="128" s="1"/>
  <c r="B14" i="128"/>
  <c r="A14" i="128"/>
  <c r="AF13" i="128"/>
  <c r="D13" i="128"/>
  <c r="H13" i="128" s="1"/>
  <c r="B13" i="128"/>
  <c r="A13" i="128"/>
  <c r="AF12" i="128"/>
  <c r="AM12" i="128"/>
  <c r="D12" i="128"/>
  <c r="H12" i="128" s="1"/>
  <c r="B12" i="128"/>
  <c r="A12" i="128"/>
  <c r="A1" i="128"/>
  <c r="AK562" i="127"/>
  <c r="AK561" i="127"/>
  <c r="AK560" i="127"/>
  <c r="AK557" i="127"/>
  <c r="AK556" i="127"/>
  <c r="AK555" i="127"/>
  <c r="AK554" i="127"/>
  <c r="AK553" i="127"/>
  <c r="AK550" i="127"/>
  <c r="AK549" i="127"/>
  <c r="AK548" i="127"/>
  <c r="AK547" i="127"/>
  <c r="AK546" i="127"/>
  <c r="AK543" i="127"/>
  <c r="AK542" i="127"/>
  <c r="AK541" i="127"/>
  <c r="AK540" i="127"/>
  <c r="AK539" i="127"/>
  <c r="AK536" i="127"/>
  <c r="AK535" i="127"/>
  <c r="AK534" i="127"/>
  <c r="AK533" i="127"/>
  <c r="AK532" i="127"/>
  <c r="AK529" i="127"/>
  <c r="AK528" i="127"/>
  <c r="AK527" i="127"/>
  <c r="AK526" i="127"/>
  <c r="AK525" i="127"/>
  <c r="AK522" i="127"/>
  <c r="AK521" i="127"/>
  <c r="AK520" i="127"/>
  <c r="AK519" i="127"/>
  <c r="AK518" i="127"/>
  <c r="AK515" i="127"/>
  <c r="AK514" i="127"/>
  <c r="AK513" i="127"/>
  <c r="AK512" i="127"/>
  <c r="AK511" i="127"/>
  <c r="AK508" i="127"/>
  <c r="AK507" i="127"/>
  <c r="AK506" i="127"/>
  <c r="AK505" i="127"/>
  <c r="AK504" i="127"/>
  <c r="AK501" i="127"/>
  <c r="AK500" i="127"/>
  <c r="AK499" i="127"/>
  <c r="AK498" i="127"/>
  <c r="AK497" i="127"/>
  <c r="AK494" i="127"/>
  <c r="AK493" i="127"/>
  <c r="AK492" i="127"/>
  <c r="AK491" i="127"/>
  <c r="AK490" i="127"/>
  <c r="AK487" i="127"/>
  <c r="AK486" i="127"/>
  <c r="AK485" i="127"/>
  <c r="AK484" i="127"/>
  <c r="AK483" i="127"/>
  <c r="AK480" i="127"/>
  <c r="AK479" i="127"/>
  <c r="AK478" i="127"/>
  <c r="AK477" i="127"/>
  <c r="AK476" i="127"/>
  <c r="AK473" i="127"/>
  <c r="AK472" i="127"/>
  <c r="AK471" i="127"/>
  <c r="AK470" i="127"/>
  <c r="AK469" i="127"/>
  <c r="AK466" i="127"/>
  <c r="AK465" i="127"/>
  <c r="AK464" i="127"/>
  <c r="AK463" i="127"/>
  <c r="AK462" i="127"/>
  <c r="AK459" i="127"/>
  <c r="AK458" i="127"/>
  <c r="AK457" i="127"/>
  <c r="AK456" i="127"/>
  <c r="AK455" i="127"/>
  <c r="AK452" i="127"/>
  <c r="AK451" i="127"/>
  <c r="AK450" i="127"/>
  <c r="AK449" i="127"/>
  <c r="AK448" i="127"/>
  <c r="AK444" i="127"/>
  <c r="AK443" i="127"/>
  <c r="AK442" i="127"/>
  <c r="AK441" i="127"/>
  <c r="AK445" i="127"/>
  <c r="AK438" i="127"/>
  <c r="AK431" i="127"/>
  <c r="AK424" i="127"/>
  <c r="AK417" i="127"/>
  <c r="AK397" i="127"/>
  <c r="AK396" i="127"/>
  <c r="AK395" i="127"/>
  <c r="AK392" i="127"/>
  <c r="AK391" i="127"/>
  <c r="AK390" i="127"/>
  <c r="AK389" i="127"/>
  <c r="AK388" i="127"/>
  <c r="AK385" i="127"/>
  <c r="AK384" i="127"/>
  <c r="AK383" i="127"/>
  <c r="AK382" i="127"/>
  <c r="AK381" i="127"/>
  <c r="AK378" i="127"/>
  <c r="AK377" i="127"/>
  <c r="AK376" i="127"/>
  <c r="AK375" i="127"/>
  <c r="AK374" i="127"/>
  <c r="AK371" i="127"/>
  <c r="AK370" i="127"/>
  <c r="AK369" i="127"/>
  <c r="AK368" i="127"/>
  <c r="AK367" i="127"/>
  <c r="AK364" i="127"/>
  <c r="AK363" i="127"/>
  <c r="AK362" i="127"/>
  <c r="AK361" i="127"/>
  <c r="AK360" i="127"/>
  <c r="AK357" i="127"/>
  <c r="AK356" i="127"/>
  <c r="AK355" i="127"/>
  <c r="AK354" i="127"/>
  <c r="AK353" i="127"/>
  <c r="AK350" i="127"/>
  <c r="AK349" i="127"/>
  <c r="AK348" i="127"/>
  <c r="AK347" i="127"/>
  <c r="AK346" i="127"/>
  <c r="AK343" i="127"/>
  <c r="AK342" i="127"/>
  <c r="AK341" i="127"/>
  <c r="AK340" i="127"/>
  <c r="AK339" i="127"/>
  <c r="AK336" i="127"/>
  <c r="AK335" i="127"/>
  <c r="AK334" i="127"/>
  <c r="AK333" i="127"/>
  <c r="AK332" i="127"/>
  <c r="AK329" i="127"/>
  <c r="AK328" i="127"/>
  <c r="AK327" i="127"/>
  <c r="AK326" i="127"/>
  <c r="AK325" i="127"/>
  <c r="AK322" i="127"/>
  <c r="AK321" i="127"/>
  <c r="AK320" i="127"/>
  <c r="AK319" i="127"/>
  <c r="AK318" i="127"/>
  <c r="AK315" i="127"/>
  <c r="AK314" i="127"/>
  <c r="AK313" i="127"/>
  <c r="AK312" i="127"/>
  <c r="AK311" i="127"/>
  <c r="AK308" i="127"/>
  <c r="AK307" i="127"/>
  <c r="AK306" i="127"/>
  <c r="AK305" i="127"/>
  <c r="AK304" i="127"/>
  <c r="AK301" i="127"/>
  <c r="AK300" i="127"/>
  <c r="AK299" i="127"/>
  <c r="AK298" i="127"/>
  <c r="AK297" i="127"/>
  <c r="AK294" i="127"/>
  <c r="AK293" i="127"/>
  <c r="AK292" i="127"/>
  <c r="AK291" i="127"/>
  <c r="AK290" i="127"/>
  <c r="AK287" i="127"/>
  <c r="AK286" i="127"/>
  <c r="AK285" i="127"/>
  <c r="AK284" i="127"/>
  <c r="AK283" i="127"/>
  <c r="AK280" i="127"/>
  <c r="AK279" i="127"/>
  <c r="AK278" i="127"/>
  <c r="AK277" i="127"/>
  <c r="AK276" i="127"/>
  <c r="AK273" i="127"/>
  <c r="AK266" i="127"/>
  <c r="AK259" i="127"/>
  <c r="AK252" i="127"/>
  <c r="AK245" i="127"/>
  <c r="AK238" i="127"/>
  <c r="AK231" i="127"/>
  <c r="AK224" i="127"/>
  <c r="AK217" i="127"/>
  <c r="AK210" i="127"/>
  <c r="W210" i="127"/>
  <c r="T562" i="127"/>
  <c r="T561" i="127"/>
  <c r="T560" i="127"/>
  <c r="T557" i="127"/>
  <c r="T556" i="127"/>
  <c r="T555" i="127"/>
  <c r="T554" i="127"/>
  <c r="T553" i="127"/>
  <c r="T550" i="127"/>
  <c r="T549" i="127"/>
  <c r="T548" i="127"/>
  <c r="T547" i="127"/>
  <c r="T546" i="127"/>
  <c r="T543" i="127"/>
  <c r="T542" i="127"/>
  <c r="T541" i="127"/>
  <c r="T540" i="127"/>
  <c r="T539" i="127"/>
  <c r="T536" i="127"/>
  <c r="T535" i="127"/>
  <c r="T534" i="127"/>
  <c r="T533" i="127"/>
  <c r="T532" i="127"/>
  <c r="T487" i="127"/>
  <c r="AJ487" i="127" s="1"/>
  <c r="T486" i="127"/>
  <c r="T485" i="127"/>
  <c r="AJ485" i="127" s="1"/>
  <c r="T484" i="127"/>
  <c r="T483" i="127"/>
  <c r="T480" i="127"/>
  <c r="T479" i="127"/>
  <c r="T478" i="127"/>
  <c r="T477" i="127"/>
  <c r="AJ477" i="127" s="1"/>
  <c r="T476" i="127"/>
  <c r="T473" i="127"/>
  <c r="T472" i="127"/>
  <c r="T471" i="127"/>
  <c r="T470" i="127"/>
  <c r="T469" i="127"/>
  <c r="T466" i="127"/>
  <c r="T465" i="127"/>
  <c r="T464" i="127"/>
  <c r="T463" i="127"/>
  <c r="T462" i="127"/>
  <c r="T459" i="127"/>
  <c r="T458" i="127"/>
  <c r="T457" i="127"/>
  <c r="T456" i="127"/>
  <c r="AJ456" i="127" s="1"/>
  <c r="T455" i="127"/>
  <c r="T452" i="127"/>
  <c r="AJ452" i="127" s="1"/>
  <c r="T451" i="127"/>
  <c r="T450" i="127"/>
  <c r="AJ450" i="127" s="1"/>
  <c r="T449" i="127"/>
  <c r="T448" i="127"/>
  <c r="AJ448" i="127" s="1"/>
  <c r="T445" i="127"/>
  <c r="AJ445" i="127" s="1"/>
  <c r="T444" i="127"/>
  <c r="AJ444" i="127" s="1"/>
  <c r="T443" i="127"/>
  <c r="AJ443" i="127" s="1"/>
  <c r="T442" i="127"/>
  <c r="AJ442" i="127" s="1"/>
  <c r="T441" i="127"/>
  <c r="AJ441" i="127" s="1"/>
  <c r="T438" i="127"/>
  <c r="AJ438" i="127" s="1"/>
  <c r="T431" i="127"/>
  <c r="T424" i="127"/>
  <c r="T417" i="127"/>
  <c r="T397" i="127"/>
  <c r="AJ397" i="127" s="1"/>
  <c r="T396" i="127"/>
  <c r="T395" i="127"/>
  <c r="AJ395" i="127" s="1"/>
  <c r="T392" i="127"/>
  <c r="AJ392" i="127" s="1"/>
  <c r="T391" i="127"/>
  <c r="AJ391" i="127" s="1"/>
  <c r="T390" i="127"/>
  <c r="T389" i="127"/>
  <c r="AJ389" i="127" s="1"/>
  <c r="T388" i="127"/>
  <c r="AJ388" i="127" s="1"/>
  <c r="T385" i="127"/>
  <c r="AJ385" i="127" s="1"/>
  <c r="T384" i="127"/>
  <c r="T383" i="127"/>
  <c r="AJ383" i="127" s="1"/>
  <c r="T382" i="127"/>
  <c r="AJ382" i="127" s="1"/>
  <c r="T381" i="127"/>
  <c r="AJ381" i="127" s="1"/>
  <c r="T378" i="127"/>
  <c r="T377" i="127"/>
  <c r="AJ377" i="127" s="1"/>
  <c r="T376" i="127"/>
  <c r="AJ376" i="127" s="1"/>
  <c r="T375" i="127"/>
  <c r="AJ375" i="127" s="1"/>
  <c r="T374" i="127"/>
  <c r="T371" i="127"/>
  <c r="AJ371" i="127" s="1"/>
  <c r="T370" i="127"/>
  <c r="AJ370" i="127" s="1"/>
  <c r="T369" i="127"/>
  <c r="AJ369" i="127" s="1"/>
  <c r="T368" i="127"/>
  <c r="T367" i="127"/>
  <c r="AJ367" i="127" s="1"/>
  <c r="T322" i="127"/>
  <c r="T321" i="127"/>
  <c r="AJ321" i="127" s="1"/>
  <c r="T320" i="127"/>
  <c r="T319" i="127"/>
  <c r="T318" i="127"/>
  <c r="T315" i="127"/>
  <c r="AJ315" i="127" s="1"/>
  <c r="T314" i="127"/>
  <c r="T313" i="127"/>
  <c r="T312" i="127"/>
  <c r="T311" i="127"/>
  <c r="AJ311" i="127" s="1"/>
  <c r="T308" i="127"/>
  <c r="T307" i="127"/>
  <c r="T306" i="127"/>
  <c r="T305" i="127"/>
  <c r="AJ305" i="127" s="1"/>
  <c r="T304" i="127"/>
  <c r="T301" i="127"/>
  <c r="T300" i="127"/>
  <c r="T299" i="127"/>
  <c r="AJ299" i="127" s="1"/>
  <c r="T298" i="127"/>
  <c r="T297" i="127"/>
  <c r="T294" i="127"/>
  <c r="T293" i="127"/>
  <c r="AJ293" i="127" s="1"/>
  <c r="T292" i="127"/>
  <c r="T291" i="127"/>
  <c r="T290" i="127"/>
  <c r="T287" i="127"/>
  <c r="AJ287" i="127" s="1"/>
  <c r="T286" i="127"/>
  <c r="T285" i="127"/>
  <c r="T284" i="127"/>
  <c r="T283" i="127"/>
  <c r="AJ283" i="127" s="1"/>
  <c r="T280" i="127"/>
  <c r="T279" i="127"/>
  <c r="T278" i="127"/>
  <c r="T277" i="127"/>
  <c r="AJ277" i="127" s="1"/>
  <c r="T276" i="127"/>
  <c r="T273" i="127"/>
  <c r="T266" i="127"/>
  <c r="T259" i="127"/>
  <c r="AJ259" i="127" s="1"/>
  <c r="T252" i="127"/>
  <c r="T245" i="127"/>
  <c r="T231" i="127"/>
  <c r="T238" i="127"/>
  <c r="AJ238" i="127" s="1"/>
  <c r="T224" i="127"/>
  <c r="T217" i="127"/>
  <c r="AJ210" i="127"/>
  <c r="T190" i="127"/>
  <c r="T189" i="127"/>
  <c r="T188" i="127"/>
  <c r="T185" i="127"/>
  <c r="T184" i="127"/>
  <c r="T183" i="127"/>
  <c r="T182" i="127"/>
  <c r="T181" i="127"/>
  <c r="T178" i="127"/>
  <c r="T177" i="127"/>
  <c r="T176" i="127"/>
  <c r="T175" i="127"/>
  <c r="T174" i="127"/>
  <c r="T171" i="127"/>
  <c r="T170" i="127"/>
  <c r="T169" i="127"/>
  <c r="T168" i="127"/>
  <c r="T167" i="127"/>
  <c r="T164" i="127"/>
  <c r="T163" i="127"/>
  <c r="T162" i="127"/>
  <c r="T161" i="127"/>
  <c r="T160" i="127"/>
  <c r="T115" i="127"/>
  <c r="T114" i="127"/>
  <c r="T113" i="127"/>
  <c r="T112" i="127"/>
  <c r="T111" i="127"/>
  <c r="T108" i="127"/>
  <c r="T107" i="127"/>
  <c r="T106" i="127"/>
  <c r="T105" i="127"/>
  <c r="T104" i="127"/>
  <c r="T101" i="127"/>
  <c r="T100" i="127"/>
  <c r="T99" i="127"/>
  <c r="T98" i="127"/>
  <c r="T97" i="127"/>
  <c r="T94" i="127"/>
  <c r="T93" i="127"/>
  <c r="T92" i="127"/>
  <c r="T91" i="127"/>
  <c r="T90" i="127"/>
  <c r="T87" i="127"/>
  <c r="T86" i="127"/>
  <c r="T85" i="127"/>
  <c r="T84" i="127"/>
  <c r="T83" i="127"/>
  <c r="T80" i="127"/>
  <c r="T79" i="127"/>
  <c r="T78" i="127"/>
  <c r="T77" i="127"/>
  <c r="T76" i="127"/>
  <c r="T73" i="127"/>
  <c r="T72" i="127"/>
  <c r="T71" i="127"/>
  <c r="T70" i="127"/>
  <c r="T69" i="127"/>
  <c r="T66" i="127"/>
  <c r="T59" i="127"/>
  <c r="T52" i="127"/>
  <c r="T45" i="127"/>
  <c r="T38" i="127"/>
  <c r="T31" i="127"/>
  <c r="G52" i="129" l="1"/>
  <c r="G50" i="129"/>
  <c r="G63" i="129"/>
  <c r="G64" i="129" s="1"/>
  <c r="G228" i="129"/>
  <c r="G219" i="129"/>
  <c r="G220" i="129" s="1"/>
  <c r="G207" i="129"/>
  <c r="H203" i="129"/>
  <c r="S50" i="129"/>
  <c r="S63" i="129"/>
  <c r="S64" i="129" s="1"/>
  <c r="S207" i="129"/>
  <c r="T203" i="129"/>
  <c r="S219" i="129"/>
  <c r="S220" i="129" s="1"/>
  <c r="BO154" i="128"/>
  <c r="T154" i="128" s="1"/>
  <c r="BG154" i="128"/>
  <c r="AM176" i="128"/>
  <c r="AH27" i="128"/>
  <c r="AF69" i="128"/>
  <c r="AH69" i="128" s="1"/>
  <c r="BA125" i="128"/>
  <c r="BO145" i="128"/>
  <c r="T145" i="128" s="1"/>
  <c r="AO20" i="128"/>
  <c r="D203" i="128"/>
  <c r="H203" i="128" s="1"/>
  <c r="AT182" i="128"/>
  <c r="AV182" i="128"/>
  <c r="AT184" i="128"/>
  <c r="AV184" i="128"/>
  <c r="AT190" i="128"/>
  <c r="AV190" i="128"/>
  <c r="AT191" i="128"/>
  <c r="AV191" i="128"/>
  <c r="AT195" i="128"/>
  <c r="AV195" i="128"/>
  <c r="AT201" i="128"/>
  <c r="F208" i="128" s="1"/>
  <c r="DP10" i="29" s="1"/>
  <c r="CT47" i="28" s="1"/>
  <c r="AV201" i="128"/>
  <c r="AT208" i="128"/>
  <c r="AT204" i="128"/>
  <c r="AT211" i="128"/>
  <c r="AV204" i="128"/>
  <c r="BJ159" i="128"/>
  <c r="AT181" i="128"/>
  <c r="AV181" i="128"/>
  <c r="AT189" i="128"/>
  <c r="AV189" i="128"/>
  <c r="AT197" i="128"/>
  <c r="AV197" i="128"/>
  <c r="AT202" i="128"/>
  <c r="F209" i="128" s="1"/>
  <c r="DP11" i="29" s="1"/>
  <c r="CU47" i="28" s="1"/>
  <c r="AT209" i="128"/>
  <c r="AV202" i="128"/>
  <c r="AV205" i="128"/>
  <c r="AT212" i="128"/>
  <c r="AT180" i="128"/>
  <c r="AV180" i="128"/>
  <c r="AV188" i="128"/>
  <c r="AT194" i="128"/>
  <c r="AV194" i="128"/>
  <c r="AT203" i="128"/>
  <c r="F210" i="128" s="1"/>
  <c r="DP12" i="29" s="1"/>
  <c r="CV47" i="28" s="1"/>
  <c r="AT210" i="128"/>
  <c r="AV203" i="128"/>
  <c r="AT183" i="128"/>
  <c r="AV183" i="128"/>
  <c r="AT187" i="128"/>
  <c r="AV187" i="128"/>
  <c r="AT196" i="128"/>
  <c r="AV196" i="128"/>
  <c r="AT198" i="128"/>
  <c r="AV198" i="128"/>
  <c r="J245" i="129"/>
  <c r="J248" i="129" s="1"/>
  <c r="I249" i="129"/>
  <c r="I261" i="129"/>
  <c r="I262" i="129" s="1"/>
  <c r="H94" i="129"/>
  <c r="H95" i="129" s="1"/>
  <c r="H91" i="129"/>
  <c r="R90" i="129"/>
  <c r="S86" i="129"/>
  <c r="S89" i="129" s="1"/>
  <c r="R103" i="129"/>
  <c r="R104" i="129" s="1"/>
  <c r="M130" i="129"/>
  <c r="N126" i="129"/>
  <c r="N129" i="129" s="1"/>
  <c r="DB64" i="28" s="1"/>
  <c r="M142" i="129"/>
  <c r="M143" i="129" s="1"/>
  <c r="AH16" i="129"/>
  <c r="S15" i="129"/>
  <c r="T11" i="129"/>
  <c r="T14" i="129" s="1"/>
  <c r="DH61" i="28" s="1"/>
  <c r="S29" i="129"/>
  <c r="S30" i="129" s="1"/>
  <c r="T250" i="129"/>
  <c r="T252" i="129"/>
  <c r="T253" i="129" s="1"/>
  <c r="H294" i="129"/>
  <c r="H295" i="129" s="1"/>
  <c r="H292" i="129"/>
  <c r="AD164" i="129"/>
  <c r="AD167" i="129" s="1"/>
  <c r="AD168" i="129" s="1"/>
  <c r="AC180" i="129"/>
  <c r="AC181" i="129" s="1"/>
  <c r="Q91" i="129"/>
  <c r="Q94" i="129"/>
  <c r="Q95" i="129" s="1"/>
  <c r="L131" i="129"/>
  <c r="L133" i="129"/>
  <c r="L134" i="129" s="1"/>
  <c r="R16" i="129"/>
  <c r="R19" i="129"/>
  <c r="R20" i="129" s="1"/>
  <c r="AH208" i="129"/>
  <c r="AH210" i="129"/>
  <c r="AH211" i="129" s="1"/>
  <c r="J287" i="129"/>
  <c r="J290" i="129" s="1"/>
  <c r="J291" i="129" s="1"/>
  <c r="I291" i="129"/>
  <c r="AC168" i="129"/>
  <c r="K156" i="129"/>
  <c r="K120" i="129"/>
  <c r="K279" i="129"/>
  <c r="K80" i="129"/>
  <c r="K236" i="129"/>
  <c r="K194" i="129"/>
  <c r="H16" i="129"/>
  <c r="H19" i="129"/>
  <c r="I16" i="129"/>
  <c r="H252" i="129"/>
  <c r="H253" i="129" s="1"/>
  <c r="H250" i="129"/>
  <c r="I90" i="129"/>
  <c r="J86" i="129"/>
  <c r="J89" i="129" s="1"/>
  <c r="I92" i="129"/>
  <c r="I112" i="129"/>
  <c r="I103" i="129"/>
  <c r="I104" i="129" s="1"/>
  <c r="T156" i="129"/>
  <c r="T75" i="129" s="1"/>
  <c r="U5" i="129"/>
  <c r="U41" i="129" s="1"/>
  <c r="V245" i="129"/>
  <c r="V248" i="129" s="1"/>
  <c r="U249" i="129"/>
  <c r="U261" i="129"/>
  <c r="U262" i="129" s="1"/>
  <c r="BA124" i="128"/>
  <c r="AF98" i="128"/>
  <c r="BA134" i="128"/>
  <c r="BA142" i="128"/>
  <c r="D180" i="128"/>
  <c r="H180" i="128" s="1"/>
  <c r="L182" i="128"/>
  <c r="Y182" i="128" s="1"/>
  <c r="BA99" i="128"/>
  <c r="L159" i="128"/>
  <c r="N159" i="128" s="1"/>
  <c r="D197" i="128"/>
  <c r="H197" i="128" s="1"/>
  <c r="AH48" i="128"/>
  <c r="BG180" i="128"/>
  <c r="AT173" i="128"/>
  <c r="AT205" i="128"/>
  <c r="AH21" i="128"/>
  <c r="N41" i="128"/>
  <c r="BP133" i="128"/>
  <c r="BJ160" i="128"/>
  <c r="CA162" i="128"/>
  <c r="AH41" i="128"/>
  <c r="N48" i="128"/>
  <c r="L85" i="128"/>
  <c r="Y85" i="128" s="1"/>
  <c r="AM195" i="128"/>
  <c r="N42" i="128"/>
  <c r="N56" i="128"/>
  <c r="AM183" i="128"/>
  <c r="BG195" i="128"/>
  <c r="AT188" i="128"/>
  <c r="AM194" i="128"/>
  <c r="BA149" i="128"/>
  <c r="L160" i="128"/>
  <c r="D28" i="128"/>
  <c r="H28" i="128" s="1"/>
  <c r="D174" i="128"/>
  <c r="H174" i="128" s="1"/>
  <c r="L173" i="128"/>
  <c r="Y173" i="128" s="1"/>
  <c r="D189" i="128"/>
  <c r="H189" i="128" s="1"/>
  <c r="BA154" i="128"/>
  <c r="L76" i="128"/>
  <c r="Y76" i="128" s="1"/>
  <c r="AF84" i="128"/>
  <c r="AO84" i="128" s="1"/>
  <c r="AF106" i="128"/>
  <c r="BO147" i="128"/>
  <c r="T147" i="128" s="1"/>
  <c r="AF75" i="128"/>
  <c r="AO75" i="128" s="1"/>
  <c r="AF113" i="128"/>
  <c r="L209" i="128"/>
  <c r="L211" i="128"/>
  <c r="L91" i="128"/>
  <c r="AZ160" i="128"/>
  <c r="AY160" i="128" s="1"/>
  <c r="D35" i="128"/>
  <c r="H35" i="128" s="1"/>
  <c r="AF104" i="128"/>
  <c r="D112" i="128"/>
  <c r="H112" i="128" s="1"/>
  <c r="D118" i="128"/>
  <c r="H118" i="128" s="1"/>
  <c r="L117" i="128"/>
  <c r="Y117" i="128" s="1"/>
  <c r="L126" i="128"/>
  <c r="Y126" i="128" s="1"/>
  <c r="AF92" i="128"/>
  <c r="L96" i="128"/>
  <c r="Y96" i="128" s="1"/>
  <c r="BA110" i="128"/>
  <c r="L112" i="128"/>
  <c r="Y112" i="128" s="1"/>
  <c r="BA113" i="128"/>
  <c r="BA121" i="128"/>
  <c r="AF147" i="128"/>
  <c r="D159" i="128"/>
  <c r="H159" i="128" s="1"/>
  <c r="AZ173" i="128"/>
  <c r="AY173" i="128" s="1"/>
  <c r="BG198" i="128"/>
  <c r="L197" i="128"/>
  <c r="BG203" i="128"/>
  <c r="L204" i="128"/>
  <c r="Y21" i="128"/>
  <c r="AZ99" i="128"/>
  <c r="AY99" i="128" s="1"/>
  <c r="L125" i="128"/>
  <c r="Y125" i="128" s="1"/>
  <c r="BO148" i="128"/>
  <c r="T148" i="128" s="1"/>
  <c r="D56" i="128"/>
  <c r="H56" i="128" s="1"/>
  <c r="L124" i="128"/>
  <c r="AF134" i="128"/>
  <c r="BA135" i="128"/>
  <c r="AF153" i="128"/>
  <c r="BA156" i="128"/>
  <c r="AZ168" i="128"/>
  <c r="AY168" i="128" s="1"/>
  <c r="AZ189" i="128"/>
  <c r="AZ197" i="128"/>
  <c r="AY197" i="128" s="1"/>
  <c r="AZ201" i="128"/>
  <c r="AY201" i="128" s="1"/>
  <c r="AF203" i="128"/>
  <c r="D27" i="128"/>
  <c r="H27" i="128" s="1"/>
  <c r="D42" i="128"/>
  <c r="H42" i="128" s="1"/>
  <c r="P42" i="128" s="1"/>
  <c r="D49" i="128"/>
  <c r="H49" i="128" s="1"/>
  <c r="Y63" i="128"/>
  <c r="AF70" i="128"/>
  <c r="AH70" i="128" s="1"/>
  <c r="AF82" i="128"/>
  <c r="L99" i="128"/>
  <c r="Y99" i="128" s="1"/>
  <c r="AF105" i="128"/>
  <c r="L106" i="128"/>
  <c r="Y106" i="128" s="1"/>
  <c r="L111" i="128"/>
  <c r="Y111" i="128" s="1"/>
  <c r="AF119" i="128"/>
  <c r="AF126" i="128"/>
  <c r="AO126" i="128" s="1"/>
  <c r="AF127" i="128"/>
  <c r="AO127" i="128" s="1"/>
  <c r="BG148" i="128"/>
  <c r="BA152" i="128"/>
  <c r="L153" i="128"/>
  <c r="AZ159" i="128"/>
  <c r="AY159" i="128" s="1"/>
  <c r="D167" i="128"/>
  <c r="H167" i="128" s="1"/>
  <c r="AZ167" i="128"/>
  <c r="AZ181" i="128"/>
  <c r="D182" i="128"/>
  <c r="H182" i="128" s="1"/>
  <c r="AZ187" i="128"/>
  <c r="AY187" i="128" s="1"/>
  <c r="AZ190" i="128"/>
  <c r="AY190" i="128" s="1"/>
  <c r="AZ191" i="128"/>
  <c r="BQ191" i="128" s="1"/>
  <c r="BG205" i="128"/>
  <c r="Y43" i="128"/>
  <c r="BA98" i="128"/>
  <c r="L148" i="128"/>
  <c r="AZ169" i="128"/>
  <c r="AY169" i="128" s="1"/>
  <c r="BG177" i="128"/>
  <c r="AZ177" i="128"/>
  <c r="BQ177" i="128" s="1"/>
  <c r="D187" i="128"/>
  <c r="H187" i="128" s="1"/>
  <c r="L190" i="128"/>
  <c r="Y190" i="128" s="1"/>
  <c r="BG197" i="128"/>
  <c r="AZ194" i="128"/>
  <c r="AY194" i="128" s="1"/>
  <c r="L202" i="128"/>
  <c r="AZ204" i="128"/>
  <c r="AZ205" i="128"/>
  <c r="AZ212" i="128"/>
  <c r="AM43" i="128"/>
  <c r="Y49" i="128"/>
  <c r="D70" i="128"/>
  <c r="H70" i="128" s="1"/>
  <c r="Y64" i="128"/>
  <c r="L70" i="128"/>
  <c r="Y70" i="128" s="1"/>
  <c r="D91" i="128"/>
  <c r="H91" i="128" s="1"/>
  <c r="AF96" i="128"/>
  <c r="AO96" i="128" s="1"/>
  <c r="AM105" i="128"/>
  <c r="AZ110" i="128"/>
  <c r="AM117" i="128"/>
  <c r="D125" i="128"/>
  <c r="H125" i="128" s="1"/>
  <c r="BA119" i="128"/>
  <c r="AF138" i="128"/>
  <c r="AF140" i="128"/>
  <c r="AF145" i="128"/>
  <c r="BO152" i="128"/>
  <c r="T152" i="128" s="1"/>
  <c r="BG161" i="128"/>
  <c r="BG155" i="128"/>
  <c r="BO160" i="128"/>
  <c r="T160" i="128" s="1"/>
  <c r="AF166" i="128"/>
  <c r="BU166" i="128"/>
  <c r="BO166" i="128" s="1"/>
  <c r="T166" i="128" s="1"/>
  <c r="L174" i="128"/>
  <c r="Y174" i="128" s="1"/>
  <c r="L175" i="128"/>
  <c r="Y175" i="128" s="1"/>
  <c r="AF175" i="128"/>
  <c r="AO175" i="128" s="1"/>
  <c r="L181" i="128"/>
  <c r="Y181" i="128" s="1"/>
  <c r="AF183" i="128"/>
  <c r="AO183" i="128" s="1"/>
  <c r="BG182" i="128"/>
  <c r="BG191" i="128"/>
  <c r="AZ188" i="128"/>
  <c r="D196" i="128"/>
  <c r="H196" i="128" s="1"/>
  <c r="D21" i="128"/>
  <c r="H21" i="128" s="1"/>
  <c r="L33" i="128"/>
  <c r="Y33" i="128" s="1"/>
  <c r="L29" i="128"/>
  <c r="Y29" i="128" s="1"/>
  <c r="D175" i="128"/>
  <c r="H175" i="128" s="1"/>
  <c r="D168" i="128"/>
  <c r="H168" i="128" s="1"/>
  <c r="AF15" i="128"/>
  <c r="AF16" i="128" s="1"/>
  <c r="AF22" i="128"/>
  <c r="AF23" i="128" s="1"/>
  <c r="AM83" i="128"/>
  <c r="D83" i="128"/>
  <c r="H83" i="128" s="1"/>
  <c r="AM104" i="128"/>
  <c r="D104" i="128"/>
  <c r="H104" i="128" s="1"/>
  <c r="D111" i="128"/>
  <c r="H111" i="128" s="1"/>
  <c r="L54" i="128"/>
  <c r="L58" i="128" s="1"/>
  <c r="L50" i="128"/>
  <c r="Y50" i="128" s="1"/>
  <c r="D20" i="128"/>
  <c r="H20" i="128" s="1"/>
  <c r="Y20" i="128"/>
  <c r="D75" i="128"/>
  <c r="H75" i="128" s="1"/>
  <c r="AM68" i="128"/>
  <c r="D68" i="128"/>
  <c r="H68" i="128" s="1"/>
  <c r="AF77" i="128"/>
  <c r="AF78" i="128"/>
  <c r="AO78" i="128" s="1"/>
  <c r="AM89" i="128"/>
  <c r="D96" i="128"/>
  <c r="H96" i="128" s="1"/>
  <c r="L103" i="128"/>
  <c r="Y103" i="128" s="1"/>
  <c r="AZ106" i="128"/>
  <c r="BA106" i="128"/>
  <c r="AM110" i="128"/>
  <c r="D117" i="128"/>
  <c r="H117" i="128" s="1"/>
  <c r="L188" i="128"/>
  <c r="Y188" i="128" s="1"/>
  <c r="L189" i="128"/>
  <c r="Y189" i="128" s="1"/>
  <c r="D201" i="128"/>
  <c r="H201" i="128" s="1"/>
  <c r="BA147" i="128"/>
  <c r="BA148" i="128"/>
  <c r="AZ176" i="128"/>
  <c r="AY176" i="128" s="1"/>
  <c r="AM191" i="128"/>
  <c r="AO42" i="128"/>
  <c r="AF47" i="128"/>
  <c r="AF61" i="128"/>
  <c r="AO61" i="128" s="1"/>
  <c r="L68" i="128"/>
  <c r="Y68" i="128" s="1"/>
  <c r="L82" i="128"/>
  <c r="Y82" i="128" s="1"/>
  <c r="L83" i="128"/>
  <c r="L89" i="128"/>
  <c r="D97" i="128"/>
  <c r="H97" i="128" s="1"/>
  <c r="L92" i="128"/>
  <c r="L97" i="128"/>
  <c r="Y97" i="128" s="1"/>
  <c r="L104" i="128"/>
  <c r="L110" i="128"/>
  <c r="Y110" i="128" s="1"/>
  <c r="AF112" i="128"/>
  <c r="AO112" i="128" s="1"/>
  <c r="AF117" i="128"/>
  <c r="AF120" i="128"/>
  <c r="AH120" i="128" s="1"/>
  <c r="D124" i="128"/>
  <c r="H124" i="128" s="1"/>
  <c r="AF124" i="128"/>
  <c r="AO124" i="128" s="1"/>
  <c r="L127" i="128"/>
  <c r="D134" i="128"/>
  <c r="H134" i="128" s="1"/>
  <c r="BO138" i="128"/>
  <c r="T138" i="128" s="1"/>
  <c r="L139" i="128"/>
  <c r="BO140" i="128"/>
  <c r="T140" i="128" s="1"/>
  <c r="L141" i="128"/>
  <c r="AZ145" i="128"/>
  <c r="BZ145" i="128"/>
  <c r="BO146" i="128"/>
  <c r="T146" i="128" s="1"/>
  <c r="AF152" i="128"/>
  <c r="D161" i="128"/>
  <c r="H161" i="128" s="1"/>
  <c r="AF155" i="128"/>
  <c r="BO155" i="128"/>
  <c r="T155" i="128" s="1"/>
  <c r="AF160" i="128"/>
  <c r="AZ174" i="128"/>
  <c r="AY174" i="128" s="1"/>
  <c r="L176" i="128"/>
  <c r="AF181" i="128"/>
  <c r="AO181" i="128" s="1"/>
  <c r="AZ184" i="128"/>
  <c r="BQ184" i="128" s="1"/>
  <c r="BG184" i="128"/>
  <c r="AF187" i="128"/>
  <c r="AO187" i="128" s="1"/>
  <c r="D195" i="128"/>
  <c r="H195" i="128" s="1"/>
  <c r="AF189" i="128"/>
  <c r="AO189" i="128" s="1"/>
  <c r="AZ195" i="128"/>
  <c r="AY195" i="128" s="1"/>
  <c r="AZ196" i="128"/>
  <c r="AY196" i="128" s="1"/>
  <c r="AF197" i="128"/>
  <c r="L201" i="128"/>
  <c r="AF202" i="128"/>
  <c r="BG202" i="128"/>
  <c r="AZ208" i="128"/>
  <c r="AF40" i="128"/>
  <c r="AF44" i="128" s="1"/>
  <c r="L47" i="128"/>
  <c r="Y47" i="128" s="1"/>
  <c r="AF83" i="128"/>
  <c r="L84" i="128"/>
  <c r="Y84" i="128" s="1"/>
  <c r="AF85" i="128"/>
  <c r="AH85" i="128" s="1"/>
  <c r="D90" i="128"/>
  <c r="H90" i="128" s="1"/>
  <c r="AM90" i="128"/>
  <c r="AF97" i="128"/>
  <c r="AO97" i="128" s="1"/>
  <c r="L98" i="128"/>
  <c r="Y98" i="128" s="1"/>
  <c r="D107" i="128"/>
  <c r="H107" i="128" s="1"/>
  <c r="AF110" i="128"/>
  <c r="AZ119" i="128"/>
  <c r="AY119" i="128" s="1"/>
  <c r="L120" i="128"/>
  <c r="Y120" i="128" s="1"/>
  <c r="L138" i="128"/>
  <c r="BO139" i="128"/>
  <c r="T139" i="128" s="1"/>
  <c r="L140" i="128"/>
  <c r="BO141" i="128"/>
  <c r="T141" i="128" s="1"/>
  <c r="L145" i="128"/>
  <c r="N152" i="128" s="1"/>
  <c r="AF146" i="128"/>
  <c r="AF148" i="128"/>
  <c r="BA153" i="128"/>
  <c r="L154" i="128"/>
  <c r="BO159" i="128"/>
  <c r="T159" i="128" s="1"/>
  <c r="L162" i="128"/>
  <c r="BG163" i="128"/>
  <c r="BU167" i="128"/>
  <c r="BO167" i="128" s="1"/>
  <c r="T167" i="128" s="1"/>
  <c r="AF168" i="128"/>
  <c r="BG168" i="128"/>
  <c r="D181" i="128"/>
  <c r="H181" i="128" s="1"/>
  <c r="D194" i="128"/>
  <c r="H194" i="128" s="1"/>
  <c r="BG187" i="128"/>
  <c r="AF188" i="128"/>
  <c r="AO188" i="128" s="1"/>
  <c r="BG189" i="128"/>
  <c r="AF190" i="128"/>
  <c r="AO190" i="128" s="1"/>
  <c r="L196" i="128"/>
  <c r="Y196" i="128" s="1"/>
  <c r="AF196" i="128"/>
  <c r="AZ202" i="128"/>
  <c r="AY202" i="128" s="1"/>
  <c r="L203" i="128"/>
  <c r="BG208" i="128"/>
  <c r="L90" i="128"/>
  <c r="N90" i="128" s="1"/>
  <c r="AF91" i="128"/>
  <c r="AZ98" i="128"/>
  <c r="AY98" i="128" s="1"/>
  <c r="AF99" i="128"/>
  <c r="D103" i="128"/>
  <c r="H103" i="128" s="1"/>
  <c r="AF118" i="128"/>
  <c r="AO118" i="128" s="1"/>
  <c r="AZ120" i="128"/>
  <c r="AY120" i="128" s="1"/>
  <c r="AZ125" i="128"/>
  <c r="AY125" i="128" s="1"/>
  <c r="D126" i="128"/>
  <c r="H126" i="128" s="1"/>
  <c r="AF139" i="128"/>
  <c r="AF141" i="128"/>
  <c r="BA145" i="128"/>
  <c r="L146" i="128"/>
  <c r="AZ147" i="128"/>
  <c r="BO153" i="128"/>
  <c r="T153" i="128" s="1"/>
  <c r="L161" i="128"/>
  <c r="AZ161" i="128"/>
  <c r="AY161" i="128" s="1"/>
  <c r="BO161" i="128"/>
  <c r="T161" i="128" s="1"/>
  <c r="AZ162" i="128"/>
  <c r="BZ162" i="128"/>
  <c r="AZ166" i="128"/>
  <c r="AY166" i="128" s="1"/>
  <c r="AF167" i="128"/>
  <c r="L168" i="128"/>
  <c r="AF169" i="128"/>
  <c r="BG169" i="128"/>
  <c r="AF173" i="128"/>
  <c r="AZ175" i="128"/>
  <c r="AY175" i="128" s="1"/>
  <c r="AZ182" i="128"/>
  <c r="AY182" i="128" s="1"/>
  <c r="AZ183" i="128"/>
  <c r="AY183" i="128" s="1"/>
  <c r="L195" i="128"/>
  <c r="Y195" i="128" s="1"/>
  <c r="AF195" i="128"/>
  <c r="AZ198" i="128"/>
  <c r="AF201" i="128"/>
  <c r="BG201" i="128"/>
  <c r="AZ203" i="128"/>
  <c r="AY203" i="128" s="1"/>
  <c r="BG204" i="128"/>
  <c r="L208" i="128"/>
  <c r="L210" i="128"/>
  <c r="AH34" i="128"/>
  <c r="AH55" i="128"/>
  <c r="AH63" i="128"/>
  <c r="AO14" i="128"/>
  <c r="AH20" i="128"/>
  <c r="AJ20" i="128" s="1"/>
  <c r="AO27" i="128"/>
  <c r="AO34" i="128"/>
  <c r="AO35" i="128"/>
  <c r="AH43" i="128"/>
  <c r="AH56" i="128"/>
  <c r="AO56" i="128"/>
  <c r="AH19" i="128"/>
  <c r="AO48" i="128"/>
  <c r="N62" i="128"/>
  <c r="Y27" i="128"/>
  <c r="AH35" i="128"/>
  <c r="Y48" i="128"/>
  <c r="AO55" i="128"/>
  <c r="Y56" i="128"/>
  <c r="AA56" i="128" s="1"/>
  <c r="AH64" i="128"/>
  <c r="D131" i="128"/>
  <c r="H131" i="128" s="1"/>
  <c r="AM131" i="128"/>
  <c r="D132" i="128"/>
  <c r="H132" i="128" s="1"/>
  <c r="Y19" i="128"/>
  <c r="N28" i="128"/>
  <c r="AM41" i="128"/>
  <c r="AO41" i="128" s="1"/>
  <c r="D41" i="128"/>
  <c r="H41" i="128" s="1"/>
  <c r="Y41" i="128"/>
  <c r="AF50" i="128"/>
  <c r="AH50" i="128" s="1"/>
  <c r="AJ50" i="128" s="1"/>
  <c r="AF54" i="128"/>
  <c r="AO12" i="128"/>
  <c r="AM13" i="128"/>
  <c r="AO13" i="128" s="1"/>
  <c r="AQ20" i="128" s="1"/>
  <c r="L15" i="128"/>
  <c r="L16" i="128" s="1"/>
  <c r="AM15" i="128"/>
  <c r="D19" i="128"/>
  <c r="H19" i="128" s="1"/>
  <c r="D36" i="128"/>
  <c r="H36" i="128" s="1"/>
  <c r="AM36" i="128"/>
  <c r="AO36" i="128" s="1"/>
  <c r="Y42" i="128"/>
  <c r="D43" i="128"/>
  <c r="H43" i="128" s="1"/>
  <c r="AO43" i="128"/>
  <c r="D72" i="128"/>
  <c r="H72" i="128" s="1"/>
  <c r="L71" i="128"/>
  <c r="N71" i="128" s="1"/>
  <c r="L75" i="128"/>
  <c r="D77" i="128"/>
  <c r="H77" i="128" s="1"/>
  <c r="AM77" i="128"/>
  <c r="D100" i="128"/>
  <c r="H100" i="128" s="1"/>
  <c r="D29" i="128"/>
  <c r="H29" i="128" s="1"/>
  <c r="AM22" i="128"/>
  <c r="D22" i="128"/>
  <c r="H22" i="128" s="1"/>
  <c r="AM62" i="128"/>
  <c r="AO62" i="128" s="1"/>
  <c r="D62" i="128"/>
  <c r="H62" i="128" s="1"/>
  <c r="Y62" i="128"/>
  <c r="BA131" i="128"/>
  <c r="AZ131" i="128"/>
  <c r="BA132" i="128"/>
  <c r="AZ132" i="128"/>
  <c r="AY132" i="128" s="1"/>
  <c r="H16" i="128"/>
  <c r="AM21" i="128"/>
  <c r="AO21" i="128" s="1"/>
  <c r="AH26" i="128"/>
  <c r="N49" i="128"/>
  <c r="Y57" i="128"/>
  <c r="D57" i="128"/>
  <c r="H57" i="128" s="1"/>
  <c r="AM57" i="128"/>
  <c r="AO57" i="128" s="1"/>
  <c r="L61" i="128"/>
  <c r="N64" i="128"/>
  <c r="AF89" i="128"/>
  <c r="AH96" i="128" s="1"/>
  <c r="N27" i="128"/>
  <c r="P27" i="128" s="1"/>
  <c r="D48" i="128"/>
  <c r="H48" i="128" s="1"/>
  <c r="AM54" i="128"/>
  <c r="D54" i="128"/>
  <c r="H54" i="128" s="1"/>
  <c r="D61" i="128"/>
  <c r="H61" i="128" s="1"/>
  <c r="D58" i="128"/>
  <c r="H58" i="128" s="1"/>
  <c r="Y54" i="128"/>
  <c r="D71" i="128"/>
  <c r="H71" i="128" s="1"/>
  <c r="D78" i="128"/>
  <c r="H78" i="128" s="1"/>
  <c r="AM71" i="128"/>
  <c r="AZ126" i="128"/>
  <c r="AY126" i="128" s="1"/>
  <c r="BA126" i="128"/>
  <c r="BX135" i="128"/>
  <c r="D23" i="128"/>
  <c r="H23" i="128" s="1"/>
  <c r="AM19" i="128"/>
  <c r="L26" i="128"/>
  <c r="L22" i="128"/>
  <c r="Y28" i="128"/>
  <c r="AF29" i="128"/>
  <c r="AF33" i="128"/>
  <c r="AM33" i="128"/>
  <c r="D33" i="128"/>
  <c r="H33" i="128" s="1"/>
  <c r="N35" i="128"/>
  <c r="L40" i="128"/>
  <c r="L36" i="128"/>
  <c r="AH62" i="128"/>
  <c r="D64" i="128"/>
  <c r="H64" i="128" s="1"/>
  <c r="AO64" i="128"/>
  <c r="AF71" i="128"/>
  <c r="AH71" i="128" s="1"/>
  <c r="BA117" i="128"/>
  <c r="AZ117" i="128"/>
  <c r="D26" i="128"/>
  <c r="H26" i="128" s="1"/>
  <c r="AM26" i="128"/>
  <c r="AH28" i="128"/>
  <c r="D34" i="128"/>
  <c r="H34" i="128" s="1"/>
  <c r="N34" i="128"/>
  <c r="Y35" i="128"/>
  <c r="D40" i="128"/>
  <c r="H40" i="128" s="1"/>
  <c r="AM40" i="128"/>
  <c r="AH42" i="128"/>
  <c r="D47" i="128"/>
  <c r="H47" i="128" s="1"/>
  <c r="AM47" i="128"/>
  <c r="AH49" i="128"/>
  <c r="AJ49" i="128" s="1"/>
  <c r="D55" i="128"/>
  <c r="H55" i="128" s="1"/>
  <c r="N55" i="128"/>
  <c r="D63" i="128"/>
  <c r="H63" i="128" s="1"/>
  <c r="N63" i="128"/>
  <c r="AM63" i="128"/>
  <c r="AO63" i="128" s="1"/>
  <c r="AF68" i="128"/>
  <c r="D69" i="128"/>
  <c r="H69" i="128" s="1"/>
  <c r="L69" i="128"/>
  <c r="N69" i="128" s="1"/>
  <c r="AF76" i="128"/>
  <c r="D93" i="128"/>
  <c r="H93" i="128" s="1"/>
  <c r="D82" i="128"/>
  <c r="H82" i="128" s="1"/>
  <c r="AM82" i="128"/>
  <c r="D89" i="128"/>
  <c r="H89" i="128" s="1"/>
  <c r="AM92" i="128"/>
  <c r="D92" i="128"/>
  <c r="H92" i="128" s="1"/>
  <c r="D98" i="128"/>
  <c r="H98" i="128" s="1"/>
  <c r="D105" i="128"/>
  <c r="H105" i="128" s="1"/>
  <c r="AM98" i="128"/>
  <c r="Y104" i="128"/>
  <c r="L105" i="128"/>
  <c r="AY106" i="128"/>
  <c r="D106" i="128"/>
  <c r="H106" i="128" s="1"/>
  <c r="AM106" i="128"/>
  <c r="BA111" i="128"/>
  <c r="AZ111" i="128"/>
  <c r="AY111" i="128" s="1"/>
  <c r="AZ113" i="128"/>
  <c r="AY113" i="128" s="1"/>
  <c r="L119" i="128"/>
  <c r="L118" i="128"/>
  <c r="D119" i="128"/>
  <c r="H119" i="128" s="1"/>
  <c r="AM119" i="128"/>
  <c r="AM128" i="128"/>
  <c r="AZ127" i="128"/>
  <c r="AY127" i="128" s="1"/>
  <c r="BA127" i="128"/>
  <c r="L133" i="128"/>
  <c r="L134" i="128"/>
  <c r="AM69" i="128"/>
  <c r="AH82" i="128"/>
  <c r="AF90" i="128"/>
  <c r="BA96" i="128"/>
  <c r="AZ96" i="128"/>
  <c r="AF103" i="128"/>
  <c r="AO103" i="128" s="1"/>
  <c r="BA104" i="128"/>
  <c r="AZ104" i="128"/>
  <c r="AY104" i="128" s="1"/>
  <c r="AZ112" i="128"/>
  <c r="AY112" i="128" s="1"/>
  <c r="BA112" i="128"/>
  <c r="L113" i="128"/>
  <c r="BA128" i="128"/>
  <c r="AO28" i="128"/>
  <c r="Y34" i="128"/>
  <c r="AO49" i="128"/>
  <c r="Y55" i="128"/>
  <c r="L77" i="128"/>
  <c r="N77" i="128" s="1"/>
  <c r="L78" i="128"/>
  <c r="AZ97" i="128"/>
  <c r="AY97" i="128" s="1"/>
  <c r="BA97" i="128"/>
  <c r="BA103" i="128"/>
  <c r="AZ103" i="128"/>
  <c r="AZ105" i="128"/>
  <c r="AY105" i="128" s="1"/>
  <c r="BA105" i="128"/>
  <c r="AF111" i="128"/>
  <c r="AH111" i="128" s="1"/>
  <c r="AJ111" i="128" s="1"/>
  <c r="D113" i="128"/>
  <c r="H113" i="128" s="1"/>
  <c r="AM113" i="128"/>
  <c r="BA114" i="128"/>
  <c r="AZ118" i="128"/>
  <c r="AY118" i="128" s="1"/>
  <c r="BA118" i="128"/>
  <c r="D120" i="128"/>
  <c r="H120" i="128" s="1"/>
  <c r="AZ124" i="128"/>
  <c r="D76" i="128"/>
  <c r="H76" i="128" s="1"/>
  <c r="D84" i="128"/>
  <c r="H84" i="128" s="1"/>
  <c r="Y90" i="128"/>
  <c r="D99" i="128"/>
  <c r="H99" i="128" s="1"/>
  <c r="D110" i="128"/>
  <c r="H110" i="128" s="1"/>
  <c r="AY110" i="128"/>
  <c r="BA120" i="128"/>
  <c r="Y124" i="128"/>
  <c r="AF125" i="128"/>
  <c r="AZ133" i="128"/>
  <c r="AY133" i="128" s="1"/>
  <c r="BA133" i="128"/>
  <c r="AM133" i="128"/>
  <c r="D133" i="128"/>
  <c r="H133" i="128" s="1"/>
  <c r="BZ138" i="128"/>
  <c r="BP140" i="128"/>
  <c r="BP147" i="128"/>
  <c r="BZ140" i="128"/>
  <c r="L131" i="128"/>
  <c r="Y131" i="128" s="1"/>
  <c r="L132" i="128"/>
  <c r="AM134" i="128"/>
  <c r="BA138" i="128"/>
  <c r="AZ139" i="128"/>
  <c r="BA139" i="128"/>
  <c r="BG145" i="128"/>
  <c r="D85" i="128"/>
  <c r="H85" i="128" s="1"/>
  <c r="D127" i="128"/>
  <c r="H127" i="128" s="1"/>
  <c r="AF131" i="128"/>
  <c r="AF132" i="128"/>
  <c r="AF133" i="128"/>
  <c r="AZ134" i="128"/>
  <c r="AY134" i="128" s="1"/>
  <c r="BP135" i="128"/>
  <c r="BP141" i="128"/>
  <c r="BO149" i="128"/>
  <c r="BZ146" i="128"/>
  <c r="BA140" i="128"/>
  <c r="BA141" i="128"/>
  <c r="BA146" i="128"/>
  <c r="L147" i="128"/>
  <c r="BG147" i="128"/>
  <c r="BG152" i="128"/>
  <c r="L155" i="128"/>
  <c r="D160" i="128"/>
  <c r="H160" i="128" s="1"/>
  <c r="H171" i="128"/>
  <c r="D171" i="128" s="1"/>
  <c r="S171" i="128" s="1"/>
  <c r="N167" i="128"/>
  <c r="BY148" i="128"/>
  <c r="BZ148" i="128" s="1"/>
  <c r="AF154" i="128"/>
  <c r="AH154" i="128" s="1"/>
  <c r="BA155" i="128"/>
  <c r="AF159" i="128"/>
  <c r="BG159" i="128"/>
  <c r="BG166" i="128"/>
  <c r="BG162" i="128"/>
  <c r="BG153" i="128"/>
  <c r="BP154" i="128"/>
  <c r="CA155" i="128"/>
  <c r="D166" i="128"/>
  <c r="H166" i="128" s="1"/>
  <c r="BG160" i="128"/>
  <c r="AM177" i="128"/>
  <c r="AF162" i="128"/>
  <c r="L166" i="128"/>
  <c r="AY167" i="128"/>
  <c r="BU168" i="128"/>
  <c r="BO168" i="128" s="1"/>
  <c r="T168" i="128" s="1"/>
  <c r="D173" i="128"/>
  <c r="H173" i="128" s="1"/>
  <c r="BG173" i="128"/>
  <c r="L180" i="128"/>
  <c r="L187" i="128"/>
  <c r="L183" i="128"/>
  <c r="AF161" i="128"/>
  <c r="BG170" i="128"/>
  <c r="AF174" i="128"/>
  <c r="BG175" i="128"/>
  <c r="AF180" i="128"/>
  <c r="AF176" i="128"/>
  <c r="AZ180" i="128"/>
  <c r="AY180" i="128" s="1"/>
  <c r="D188" i="128"/>
  <c r="H188" i="128" s="1"/>
  <c r="AY181" i="128"/>
  <c r="BG181" i="128"/>
  <c r="AF182" i="128"/>
  <c r="D190" i="128"/>
  <c r="H190" i="128" s="1"/>
  <c r="D183" i="128"/>
  <c r="H183" i="128" s="1"/>
  <c r="BI161" i="128"/>
  <c r="AY162" i="128"/>
  <c r="BG167" i="128"/>
  <c r="BO169" i="128"/>
  <c r="T169" i="128" s="1"/>
  <c r="D176" i="128"/>
  <c r="H176" i="128" s="1"/>
  <c r="L169" i="128"/>
  <c r="BG183" i="128"/>
  <c r="BG176" i="128"/>
  <c r="BP184" i="128"/>
  <c r="AM182" i="128"/>
  <c r="AM180" i="128"/>
  <c r="BG188" i="128"/>
  <c r="BG190" i="128"/>
  <c r="AO195" i="128"/>
  <c r="AO196" i="128"/>
  <c r="BG194" i="128"/>
  <c r="BG196" i="128"/>
  <c r="AY188" i="128"/>
  <c r="AY189" i="128"/>
  <c r="L194" i="128"/>
  <c r="BP191" i="128"/>
  <c r="AF194" i="128"/>
  <c r="AJ368" i="127"/>
  <c r="AJ374" i="127"/>
  <c r="AJ378" i="127"/>
  <c r="AJ384" i="127"/>
  <c r="AJ390" i="127"/>
  <c r="AJ396" i="127"/>
  <c r="AJ231" i="127"/>
  <c r="AJ266" i="127"/>
  <c r="AJ278" i="127"/>
  <c r="AJ284" i="127"/>
  <c r="AJ290" i="127"/>
  <c r="AJ294" i="127"/>
  <c r="AJ300" i="127"/>
  <c r="AJ306" i="127"/>
  <c r="AJ312" i="127"/>
  <c r="AJ318" i="127"/>
  <c r="AJ322" i="127"/>
  <c r="AJ217" i="127"/>
  <c r="AJ245" i="127"/>
  <c r="AJ273" i="127"/>
  <c r="AJ279" i="127"/>
  <c r="AJ285" i="127"/>
  <c r="AJ291" i="127"/>
  <c r="AJ297" i="127"/>
  <c r="AJ301" i="127"/>
  <c r="AJ307" i="127"/>
  <c r="AJ313" i="127"/>
  <c r="AJ319" i="127"/>
  <c r="AJ224" i="127"/>
  <c r="AJ252" i="127"/>
  <c r="AJ276" i="127"/>
  <c r="AJ280" i="127"/>
  <c r="AJ286" i="127"/>
  <c r="AJ292" i="127"/>
  <c r="AJ298" i="127"/>
  <c r="AJ304" i="127"/>
  <c r="AJ308" i="127"/>
  <c r="AJ314" i="127"/>
  <c r="AJ320" i="127"/>
  <c r="AJ431" i="127"/>
  <c r="AJ449" i="127"/>
  <c r="AJ455" i="127"/>
  <c r="AJ459" i="127"/>
  <c r="AJ465" i="127"/>
  <c r="AJ471" i="127"/>
  <c r="AJ483" i="127"/>
  <c r="AJ533" i="127"/>
  <c r="AJ539" i="127"/>
  <c r="AJ543" i="127"/>
  <c r="AJ549" i="127"/>
  <c r="AJ555" i="127"/>
  <c r="AJ561" i="127"/>
  <c r="AJ462" i="127"/>
  <c r="AJ466" i="127"/>
  <c r="AJ472" i="127"/>
  <c r="AJ478" i="127"/>
  <c r="AJ484" i="127"/>
  <c r="AJ534" i="127"/>
  <c r="AJ540" i="127"/>
  <c r="AJ546" i="127"/>
  <c r="AJ550" i="127"/>
  <c r="AJ556" i="127"/>
  <c r="AJ562" i="127"/>
  <c r="AJ417" i="127"/>
  <c r="AJ451" i="127"/>
  <c r="AJ457" i="127"/>
  <c r="AJ463" i="127"/>
  <c r="AJ469" i="127"/>
  <c r="AJ473" i="127"/>
  <c r="AJ479" i="127"/>
  <c r="AJ535" i="127"/>
  <c r="AJ541" i="127"/>
  <c r="AJ547" i="127"/>
  <c r="AJ553" i="127"/>
  <c r="AJ557" i="127"/>
  <c r="AJ424" i="127"/>
  <c r="AJ458" i="127"/>
  <c r="AJ464" i="127"/>
  <c r="AJ470" i="127"/>
  <c r="AJ476" i="127"/>
  <c r="AJ480" i="127"/>
  <c r="AJ486" i="127"/>
  <c r="AJ532" i="127"/>
  <c r="AJ536" i="127"/>
  <c r="AJ542" i="127"/>
  <c r="AJ548" i="127"/>
  <c r="AJ554" i="127"/>
  <c r="AJ560" i="127"/>
  <c r="AK190" i="127"/>
  <c r="AJ190" i="127"/>
  <c r="AK189" i="127"/>
  <c r="AJ189" i="127"/>
  <c r="AK188" i="127"/>
  <c r="AJ188" i="127"/>
  <c r="AK185" i="127"/>
  <c r="AJ185" i="127"/>
  <c r="AK184" i="127"/>
  <c r="AJ184" i="127"/>
  <c r="AK183" i="127"/>
  <c r="AJ183" i="127"/>
  <c r="AK182" i="127"/>
  <c r="AJ182" i="127"/>
  <c r="AK181" i="127"/>
  <c r="AJ181" i="127"/>
  <c r="AK178" i="127"/>
  <c r="AJ178" i="127"/>
  <c r="AK177" i="127"/>
  <c r="AJ177" i="127"/>
  <c r="AK176" i="127"/>
  <c r="AJ176" i="127"/>
  <c r="AK175" i="127"/>
  <c r="AJ175" i="127"/>
  <c r="AK174" i="127"/>
  <c r="AJ174" i="127"/>
  <c r="AK171" i="127"/>
  <c r="AJ171" i="127"/>
  <c r="AK170" i="127"/>
  <c r="AJ170" i="127"/>
  <c r="AK169" i="127"/>
  <c r="AJ169" i="127"/>
  <c r="AK168" i="127"/>
  <c r="AJ168" i="127"/>
  <c r="AK167" i="127"/>
  <c r="AJ167" i="127"/>
  <c r="AK164" i="127"/>
  <c r="AJ164" i="127"/>
  <c r="AK163" i="127"/>
  <c r="AJ163" i="127"/>
  <c r="AK162" i="127"/>
  <c r="AJ162" i="127"/>
  <c r="AK161" i="127"/>
  <c r="AJ161" i="127"/>
  <c r="AK160" i="127"/>
  <c r="AJ160" i="127"/>
  <c r="AK157" i="127"/>
  <c r="AK156" i="127"/>
  <c r="AK155" i="127"/>
  <c r="AK154" i="127"/>
  <c r="AK153" i="127"/>
  <c r="AK150" i="127"/>
  <c r="AK149" i="127"/>
  <c r="AK148" i="127"/>
  <c r="AK147" i="127"/>
  <c r="AK146" i="127"/>
  <c r="AK143" i="127"/>
  <c r="AK142" i="127"/>
  <c r="AK141" i="127"/>
  <c r="AK140" i="127"/>
  <c r="AK139" i="127"/>
  <c r="AK136" i="127"/>
  <c r="AK135" i="127"/>
  <c r="AK134" i="127"/>
  <c r="AK133" i="127"/>
  <c r="AK132" i="127"/>
  <c r="AK129" i="127"/>
  <c r="AK128" i="127"/>
  <c r="AK127" i="127"/>
  <c r="AK126" i="127"/>
  <c r="AK125" i="127"/>
  <c r="AK122" i="127"/>
  <c r="AK121" i="127"/>
  <c r="AK120" i="127"/>
  <c r="AK119" i="127"/>
  <c r="AK118" i="127"/>
  <c r="AK115" i="127"/>
  <c r="AJ115" i="127"/>
  <c r="AK114" i="127"/>
  <c r="AJ114" i="127"/>
  <c r="AK113" i="127"/>
  <c r="AJ113" i="127"/>
  <c r="AK112" i="127"/>
  <c r="AJ112" i="127"/>
  <c r="AK111" i="127"/>
  <c r="AJ111" i="127"/>
  <c r="AK108" i="127"/>
  <c r="AJ108" i="127"/>
  <c r="AK107" i="127"/>
  <c r="AJ107" i="127"/>
  <c r="AK106" i="127"/>
  <c r="AJ106" i="127"/>
  <c r="AK105" i="127"/>
  <c r="AJ105" i="127"/>
  <c r="AK104" i="127"/>
  <c r="AJ104" i="127"/>
  <c r="AK101" i="127"/>
  <c r="AJ101" i="127"/>
  <c r="AK100" i="127"/>
  <c r="AJ100" i="127"/>
  <c r="AK99" i="127"/>
  <c r="AJ99" i="127"/>
  <c r="AK98" i="127"/>
  <c r="AJ98" i="127"/>
  <c r="AK97" i="127"/>
  <c r="AJ97" i="127"/>
  <c r="AK94" i="127"/>
  <c r="AJ94" i="127"/>
  <c r="AK93" i="127"/>
  <c r="AJ93" i="127"/>
  <c r="AK92" i="127"/>
  <c r="AJ92" i="127"/>
  <c r="AK91" i="127"/>
  <c r="AJ91" i="127"/>
  <c r="AK90" i="127"/>
  <c r="AJ90" i="127"/>
  <c r="AK87" i="127"/>
  <c r="AJ87" i="127"/>
  <c r="AK86" i="127"/>
  <c r="AJ86" i="127"/>
  <c r="AK85" i="127"/>
  <c r="AJ85" i="127"/>
  <c r="AK84" i="127"/>
  <c r="AJ84" i="127"/>
  <c r="AK83" i="127"/>
  <c r="AJ83" i="127"/>
  <c r="AK80" i="127"/>
  <c r="AJ80" i="127"/>
  <c r="AK79" i="127"/>
  <c r="AJ79" i="127"/>
  <c r="AK78" i="127"/>
  <c r="AJ78" i="127"/>
  <c r="AK77" i="127"/>
  <c r="AJ77" i="127"/>
  <c r="AK76" i="127"/>
  <c r="AJ76" i="127"/>
  <c r="AJ70" i="127"/>
  <c r="AJ71" i="127"/>
  <c r="AJ72" i="127"/>
  <c r="AK69" i="127"/>
  <c r="AJ69" i="127"/>
  <c r="AK73" i="127"/>
  <c r="AJ73" i="127"/>
  <c r="AK66" i="127"/>
  <c r="AJ66" i="127"/>
  <c r="AK59" i="127"/>
  <c r="AJ59" i="127"/>
  <c r="AK52" i="127"/>
  <c r="AJ52" i="127"/>
  <c r="AK45" i="127"/>
  <c r="AJ45" i="127"/>
  <c r="AK38" i="127"/>
  <c r="AJ38" i="127"/>
  <c r="AJ31" i="127"/>
  <c r="AO98" i="128" l="1"/>
  <c r="N33" i="128"/>
  <c r="T163" i="128"/>
  <c r="AA57" i="128"/>
  <c r="T142" i="128"/>
  <c r="T170" i="128"/>
  <c r="AH105" i="128"/>
  <c r="AJ105" i="128" s="1"/>
  <c r="N89" i="128"/>
  <c r="P89" i="128" s="1"/>
  <c r="AO104" i="128"/>
  <c r="AJ27" i="128"/>
  <c r="N57" i="128"/>
  <c r="AJ21" i="128"/>
  <c r="AH187" i="128"/>
  <c r="AJ187" i="128" s="1"/>
  <c r="AH147" i="128"/>
  <c r="AO120" i="128"/>
  <c r="N160" i="128"/>
  <c r="N119" i="128"/>
  <c r="AH197" i="128"/>
  <c r="AJ197" i="128" s="1"/>
  <c r="AH167" i="128"/>
  <c r="AH166" i="128"/>
  <c r="AH173" i="128"/>
  <c r="AJ173" i="128" s="1"/>
  <c r="AH127" i="128"/>
  <c r="AJ127" i="128" s="1"/>
  <c r="AH133" i="128"/>
  <c r="AJ133" i="128" s="1"/>
  <c r="N204" i="128"/>
  <c r="N203" i="128"/>
  <c r="P203" i="128" s="1"/>
  <c r="N111" i="128"/>
  <c r="P111" i="128" s="1"/>
  <c r="H206" i="129"/>
  <c r="H46" i="129"/>
  <c r="H49" i="129" s="1"/>
  <c r="H72" i="129" s="1"/>
  <c r="S51" i="129"/>
  <c r="S54" i="129"/>
  <c r="S55" i="129" s="1"/>
  <c r="T206" i="129"/>
  <c r="T49" i="129"/>
  <c r="G54" i="129"/>
  <c r="G55" i="129" s="1"/>
  <c r="G51" i="129"/>
  <c r="S210" i="129"/>
  <c r="S211" i="129" s="1"/>
  <c r="S208" i="129"/>
  <c r="G208" i="129"/>
  <c r="G210" i="129"/>
  <c r="G211" i="129" s="1"/>
  <c r="BP145" i="128"/>
  <c r="AJ96" i="128"/>
  <c r="AH153" i="128"/>
  <c r="BP173" i="128"/>
  <c r="BO163" i="128"/>
  <c r="N96" i="128"/>
  <c r="N70" i="128"/>
  <c r="T156" i="128"/>
  <c r="T149" i="128"/>
  <c r="N197" i="128"/>
  <c r="P197" i="128" s="1"/>
  <c r="AO69" i="128"/>
  <c r="AH160" i="128"/>
  <c r="AJ160" i="128" s="1"/>
  <c r="AH196" i="128"/>
  <c r="AJ196" i="128" s="1"/>
  <c r="N169" i="128"/>
  <c r="P169" i="128" s="1"/>
  <c r="BO156" i="128"/>
  <c r="AZ154" i="128"/>
  <c r="N140" i="128"/>
  <c r="Y89" i="128"/>
  <c r="AA28" i="128"/>
  <c r="N117" i="128"/>
  <c r="P117" i="128" s="1"/>
  <c r="AO15" i="128"/>
  <c r="AJ56" i="128"/>
  <c r="AQ27" i="128"/>
  <c r="N92" i="128"/>
  <c r="P92" i="128" s="1"/>
  <c r="P96" i="128"/>
  <c r="Y91" i="128"/>
  <c r="AA98" i="128" s="1"/>
  <c r="N91" i="128"/>
  <c r="P91" i="128" s="1"/>
  <c r="P119" i="128"/>
  <c r="P90" i="128"/>
  <c r="BZ153" i="128"/>
  <c r="BZ159" i="128"/>
  <c r="BP139" i="128"/>
  <c r="BZ154" i="128"/>
  <c r="BZ161" i="128"/>
  <c r="Y161" i="128"/>
  <c r="AZ155" i="128"/>
  <c r="AY155" i="128" s="1"/>
  <c r="AZ146" i="128"/>
  <c r="AY146" i="128" s="1"/>
  <c r="AZ140" i="128"/>
  <c r="AY140" i="128" s="1"/>
  <c r="BZ152" i="128"/>
  <c r="AZ148" i="128"/>
  <c r="BX148" i="128"/>
  <c r="P56" i="128"/>
  <c r="BZ141" i="128"/>
  <c r="BX141" i="128"/>
  <c r="N146" i="128"/>
  <c r="BZ160" i="128"/>
  <c r="BX160" i="128"/>
  <c r="AH145" i="128"/>
  <c r="N211" i="128"/>
  <c r="BZ147" i="128"/>
  <c r="AY147" i="128"/>
  <c r="BP138" i="128"/>
  <c r="AO110" i="128"/>
  <c r="AQ110" i="128" s="1"/>
  <c r="N113" i="128"/>
  <c r="P113" i="128" s="1"/>
  <c r="N54" i="128"/>
  <c r="P54" i="128" s="1"/>
  <c r="AO70" i="128"/>
  <c r="AH174" i="128"/>
  <c r="AJ174" i="128" s="1"/>
  <c r="AZ138" i="128"/>
  <c r="AY138" i="128" s="1"/>
  <c r="BZ139" i="128"/>
  <c r="AQ69" i="128"/>
  <c r="AJ28" i="128"/>
  <c r="N182" i="128"/>
  <c r="P182" i="128" s="1"/>
  <c r="L163" i="128"/>
  <c r="N148" i="128"/>
  <c r="AO173" i="128"/>
  <c r="BP161" i="128"/>
  <c r="BO142" i="128"/>
  <c r="BM142" i="128" s="1"/>
  <c r="AQ49" i="128"/>
  <c r="AO77" i="128"/>
  <c r="AQ84" i="128" s="1"/>
  <c r="N201" i="128"/>
  <c r="P201" i="128" s="1"/>
  <c r="BP146" i="128"/>
  <c r="AF149" i="128"/>
  <c r="AH90" i="128"/>
  <c r="AJ90" i="128" s="1"/>
  <c r="N68" i="128"/>
  <c r="P68" i="128" s="1"/>
  <c r="AQ42" i="128"/>
  <c r="BP166" i="128"/>
  <c r="N155" i="128"/>
  <c r="AH125" i="128"/>
  <c r="AJ125" i="128" s="1"/>
  <c r="N98" i="128"/>
  <c r="P98" i="128" s="1"/>
  <c r="AO85" i="128"/>
  <c r="AF65" i="128"/>
  <c r="P70" i="128"/>
  <c r="P49" i="128"/>
  <c r="P28" i="128"/>
  <c r="N208" i="128"/>
  <c r="N175" i="128"/>
  <c r="P175" i="128" s="1"/>
  <c r="AZ209" i="128"/>
  <c r="BG209" i="128"/>
  <c r="N83" i="128"/>
  <c r="P83" i="128" s="1"/>
  <c r="AA50" i="128"/>
  <c r="AH155" i="128"/>
  <c r="N181" i="128"/>
  <c r="P181" i="128" s="1"/>
  <c r="AF170" i="128"/>
  <c r="AH203" i="128"/>
  <c r="AJ203" i="128" s="1"/>
  <c r="AH134" i="128"/>
  <c r="AJ134" i="128" s="1"/>
  <c r="N127" i="128"/>
  <c r="P127" i="128" s="1"/>
  <c r="AH117" i="128"/>
  <c r="AJ117" i="128" s="1"/>
  <c r="AH47" i="128"/>
  <c r="AJ47" i="128" s="1"/>
  <c r="AJ70" i="128"/>
  <c r="N189" i="128"/>
  <c r="P189" i="128" s="1"/>
  <c r="AA189" i="128"/>
  <c r="AH176" i="128"/>
  <c r="AJ176" i="128" s="1"/>
  <c r="AH188" i="128"/>
  <c r="AJ188" i="128" s="1"/>
  <c r="AH162" i="128"/>
  <c r="AJ162" i="128" s="1"/>
  <c r="N174" i="128"/>
  <c r="P174" i="128" s="1"/>
  <c r="N132" i="128"/>
  <c r="P132" i="128" s="1"/>
  <c r="N153" i="128"/>
  <c r="Y127" i="128"/>
  <c r="AA127" i="128" s="1"/>
  <c r="AO68" i="128"/>
  <c r="AQ68" i="128" s="1"/>
  <c r="AH112" i="128"/>
  <c r="AJ112" i="128" s="1"/>
  <c r="AH91" i="128"/>
  <c r="AJ91" i="128" s="1"/>
  <c r="AZ211" i="128"/>
  <c r="AA196" i="128"/>
  <c r="AH141" i="128"/>
  <c r="AH124" i="128"/>
  <c r="AJ124" i="128" s="1"/>
  <c r="N85" i="128"/>
  <c r="AA34" i="128"/>
  <c r="L100" i="128"/>
  <c r="N134" i="128"/>
  <c r="P134" i="128" s="1"/>
  <c r="AA104" i="128"/>
  <c r="N47" i="128"/>
  <c r="P47" i="128" s="1"/>
  <c r="Y83" i="128"/>
  <c r="AA90" i="128" s="1"/>
  <c r="BG210" i="128"/>
  <c r="AH195" i="128"/>
  <c r="AJ195" i="128" s="1"/>
  <c r="AA181" i="128"/>
  <c r="N173" i="128"/>
  <c r="AZ170" i="128"/>
  <c r="AY170" i="128" s="1"/>
  <c r="AO134" i="128"/>
  <c r="AQ134" i="128" s="1"/>
  <c r="AO113" i="128"/>
  <c r="AF86" i="128"/>
  <c r="L51" i="128"/>
  <c r="N58" i="128" s="1"/>
  <c r="P58" i="128" s="1"/>
  <c r="Y51" i="128"/>
  <c r="BG211" i="128"/>
  <c r="AH190" i="128"/>
  <c r="AJ190" i="128" s="1"/>
  <c r="AZ210" i="128"/>
  <c r="AH84" i="128"/>
  <c r="AJ84" i="128" s="1"/>
  <c r="BX147" i="128"/>
  <c r="D147" i="128"/>
  <c r="H147" i="128" s="1"/>
  <c r="AJ147" i="128" s="1"/>
  <c r="AO117" i="128"/>
  <c r="L177" i="128"/>
  <c r="AH152" i="128"/>
  <c r="BG212" i="128"/>
  <c r="U156" i="129"/>
  <c r="U75" i="129" s="1"/>
  <c r="V5" i="129"/>
  <c r="V41" i="129" s="1"/>
  <c r="J294" i="129"/>
  <c r="J292" i="129"/>
  <c r="M133" i="129"/>
  <c r="M134" i="129" s="1"/>
  <c r="M131" i="129"/>
  <c r="J92" i="129"/>
  <c r="J90" i="129"/>
  <c r="J103" i="129"/>
  <c r="J112" i="129"/>
  <c r="AE164" i="129"/>
  <c r="AE167" i="129" s="1"/>
  <c r="AE168" i="129" s="1"/>
  <c r="AD180" i="129"/>
  <c r="AD181" i="129" s="1"/>
  <c r="T15" i="129"/>
  <c r="U11" i="129"/>
  <c r="U14" i="129" s="1"/>
  <c r="T29" i="129"/>
  <c r="T30" i="129" s="1"/>
  <c r="U250" i="129"/>
  <c r="U252" i="129"/>
  <c r="U253" i="129" s="1"/>
  <c r="I91" i="129"/>
  <c r="I94" i="129"/>
  <c r="I95" i="129" s="1"/>
  <c r="H20" i="129"/>
  <c r="I20" i="129"/>
  <c r="AC171" i="129"/>
  <c r="AC172" i="129" s="1"/>
  <c r="AC169" i="129"/>
  <c r="AD169" i="129"/>
  <c r="AD171" i="129"/>
  <c r="S16" i="129"/>
  <c r="S19" i="129"/>
  <c r="S20" i="129" s="1"/>
  <c r="S103" i="129"/>
  <c r="S104" i="129" s="1"/>
  <c r="S90" i="129"/>
  <c r="T86" i="129"/>
  <c r="T89" i="129" s="1"/>
  <c r="I252" i="129"/>
  <c r="I253" i="129" s="1"/>
  <c r="I250" i="129"/>
  <c r="V261" i="129"/>
  <c r="V262" i="129" s="1"/>
  <c r="V249" i="129"/>
  <c r="W245" i="129"/>
  <c r="W248" i="129" s="1"/>
  <c r="I294" i="129"/>
  <c r="I295" i="129" s="1"/>
  <c r="I292" i="129"/>
  <c r="N130" i="129"/>
  <c r="O126" i="129"/>
  <c r="O129" i="129" s="1"/>
  <c r="DC64" i="28" s="1"/>
  <c r="N142" i="129"/>
  <c r="N143" i="129" s="1"/>
  <c r="R91" i="129"/>
  <c r="R94" i="129"/>
  <c r="R95" i="129" s="1"/>
  <c r="J261" i="129"/>
  <c r="J249" i="129"/>
  <c r="N138" i="128"/>
  <c r="N97" i="128"/>
  <c r="P97" i="128" s="1"/>
  <c r="N104" i="128"/>
  <c r="P104" i="128" s="1"/>
  <c r="AF100" i="128"/>
  <c r="N196" i="128"/>
  <c r="P196" i="128" s="1"/>
  <c r="AJ35" i="128"/>
  <c r="Y134" i="128"/>
  <c r="N99" i="128"/>
  <c r="P99" i="128" s="1"/>
  <c r="L142" i="128"/>
  <c r="AZ163" i="128"/>
  <c r="BQ163" i="128" s="1"/>
  <c r="AH22" i="128"/>
  <c r="AJ22" i="128" s="1"/>
  <c r="N202" i="128"/>
  <c r="P202" i="128" s="1"/>
  <c r="AH119" i="128"/>
  <c r="AJ119" i="128" s="1"/>
  <c r="L128" i="128"/>
  <c r="AH92" i="128"/>
  <c r="AJ92" i="128" s="1"/>
  <c r="L212" i="128"/>
  <c r="AH113" i="128"/>
  <c r="AJ113" i="128" s="1"/>
  <c r="L86" i="128"/>
  <c r="AH23" i="128"/>
  <c r="AJ23" i="128" s="1"/>
  <c r="AF191" i="128"/>
  <c r="AH182" i="128"/>
  <c r="AJ182" i="128" s="1"/>
  <c r="AH175" i="128"/>
  <c r="AJ175" i="128" s="1"/>
  <c r="BP155" i="128"/>
  <c r="M145" i="128"/>
  <c r="AH126" i="128"/>
  <c r="AJ126" i="128" s="1"/>
  <c r="N103" i="128"/>
  <c r="AH77" i="128"/>
  <c r="AJ77" i="128" s="1"/>
  <c r="AH106" i="128"/>
  <c r="AJ106" i="128" s="1"/>
  <c r="AO92" i="128"/>
  <c r="AQ92" i="128" s="1"/>
  <c r="N50" i="128"/>
  <c r="P50" i="128" s="1"/>
  <c r="AJ42" i="128"/>
  <c r="P35" i="128"/>
  <c r="AO22" i="128"/>
  <c r="AQ22" i="128" s="1"/>
  <c r="AZ152" i="128"/>
  <c r="N106" i="128"/>
  <c r="P106" i="128" s="1"/>
  <c r="N195" i="128"/>
  <c r="P195" i="128" s="1"/>
  <c r="N188" i="128"/>
  <c r="P188" i="128" s="1"/>
  <c r="BP160" i="128"/>
  <c r="N168" i="128"/>
  <c r="P168" i="128" s="1"/>
  <c r="AJ167" i="128"/>
  <c r="P167" i="128"/>
  <c r="AY154" i="128"/>
  <c r="BP159" i="128"/>
  <c r="N124" i="128"/>
  <c r="P124" i="128" s="1"/>
  <c r="M146" i="128"/>
  <c r="N145" i="128"/>
  <c r="AH99" i="128"/>
  <c r="AJ99" i="128" s="1"/>
  <c r="AF121" i="128"/>
  <c r="AO106" i="128"/>
  <c r="L107" i="128"/>
  <c r="AO99" i="128"/>
  <c r="AO100" i="128" s="1"/>
  <c r="Y92" i="128"/>
  <c r="AA99" i="128" s="1"/>
  <c r="AA27" i="128"/>
  <c r="N209" i="128"/>
  <c r="L205" i="128"/>
  <c r="AA195" i="128"/>
  <c r="BP162" i="128"/>
  <c r="D154" i="128"/>
  <c r="H154" i="128" s="1"/>
  <c r="Y176" i="128"/>
  <c r="Y177" i="128" s="1"/>
  <c r="AZ153" i="128"/>
  <c r="BP152" i="128"/>
  <c r="BZ155" i="128"/>
  <c r="AQ85" i="128"/>
  <c r="AA106" i="128"/>
  <c r="N36" i="128"/>
  <c r="P36" i="128" s="1"/>
  <c r="D37" i="128"/>
  <c r="H37" i="128" s="1"/>
  <c r="AH29" i="128"/>
  <c r="AJ29" i="128" s="1"/>
  <c r="P159" i="128"/>
  <c r="AA70" i="128"/>
  <c r="N82" i="128"/>
  <c r="P82" i="128" s="1"/>
  <c r="Y154" i="128"/>
  <c r="AH161" i="128"/>
  <c r="AJ161" i="128" s="1"/>
  <c r="N162" i="128"/>
  <c r="P162" i="128" s="1"/>
  <c r="AA63" i="128"/>
  <c r="AH98" i="128"/>
  <c r="AJ98" i="128" s="1"/>
  <c r="AQ34" i="128"/>
  <c r="N43" i="128"/>
  <c r="P43" i="128" s="1"/>
  <c r="AQ43" i="128"/>
  <c r="Y15" i="128"/>
  <c r="Y16" i="128" s="1"/>
  <c r="N210" i="128"/>
  <c r="AO105" i="128"/>
  <c r="AQ112" i="128" s="1"/>
  <c r="AQ188" i="128"/>
  <c r="N112" i="128"/>
  <c r="P112" i="128" s="1"/>
  <c r="AF51" i="128"/>
  <c r="AH51" i="128" s="1"/>
  <c r="AO50" i="128"/>
  <c r="AQ57" i="128" s="1"/>
  <c r="AH57" i="128"/>
  <c r="AJ57" i="128" s="1"/>
  <c r="AQ196" i="128"/>
  <c r="AQ190" i="128"/>
  <c r="AH181" i="128"/>
  <c r="AJ181" i="128" s="1"/>
  <c r="AJ120" i="128"/>
  <c r="L93" i="128"/>
  <c r="AO89" i="128"/>
  <c r="AQ96" i="128" s="1"/>
  <c r="D44" i="128"/>
  <c r="H44" i="128" s="1"/>
  <c r="BP153" i="128"/>
  <c r="AQ55" i="128"/>
  <c r="AF142" i="128"/>
  <c r="AM107" i="128"/>
  <c r="AM93" i="128"/>
  <c r="Y71" i="128"/>
  <c r="AA71" i="128" s="1"/>
  <c r="AQ21" i="128"/>
  <c r="AQ48" i="128"/>
  <c r="N161" i="128"/>
  <c r="P161" i="128" s="1"/>
  <c r="AH169" i="128"/>
  <c r="AJ169" i="128" s="1"/>
  <c r="AO174" i="128"/>
  <c r="AQ181" i="128" s="1"/>
  <c r="L37" i="128"/>
  <c r="L156" i="128"/>
  <c r="N163" i="128" s="1"/>
  <c r="AH104" i="128"/>
  <c r="BO170" i="128"/>
  <c r="BP170" i="128" s="1"/>
  <c r="AF128" i="128"/>
  <c r="AA42" i="128"/>
  <c r="AM135" i="128"/>
  <c r="AH148" i="128"/>
  <c r="N110" i="128"/>
  <c r="P110" i="128" s="1"/>
  <c r="AO83" i="128"/>
  <c r="AQ104" i="128"/>
  <c r="AH78" i="128"/>
  <c r="AJ78" i="128" s="1"/>
  <c r="AH146" i="128"/>
  <c r="AH202" i="128"/>
  <c r="AJ202" i="128" s="1"/>
  <c r="AZ141" i="128"/>
  <c r="BP148" i="128"/>
  <c r="AO91" i="128"/>
  <c r="AQ91" i="128" s="1"/>
  <c r="AQ195" i="128"/>
  <c r="AF177" i="128"/>
  <c r="AF156" i="128"/>
  <c r="AA64" i="128"/>
  <c r="D30" i="128"/>
  <c r="H30" i="128" s="1"/>
  <c r="AQ28" i="128"/>
  <c r="AQ63" i="128"/>
  <c r="N22" i="128"/>
  <c r="P22" i="128" s="1"/>
  <c r="AA55" i="128"/>
  <c r="AA35" i="128"/>
  <c r="AM65" i="128"/>
  <c r="AQ62" i="128"/>
  <c r="AJ19" i="128"/>
  <c r="AO16" i="128"/>
  <c r="AQ41" i="128"/>
  <c r="AM16" i="128"/>
  <c r="AF114" i="128"/>
  <c r="Y100" i="128"/>
  <c r="N126" i="128"/>
  <c r="P126" i="128" s="1"/>
  <c r="L121" i="128"/>
  <c r="AO71" i="128"/>
  <c r="AQ71" i="128" s="1"/>
  <c r="AO131" i="128"/>
  <c r="AQ131" i="128" s="1"/>
  <c r="N84" i="128"/>
  <c r="P84" i="128" s="1"/>
  <c r="Y119" i="128"/>
  <c r="AA119" i="128" s="1"/>
  <c r="N141" i="128"/>
  <c r="AO111" i="128"/>
  <c r="BP175" i="128"/>
  <c r="BP168" i="128"/>
  <c r="AQ103" i="128"/>
  <c r="Y183" i="128"/>
  <c r="N183" i="128"/>
  <c r="P183" i="128" s="1"/>
  <c r="D128" i="128"/>
  <c r="H128" i="128" s="1"/>
  <c r="AZ100" i="128"/>
  <c r="AY96" i="128"/>
  <c r="N133" i="128"/>
  <c r="P133" i="128" s="1"/>
  <c r="Y133" i="128"/>
  <c r="AA133" i="128" s="1"/>
  <c r="AJ55" i="128"/>
  <c r="P55" i="128"/>
  <c r="AJ26" i="128"/>
  <c r="AM37" i="128"/>
  <c r="AO33" i="128"/>
  <c r="AJ62" i="128"/>
  <c r="P62" i="128"/>
  <c r="L79" i="128"/>
  <c r="Y75" i="128"/>
  <c r="AA82" i="128" s="1"/>
  <c r="N75" i="128"/>
  <c r="P75" i="128" s="1"/>
  <c r="AM72" i="128"/>
  <c r="AH54" i="128"/>
  <c r="AJ54" i="128" s="1"/>
  <c r="AF58" i="128"/>
  <c r="AH65" i="128" s="1"/>
  <c r="AJ41" i="128"/>
  <c r="P41" i="128"/>
  <c r="AM197" i="128"/>
  <c r="Y197" i="128"/>
  <c r="AA197" i="128" s="1"/>
  <c r="AF198" i="128"/>
  <c r="AH194" i="128"/>
  <c r="AJ194" i="128" s="1"/>
  <c r="AH201" i="128"/>
  <c r="AJ201" i="128" s="1"/>
  <c r="AH189" i="128"/>
  <c r="AJ189" i="128" s="1"/>
  <c r="Y160" i="128"/>
  <c r="AY184" i="128"/>
  <c r="D184" i="128"/>
  <c r="H184" i="128" s="1"/>
  <c r="L191" i="128"/>
  <c r="Y187" i="128"/>
  <c r="N187" i="128"/>
  <c r="P187" i="128" s="1"/>
  <c r="Y180" i="128"/>
  <c r="N180" i="128"/>
  <c r="P180" i="128" s="1"/>
  <c r="L184" i="128"/>
  <c r="AH168" i="128"/>
  <c r="AJ168" i="128" s="1"/>
  <c r="N147" i="128"/>
  <c r="N154" i="128"/>
  <c r="M147" i="128"/>
  <c r="AM146" i="128"/>
  <c r="AO146" i="128" s="1"/>
  <c r="Y146" i="128"/>
  <c r="BX146" i="128"/>
  <c r="AY145" i="128"/>
  <c r="D145" i="128"/>
  <c r="H145" i="128" s="1"/>
  <c r="Y145" i="128"/>
  <c r="BX145" i="128"/>
  <c r="AM145" i="128"/>
  <c r="Y141" i="128"/>
  <c r="AA141" i="128" s="1"/>
  <c r="AH132" i="128"/>
  <c r="AJ132" i="128" s="1"/>
  <c r="L135" i="128"/>
  <c r="N131" i="128"/>
  <c r="P131" i="128" s="1"/>
  <c r="AM155" i="128"/>
  <c r="AO155" i="128" s="1"/>
  <c r="BX155" i="128"/>
  <c r="Y155" i="128"/>
  <c r="D155" i="128"/>
  <c r="H155" i="128" s="1"/>
  <c r="BX138" i="128"/>
  <c r="AM138" i="128"/>
  <c r="D138" i="128"/>
  <c r="H138" i="128" s="1"/>
  <c r="Y138" i="128"/>
  <c r="AH138" i="128"/>
  <c r="AO133" i="128"/>
  <c r="AQ133" i="128" s="1"/>
  <c r="AH139" i="128"/>
  <c r="Y113" i="128"/>
  <c r="AA120" i="128" s="1"/>
  <c r="N78" i="128"/>
  <c r="P78" i="128" s="1"/>
  <c r="Y78" i="128"/>
  <c r="AO119" i="128"/>
  <c r="AM121" i="128"/>
  <c r="AA89" i="128"/>
  <c r="AJ82" i="128"/>
  <c r="Y69" i="128"/>
  <c r="AA76" i="128" s="1"/>
  <c r="AF72" i="128"/>
  <c r="AH72" i="128" s="1"/>
  <c r="AJ72" i="128" s="1"/>
  <c r="AH75" i="128"/>
  <c r="AJ75" i="128" s="1"/>
  <c r="AH68" i="128"/>
  <c r="AJ68" i="128" s="1"/>
  <c r="AJ63" i="128"/>
  <c r="P63" i="128"/>
  <c r="N29" i="128"/>
  <c r="P29" i="128" s="1"/>
  <c r="N125" i="128"/>
  <c r="P125" i="128" s="1"/>
  <c r="AZ121" i="128"/>
  <c r="AY117" i="128"/>
  <c r="AZ114" i="128"/>
  <c r="BA115" i="128" s="1"/>
  <c r="AF37" i="128"/>
  <c r="AH44" i="128" s="1"/>
  <c r="AH33" i="128"/>
  <c r="AJ33" i="128" s="1"/>
  <c r="AM23" i="128"/>
  <c r="AO19" i="128"/>
  <c r="D153" i="128"/>
  <c r="H153" i="128" s="1"/>
  <c r="AM153" i="128"/>
  <c r="Y153" i="128"/>
  <c r="BX153" i="128"/>
  <c r="M148" i="128"/>
  <c r="Y132" i="128"/>
  <c r="AA132" i="128" s="1"/>
  <c r="AO65" i="128"/>
  <c r="P48" i="128"/>
  <c r="AJ48" i="128"/>
  <c r="AH97" i="128"/>
  <c r="AJ97" i="128" s="1"/>
  <c r="AH89" i="128"/>
  <c r="AJ89" i="128" s="1"/>
  <c r="AF93" i="128"/>
  <c r="AM79" i="128"/>
  <c r="P57" i="128"/>
  <c r="N120" i="128"/>
  <c r="P120" i="128" s="1"/>
  <c r="D79" i="128"/>
  <c r="H79" i="128" s="1"/>
  <c r="L72" i="128"/>
  <c r="AH40" i="128"/>
  <c r="AJ40" i="128" s="1"/>
  <c r="Y36" i="128"/>
  <c r="Y37" i="128" s="1"/>
  <c r="AO29" i="128"/>
  <c r="D65" i="128"/>
  <c r="H65" i="128" s="1"/>
  <c r="L23" i="128"/>
  <c r="N23" i="128" s="1"/>
  <c r="P23" i="128" s="1"/>
  <c r="AM204" i="128"/>
  <c r="Y204" i="128"/>
  <c r="AY177" i="128"/>
  <c r="D177" i="128"/>
  <c r="H177" i="128" s="1"/>
  <c r="AM162" i="128"/>
  <c r="AO162" i="128" s="1"/>
  <c r="BX162" i="128"/>
  <c r="Y162" i="128"/>
  <c r="BX161" i="128"/>
  <c r="AM161" i="128"/>
  <c r="AO161" i="128" s="1"/>
  <c r="P160" i="128"/>
  <c r="BP149" i="128"/>
  <c r="BZ149" i="128"/>
  <c r="AF107" i="128"/>
  <c r="AH103" i="128"/>
  <c r="AJ103" i="128" s="1"/>
  <c r="AQ124" i="128"/>
  <c r="AO82" i="128"/>
  <c r="AQ89" i="128" s="1"/>
  <c r="AM86" i="128"/>
  <c r="AJ34" i="128"/>
  <c r="P34" i="128"/>
  <c r="AO191" i="128"/>
  <c r="AH183" i="128"/>
  <c r="AJ183" i="128" s="1"/>
  <c r="AJ166" i="128"/>
  <c r="Y166" i="128"/>
  <c r="AA173" i="128" s="1"/>
  <c r="AM166" i="128"/>
  <c r="BZ163" i="128"/>
  <c r="BP163" i="128"/>
  <c r="BX140" i="128"/>
  <c r="AM140" i="128"/>
  <c r="AO140" i="128" s="1"/>
  <c r="D140" i="128"/>
  <c r="H140" i="128" s="1"/>
  <c r="P140" i="128" s="1"/>
  <c r="Y140" i="128"/>
  <c r="BX139" i="128"/>
  <c r="AM139" i="128"/>
  <c r="AO139" i="128" s="1"/>
  <c r="D139" i="128"/>
  <c r="H139" i="128" s="1"/>
  <c r="AY139" i="128"/>
  <c r="Y139" i="128"/>
  <c r="AA103" i="128"/>
  <c r="AH110" i="128"/>
  <c r="AJ110" i="128" s="1"/>
  <c r="AH140" i="128"/>
  <c r="AH61" i="128"/>
  <c r="AJ61" i="128" s="1"/>
  <c r="Y40" i="128"/>
  <c r="N40" i="128"/>
  <c r="P40" i="128" s="1"/>
  <c r="L44" i="128"/>
  <c r="D135" i="128"/>
  <c r="H135" i="128" s="1"/>
  <c r="AJ71" i="128"/>
  <c r="P71" i="128"/>
  <c r="Y58" i="128"/>
  <c r="AA54" i="128"/>
  <c r="AM58" i="128"/>
  <c r="AO54" i="128"/>
  <c r="AH36" i="128"/>
  <c r="AJ36" i="128" s="1"/>
  <c r="AF30" i="128"/>
  <c r="AH30" i="128" s="1"/>
  <c r="AQ127" i="128"/>
  <c r="P77" i="128"/>
  <c r="AA49" i="128"/>
  <c r="AM203" i="128"/>
  <c r="AO203" i="128" s="1"/>
  <c r="AQ203" i="128" s="1"/>
  <c r="Y203" i="128"/>
  <c r="AA203" i="128" s="1"/>
  <c r="AY191" i="128"/>
  <c r="D191" i="128"/>
  <c r="H191" i="128" s="1"/>
  <c r="BP167" i="128"/>
  <c r="BP174" i="128"/>
  <c r="Y159" i="128"/>
  <c r="N118" i="128"/>
  <c r="P118" i="128" s="1"/>
  <c r="Y118" i="128"/>
  <c r="AA118" i="128" s="1"/>
  <c r="L114" i="128"/>
  <c r="AH76" i="128"/>
  <c r="AJ76" i="128" s="1"/>
  <c r="AH83" i="128"/>
  <c r="AJ83" i="128" s="1"/>
  <c r="AO47" i="128"/>
  <c r="AM51" i="128"/>
  <c r="AM44" i="128"/>
  <c r="AO40" i="128"/>
  <c r="P64" i="128"/>
  <c r="AJ64" i="128"/>
  <c r="N190" i="128"/>
  <c r="P190" i="128" s="1"/>
  <c r="AA182" i="128"/>
  <c r="P173" i="128"/>
  <c r="N166" i="128"/>
  <c r="P166" i="128" s="1"/>
  <c r="L170" i="128"/>
  <c r="BZ156" i="128"/>
  <c r="BP156" i="128"/>
  <c r="AJ154" i="128"/>
  <c r="AA131" i="128"/>
  <c r="AF135" i="128"/>
  <c r="AH131" i="128"/>
  <c r="AJ131" i="128" s="1"/>
  <c r="AJ85" i="128"/>
  <c r="P85" i="128"/>
  <c r="AY198" i="128"/>
  <c r="D198" i="128"/>
  <c r="H198" i="128" s="1"/>
  <c r="AM202" i="128"/>
  <c r="AO202" i="128" s="1"/>
  <c r="AQ202" i="128" s="1"/>
  <c r="Y202" i="128"/>
  <c r="AA202" i="128" s="1"/>
  <c r="L198" i="128"/>
  <c r="Y194" i="128"/>
  <c r="N194" i="128"/>
  <c r="P194" i="128" s="1"/>
  <c r="AO194" i="128"/>
  <c r="AM184" i="128"/>
  <c r="AO180" i="128"/>
  <c r="AQ187" i="128" s="1"/>
  <c r="AO182" i="128"/>
  <c r="AQ182" i="128" s="1"/>
  <c r="BP176" i="128"/>
  <c r="BP169" i="128"/>
  <c r="BI162" i="128"/>
  <c r="BI163" i="128" s="1"/>
  <c r="AH180" i="128"/>
  <c r="AJ180" i="128" s="1"/>
  <c r="AF184" i="128"/>
  <c r="AA188" i="128"/>
  <c r="AO176" i="128"/>
  <c r="AM148" i="128"/>
  <c r="AO148" i="128" s="1"/>
  <c r="Y148" i="128"/>
  <c r="AF163" i="128"/>
  <c r="AH159" i="128"/>
  <c r="AJ159" i="128" s="1"/>
  <c r="N176" i="128"/>
  <c r="P176" i="128" s="1"/>
  <c r="BJ161" i="128"/>
  <c r="AO125" i="128"/>
  <c r="AQ125" i="128" s="1"/>
  <c r="N139" i="128"/>
  <c r="L149" i="128"/>
  <c r="BP142" i="128"/>
  <c r="BZ142" i="128"/>
  <c r="Y128" i="128"/>
  <c r="AA124" i="128"/>
  <c r="D114" i="128"/>
  <c r="H114" i="128" s="1"/>
  <c r="AO132" i="128"/>
  <c r="AZ128" i="128"/>
  <c r="AY124" i="128"/>
  <c r="AZ107" i="128"/>
  <c r="AY103" i="128"/>
  <c r="AM100" i="128"/>
  <c r="AA117" i="128"/>
  <c r="AA110" i="128"/>
  <c r="AA97" i="128"/>
  <c r="AO76" i="128"/>
  <c r="AM114" i="128"/>
  <c r="N105" i="128"/>
  <c r="P105" i="128" s="1"/>
  <c r="Y105" i="128"/>
  <c r="Y107" i="128" s="1"/>
  <c r="AO90" i="128"/>
  <c r="D86" i="128"/>
  <c r="H86" i="128" s="1"/>
  <c r="P69" i="128"/>
  <c r="AJ69" i="128"/>
  <c r="AO26" i="128"/>
  <c r="AM30" i="128"/>
  <c r="D121" i="128"/>
  <c r="H121" i="128" s="1"/>
  <c r="AA111" i="128"/>
  <c r="AQ64" i="128"/>
  <c r="AQ35" i="128"/>
  <c r="P33" i="128"/>
  <c r="Y26" i="128"/>
  <c r="AA33" i="128" s="1"/>
  <c r="L30" i="128"/>
  <c r="N26" i="128"/>
  <c r="P26" i="128" s="1"/>
  <c r="N76" i="128"/>
  <c r="P76" i="128" s="1"/>
  <c r="L65" i="128"/>
  <c r="N65" i="128" s="1"/>
  <c r="N61" i="128"/>
  <c r="P61" i="128" s="1"/>
  <c r="Y61" i="128"/>
  <c r="AZ135" i="128"/>
  <c r="AY131" i="128"/>
  <c r="AA96" i="128"/>
  <c r="AA62" i="128"/>
  <c r="Y22" i="128"/>
  <c r="AH118" i="128"/>
  <c r="AJ118" i="128" s="1"/>
  <c r="Y77" i="128"/>
  <c r="AA77" i="128" s="1"/>
  <c r="AJ43" i="128"/>
  <c r="AF79" i="128"/>
  <c r="AQ56" i="128"/>
  <c r="AA41" i="128"/>
  <c r="AA48" i="128"/>
  <c r="D51" i="128"/>
  <c r="H51" i="128" s="1"/>
  <c r="AR527" i="127"/>
  <c r="T528" i="127"/>
  <c r="T527" i="127"/>
  <c r="T526" i="127"/>
  <c r="T521" i="127"/>
  <c r="T520" i="127"/>
  <c r="T519" i="127"/>
  <c r="T514" i="127"/>
  <c r="T513" i="127"/>
  <c r="T512" i="127"/>
  <c r="AR511" i="127"/>
  <c r="T507" i="127"/>
  <c r="T506" i="127"/>
  <c r="T505" i="127"/>
  <c r="AR504" i="127"/>
  <c r="T500" i="127"/>
  <c r="T499" i="127"/>
  <c r="T498" i="127"/>
  <c r="T497" i="127"/>
  <c r="T493" i="127"/>
  <c r="T492" i="127"/>
  <c r="T491" i="127"/>
  <c r="T490" i="127"/>
  <c r="T363" i="127"/>
  <c r="T362" i="127"/>
  <c r="T361" i="127"/>
  <c r="T356" i="127"/>
  <c r="T355" i="127"/>
  <c r="T354" i="127"/>
  <c r="T349" i="127"/>
  <c r="T348" i="127"/>
  <c r="T347" i="127"/>
  <c r="T342" i="127"/>
  <c r="T341" i="127"/>
  <c r="T340" i="127"/>
  <c r="T335" i="127"/>
  <c r="T334" i="127"/>
  <c r="T333" i="127"/>
  <c r="T328" i="127"/>
  <c r="T327" i="127"/>
  <c r="T326" i="127"/>
  <c r="T325" i="127"/>
  <c r="T156" i="127"/>
  <c r="T155" i="127"/>
  <c r="T154" i="127"/>
  <c r="T153" i="127"/>
  <c r="T149" i="127"/>
  <c r="T148" i="127"/>
  <c r="T147" i="127"/>
  <c r="T146" i="127"/>
  <c r="T142" i="127"/>
  <c r="T141" i="127"/>
  <c r="T140" i="127"/>
  <c r="T139" i="127"/>
  <c r="T135" i="127"/>
  <c r="T134" i="127"/>
  <c r="T133" i="127"/>
  <c r="T132" i="127"/>
  <c r="T128" i="127"/>
  <c r="T127" i="127"/>
  <c r="T126" i="127"/>
  <c r="T125" i="127"/>
  <c r="T121" i="127"/>
  <c r="T120" i="127"/>
  <c r="T119" i="127"/>
  <c r="T118" i="127"/>
  <c r="N93" i="128" l="1"/>
  <c r="P93" i="128" s="1"/>
  <c r="V11" i="129"/>
  <c r="DI61" i="28"/>
  <c r="AH177" i="128"/>
  <c r="AJ177" i="128" s="1"/>
  <c r="AQ120" i="128"/>
  <c r="N170" i="128"/>
  <c r="P138" i="128"/>
  <c r="T50" i="129"/>
  <c r="T63" i="129"/>
  <c r="T64" i="129" s="1"/>
  <c r="H50" i="129"/>
  <c r="H52" i="129"/>
  <c r="H63" i="129"/>
  <c r="H64" i="129" s="1"/>
  <c r="T207" i="129"/>
  <c r="U203" i="129"/>
  <c r="T219" i="129"/>
  <c r="T220" i="129" s="1"/>
  <c r="H207" i="129"/>
  <c r="I203" i="129"/>
  <c r="H228" i="129"/>
  <c r="H219" i="129"/>
  <c r="H220" i="129" s="1"/>
  <c r="AZ149" i="128"/>
  <c r="BQ149" i="128" s="1"/>
  <c r="AO177" i="128"/>
  <c r="P139" i="128"/>
  <c r="AA83" i="128"/>
  <c r="AA91" i="128"/>
  <c r="AZ142" i="128"/>
  <c r="BQ142" i="128" s="1"/>
  <c r="AO79" i="128"/>
  <c r="BX159" i="128"/>
  <c r="AA58" i="128"/>
  <c r="N135" i="128"/>
  <c r="P135" i="128" s="1"/>
  <c r="D148" i="128"/>
  <c r="H148" i="128" s="1"/>
  <c r="P148" i="128" s="1"/>
  <c r="Y86" i="128"/>
  <c r="AM141" i="128"/>
  <c r="AO141" i="128" s="1"/>
  <c r="AQ141" i="128" s="1"/>
  <c r="D146" i="128"/>
  <c r="H146" i="128" s="1"/>
  <c r="AM160" i="128"/>
  <c r="AO160" i="128" s="1"/>
  <c r="N100" i="128"/>
  <c r="P100" i="128" s="1"/>
  <c r="N107" i="128"/>
  <c r="P107" i="128" s="1"/>
  <c r="Y147" i="128"/>
  <c r="AA154" i="128" s="1"/>
  <c r="AM147" i="128"/>
  <c r="AO147" i="128" s="1"/>
  <c r="AQ147" i="128" s="1"/>
  <c r="AQ77" i="128"/>
  <c r="AY148" i="128"/>
  <c r="D141" i="128"/>
  <c r="H141" i="128" s="1"/>
  <c r="P141" i="128" s="1"/>
  <c r="AM159" i="128"/>
  <c r="AM163" i="128" s="1"/>
  <c r="P147" i="128"/>
  <c r="AO114" i="128"/>
  <c r="AQ117" i="128"/>
  <c r="AM154" i="128"/>
  <c r="AO154" i="128" s="1"/>
  <c r="AQ154" i="128" s="1"/>
  <c r="BX154" i="128"/>
  <c r="AQ75" i="128"/>
  <c r="N212" i="128"/>
  <c r="AY163" i="128"/>
  <c r="AH93" i="128"/>
  <c r="AJ93" i="128" s="1"/>
  <c r="AH149" i="128"/>
  <c r="AA148" i="128"/>
  <c r="AQ29" i="128"/>
  <c r="AH156" i="128"/>
  <c r="AQ70" i="128"/>
  <c r="AA134" i="128"/>
  <c r="P154" i="128"/>
  <c r="AY153" i="128"/>
  <c r="AQ113" i="128"/>
  <c r="N184" i="128"/>
  <c r="P184" i="128" s="1"/>
  <c r="AQ105" i="128"/>
  <c r="AH107" i="128"/>
  <c r="AJ107" i="128" s="1"/>
  <c r="AJ30" i="128"/>
  <c r="AQ111" i="128"/>
  <c r="AH128" i="128"/>
  <c r="AJ128" i="128" s="1"/>
  <c r="AQ36" i="128"/>
  <c r="N86" i="128"/>
  <c r="P86" i="128" s="1"/>
  <c r="N128" i="128"/>
  <c r="P128" i="128" s="1"/>
  <c r="AQ99" i="128"/>
  <c r="N114" i="128"/>
  <c r="P114" i="128" s="1"/>
  <c r="AA161" i="128"/>
  <c r="AZ156" i="128"/>
  <c r="BQ156" i="128" s="1"/>
  <c r="AQ118" i="128"/>
  <c r="N149" i="128"/>
  <c r="AH184" i="128"/>
  <c r="AJ184" i="128" s="1"/>
  <c r="BJ162" i="128"/>
  <c r="AD172" i="129"/>
  <c r="T90" i="129"/>
  <c r="U86" i="129"/>
  <c r="U89" i="129" s="1"/>
  <c r="T103" i="129"/>
  <c r="T104" i="129" s="1"/>
  <c r="U15" i="129"/>
  <c r="V14" i="129"/>
  <c r="DJ61" i="28" s="1"/>
  <c r="U29" i="129"/>
  <c r="U30" i="129" s="1"/>
  <c r="AF164" i="129"/>
  <c r="AF167" i="129" s="1"/>
  <c r="AF168" i="129" s="1"/>
  <c r="AE180" i="129"/>
  <c r="AE181" i="129" s="1"/>
  <c r="J250" i="129"/>
  <c r="J252" i="129"/>
  <c r="K250" i="129"/>
  <c r="S91" i="129"/>
  <c r="S94" i="129"/>
  <c r="S95" i="129" s="1"/>
  <c r="T16" i="129"/>
  <c r="T19" i="129"/>
  <c r="T20" i="129" s="1"/>
  <c r="J104" i="129"/>
  <c r="K104" i="129"/>
  <c r="J295" i="129"/>
  <c r="J262" i="129"/>
  <c r="K262" i="129"/>
  <c r="O130" i="129"/>
  <c r="P129" i="129"/>
  <c r="O142" i="129"/>
  <c r="O143" i="129" s="1"/>
  <c r="X245" i="129"/>
  <c r="X248" i="129" s="1"/>
  <c r="W249" i="129"/>
  <c r="W261" i="129"/>
  <c r="W262" i="129" s="1"/>
  <c r="J94" i="129"/>
  <c r="J91" i="129"/>
  <c r="K91" i="129"/>
  <c r="V156" i="129"/>
  <c r="V75" i="129" s="1"/>
  <c r="W5" i="129"/>
  <c r="W41" i="129" s="1"/>
  <c r="N131" i="129"/>
  <c r="N133" i="129"/>
  <c r="N134" i="129" s="1"/>
  <c r="V250" i="129"/>
  <c r="V252" i="129"/>
  <c r="V253" i="129" s="1"/>
  <c r="AE169" i="129"/>
  <c r="AE171" i="129"/>
  <c r="AE172" i="129" s="1"/>
  <c r="AH198" i="128"/>
  <c r="AJ198" i="128" s="1"/>
  <c r="AA153" i="128"/>
  <c r="AA162" i="128"/>
  <c r="Y93" i="128"/>
  <c r="AA100" i="128" s="1"/>
  <c r="AA92" i="128"/>
  <c r="AH121" i="128"/>
  <c r="AJ121" i="128" s="1"/>
  <c r="AY141" i="128"/>
  <c r="AQ106" i="128"/>
  <c r="AH58" i="128"/>
  <c r="AJ58" i="128" s="1"/>
  <c r="AO107" i="128"/>
  <c r="AH100" i="128"/>
  <c r="AJ100" i="128" s="1"/>
  <c r="BQ170" i="128"/>
  <c r="D156" i="128"/>
  <c r="H156" i="128" s="1"/>
  <c r="AY152" i="128"/>
  <c r="Y152" i="128"/>
  <c r="AA152" i="128" s="1"/>
  <c r="AH79" i="128"/>
  <c r="AJ79" i="128" s="1"/>
  <c r="AM152" i="128"/>
  <c r="AO152" i="128" s="1"/>
  <c r="AO93" i="128"/>
  <c r="AQ100" i="128" s="1"/>
  <c r="AJ44" i="128"/>
  <c r="AA78" i="128"/>
  <c r="BP177" i="128"/>
  <c r="BX152" i="128"/>
  <c r="AQ78" i="128"/>
  <c r="AA107" i="128"/>
  <c r="AH163" i="128"/>
  <c r="N44" i="128"/>
  <c r="P44" i="128" s="1"/>
  <c r="AO72" i="128"/>
  <c r="AQ72" i="128" s="1"/>
  <c r="AQ50" i="128"/>
  <c r="D152" i="128"/>
  <c r="H152" i="128" s="1"/>
  <c r="AJ152" i="128" s="1"/>
  <c r="AH170" i="128"/>
  <c r="AA160" i="128"/>
  <c r="N30" i="128"/>
  <c r="P30" i="128" s="1"/>
  <c r="AH114" i="128"/>
  <c r="AJ114" i="128" s="1"/>
  <c r="AQ98" i="128"/>
  <c r="AY114" i="128"/>
  <c r="N142" i="128"/>
  <c r="AQ139" i="128"/>
  <c r="N51" i="128"/>
  <c r="P51" i="128" s="1"/>
  <c r="AQ155" i="128"/>
  <c r="N191" i="128"/>
  <c r="P191" i="128" s="1"/>
  <c r="N177" i="128"/>
  <c r="P177" i="128" s="1"/>
  <c r="AA204" i="128"/>
  <c r="AA140" i="128"/>
  <c r="AO128" i="128"/>
  <c r="AA126" i="128"/>
  <c r="Y163" i="128"/>
  <c r="AJ140" i="128"/>
  <c r="N72" i="128"/>
  <c r="P72" i="128" s="1"/>
  <c r="AA22" i="128"/>
  <c r="AA29" i="128"/>
  <c r="Y65" i="128"/>
  <c r="AA65" i="128" s="1"/>
  <c r="AA61" i="128"/>
  <c r="AA68" i="128"/>
  <c r="AA85" i="128"/>
  <c r="BQ128" i="128"/>
  <c r="BC129" i="128"/>
  <c r="BC136" i="128"/>
  <c r="BE129" i="128"/>
  <c r="BC143" i="128"/>
  <c r="BB129" i="128"/>
  <c r="BD129" i="128"/>
  <c r="Y198" i="128"/>
  <c r="AA194" i="128"/>
  <c r="AM201" i="128"/>
  <c r="Y201" i="128"/>
  <c r="AO51" i="128"/>
  <c r="AQ47" i="128"/>
  <c r="BX163" i="128"/>
  <c r="Y167" i="128"/>
  <c r="AM167" i="128"/>
  <c r="AO167" i="128" s="1"/>
  <c r="AY135" i="128"/>
  <c r="BE136" i="128"/>
  <c r="BD136" i="128"/>
  <c r="BA136" i="128"/>
  <c r="BB136" i="128"/>
  <c r="BQ135" i="128"/>
  <c r="AQ90" i="128"/>
  <c r="AQ97" i="128"/>
  <c r="Y121" i="128"/>
  <c r="AA128" i="128" s="1"/>
  <c r="BB108" i="128"/>
  <c r="AY107" i="128"/>
  <c r="BD108" i="128"/>
  <c r="BE108" i="128"/>
  <c r="AQ132" i="128"/>
  <c r="BI166" i="128"/>
  <c r="BJ163" i="128"/>
  <c r="BK163" i="128" s="1"/>
  <c r="AQ194" i="128"/>
  <c r="N198" i="128"/>
  <c r="P198" i="128" s="1"/>
  <c r="Y135" i="128"/>
  <c r="AA135" i="128" s="1"/>
  <c r="AO44" i="128"/>
  <c r="AQ40" i="128"/>
  <c r="AA40" i="128"/>
  <c r="Y44" i="128"/>
  <c r="AA47" i="128"/>
  <c r="AH86" i="128"/>
  <c r="AJ86" i="128" s="1"/>
  <c r="AJ139" i="128"/>
  <c r="AA166" i="128"/>
  <c r="AO86" i="128"/>
  <c r="AQ86" i="128" s="1"/>
  <c r="AQ82" i="128"/>
  <c r="AJ65" i="128"/>
  <c r="P65" i="128"/>
  <c r="AO23" i="128"/>
  <c r="AQ23" i="128" s="1"/>
  <c r="AQ19" i="128"/>
  <c r="BQ121" i="128"/>
  <c r="BC122" i="128"/>
  <c r="AY121" i="128"/>
  <c r="BD122" i="128"/>
  <c r="BA122" i="128"/>
  <c r="BE122" i="128"/>
  <c r="BB122" i="128"/>
  <c r="BA129" i="128"/>
  <c r="AA113" i="128"/>
  <c r="Y114" i="128"/>
  <c r="AA114" i="128" s="1"/>
  <c r="BX142" i="128"/>
  <c r="D142" i="128"/>
  <c r="H142" i="128" s="1"/>
  <c r="AM142" i="128"/>
  <c r="AO138" i="128"/>
  <c r="Y191" i="128"/>
  <c r="AA187" i="128"/>
  <c r="Y79" i="128"/>
  <c r="AA75" i="128"/>
  <c r="N156" i="128"/>
  <c r="AO135" i="128"/>
  <c r="AQ183" i="128"/>
  <c r="AY142" i="128"/>
  <c r="BB143" i="128"/>
  <c r="BA143" i="128"/>
  <c r="BD143" i="128"/>
  <c r="BE143" i="128"/>
  <c r="AO145" i="128"/>
  <c r="AA145" i="128"/>
  <c r="AQ146" i="128"/>
  <c r="N79" i="128"/>
  <c r="P79" i="128" s="1"/>
  <c r="N37" i="128"/>
  <c r="P37" i="128" s="1"/>
  <c r="BE101" i="128"/>
  <c r="AY100" i="128"/>
  <c r="BD101" i="128"/>
  <c r="BB101" i="128"/>
  <c r="AM168" i="128"/>
  <c r="AO168" i="128" s="1"/>
  <c r="Y168" i="128"/>
  <c r="AJ51" i="128"/>
  <c r="Y30" i="128"/>
  <c r="AA37" i="128" s="1"/>
  <c r="AA26" i="128"/>
  <c r="AO30" i="128"/>
  <c r="AQ26" i="128"/>
  <c r="AA105" i="128"/>
  <c r="AA112" i="128"/>
  <c r="AQ76" i="128"/>
  <c r="AQ83" i="128"/>
  <c r="AM169" i="128"/>
  <c r="AO169" i="128" s="1"/>
  <c r="AQ169" i="128" s="1"/>
  <c r="Y169" i="128"/>
  <c r="AQ180" i="128"/>
  <c r="AO184" i="128"/>
  <c r="AQ184" i="128" s="1"/>
  <c r="AH135" i="128"/>
  <c r="AJ135" i="128" s="1"/>
  <c r="AH142" i="128"/>
  <c r="Y23" i="128"/>
  <c r="AA23" i="128" s="1"/>
  <c r="AQ54" i="128"/>
  <c r="AO58" i="128"/>
  <c r="AQ61" i="128"/>
  <c r="AA125" i="128"/>
  <c r="AA84" i="128"/>
  <c r="AA139" i="128"/>
  <c r="AQ140" i="128"/>
  <c r="AO166" i="128"/>
  <c r="N205" i="128"/>
  <c r="AQ162" i="128"/>
  <c r="AJ153" i="128"/>
  <c r="P153" i="128"/>
  <c r="BB115" i="128"/>
  <c r="BQ114" i="128"/>
  <c r="BE115" i="128"/>
  <c r="BC115" i="128"/>
  <c r="BD115" i="128"/>
  <c r="P155" i="128"/>
  <c r="AJ155" i="128"/>
  <c r="BX149" i="128"/>
  <c r="AY149" i="128"/>
  <c r="D149" i="128"/>
  <c r="H149" i="128" s="1"/>
  <c r="AA146" i="128"/>
  <c r="Y184" i="128"/>
  <c r="AA184" i="128" s="1"/>
  <c r="AA180" i="128"/>
  <c r="AQ189" i="128"/>
  <c r="AQ33" i="128"/>
  <c r="AO37" i="128"/>
  <c r="AH191" i="128"/>
  <c r="AJ191" i="128" s="1"/>
  <c r="N121" i="128"/>
  <c r="P121" i="128" s="1"/>
  <c r="AO153" i="128"/>
  <c r="AQ160" i="128" s="1"/>
  <c r="AA36" i="128"/>
  <c r="AA43" i="128"/>
  <c r="AH37" i="128"/>
  <c r="AJ37" i="128" s="1"/>
  <c r="AA69" i="128"/>
  <c r="Y72" i="128"/>
  <c r="AQ119" i="128"/>
  <c r="AO121" i="128"/>
  <c r="AQ126" i="128"/>
  <c r="AA138" i="128"/>
  <c r="Y142" i="128"/>
  <c r="AJ138" i="128"/>
  <c r="AA155" i="128"/>
  <c r="AJ141" i="128"/>
  <c r="AJ145" i="128"/>
  <c r="P145" i="128"/>
  <c r="AJ146" i="128"/>
  <c r="P146" i="128"/>
  <c r="AO197" i="128"/>
  <c r="AQ197" i="128" s="1"/>
  <c r="AM198" i="128"/>
  <c r="AY128" i="128"/>
  <c r="AA183" i="128"/>
  <c r="AA190" i="128"/>
  <c r="AJ119" i="127"/>
  <c r="AJ126" i="127"/>
  <c r="AJ133" i="127"/>
  <c r="AJ139" i="127"/>
  <c r="T143" i="127"/>
  <c r="AJ143" i="127" s="1"/>
  <c r="AJ149" i="127"/>
  <c r="AJ155" i="127"/>
  <c r="AJ326" i="127"/>
  <c r="T332" i="127"/>
  <c r="T339" i="127"/>
  <c r="T346" i="127"/>
  <c r="AQ357" i="127"/>
  <c r="T353" i="127"/>
  <c r="AQ364" i="127"/>
  <c r="T360" i="127"/>
  <c r="AJ490" i="127"/>
  <c r="T494" i="127"/>
  <c r="AJ500" i="127"/>
  <c r="AJ506" i="127"/>
  <c r="AJ513" i="127"/>
  <c r="AJ520" i="127"/>
  <c r="AJ527" i="127"/>
  <c r="AR335" i="127"/>
  <c r="AR340" i="127"/>
  <c r="AR346" i="127"/>
  <c r="AR356" i="127"/>
  <c r="AR362" i="127"/>
  <c r="AR498" i="127"/>
  <c r="AR514" i="127"/>
  <c r="AR520" i="127"/>
  <c r="AR526" i="127"/>
  <c r="AJ120" i="127"/>
  <c r="AJ127" i="127"/>
  <c r="AJ134" i="127"/>
  <c r="AJ140" i="127"/>
  <c r="AJ146" i="127"/>
  <c r="T150" i="127"/>
  <c r="AJ150" i="127" s="1"/>
  <c r="AJ156" i="127"/>
  <c r="AJ327" i="127"/>
  <c r="AJ333" i="127"/>
  <c r="AJ340" i="127"/>
  <c r="AJ347" i="127"/>
  <c r="AJ354" i="127"/>
  <c r="AJ361" i="127"/>
  <c r="AJ491" i="127"/>
  <c r="AJ497" i="127"/>
  <c r="AJ507" i="127"/>
  <c r="AJ514" i="127"/>
  <c r="AJ521" i="127"/>
  <c r="AJ528" i="127"/>
  <c r="AR334" i="127"/>
  <c r="AR341" i="127"/>
  <c r="AR347" i="127"/>
  <c r="AR353" i="127"/>
  <c r="AR363" i="127"/>
  <c r="AR499" i="127"/>
  <c r="AR505" i="127"/>
  <c r="AR521" i="127"/>
  <c r="AJ121" i="127"/>
  <c r="AJ128" i="127"/>
  <c r="AJ135" i="127"/>
  <c r="AJ141" i="127"/>
  <c r="AJ147" i="127"/>
  <c r="AJ153" i="127"/>
  <c r="T157" i="127"/>
  <c r="AJ157" i="127" s="1"/>
  <c r="AJ328" i="127"/>
  <c r="AJ334" i="127"/>
  <c r="AJ341" i="127"/>
  <c r="AJ348" i="127"/>
  <c r="AJ355" i="127"/>
  <c r="AJ362" i="127"/>
  <c r="AJ492" i="127"/>
  <c r="AJ498" i="127"/>
  <c r="T504" i="127"/>
  <c r="T511" i="127"/>
  <c r="T518" i="127"/>
  <c r="T525" i="127"/>
  <c r="AR332" i="127"/>
  <c r="AR333" i="127"/>
  <c r="AR342" i="127"/>
  <c r="AR348" i="127"/>
  <c r="AR354" i="127"/>
  <c r="AR360" i="127"/>
  <c r="AR500" i="127"/>
  <c r="AR506" i="127"/>
  <c r="AR512" i="127"/>
  <c r="AR518" i="127"/>
  <c r="AR528" i="127"/>
  <c r="AJ118" i="127"/>
  <c r="AJ125" i="127"/>
  <c r="AJ132" i="127"/>
  <c r="T136" i="127"/>
  <c r="AJ136" i="127" s="1"/>
  <c r="AJ142" i="127"/>
  <c r="AJ148" i="127"/>
  <c r="AJ154" i="127"/>
  <c r="AJ325" i="127"/>
  <c r="T329" i="127"/>
  <c r="AJ335" i="127"/>
  <c r="AJ342" i="127"/>
  <c r="AJ349" i="127"/>
  <c r="AJ356" i="127"/>
  <c r="AJ363" i="127"/>
  <c r="AJ493" i="127"/>
  <c r="AJ499" i="127"/>
  <c r="AJ505" i="127"/>
  <c r="AJ512" i="127"/>
  <c r="AJ519" i="127"/>
  <c r="AJ526" i="127"/>
  <c r="AR339" i="127"/>
  <c r="AR349" i="127"/>
  <c r="AR355" i="127"/>
  <c r="AR361" i="127"/>
  <c r="AR497" i="127"/>
  <c r="AR507" i="127"/>
  <c r="AR513" i="127"/>
  <c r="AR519" i="127"/>
  <c r="AR525" i="127"/>
  <c r="AC196" i="127"/>
  <c r="AC198" i="127"/>
  <c r="AC189" i="127"/>
  <c r="AC182" i="127"/>
  <c r="AC184" i="127"/>
  <c r="AC175" i="127"/>
  <c r="AC177" i="127"/>
  <c r="AC168" i="127"/>
  <c r="AC170" i="127"/>
  <c r="AC161" i="127"/>
  <c r="AC163" i="127"/>
  <c r="AC154" i="127"/>
  <c r="AC156" i="127"/>
  <c r="AC147" i="127"/>
  <c r="AC149" i="127"/>
  <c r="AC140" i="127"/>
  <c r="AC142" i="127"/>
  <c r="AC133" i="127"/>
  <c r="AC135" i="127"/>
  <c r="AC126" i="127"/>
  <c r="AC128" i="127"/>
  <c r="AC119" i="127"/>
  <c r="AC121" i="127"/>
  <c r="AC112" i="127"/>
  <c r="AC114" i="127"/>
  <c r="AC105" i="127"/>
  <c r="AC107" i="127"/>
  <c r="AC98" i="127"/>
  <c r="AC100" i="127"/>
  <c r="AC91" i="127"/>
  <c r="AC93" i="127"/>
  <c r="AC84" i="127"/>
  <c r="AC86" i="127"/>
  <c r="AC78" i="127"/>
  <c r="AC70" i="127"/>
  <c r="AC72" i="127"/>
  <c r="AC64" i="127"/>
  <c r="AC56" i="127"/>
  <c r="AC58" i="127"/>
  <c r="AC50" i="127"/>
  <c r="AC42" i="127"/>
  <c r="AC44" i="127"/>
  <c r="AC36" i="127"/>
  <c r="AC28" i="127"/>
  <c r="AC30" i="127"/>
  <c r="AC397" i="127"/>
  <c r="AC395" i="127"/>
  <c r="AC390" i="127"/>
  <c r="AC388" i="127"/>
  <c r="AC383" i="127"/>
  <c r="AC381" i="127"/>
  <c r="AC376" i="127"/>
  <c r="AC374" i="127"/>
  <c r="AC369" i="127"/>
  <c r="AC367" i="127"/>
  <c r="AC362" i="127"/>
  <c r="AC360" i="127"/>
  <c r="AC355" i="127"/>
  <c r="AC353" i="127"/>
  <c r="AC348" i="127"/>
  <c r="AC346" i="127"/>
  <c r="AC341" i="127"/>
  <c r="AC339" i="127"/>
  <c r="AC334" i="127"/>
  <c r="AC332" i="127"/>
  <c r="AC327" i="127"/>
  <c r="AC325" i="127"/>
  <c r="AC320" i="127"/>
  <c r="AC318" i="127"/>
  <c r="AC313" i="127"/>
  <c r="AC311" i="127"/>
  <c r="AC306" i="127"/>
  <c r="AC304" i="127"/>
  <c r="AC299" i="127"/>
  <c r="AC297" i="127"/>
  <c r="AC292" i="127"/>
  <c r="AC290" i="127"/>
  <c r="AC285" i="127"/>
  <c r="AC277" i="127"/>
  <c r="AC279" i="127"/>
  <c r="AC271" i="127"/>
  <c r="AC263" i="127"/>
  <c r="AC265" i="127"/>
  <c r="AC257" i="127"/>
  <c r="AC249" i="127"/>
  <c r="AC251" i="127"/>
  <c r="AC243" i="127"/>
  <c r="AC235" i="127"/>
  <c r="AC237" i="127"/>
  <c r="AC229" i="127"/>
  <c r="AC221" i="127"/>
  <c r="AC223" i="127"/>
  <c r="AC562" i="127"/>
  <c r="AC560" i="127"/>
  <c r="AC555" i="127"/>
  <c r="AC553" i="127"/>
  <c r="AC548" i="127"/>
  <c r="AC546" i="127"/>
  <c r="AC541" i="127"/>
  <c r="AC539" i="127"/>
  <c r="AC534" i="127"/>
  <c r="AC532" i="127"/>
  <c r="AC527" i="127"/>
  <c r="AC525" i="127"/>
  <c r="AC520" i="127"/>
  <c r="AC518" i="127"/>
  <c r="AC513" i="127"/>
  <c r="AC511" i="127"/>
  <c r="AC506" i="127"/>
  <c r="AC504" i="127"/>
  <c r="AC499" i="127"/>
  <c r="AC497" i="127"/>
  <c r="AC492" i="127"/>
  <c r="AC490" i="127"/>
  <c r="AC485" i="127"/>
  <c r="AC477" i="127"/>
  <c r="AC479" i="127"/>
  <c r="AC471" i="127"/>
  <c r="AC463" i="127"/>
  <c r="AL463" i="127" s="1"/>
  <c r="AC465" i="127"/>
  <c r="AL465" i="127" s="1"/>
  <c r="AC457" i="127"/>
  <c r="AC449" i="127"/>
  <c r="AC451" i="127"/>
  <c r="AC443" i="127"/>
  <c r="AC435" i="127"/>
  <c r="AC437" i="127"/>
  <c r="AC429" i="127"/>
  <c r="AC414" i="127"/>
  <c r="AC416" i="127"/>
  <c r="AC421" i="127"/>
  <c r="AC423" i="127"/>
  <c r="H443" i="127"/>
  <c r="H442" i="127"/>
  <c r="H276" i="127"/>
  <c r="B33" i="127"/>
  <c r="B571" i="127"/>
  <c r="B570" i="127"/>
  <c r="A570" i="127"/>
  <c r="B569" i="127"/>
  <c r="A569" i="127"/>
  <c r="B568" i="127"/>
  <c r="A568" i="127"/>
  <c r="B567" i="127"/>
  <c r="A567" i="127"/>
  <c r="B564" i="127"/>
  <c r="B563" i="127"/>
  <c r="A563" i="127"/>
  <c r="B562" i="127"/>
  <c r="A562" i="127"/>
  <c r="B561" i="127"/>
  <c r="A561" i="127"/>
  <c r="B560" i="127"/>
  <c r="A560" i="127"/>
  <c r="B557" i="127"/>
  <c r="B556" i="127"/>
  <c r="A556" i="127"/>
  <c r="B555" i="127"/>
  <c r="A555" i="127"/>
  <c r="B554" i="127"/>
  <c r="A554" i="127"/>
  <c r="B553" i="127"/>
  <c r="A553" i="127"/>
  <c r="B550" i="127"/>
  <c r="B549" i="127"/>
  <c r="A549" i="127"/>
  <c r="B548" i="127"/>
  <c r="A548" i="127"/>
  <c r="B547" i="127"/>
  <c r="A547" i="127"/>
  <c r="B546" i="127"/>
  <c r="A546" i="127"/>
  <c r="B543" i="127"/>
  <c r="B542" i="127"/>
  <c r="A542" i="127"/>
  <c r="B541" i="127"/>
  <c r="A541" i="127"/>
  <c r="B540" i="127"/>
  <c r="A540" i="127"/>
  <c r="B539" i="127"/>
  <c r="A539" i="127"/>
  <c r="B536" i="127"/>
  <c r="B535" i="127"/>
  <c r="A535" i="127"/>
  <c r="B534" i="127"/>
  <c r="A534" i="127"/>
  <c r="B533" i="127"/>
  <c r="A533" i="127"/>
  <c r="B532" i="127"/>
  <c r="A532" i="127"/>
  <c r="B529" i="127"/>
  <c r="B528" i="127"/>
  <c r="A528" i="127"/>
  <c r="B527" i="127"/>
  <c r="A527" i="127"/>
  <c r="B526" i="127"/>
  <c r="A526" i="127"/>
  <c r="B525" i="127"/>
  <c r="A525" i="127"/>
  <c r="B522" i="127"/>
  <c r="B521" i="127"/>
  <c r="A521" i="127"/>
  <c r="B520" i="127"/>
  <c r="A520" i="127"/>
  <c r="B519" i="127"/>
  <c r="A519" i="127"/>
  <c r="B518" i="127"/>
  <c r="A518" i="127"/>
  <c r="D515" i="127"/>
  <c r="B515" i="127"/>
  <c r="B514" i="127"/>
  <c r="A514" i="127"/>
  <c r="D513" i="127"/>
  <c r="H513" i="127" s="1"/>
  <c r="B513" i="127"/>
  <c r="A513" i="127"/>
  <c r="D512" i="127"/>
  <c r="B512" i="127"/>
  <c r="A512" i="127"/>
  <c r="D511" i="127"/>
  <c r="B511" i="127"/>
  <c r="A511" i="127"/>
  <c r="B508" i="127"/>
  <c r="D507" i="127"/>
  <c r="H507" i="127" s="1"/>
  <c r="B507" i="127"/>
  <c r="A507" i="127"/>
  <c r="B506" i="127"/>
  <c r="A506" i="127"/>
  <c r="D505" i="127"/>
  <c r="B505" i="127"/>
  <c r="A505" i="127"/>
  <c r="D504" i="127"/>
  <c r="B504" i="127"/>
  <c r="A504" i="127"/>
  <c r="B501" i="127"/>
  <c r="D500" i="127"/>
  <c r="B500" i="127"/>
  <c r="A500" i="127"/>
  <c r="D506" i="127"/>
  <c r="B499" i="127"/>
  <c r="A499" i="127"/>
  <c r="B498" i="127"/>
  <c r="A498" i="127"/>
  <c r="B497" i="127"/>
  <c r="A497" i="127"/>
  <c r="B494" i="127"/>
  <c r="B493" i="127"/>
  <c r="A493" i="127"/>
  <c r="B492" i="127"/>
  <c r="A492" i="127"/>
  <c r="D498" i="127"/>
  <c r="B491" i="127"/>
  <c r="A491" i="127"/>
  <c r="B490" i="127"/>
  <c r="A490" i="127"/>
  <c r="B487" i="127"/>
  <c r="B486" i="127"/>
  <c r="A486" i="127"/>
  <c r="B485" i="127"/>
  <c r="A485" i="127"/>
  <c r="D491" i="127"/>
  <c r="B484" i="127"/>
  <c r="A484" i="127"/>
  <c r="L483" i="127"/>
  <c r="B483" i="127"/>
  <c r="A483" i="127"/>
  <c r="B480" i="127"/>
  <c r="B479" i="127"/>
  <c r="A479" i="127"/>
  <c r="B478" i="127"/>
  <c r="A478" i="127"/>
  <c r="D477" i="127"/>
  <c r="H477" i="127" s="1"/>
  <c r="B477" i="127"/>
  <c r="A477" i="127"/>
  <c r="B476" i="127"/>
  <c r="A476" i="127"/>
  <c r="B473" i="127"/>
  <c r="D472" i="127"/>
  <c r="B472" i="127"/>
  <c r="A472" i="127"/>
  <c r="D471" i="127"/>
  <c r="B471" i="127"/>
  <c r="A471" i="127"/>
  <c r="D470" i="127"/>
  <c r="B470" i="127"/>
  <c r="A470" i="127"/>
  <c r="D469" i="127"/>
  <c r="H469" i="127" s="1"/>
  <c r="B469" i="127"/>
  <c r="A469" i="127"/>
  <c r="B468" i="127"/>
  <c r="B475" i="127" s="1"/>
  <c r="B482" i="127" s="1"/>
  <c r="B489" i="127" s="1"/>
  <c r="B496" i="127" s="1"/>
  <c r="B503" i="127" s="1"/>
  <c r="B510" i="127" s="1"/>
  <c r="B517" i="127" s="1"/>
  <c r="B524" i="127" s="1"/>
  <c r="B531" i="127" s="1"/>
  <c r="B538" i="127" s="1"/>
  <c r="B545" i="127" s="1"/>
  <c r="B552" i="127" s="1"/>
  <c r="B559" i="127" s="1"/>
  <c r="B566" i="127" s="1"/>
  <c r="D473" i="127"/>
  <c r="H473" i="127" s="1"/>
  <c r="B466" i="127"/>
  <c r="D465" i="127"/>
  <c r="B465" i="127"/>
  <c r="A465" i="127"/>
  <c r="D464" i="127"/>
  <c r="B464" i="127"/>
  <c r="A464" i="127"/>
  <c r="D463" i="127"/>
  <c r="H463" i="127" s="1"/>
  <c r="B463" i="127"/>
  <c r="A463" i="127"/>
  <c r="L462" i="127"/>
  <c r="D462" i="127"/>
  <c r="H462" i="127" s="1"/>
  <c r="B462" i="127"/>
  <c r="A462" i="127"/>
  <c r="D466" i="127"/>
  <c r="B459" i="127"/>
  <c r="D458" i="127"/>
  <c r="B458" i="127"/>
  <c r="A458" i="127"/>
  <c r="D457" i="127"/>
  <c r="H457" i="127" s="1"/>
  <c r="B457" i="127"/>
  <c r="A457" i="127"/>
  <c r="D456" i="127"/>
  <c r="H456" i="127" s="1"/>
  <c r="B456" i="127"/>
  <c r="A456" i="127"/>
  <c r="D455" i="127"/>
  <c r="B455" i="127"/>
  <c r="A455" i="127"/>
  <c r="B452" i="127"/>
  <c r="D451" i="127"/>
  <c r="H451" i="127" s="1"/>
  <c r="B451" i="127"/>
  <c r="A451" i="127"/>
  <c r="D450" i="127"/>
  <c r="B450" i="127"/>
  <c r="A450" i="127"/>
  <c r="D449" i="127"/>
  <c r="B449" i="127"/>
  <c r="A449" i="127"/>
  <c r="D448" i="127"/>
  <c r="B448" i="127"/>
  <c r="A448" i="127"/>
  <c r="B445" i="127"/>
  <c r="H444" i="127"/>
  <c r="B444" i="127"/>
  <c r="A444" i="127"/>
  <c r="B443" i="127"/>
  <c r="A443" i="127"/>
  <c r="B442" i="127"/>
  <c r="A442" i="127"/>
  <c r="H441" i="127"/>
  <c r="B441" i="127"/>
  <c r="A441" i="127"/>
  <c r="B438" i="127"/>
  <c r="B437" i="127"/>
  <c r="A437" i="127"/>
  <c r="B436" i="127"/>
  <c r="A436" i="127"/>
  <c r="B435" i="127"/>
  <c r="A435" i="127"/>
  <c r="B434" i="127"/>
  <c r="A434" i="127"/>
  <c r="B431" i="127"/>
  <c r="B430" i="127"/>
  <c r="A430" i="127"/>
  <c r="B429" i="127"/>
  <c r="A429" i="127"/>
  <c r="B428" i="127"/>
  <c r="A428" i="127"/>
  <c r="B427" i="127"/>
  <c r="A427" i="127"/>
  <c r="B424" i="127"/>
  <c r="B423" i="127"/>
  <c r="A423" i="127"/>
  <c r="B422" i="127"/>
  <c r="A422" i="127"/>
  <c r="B421" i="127"/>
  <c r="A421" i="127"/>
  <c r="B420" i="127"/>
  <c r="A420" i="127"/>
  <c r="D417" i="127"/>
  <c r="B417" i="127"/>
  <c r="B416" i="127"/>
  <c r="A416" i="127"/>
  <c r="B415" i="127"/>
  <c r="A415" i="127"/>
  <c r="B414" i="127"/>
  <c r="A414" i="127"/>
  <c r="L413" i="127"/>
  <c r="B413" i="127"/>
  <c r="A413" i="127"/>
  <c r="B419" i="127"/>
  <c r="B426" i="127" s="1"/>
  <c r="B433" i="127" s="1"/>
  <c r="B440" i="127" s="1"/>
  <c r="B447" i="127" s="1"/>
  <c r="B240" i="127"/>
  <c r="B212" i="127"/>
  <c r="B219" i="127" s="1"/>
  <c r="B226" i="127" s="1"/>
  <c r="B231" i="127"/>
  <c r="B230" i="127"/>
  <c r="A230" i="127"/>
  <c r="B229" i="127"/>
  <c r="A229" i="127"/>
  <c r="B228" i="127"/>
  <c r="A228" i="127"/>
  <c r="B227" i="127"/>
  <c r="A227" i="127"/>
  <c r="B224" i="127"/>
  <c r="B223" i="127"/>
  <c r="A223" i="127"/>
  <c r="B222" i="127"/>
  <c r="A222" i="127"/>
  <c r="B221" i="127"/>
  <c r="A221" i="127"/>
  <c r="B220" i="127"/>
  <c r="A220" i="127"/>
  <c r="B406" i="127"/>
  <c r="B405" i="127"/>
  <c r="A405" i="127"/>
  <c r="B404" i="127"/>
  <c r="A404" i="127"/>
  <c r="B403" i="127"/>
  <c r="A403" i="127"/>
  <c r="B402" i="127"/>
  <c r="A402" i="127"/>
  <c r="B399" i="127"/>
  <c r="B398" i="127"/>
  <c r="A398" i="127"/>
  <c r="B397" i="127"/>
  <c r="A397" i="127"/>
  <c r="B396" i="127"/>
  <c r="A396" i="127"/>
  <c r="B395" i="127"/>
  <c r="A395" i="127"/>
  <c r="B392" i="127"/>
  <c r="B391" i="127"/>
  <c r="A391" i="127"/>
  <c r="B390" i="127"/>
  <c r="A390" i="127"/>
  <c r="B389" i="127"/>
  <c r="A389" i="127"/>
  <c r="B388" i="127"/>
  <c r="A388" i="127"/>
  <c r="B385" i="127"/>
  <c r="B384" i="127"/>
  <c r="A384" i="127"/>
  <c r="B383" i="127"/>
  <c r="A383" i="127"/>
  <c r="B382" i="127"/>
  <c r="A382" i="127"/>
  <c r="B381" i="127"/>
  <c r="A381" i="127"/>
  <c r="B378" i="127"/>
  <c r="B377" i="127"/>
  <c r="A377" i="127"/>
  <c r="B376" i="127"/>
  <c r="A376" i="127"/>
  <c r="B375" i="127"/>
  <c r="A375" i="127"/>
  <c r="B374" i="127"/>
  <c r="A374" i="127"/>
  <c r="B371" i="127"/>
  <c r="B370" i="127"/>
  <c r="A370" i="127"/>
  <c r="B369" i="127"/>
  <c r="A369" i="127"/>
  <c r="B368" i="127"/>
  <c r="A368" i="127"/>
  <c r="B367" i="127"/>
  <c r="A367" i="127"/>
  <c r="B364" i="127"/>
  <c r="B363" i="127"/>
  <c r="A363" i="127"/>
  <c r="B362" i="127"/>
  <c r="A362" i="127"/>
  <c r="B361" i="127"/>
  <c r="A361" i="127"/>
  <c r="B360" i="127"/>
  <c r="A360" i="127"/>
  <c r="B357" i="127"/>
  <c r="B356" i="127"/>
  <c r="A356" i="127"/>
  <c r="B355" i="127"/>
  <c r="A355" i="127"/>
  <c r="B354" i="127"/>
  <c r="A354" i="127"/>
  <c r="B353" i="127"/>
  <c r="A353" i="127"/>
  <c r="D350" i="127"/>
  <c r="B350" i="127"/>
  <c r="B349" i="127"/>
  <c r="A349" i="127"/>
  <c r="D348" i="127"/>
  <c r="H348" i="127" s="1"/>
  <c r="B348" i="127"/>
  <c r="A348" i="127"/>
  <c r="D347" i="127"/>
  <c r="H347" i="127" s="1"/>
  <c r="B347" i="127"/>
  <c r="A347" i="127"/>
  <c r="D346" i="127"/>
  <c r="H346" i="127" s="1"/>
  <c r="B346" i="127"/>
  <c r="A346" i="127"/>
  <c r="B343" i="127"/>
  <c r="D342" i="127"/>
  <c r="H342" i="127" s="1"/>
  <c r="B342" i="127"/>
  <c r="A342" i="127"/>
  <c r="B341" i="127"/>
  <c r="A341" i="127"/>
  <c r="D340" i="127"/>
  <c r="H340" i="127" s="1"/>
  <c r="B340" i="127"/>
  <c r="A340" i="127"/>
  <c r="D339" i="127"/>
  <c r="B339" i="127"/>
  <c r="A339" i="127"/>
  <c r="B336" i="127"/>
  <c r="D335" i="127"/>
  <c r="H335" i="127" s="1"/>
  <c r="B335" i="127"/>
  <c r="A335" i="127"/>
  <c r="D341" i="127"/>
  <c r="H341" i="127" s="1"/>
  <c r="B334" i="127"/>
  <c r="A334" i="127"/>
  <c r="B333" i="127"/>
  <c r="A333" i="127"/>
  <c r="B332" i="127"/>
  <c r="A332" i="127"/>
  <c r="B329" i="127"/>
  <c r="B328" i="127"/>
  <c r="A328" i="127"/>
  <c r="B327" i="127"/>
  <c r="A327" i="127"/>
  <c r="D333" i="127"/>
  <c r="H333" i="127" s="1"/>
  <c r="B326" i="127"/>
  <c r="A326" i="127"/>
  <c r="D332" i="127"/>
  <c r="B325" i="127"/>
  <c r="A325" i="127"/>
  <c r="B322" i="127"/>
  <c r="B321" i="127"/>
  <c r="A321" i="127"/>
  <c r="B320" i="127"/>
  <c r="A320" i="127"/>
  <c r="B319" i="127"/>
  <c r="A319" i="127"/>
  <c r="D325" i="127"/>
  <c r="H325" i="127" s="1"/>
  <c r="B318" i="127"/>
  <c r="A318" i="127"/>
  <c r="B315" i="127"/>
  <c r="B314" i="127"/>
  <c r="A314" i="127"/>
  <c r="B313" i="127"/>
  <c r="A313" i="127"/>
  <c r="D319" i="127"/>
  <c r="H319" i="127" s="1"/>
  <c r="D312" i="127"/>
  <c r="H312" i="127" s="1"/>
  <c r="B312" i="127"/>
  <c r="A312" i="127"/>
  <c r="D314" i="127"/>
  <c r="H314" i="127" s="1"/>
  <c r="B311" i="127"/>
  <c r="A311" i="127"/>
  <c r="B308" i="127"/>
  <c r="D307" i="127"/>
  <c r="H307" i="127" s="1"/>
  <c r="B307" i="127"/>
  <c r="A307" i="127"/>
  <c r="D306" i="127"/>
  <c r="H306" i="127" s="1"/>
  <c r="B306" i="127"/>
  <c r="A306" i="127"/>
  <c r="D305" i="127"/>
  <c r="H305" i="127" s="1"/>
  <c r="B305" i="127"/>
  <c r="A305" i="127"/>
  <c r="D304" i="127"/>
  <c r="B304" i="127"/>
  <c r="A304" i="127"/>
  <c r="B303" i="127"/>
  <c r="B310" i="127" s="1"/>
  <c r="B317" i="127" s="1"/>
  <c r="B324" i="127" s="1"/>
  <c r="B331" i="127" s="1"/>
  <c r="B338" i="127" s="1"/>
  <c r="B345" i="127" s="1"/>
  <c r="B352" i="127" s="1"/>
  <c r="B359" i="127" s="1"/>
  <c r="B366" i="127" s="1"/>
  <c r="B373" i="127" s="1"/>
  <c r="B380" i="127" s="1"/>
  <c r="B387" i="127" s="1"/>
  <c r="B394" i="127" s="1"/>
  <c r="B401" i="127" s="1"/>
  <c r="D308" i="127"/>
  <c r="B301" i="127"/>
  <c r="D300" i="127"/>
  <c r="H300" i="127" s="1"/>
  <c r="B300" i="127"/>
  <c r="A300" i="127"/>
  <c r="D299" i="127"/>
  <c r="H299" i="127" s="1"/>
  <c r="B299" i="127"/>
  <c r="A299" i="127"/>
  <c r="D298" i="127"/>
  <c r="H298" i="127" s="1"/>
  <c r="B298" i="127"/>
  <c r="A298" i="127"/>
  <c r="D297" i="127"/>
  <c r="H297" i="127" s="1"/>
  <c r="B297" i="127"/>
  <c r="A297" i="127"/>
  <c r="B294" i="127"/>
  <c r="D293" i="127"/>
  <c r="H293" i="127" s="1"/>
  <c r="B293" i="127"/>
  <c r="A293" i="127"/>
  <c r="D292" i="127"/>
  <c r="H292" i="127" s="1"/>
  <c r="B292" i="127"/>
  <c r="A292" i="127"/>
  <c r="D291" i="127"/>
  <c r="H291" i="127" s="1"/>
  <c r="B291" i="127"/>
  <c r="A291" i="127"/>
  <c r="D290" i="127"/>
  <c r="H290" i="127" s="1"/>
  <c r="B290" i="127"/>
  <c r="A290" i="127"/>
  <c r="B287" i="127"/>
  <c r="D286" i="127"/>
  <c r="H286" i="127" s="1"/>
  <c r="B286" i="127"/>
  <c r="A286" i="127"/>
  <c r="D285" i="127"/>
  <c r="H285" i="127" s="1"/>
  <c r="B285" i="127"/>
  <c r="A285" i="127"/>
  <c r="D284" i="127"/>
  <c r="H284" i="127" s="1"/>
  <c r="B284" i="127"/>
  <c r="A284" i="127"/>
  <c r="D283" i="127"/>
  <c r="B283" i="127"/>
  <c r="A283" i="127"/>
  <c r="B280" i="127"/>
  <c r="H279" i="127"/>
  <c r="B279" i="127"/>
  <c r="A279" i="127"/>
  <c r="H278" i="127"/>
  <c r="B278" i="127"/>
  <c r="A278" i="127"/>
  <c r="H277" i="127"/>
  <c r="B277" i="127"/>
  <c r="A277" i="127"/>
  <c r="B276" i="127"/>
  <c r="A276" i="127"/>
  <c r="B273" i="127"/>
  <c r="B272" i="127"/>
  <c r="A272" i="127"/>
  <c r="B271" i="127"/>
  <c r="A271" i="127"/>
  <c r="B270" i="127"/>
  <c r="A270" i="127"/>
  <c r="B269" i="127"/>
  <c r="A269" i="127"/>
  <c r="B266" i="127"/>
  <c r="B265" i="127"/>
  <c r="A265" i="127"/>
  <c r="B264" i="127"/>
  <c r="A264" i="127"/>
  <c r="B263" i="127"/>
  <c r="A263" i="127"/>
  <c r="B262" i="127"/>
  <c r="A262" i="127"/>
  <c r="B259" i="127"/>
  <c r="B258" i="127"/>
  <c r="A258" i="127"/>
  <c r="B257" i="127"/>
  <c r="A257" i="127"/>
  <c r="B256" i="127"/>
  <c r="A256" i="127"/>
  <c r="L255" i="127"/>
  <c r="B255" i="127"/>
  <c r="A255" i="127"/>
  <c r="B252" i="127"/>
  <c r="B251" i="127"/>
  <c r="A251" i="127"/>
  <c r="B250" i="127"/>
  <c r="A250" i="127"/>
  <c r="B249" i="127"/>
  <c r="A249" i="127"/>
  <c r="B248" i="127"/>
  <c r="A248" i="127"/>
  <c r="B245" i="127"/>
  <c r="B244" i="127"/>
  <c r="A244" i="127"/>
  <c r="B243" i="127"/>
  <c r="A243" i="127"/>
  <c r="B242" i="127"/>
  <c r="A242" i="127"/>
  <c r="B241" i="127"/>
  <c r="A241" i="127"/>
  <c r="B247" i="127"/>
  <c r="B254" i="127" s="1"/>
  <c r="B261" i="127" s="1"/>
  <c r="B268" i="127" s="1"/>
  <c r="B275" i="127" s="1"/>
  <c r="B282" i="127" s="1"/>
  <c r="L235" i="127"/>
  <c r="AJ148" i="128" l="1"/>
  <c r="AE423" i="127"/>
  <c r="AE421" i="127"/>
  <c r="AQ161" i="128"/>
  <c r="AQ148" i="128"/>
  <c r="AQ121" i="128"/>
  <c r="AA147" i="128"/>
  <c r="Y149" i="128"/>
  <c r="AA149" i="128" s="1"/>
  <c r="U206" i="129"/>
  <c r="U49" i="129"/>
  <c r="I206" i="129"/>
  <c r="I46" i="129"/>
  <c r="I49" i="129" s="1"/>
  <c r="I72" i="129" s="1"/>
  <c r="T208" i="129"/>
  <c r="T210" i="129"/>
  <c r="T211" i="129" s="1"/>
  <c r="H54" i="129"/>
  <c r="H55" i="129" s="1"/>
  <c r="H51" i="129"/>
  <c r="H208" i="129"/>
  <c r="H210" i="129"/>
  <c r="H211" i="129" s="1"/>
  <c r="T54" i="129"/>
  <c r="T55" i="129" s="1"/>
  <c r="T51" i="129"/>
  <c r="P142" i="128"/>
  <c r="AM149" i="128"/>
  <c r="AO159" i="128"/>
  <c r="AQ159" i="128" s="1"/>
  <c r="AQ114" i="128"/>
  <c r="AA86" i="128"/>
  <c r="AA72" i="128"/>
  <c r="AF169" i="129"/>
  <c r="AF171" i="129"/>
  <c r="AF172" i="129" s="1"/>
  <c r="U16" i="129"/>
  <c r="U19" i="129"/>
  <c r="U20" i="129" s="1"/>
  <c r="P142" i="129"/>
  <c r="P143" i="129" s="1"/>
  <c r="P130" i="129"/>
  <c r="Q126" i="129"/>
  <c r="Q129" i="129" s="1"/>
  <c r="J253" i="129"/>
  <c r="K253" i="129"/>
  <c r="AG164" i="129"/>
  <c r="AG167" i="129" s="1"/>
  <c r="AF180" i="129"/>
  <c r="AF181" i="129" s="1"/>
  <c r="W156" i="129"/>
  <c r="W75" i="129" s="1"/>
  <c r="X5" i="129"/>
  <c r="X41" i="129" s="1"/>
  <c r="J95" i="129"/>
  <c r="K95" i="129"/>
  <c r="W250" i="129"/>
  <c r="W252" i="129"/>
  <c r="W253" i="129" s="1"/>
  <c r="O131" i="129"/>
  <c r="O133" i="129"/>
  <c r="O134" i="129" s="1"/>
  <c r="U90" i="129"/>
  <c r="U103" i="129"/>
  <c r="U104" i="129" s="1"/>
  <c r="X261" i="129"/>
  <c r="X262" i="129" s="1"/>
  <c r="X249" i="129"/>
  <c r="Y245" i="129"/>
  <c r="Y248" i="129" s="1"/>
  <c r="V15" i="129"/>
  <c r="W11" i="129"/>
  <c r="W14" i="129" s="1"/>
  <c r="DK61" i="28" s="1"/>
  <c r="V29" i="129"/>
  <c r="V30" i="129" s="1"/>
  <c r="T94" i="129"/>
  <c r="T95" i="129" s="1"/>
  <c r="T91" i="129"/>
  <c r="AL443" i="127"/>
  <c r="AQ107" i="128"/>
  <c r="AL451" i="127"/>
  <c r="AL449" i="127"/>
  <c r="AL457" i="127"/>
  <c r="AA93" i="128"/>
  <c r="P152" i="128"/>
  <c r="AQ135" i="128"/>
  <c r="D163" i="128"/>
  <c r="H163" i="128" s="1"/>
  <c r="AL562" i="127"/>
  <c r="AE560" i="127"/>
  <c r="AL555" i="127"/>
  <c r="AE562" i="127"/>
  <c r="AE553" i="127"/>
  <c r="AL548" i="127"/>
  <c r="AE555" i="127"/>
  <c r="AE546" i="127"/>
  <c r="AL541" i="127"/>
  <c r="AE548" i="127"/>
  <c r="AE539" i="127"/>
  <c r="AL534" i="127"/>
  <c r="AE541" i="127"/>
  <c r="AE534" i="127"/>
  <c r="AE532" i="127"/>
  <c r="AE527" i="127"/>
  <c r="AE525" i="127"/>
  <c r="AE520" i="127"/>
  <c r="AE518" i="127"/>
  <c r="AE513" i="127"/>
  <c r="AH513" i="127" s="1"/>
  <c r="AE511" i="127"/>
  <c r="AE506" i="127"/>
  <c r="AE504" i="127"/>
  <c r="AE499" i="127"/>
  <c r="AE497" i="127"/>
  <c r="AL485" i="127"/>
  <c r="AE492" i="127"/>
  <c r="AL479" i="127"/>
  <c r="AL477" i="127"/>
  <c r="AL471" i="127"/>
  <c r="AA142" i="128"/>
  <c r="AO198" i="128"/>
  <c r="AQ198" i="128" s="1"/>
  <c r="AQ79" i="128"/>
  <c r="AM156" i="128"/>
  <c r="Y156" i="128"/>
  <c r="AA163" i="128" s="1"/>
  <c r="AA191" i="128"/>
  <c r="AA159" i="128"/>
  <c r="BX156" i="128"/>
  <c r="AY156" i="128"/>
  <c r="AM170" i="128"/>
  <c r="Y170" i="128"/>
  <c r="AA177" i="128" s="1"/>
  <c r="AQ191" i="128"/>
  <c r="AZ129" i="128"/>
  <c r="AQ58" i="128"/>
  <c r="AQ30" i="128"/>
  <c r="AQ176" i="128"/>
  <c r="AZ136" i="128"/>
  <c r="AQ44" i="128"/>
  <c r="AA121" i="128"/>
  <c r="AA79" i="128"/>
  <c r="AQ153" i="128"/>
  <c r="AO156" i="128"/>
  <c r="AQ37" i="128"/>
  <c r="AO170" i="128"/>
  <c r="AQ173" i="128"/>
  <c r="AA168" i="128"/>
  <c r="AA175" i="128"/>
  <c r="AZ143" i="128"/>
  <c r="AO142" i="128"/>
  <c r="AQ142" i="128" s="1"/>
  <c r="AQ138" i="128"/>
  <c r="AQ167" i="128"/>
  <c r="AQ174" i="128"/>
  <c r="AA169" i="128"/>
  <c r="AA176" i="128"/>
  <c r="AA30" i="128"/>
  <c r="AQ168" i="128"/>
  <c r="AQ175" i="128"/>
  <c r="BI167" i="128"/>
  <c r="BJ166" i="128"/>
  <c r="BK166" i="128" s="1"/>
  <c r="AA167" i="128"/>
  <c r="AA174" i="128"/>
  <c r="AM205" i="128"/>
  <c r="AO201" i="128"/>
  <c r="AQ93" i="128"/>
  <c r="D170" i="128"/>
  <c r="H170" i="128" s="1"/>
  <c r="AO149" i="128"/>
  <c r="AQ145" i="128"/>
  <c r="AQ152" i="128"/>
  <c r="AA44" i="128"/>
  <c r="AA51" i="128"/>
  <c r="Y205" i="128"/>
  <c r="AA205" i="128" s="1"/>
  <c r="AA201" i="128"/>
  <c r="AA198" i="128"/>
  <c r="AJ156" i="128"/>
  <c r="P156" i="128"/>
  <c r="AJ149" i="128"/>
  <c r="P149" i="128"/>
  <c r="AQ65" i="128"/>
  <c r="AQ128" i="128"/>
  <c r="AJ142" i="128"/>
  <c r="AQ51" i="128"/>
  <c r="L234" i="127"/>
  <c r="L469" i="127"/>
  <c r="N476" i="127" s="1"/>
  <c r="L476" i="127"/>
  <c r="L491" i="127"/>
  <c r="AC422" i="127"/>
  <c r="AC415" i="127"/>
  <c r="AC430" i="127"/>
  <c r="AE430" i="127" s="1"/>
  <c r="AC434" i="127"/>
  <c r="AC442" i="127"/>
  <c r="AE449" i="127" s="1"/>
  <c r="AC450" i="127"/>
  <c r="AC458" i="127"/>
  <c r="AC462" i="127"/>
  <c r="AC470" i="127"/>
  <c r="AC478" i="127"/>
  <c r="AC486" i="127"/>
  <c r="AE486" i="127" s="1"/>
  <c r="AC493" i="127"/>
  <c r="AC500" i="127"/>
  <c r="AC507" i="127"/>
  <c r="AC514" i="127"/>
  <c r="AL514" i="127" s="1"/>
  <c r="AC521" i="127"/>
  <c r="AC528" i="127"/>
  <c r="AC535" i="127"/>
  <c r="AC542" i="127"/>
  <c r="AC549" i="127"/>
  <c r="AC556" i="127"/>
  <c r="AC228" i="127"/>
  <c r="AE228" i="127" s="1"/>
  <c r="AC236" i="127"/>
  <c r="AE236" i="127" s="1"/>
  <c r="AC244" i="127"/>
  <c r="AE244" i="127" s="1"/>
  <c r="AC248" i="127"/>
  <c r="AC256" i="127"/>
  <c r="AE256" i="127" s="1"/>
  <c r="AC264" i="127"/>
  <c r="AE264" i="127" s="1"/>
  <c r="AC272" i="127"/>
  <c r="AE272" i="127" s="1"/>
  <c r="AC276" i="127"/>
  <c r="AC284" i="127"/>
  <c r="AC291" i="127"/>
  <c r="AC298" i="127"/>
  <c r="AC305" i="127"/>
  <c r="AC312" i="127"/>
  <c r="AC319" i="127"/>
  <c r="AC326" i="127"/>
  <c r="AC333" i="127"/>
  <c r="AC340" i="127"/>
  <c r="AL340" i="127" s="1"/>
  <c r="AC347" i="127"/>
  <c r="AC354" i="127"/>
  <c r="AL354" i="127" s="1"/>
  <c r="AC361" i="127"/>
  <c r="AL361" i="127" s="1"/>
  <c r="AC368" i="127"/>
  <c r="AC375" i="127"/>
  <c r="AC382" i="127"/>
  <c r="AC389" i="127"/>
  <c r="AC396" i="127"/>
  <c r="AC29" i="127"/>
  <c r="AC37" i="127"/>
  <c r="AE37" i="127" s="1"/>
  <c r="AC41" i="127"/>
  <c r="AC49" i="127"/>
  <c r="AE49" i="127" s="1"/>
  <c r="AC57" i="127"/>
  <c r="AE57" i="127" s="1"/>
  <c r="AC65" i="127"/>
  <c r="AE65" i="127" s="1"/>
  <c r="AC69" i="127"/>
  <c r="AC77" i="127"/>
  <c r="AC85" i="127"/>
  <c r="AC92" i="127"/>
  <c r="AC99" i="127"/>
  <c r="AC106" i="127"/>
  <c r="AC113" i="127"/>
  <c r="AC120" i="127"/>
  <c r="AL120" i="127" s="1"/>
  <c r="AC127" i="127"/>
  <c r="AL127" i="127" s="1"/>
  <c r="AC134" i="127"/>
  <c r="AC141" i="127"/>
  <c r="AL141" i="127" s="1"/>
  <c r="AC148" i="127"/>
  <c r="AC155" i="127"/>
  <c r="AL155" i="127" s="1"/>
  <c r="AC162" i="127"/>
  <c r="AC169" i="127"/>
  <c r="AC176" i="127"/>
  <c r="AC183" i="127"/>
  <c r="AC190" i="127"/>
  <c r="AC197" i="127"/>
  <c r="AL493" i="127"/>
  <c r="AJ518" i="127"/>
  <c r="AL518" i="127" s="1"/>
  <c r="AJ504" i="127"/>
  <c r="AL504" i="127" s="1"/>
  <c r="AL156" i="127"/>
  <c r="AJ494" i="127"/>
  <c r="T364" i="127"/>
  <c r="AR364" i="127"/>
  <c r="T350" i="127"/>
  <c r="AR350" i="127"/>
  <c r="T336" i="127"/>
  <c r="AR336" i="127"/>
  <c r="AL126" i="127"/>
  <c r="W462" i="127"/>
  <c r="V462" i="127"/>
  <c r="AC417" i="127"/>
  <c r="AL417" i="127" s="1"/>
  <c r="AC441" i="127"/>
  <c r="AC469" i="127"/>
  <c r="AC227" i="127"/>
  <c r="AC255" i="127"/>
  <c r="AE263" i="127"/>
  <c r="AL279" i="127"/>
  <c r="AC283" i="127"/>
  <c r="AE290" i="127" s="1"/>
  <c r="AH290" i="127" s="1"/>
  <c r="AL290" i="127"/>
  <c r="AE297" i="127"/>
  <c r="AH297" i="127" s="1"/>
  <c r="AL297" i="127"/>
  <c r="AE304" i="127"/>
  <c r="AL304" i="127"/>
  <c r="AL311" i="127"/>
  <c r="AE311" i="127"/>
  <c r="AE318" i="127"/>
  <c r="AL318" i="127"/>
  <c r="AE325" i="127"/>
  <c r="AH325" i="127" s="1"/>
  <c r="AE332" i="127"/>
  <c r="AE339" i="127"/>
  <c r="AE346" i="127"/>
  <c r="AH346" i="127" s="1"/>
  <c r="AE353" i="127"/>
  <c r="AE360" i="127"/>
  <c r="AL367" i="127"/>
  <c r="AE367" i="127"/>
  <c r="AE374" i="127"/>
  <c r="AL374" i="127"/>
  <c r="AL381" i="127"/>
  <c r="AE381" i="127"/>
  <c r="AL388" i="127"/>
  <c r="AE388" i="127"/>
  <c r="AL395" i="127"/>
  <c r="AE395" i="127"/>
  <c r="AC31" i="127"/>
  <c r="AL31" i="127" s="1"/>
  <c r="AE36" i="127"/>
  <c r="AC48" i="127"/>
  <c r="AL72" i="127"/>
  <c r="AC76" i="127"/>
  <c r="AE84" i="127"/>
  <c r="AL84" i="127"/>
  <c r="AE91" i="127"/>
  <c r="AL91" i="127"/>
  <c r="AN91" i="127" s="1"/>
  <c r="AE98" i="127"/>
  <c r="AL98" i="127"/>
  <c r="AE105" i="127"/>
  <c r="AL105" i="127"/>
  <c r="AE112" i="127"/>
  <c r="AL112" i="127"/>
  <c r="AE119" i="127"/>
  <c r="AE126" i="127"/>
  <c r="AE133" i="127"/>
  <c r="AE140" i="127"/>
  <c r="AE147" i="127"/>
  <c r="AE154" i="127"/>
  <c r="AE161" i="127"/>
  <c r="AL161" i="127"/>
  <c r="AE168" i="127"/>
  <c r="AL168" i="127"/>
  <c r="AL175" i="127"/>
  <c r="AE175" i="127"/>
  <c r="AE182" i="127"/>
  <c r="AL182" i="127"/>
  <c r="AE189" i="127"/>
  <c r="AL189" i="127"/>
  <c r="AE196" i="127"/>
  <c r="AL325" i="127"/>
  <c r="T522" i="127"/>
  <c r="AR522" i="127"/>
  <c r="T508" i="127"/>
  <c r="AR508" i="127"/>
  <c r="AL492" i="127"/>
  <c r="AL355" i="127"/>
  <c r="AL341" i="127"/>
  <c r="AL147" i="127"/>
  <c r="AL135" i="127"/>
  <c r="AL121" i="127"/>
  <c r="AL497" i="127"/>
  <c r="AL333" i="127"/>
  <c r="AL140" i="127"/>
  <c r="AL520" i="127"/>
  <c r="AL506" i="127"/>
  <c r="AJ353" i="127"/>
  <c r="AL353" i="127" s="1"/>
  <c r="AJ339" i="127"/>
  <c r="AL339" i="127" s="1"/>
  <c r="AL149" i="127"/>
  <c r="L423" i="127"/>
  <c r="L451" i="127"/>
  <c r="L458" i="127"/>
  <c r="L472" i="127"/>
  <c r="L479" i="127"/>
  <c r="N486" i="127" s="1"/>
  <c r="L486" i="127"/>
  <c r="L492" i="127"/>
  <c r="AC420" i="127"/>
  <c r="AC428" i="127"/>
  <c r="AE428" i="127" s="1"/>
  <c r="AC436" i="127"/>
  <c r="AE436" i="127" s="1"/>
  <c r="AC444" i="127"/>
  <c r="AC448" i="127"/>
  <c r="AC456" i="127"/>
  <c r="AC464" i="127"/>
  <c r="AL464" i="127" s="1"/>
  <c r="AC472" i="127"/>
  <c r="AC476" i="127"/>
  <c r="AC484" i="127"/>
  <c r="AE484" i="127" s="1"/>
  <c r="AC491" i="127"/>
  <c r="AC498" i="127"/>
  <c r="AC505" i="127"/>
  <c r="AC512" i="127"/>
  <c r="AC519" i="127"/>
  <c r="AC522" i="127" s="1"/>
  <c r="AC526" i="127"/>
  <c r="AL526" i="127" s="1"/>
  <c r="AC533" i="127"/>
  <c r="AC540" i="127"/>
  <c r="AC547" i="127"/>
  <c r="AC554" i="127"/>
  <c r="AC561" i="127"/>
  <c r="AC222" i="127"/>
  <c r="AC224" i="127" s="1"/>
  <c r="AL224" i="127" s="1"/>
  <c r="AC230" i="127"/>
  <c r="AE230" i="127" s="1"/>
  <c r="AC234" i="127"/>
  <c r="AC242" i="127"/>
  <c r="AE242" i="127" s="1"/>
  <c r="AC250" i="127"/>
  <c r="AE250" i="127" s="1"/>
  <c r="AC258" i="127"/>
  <c r="AE258" i="127" s="1"/>
  <c r="AC262" i="127"/>
  <c r="AC270" i="127"/>
  <c r="AE270" i="127" s="1"/>
  <c r="AC278" i="127"/>
  <c r="AC286" i="127"/>
  <c r="AC293" i="127"/>
  <c r="AC300" i="127"/>
  <c r="AC307" i="127"/>
  <c r="AC314" i="127"/>
  <c r="AC321" i="127"/>
  <c r="AC328" i="127"/>
  <c r="AC335" i="127"/>
  <c r="AL335" i="127" s="1"/>
  <c r="AC342" i="127"/>
  <c r="AC349" i="127"/>
  <c r="AC350" i="127" s="1"/>
  <c r="AC356" i="127"/>
  <c r="AC363" i="127"/>
  <c r="AL363" i="127" s="1"/>
  <c r="AC370" i="127"/>
  <c r="AC377" i="127"/>
  <c r="AC384" i="127"/>
  <c r="AC391" i="127"/>
  <c r="AC392" i="127" s="1"/>
  <c r="AC35" i="127"/>
  <c r="AE35" i="127" s="1"/>
  <c r="AC43" i="127"/>
  <c r="AE43" i="127" s="1"/>
  <c r="AC51" i="127"/>
  <c r="AE51" i="127" s="1"/>
  <c r="AC55" i="127"/>
  <c r="AC63" i="127"/>
  <c r="AE63" i="127" s="1"/>
  <c r="AC71" i="127"/>
  <c r="AE78" i="127" s="1"/>
  <c r="AC79" i="127"/>
  <c r="AE86" i="127" s="1"/>
  <c r="AC83" i="127"/>
  <c r="AC90" i="127"/>
  <c r="AC97" i="127"/>
  <c r="AC104" i="127"/>
  <c r="AC111" i="127"/>
  <c r="AC118" i="127"/>
  <c r="AL118" i="127" s="1"/>
  <c r="AC125" i="127"/>
  <c r="AL125" i="127" s="1"/>
  <c r="AC132" i="127"/>
  <c r="AL132" i="127" s="1"/>
  <c r="AC139" i="127"/>
  <c r="AL139" i="127" s="1"/>
  <c r="AC146" i="127"/>
  <c r="AL146" i="127" s="1"/>
  <c r="AC153" i="127"/>
  <c r="AL153" i="127" s="1"/>
  <c r="AC160" i="127"/>
  <c r="AC167" i="127"/>
  <c r="AC174" i="127"/>
  <c r="AC181" i="127"/>
  <c r="AC188" i="127"/>
  <c r="AL499" i="127"/>
  <c r="AL154" i="127"/>
  <c r="AL142" i="127"/>
  <c r="AN142" i="127" s="1"/>
  <c r="AJ525" i="127"/>
  <c r="AL525" i="127" s="1"/>
  <c r="AJ511" i="127"/>
  <c r="AL511" i="127" s="1"/>
  <c r="AL490" i="127"/>
  <c r="T357" i="127"/>
  <c r="AR357" i="127"/>
  <c r="T343" i="127"/>
  <c r="AR343" i="127"/>
  <c r="AL326" i="127"/>
  <c r="AL133" i="127"/>
  <c r="AN133" i="127" s="1"/>
  <c r="AL119" i="127"/>
  <c r="W483" i="127"/>
  <c r="V483" i="127"/>
  <c r="AC427" i="127"/>
  <c r="AE427" i="127" s="1"/>
  <c r="AC455" i="127"/>
  <c r="AC483" i="127"/>
  <c r="AE490" i="127" s="1"/>
  <c r="AL532" i="127"/>
  <c r="AL539" i="127"/>
  <c r="AL546" i="127"/>
  <c r="AL553" i="127"/>
  <c r="AL560" i="127"/>
  <c r="AE229" i="127"/>
  <c r="AC241" i="127"/>
  <c r="AE249" i="127"/>
  <c r="AE257" i="127"/>
  <c r="AC269" i="127"/>
  <c r="AL277" i="127"/>
  <c r="AE285" i="127"/>
  <c r="AH285" i="127" s="1"/>
  <c r="AL285" i="127"/>
  <c r="AE292" i="127"/>
  <c r="AH292" i="127" s="1"/>
  <c r="AL292" i="127"/>
  <c r="AL299" i="127"/>
  <c r="AE299" i="127"/>
  <c r="AH299" i="127" s="1"/>
  <c r="AE306" i="127"/>
  <c r="AH306" i="127" s="1"/>
  <c r="AL306" i="127"/>
  <c r="AE313" i="127"/>
  <c r="AL313" i="127"/>
  <c r="AE320" i="127"/>
  <c r="AL320" i="127"/>
  <c r="AE327" i="127"/>
  <c r="AE334" i="127"/>
  <c r="AE341" i="127"/>
  <c r="AH341" i="127" s="1"/>
  <c r="AE348" i="127"/>
  <c r="AH348" i="127" s="1"/>
  <c r="AE355" i="127"/>
  <c r="AE362" i="127"/>
  <c r="AL369" i="127"/>
  <c r="AE369" i="127"/>
  <c r="AL376" i="127"/>
  <c r="AE376" i="127"/>
  <c r="AL383" i="127"/>
  <c r="AE383" i="127"/>
  <c r="AE390" i="127"/>
  <c r="AL390" i="127"/>
  <c r="AL397" i="127"/>
  <c r="AE397" i="127"/>
  <c r="AC34" i="127"/>
  <c r="AE50" i="127"/>
  <c r="AC62" i="127"/>
  <c r="AL70" i="127"/>
  <c r="AL78" i="127"/>
  <c r="AL86" i="127"/>
  <c r="AE93" i="127"/>
  <c r="AL93" i="127"/>
  <c r="AL100" i="127"/>
  <c r="AE100" i="127"/>
  <c r="AE107" i="127"/>
  <c r="AL107" i="127"/>
  <c r="AE114" i="127"/>
  <c r="AL114" i="127"/>
  <c r="AE121" i="127"/>
  <c r="AE128" i="127"/>
  <c r="AE135" i="127"/>
  <c r="AE142" i="127"/>
  <c r="AE149" i="127"/>
  <c r="AE156" i="127"/>
  <c r="AE163" i="127"/>
  <c r="AL163" i="127"/>
  <c r="AE170" i="127"/>
  <c r="AL170" i="127"/>
  <c r="AE177" i="127"/>
  <c r="AL177" i="127"/>
  <c r="AE184" i="127"/>
  <c r="AL184" i="127"/>
  <c r="AJ329" i="127"/>
  <c r="T529" i="127"/>
  <c r="AR529" i="127"/>
  <c r="T515" i="127"/>
  <c r="AR515" i="127"/>
  <c r="AL362" i="127"/>
  <c r="AL348" i="127"/>
  <c r="AL334" i="127"/>
  <c r="AL128" i="127"/>
  <c r="T501" i="127"/>
  <c r="AR501" i="127"/>
  <c r="AL327" i="127"/>
  <c r="AL527" i="127"/>
  <c r="AL513" i="127"/>
  <c r="AJ360" i="127"/>
  <c r="AL360" i="127" s="1"/>
  <c r="AJ346" i="127"/>
  <c r="AL346" i="127" s="1"/>
  <c r="AJ332" i="127"/>
  <c r="AL332" i="127" s="1"/>
  <c r="H472" i="127"/>
  <c r="D311" i="127"/>
  <c r="H506" i="127"/>
  <c r="H500" i="127"/>
  <c r="H470" i="127"/>
  <c r="D327" i="127"/>
  <c r="H327" i="127" s="1"/>
  <c r="D478" i="127"/>
  <c r="H478" i="127" s="1"/>
  <c r="H512" i="127"/>
  <c r="D560" i="127"/>
  <c r="L421" i="127"/>
  <c r="L434" i="127"/>
  <c r="H450" i="127"/>
  <c r="H466" i="127"/>
  <c r="D484" i="127"/>
  <c r="H484" i="127" s="1"/>
  <c r="D499" i="127"/>
  <c r="H499" i="127" s="1"/>
  <c r="D514" i="127"/>
  <c r="H514" i="127" s="1"/>
  <c r="H304" i="127"/>
  <c r="H311" i="127"/>
  <c r="H504" i="127"/>
  <c r="D377" i="127"/>
  <c r="H377" i="127" s="1"/>
  <c r="D541" i="127"/>
  <c r="H541" i="127" s="1"/>
  <c r="H560" i="127"/>
  <c r="D452" i="127"/>
  <c r="H452" i="127" s="1"/>
  <c r="H283" i="127"/>
  <c r="D519" i="127"/>
  <c r="H519" i="127" s="1"/>
  <c r="L216" i="127"/>
  <c r="L237" i="127"/>
  <c r="L415" i="127"/>
  <c r="L485" i="127"/>
  <c r="L506" i="127"/>
  <c r="H449" i="127"/>
  <c r="H471" i="127"/>
  <c r="H505" i="127"/>
  <c r="H339" i="127"/>
  <c r="H455" i="127"/>
  <c r="H465" i="127"/>
  <c r="H511" i="127"/>
  <c r="H332" i="127"/>
  <c r="L416" i="127"/>
  <c r="D438" i="127"/>
  <c r="H438" i="127" s="1"/>
  <c r="H458" i="127"/>
  <c r="H464" i="127"/>
  <c r="H498" i="127"/>
  <c r="H448" i="127"/>
  <c r="D375" i="127"/>
  <c r="H375" i="127" s="1"/>
  <c r="H491" i="127"/>
  <c r="D388" i="127"/>
  <c r="H388" i="127" s="1"/>
  <c r="D361" i="127"/>
  <c r="H361" i="127" s="1"/>
  <c r="H308" i="127"/>
  <c r="D334" i="127"/>
  <c r="H334" i="127" s="1"/>
  <c r="D383" i="127"/>
  <c r="H383" i="127" s="1"/>
  <c r="L414" i="127"/>
  <c r="L420" i="127"/>
  <c r="N420" i="127" s="1"/>
  <c r="L464" i="127"/>
  <c r="L471" i="127"/>
  <c r="L477" i="127"/>
  <c r="L493" i="127"/>
  <c r="L500" i="127"/>
  <c r="D520" i="127"/>
  <c r="H520" i="127" s="1"/>
  <c r="D542" i="127"/>
  <c r="D382" i="127"/>
  <c r="H382" i="127" s="1"/>
  <c r="L443" i="127"/>
  <c r="L444" i="127"/>
  <c r="D459" i="127"/>
  <c r="H459" i="127" s="1"/>
  <c r="L499" i="127"/>
  <c r="D527" i="127"/>
  <c r="H527" i="127" s="1"/>
  <c r="D553" i="127"/>
  <c r="H553" i="127" s="1"/>
  <c r="D555" i="127"/>
  <c r="H555" i="127" s="1"/>
  <c r="D562" i="127"/>
  <c r="H562" i="127" s="1"/>
  <c r="L243" i="127"/>
  <c r="L455" i="127"/>
  <c r="D354" i="127"/>
  <c r="H354" i="127" s="1"/>
  <c r="D355" i="127"/>
  <c r="H355" i="127" s="1"/>
  <c r="D397" i="127"/>
  <c r="H397" i="127" s="1"/>
  <c r="L422" i="127"/>
  <c r="L427" i="127"/>
  <c r="L428" i="127"/>
  <c r="L429" i="127"/>
  <c r="L436" i="127"/>
  <c r="L465" i="127"/>
  <c r="D497" i="127"/>
  <c r="H497" i="127" s="1"/>
  <c r="L505" i="127"/>
  <c r="D540" i="127"/>
  <c r="H540" i="127" s="1"/>
  <c r="D548" i="127"/>
  <c r="H548" i="127" s="1"/>
  <c r="L435" i="127"/>
  <c r="L437" i="127"/>
  <c r="L441" i="127"/>
  <c r="L442" i="127"/>
  <c r="L450" i="127"/>
  <c r="L449" i="127"/>
  <c r="L430" i="127"/>
  <c r="L448" i="127"/>
  <c r="D424" i="127"/>
  <c r="D431" i="127"/>
  <c r="L457" i="127"/>
  <c r="L456" i="127"/>
  <c r="D445" i="127"/>
  <c r="H445" i="127" s="1"/>
  <c r="L463" i="127"/>
  <c r="N483" i="127"/>
  <c r="L470" i="127"/>
  <c r="D483" i="127"/>
  <c r="H483" i="127" s="1"/>
  <c r="D485" i="127"/>
  <c r="H485" i="127" s="1"/>
  <c r="D492" i="127"/>
  <c r="H492" i="127" s="1"/>
  <c r="L498" i="127"/>
  <c r="L497" i="127"/>
  <c r="D476" i="127"/>
  <c r="H476" i="127" s="1"/>
  <c r="L478" i="127"/>
  <c r="L484" i="127"/>
  <c r="L490" i="127"/>
  <c r="L504" i="127"/>
  <c r="W504" i="127" s="1"/>
  <c r="D508" i="127"/>
  <c r="D501" i="127"/>
  <c r="D490" i="127"/>
  <c r="H490" i="127" s="1"/>
  <c r="L507" i="127"/>
  <c r="D518" i="127"/>
  <c r="H518" i="127" s="1"/>
  <c r="D525" i="127"/>
  <c r="H525" i="127" s="1"/>
  <c r="H515" i="127"/>
  <c r="D528" i="127"/>
  <c r="H528" i="127" s="1"/>
  <c r="D534" i="127"/>
  <c r="H534" i="127" s="1"/>
  <c r="D535" i="127"/>
  <c r="H535" i="127" s="1"/>
  <c r="D532" i="127"/>
  <c r="H532" i="127" s="1"/>
  <c r="D547" i="127"/>
  <c r="H547" i="127" s="1"/>
  <c r="D549" i="127"/>
  <c r="H549" i="127" s="1"/>
  <c r="L305" i="127"/>
  <c r="L334" i="127"/>
  <c r="L304" i="127"/>
  <c r="L277" i="127"/>
  <c r="L311" i="127"/>
  <c r="L244" i="127"/>
  <c r="L271" i="127"/>
  <c r="L293" i="127"/>
  <c r="L312" i="127"/>
  <c r="L319" i="127"/>
  <c r="L339" i="127"/>
  <c r="W339" i="127" s="1"/>
  <c r="L227" i="127"/>
  <c r="L242" i="127"/>
  <c r="N242" i="127" s="1"/>
  <c r="D245" i="127"/>
  <c r="L257" i="127"/>
  <c r="L258" i="127"/>
  <c r="L328" i="127"/>
  <c r="L341" i="127"/>
  <c r="L270" i="127"/>
  <c r="D273" i="127"/>
  <c r="H273" i="127" s="1"/>
  <c r="D280" i="127"/>
  <c r="H280" i="127" s="1"/>
  <c r="L313" i="127"/>
  <c r="D231" i="127"/>
  <c r="L251" i="127"/>
  <c r="L264" i="127"/>
  <c r="L272" i="127"/>
  <c r="L220" i="127"/>
  <c r="L221" i="127"/>
  <c r="L222" i="127"/>
  <c r="L228" i="127"/>
  <c r="N235" i="127" s="1"/>
  <c r="L229" i="127"/>
  <c r="L230" i="127"/>
  <c r="L306" i="127"/>
  <c r="L327" i="127"/>
  <c r="L335" i="127"/>
  <c r="L215" i="127"/>
  <c r="L223" i="127"/>
  <c r="L241" i="127"/>
  <c r="L256" i="127"/>
  <c r="L276" i="127"/>
  <c r="L285" i="127"/>
  <c r="L286" i="127"/>
  <c r="D294" i="127"/>
  <c r="H294" i="127" s="1"/>
  <c r="L299" i="127"/>
  <c r="L307" i="127"/>
  <c r="L314" i="127"/>
  <c r="L320" i="127"/>
  <c r="D224" i="127"/>
  <c r="L236" i="127"/>
  <c r="N236" i="127" s="1"/>
  <c r="L250" i="127"/>
  <c r="L279" i="127"/>
  <c r="D287" i="127"/>
  <c r="H287" i="127" s="1"/>
  <c r="L262" i="127"/>
  <c r="N262" i="127" s="1"/>
  <c r="L278" i="127"/>
  <c r="L248" i="127"/>
  <c r="N255" i="127" s="1"/>
  <c r="L249" i="127"/>
  <c r="L263" i="127"/>
  <c r="L292" i="127"/>
  <c r="L300" i="127"/>
  <c r="L326" i="127"/>
  <c r="L340" i="127"/>
  <c r="L269" i="127"/>
  <c r="L265" i="127"/>
  <c r="L284" i="127"/>
  <c r="L283" i="127"/>
  <c r="L298" i="127"/>
  <c r="L297" i="127"/>
  <c r="D259" i="127"/>
  <c r="D252" i="127"/>
  <c r="L291" i="127"/>
  <c r="L290" i="127"/>
  <c r="D371" i="127"/>
  <c r="H371" i="127" s="1"/>
  <c r="D367" i="127"/>
  <c r="H367" i="127" s="1"/>
  <c r="D313" i="127"/>
  <c r="H313" i="127" s="1"/>
  <c r="D315" i="127"/>
  <c r="L333" i="127"/>
  <c r="L332" i="127"/>
  <c r="L318" i="127"/>
  <c r="L325" i="127"/>
  <c r="L321" i="127"/>
  <c r="D266" i="127"/>
  <c r="D301" i="127"/>
  <c r="H301" i="127" s="1"/>
  <c r="D318" i="127"/>
  <c r="H318" i="127" s="1"/>
  <c r="AH318" i="127" s="1"/>
  <c r="D326" i="127"/>
  <c r="H326" i="127" s="1"/>
  <c r="D320" i="127"/>
  <c r="H320" i="127" s="1"/>
  <c r="L342" i="127"/>
  <c r="D360" i="127"/>
  <c r="H360" i="127" s="1"/>
  <c r="H350" i="127"/>
  <c r="D362" i="127"/>
  <c r="H362" i="127" s="1"/>
  <c r="D369" i="127"/>
  <c r="H369" i="127" s="1"/>
  <c r="D370" i="127"/>
  <c r="H370" i="127" s="1"/>
  <c r="D363" i="127"/>
  <c r="H363" i="127" s="1"/>
  <c r="D368" i="127"/>
  <c r="H368" i="127" s="1"/>
  <c r="D376" i="127"/>
  <c r="H376" i="127" s="1"/>
  <c r="D389" i="127"/>
  <c r="H389" i="127" s="1"/>
  <c r="D396" i="127"/>
  <c r="H396" i="127" s="1"/>
  <c r="D391" i="127"/>
  <c r="H391" i="127" s="1"/>
  <c r="D395" i="127"/>
  <c r="H395" i="127" s="1"/>
  <c r="AE448" i="127" l="1"/>
  <c r="N458" i="127"/>
  <c r="N430" i="127"/>
  <c r="N434" i="127"/>
  <c r="AE422" i="127"/>
  <c r="AC231" i="127"/>
  <c r="AE265" i="127"/>
  <c r="AE237" i="127"/>
  <c r="AE251" i="127"/>
  <c r="N469" i="127"/>
  <c r="P469" i="127" s="1"/>
  <c r="AE441" i="127"/>
  <c r="AH441" i="127" s="1"/>
  <c r="AE443" i="127"/>
  <c r="AH443" i="127" s="1"/>
  <c r="P483" i="127"/>
  <c r="AH304" i="127"/>
  <c r="AC308" i="127"/>
  <c r="AN93" i="127"/>
  <c r="AC38" i="127"/>
  <c r="AE64" i="127"/>
  <c r="I52" i="129"/>
  <c r="I50" i="129"/>
  <c r="I63" i="129"/>
  <c r="I64" i="129" s="1"/>
  <c r="J203" i="129"/>
  <c r="I228" i="129"/>
  <c r="I219" i="129"/>
  <c r="I220" i="129" s="1"/>
  <c r="I207" i="129"/>
  <c r="U50" i="129"/>
  <c r="U63" i="129"/>
  <c r="U64" i="129" s="1"/>
  <c r="U219" i="129"/>
  <c r="U220" i="129" s="1"/>
  <c r="U207" i="129"/>
  <c r="V203" i="129"/>
  <c r="V206" i="129" s="1"/>
  <c r="AC536" i="127"/>
  <c r="AL536" i="127" s="1"/>
  <c r="AO163" i="128"/>
  <c r="AQ163" i="128" s="1"/>
  <c r="AQ166" i="128"/>
  <c r="AH562" i="127"/>
  <c r="AH555" i="127"/>
  <c r="AH548" i="127"/>
  <c r="AH560" i="127"/>
  <c r="AH541" i="127"/>
  <c r="AH553" i="127"/>
  <c r="AH395" i="127"/>
  <c r="AH327" i="127"/>
  <c r="AH397" i="127"/>
  <c r="W15" i="129"/>
  <c r="X11" i="129"/>
  <c r="X14" i="129" s="1"/>
  <c r="DL61" i="28" s="1"/>
  <c r="W29" i="129"/>
  <c r="AJ14" i="129"/>
  <c r="V16" i="129"/>
  <c r="V19" i="129"/>
  <c r="V20" i="129" s="1"/>
  <c r="AH164" i="129"/>
  <c r="AH167" i="129" s="1"/>
  <c r="AH180" i="129" s="1"/>
  <c r="AG180" i="129"/>
  <c r="AG181" i="129" s="1"/>
  <c r="Q130" i="129"/>
  <c r="R126" i="129"/>
  <c r="R129" i="129" s="1"/>
  <c r="Q142" i="129"/>
  <c r="Q143" i="129" s="1"/>
  <c r="Z245" i="129"/>
  <c r="Z248" i="129" s="1"/>
  <c r="Y249" i="129"/>
  <c r="AJ248" i="129"/>
  <c r="Y261" i="129"/>
  <c r="Y262" i="129" s="1"/>
  <c r="X156" i="129"/>
  <c r="X75" i="129" s="1"/>
  <c r="Y5" i="129"/>
  <c r="Y41" i="129" s="1"/>
  <c r="AG168" i="129"/>
  <c r="P133" i="129"/>
  <c r="P134" i="129" s="1"/>
  <c r="P131" i="129"/>
  <c r="X250" i="129"/>
  <c r="X252" i="129"/>
  <c r="X253" i="129" s="1"/>
  <c r="U91" i="129"/>
  <c r="U94" i="129"/>
  <c r="U95" i="129" s="1"/>
  <c r="AH520" i="127"/>
  <c r="AL444" i="127"/>
  <c r="AE444" i="127"/>
  <c r="AH444" i="127" s="1"/>
  <c r="AE434" i="127"/>
  <c r="AE451" i="127"/>
  <c r="AH451" i="127" s="1"/>
  <c r="AE437" i="127"/>
  <c r="AE429" i="127"/>
  <c r="AL442" i="127"/>
  <c r="AE442" i="127"/>
  <c r="AH442" i="127" s="1"/>
  <c r="AE435" i="127"/>
  <c r="AH448" i="127"/>
  <c r="AH449" i="127"/>
  <c r="AH383" i="127"/>
  <c r="AH388" i="127"/>
  <c r="AH376" i="127"/>
  <c r="AC301" i="127"/>
  <c r="AE279" i="127"/>
  <c r="AH279" i="127" s="1"/>
  <c r="AE235" i="127"/>
  <c r="N292" i="127"/>
  <c r="P292" i="127" s="1"/>
  <c r="N271" i="127"/>
  <c r="L217" i="127"/>
  <c r="AE464" i="127"/>
  <c r="AH464" i="127" s="1"/>
  <c r="AE471" i="127"/>
  <c r="AH471" i="127" s="1"/>
  <c r="AL458" i="127"/>
  <c r="AE465" i="127"/>
  <c r="AH465" i="127" s="1"/>
  <c r="AE458" i="127"/>
  <c r="AH458" i="127" s="1"/>
  <c r="AE462" i="127"/>
  <c r="AH462" i="127" s="1"/>
  <c r="AE455" i="127"/>
  <c r="AH455" i="127" s="1"/>
  <c r="AL450" i="127"/>
  <c r="AE450" i="127"/>
  <c r="AH450" i="127" s="1"/>
  <c r="AE457" i="127"/>
  <c r="AH457" i="127" s="1"/>
  <c r="AL456" i="127"/>
  <c r="AE456" i="127"/>
  <c r="AH456" i="127" s="1"/>
  <c r="AE463" i="127"/>
  <c r="AH463" i="127" s="1"/>
  <c r="AH362" i="127"/>
  <c r="AH369" i="127"/>
  <c r="AH534" i="127"/>
  <c r="AH367" i="127"/>
  <c r="AH532" i="127"/>
  <c r="AH527" i="127"/>
  <c r="AH525" i="127"/>
  <c r="AH360" i="127"/>
  <c r="AH355" i="127"/>
  <c r="AH518" i="127"/>
  <c r="AH506" i="127"/>
  <c r="AH511" i="127"/>
  <c r="AH339" i="127"/>
  <c r="AH504" i="127"/>
  <c r="AH499" i="127"/>
  <c r="AH334" i="127"/>
  <c r="AH497" i="127"/>
  <c r="AH332" i="127"/>
  <c r="AH492" i="127"/>
  <c r="AN119" i="127"/>
  <c r="AH490" i="127"/>
  <c r="AL561" i="127"/>
  <c r="AL556" i="127"/>
  <c r="AL554" i="127"/>
  <c r="AE561" i="127"/>
  <c r="AC550" i="127"/>
  <c r="AL550" i="127" s="1"/>
  <c r="AL549" i="127"/>
  <c r="AE556" i="127"/>
  <c r="AL547" i="127"/>
  <c r="AE554" i="127"/>
  <c r="AL542" i="127"/>
  <c r="AE549" i="127"/>
  <c r="AH549" i="127" s="1"/>
  <c r="AL540" i="127"/>
  <c r="AE547" i="127"/>
  <c r="AH547" i="127" s="1"/>
  <c r="AL535" i="127"/>
  <c r="AE542" i="127"/>
  <c r="AH542" i="127" s="1"/>
  <c r="AL533" i="127"/>
  <c r="AE540" i="127"/>
  <c r="AH540" i="127" s="1"/>
  <c r="AL528" i="127"/>
  <c r="AE535" i="127"/>
  <c r="AH535" i="127" s="1"/>
  <c r="AE528" i="127"/>
  <c r="AH528" i="127" s="1"/>
  <c r="AE526" i="127"/>
  <c r="AC529" i="127"/>
  <c r="AE533" i="127"/>
  <c r="AL521" i="127"/>
  <c r="AE521" i="127"/>
  <c r="AL519" i="127"/>
  <c r="AE514" i="127"/>
  <c r="AH514" i="127" s="1"/>
  <c r="AL512" i="127"/>
  <c r="AE519" i="127"/>
  <c r="AH519" i="127" s="1"/>
  <c r="AL507" i="127"/>
  <c r="AC508" i="127"/>
  <c r="AL505" i="127"/>
  <c r="AE512" i="127"/>
  <c r="AH512" i="127" s="1"/>
  <c r="AE500" i="127"/>
  <c r="AH500" i="127" s="1"/>
  <c r="AL500" i="127"/>
  <c r="AE507" i="127"/>
  <c r="AH507" i="127" s="1"/>
  <c r="AC501" i="127"/>
  <c r="AE505" i="127"/>
  <c r="AH505" i="127" s="1"/>
  <c r="AE498" i="127"/>
  <c r="AH498" i="127" s="1"/>
  <c r="AL491" i="127"/>
  <c r="AC494" i="127"/>
  <c r="AL486" i="127"/>
  <c r="AE493" i="127"/>
  <c r="AL484" i="127"/>
  <c r="AE491" i="127"/>
  <c r="AH491" i="127" s="1"/>
  <c r="AH484" i="127"/>
  <c r="AE483" i="127"/>
  <c r="AH483" i="127" s="1"/>
  <c r="AL478" i="127"/>
  <c r="AE485" i="127"/>
  <c r="AH485" i="127" s="1"/>
  <c r="AE478" i="127"/>
  <c r="AH478" i="127" s="1"/>
  <c r="AL472" i="127"/>
  <c r="AE479" i="127"/>
  <c r="AE472" i="127"/>
  <c r="AH472" i="127" s="1"/>
  <c r="AE476" i="127"/>
  <c r="AH476" i="127" s="1"/>
  <c r="AE469" i="127"/>
  <c r="AH469" i="127" s="1"/>
  <c r="AL470" i="127"/>
  <c r="AE477" i="127"/>
  <c r="AH477" i="127" s="1"/>
  <c r="AE470" i="127"/>
  <c r="AH470" i="127" s="1"/>
  <c r="AN163" i="127"/>
  <c r="AN154" i="127"/>
  <c r="AC371" i="127"/>
  <c r="AL371" i="127" s="1"/>
  <c r="AL349" i="127"/>
  <c r="AC378" i="127"/>
  <c r="AE361" i="127"/>
  <c r="AH361" i="127" s="1"/>
  <c r="AE356" i="127"/>
  <c r="AE347" i="127"/>
  <c r="AH347" i="127" s="1"/>
  <c r="AE342" i="127"/>
  <c r="AH342" i="127" s="1"/>
  <c r="AE333" i="127"/>
  <c r="AH333" i="127" s="1"/>
  <c r="AE328" i="127"/>
  <c r="AH313" i="127"/>
  <c r="AC315" i="127"/>
  <c r="AN184" i="127"/>
  <c r="AN175" i="127"/>
  <c r="AN170" i="127"/>
  <c r="AN168" i="127"/>
  <c r="AE148" i="127"/>
  <c r="AN147" i="127"/>
  <c r="AN146" i="127"/>
  <c r="AE134" i="127"/>
  <c r="AN132" i="127"/>
  <c r="AN121" i="127"/>
  <c r="AE120" i="127"/>
  <c r="AN107" i="127"/>
  <c r="AN105" i="127"/>
  <c r="V339" i="127"/>
  <c r="AA170" i="128"/>
  <c r="AA156" i="128"/>
  <c r="P476" i="127"/>
  <c r="AQ156" i="128"/>
  <c r="P170" i="128"/>
  <c r="AJ170" i="128"/>
  <c r="BI168" i="128"/>
  <c r="AJ163" i="128"/>
  <c r="P163" i="128"/>
  <c r="AQ149" i="128"/>
  <c r="AQ201" i="128"/>
  <c r="BJ167" i="128"/>
  <c r="BK167" i="128" s="1"/>
  <c r="AQ177" i="128"/>
  <c r="W217" i="127"/>
  <c r="V217" i="127"/>
  <c r="AL301" i="127"/>
  <c r="N339" i="127"/>
  <c r="P339" i="127" s="1"/>
  <c r="W332" i="127"/>
  <c r="W291" i="127"/>
  <c r="V291" i="127"/>
  <c r="W278" i="127"/>
  <c r="V278" i="127"/>
  <c r="W307" i="127"/>
  <c r="V307" i="127"/>
  <c r="W335" i="127"/>
  <c r="V335" i="127"/>
  <c r="W470" i="127"/>
  <c r="V470" i="127"/>
  <c r="N455" i="127"/>
  <c r="W448" i="127"/>
  <c r="V448" i="127"/>
  <c r="W493" i="127"/>
  <c r="V493" i="127"/>
  <c r="W485" i="127"/>
  <c r="V485" i="127"/>
  <c r="AE38" i="127"/>
  <c r="AL38" i="127"/>
  <c r="AN38" i="127" s="1"/>
  <c r="AH320" i="127"/>
  <c r="W325" i="127"/>
  <c r="V325" i="127"/>
  <c r="W298" i="127"/>
  <c r="V298" i="127"/>
  <c r="W292" i="127"/>
  <c r="V292" i="127"/>
  <c r="N279" i="127"/>
  <c r="P279" i="127" s="1"/>
  <c r="W279" i="127"/>
  <c r="V279" i="127"/>
  <c r="W276" i="127"/>
  <c r="V276" i="127"/>
  <c r="W306" i="127"/>
  <c r="V306" i="127"/>
  <c r="W312" i="127"/>
  <c r="Y312" i="127" s="1"/>
  <c r="V312" i="127"/>
  <c r="W305" i="127"/>
  <c r="V305" i="127"/>
  <c r="N319" i="127"/>
  <c r="P319" i="127" s="1"/>
  <c r="W290" i="127"/>
  <c r="V290" i="127"/>
  <c r="W283" i="127"/>
  <c r="V283" i="127"/>
  <c r="W340" i="127"/>
  <c r="V340" i="127"/>
  <c r="W286" i="127"/>
  <c r="V286" i="127"/>
  <c r="X286" i="127" s="1"/>
  <c r="N241" i="127"/>
  <c r="W341" i="127"/>
  <c r="V341" i="127"/>
  <c r="W507" i="127"/>
  <c r="V507" i="127"/>
  <c r="W490" i="127"/>
  <c r="V490" i="127"/>
  <c r="X490" i="127" s="1"/>
  <c r="W456" i="127"/>
  <c r="V456" i="127"/>
  <c r="W449" i="127"/>
  <c r="V449" i="127"/>
  <c r="W505" i="127"/>
  <c r="V505" i="127"/>
  <c r="W455" i="127"/>
  <c r="Y462" i="127" s="1"/>
  <c r="V455" i="127"/>
  <c r="X462" i="127" s="1"/>
  <c r="N493" i="127"/>
  <c r="W444" i="127"/>
  <c r="V444" i="127"/>
  <c r="W500" i="127"/>
  <c r="V500" i="127"/>
  <c r="W471" i="127"/>
  <c r="V471" i="127"/>
  <c r="W506" i="127"/>
  <c r="V506" i="127"/>
  <c r="N237" i="127"/>
  <c r="AL134" i="127"/>
  <c r="AN134" i="127" s="1"/>
  <c r="AN128" i="127"/>
  <c r="AJ515" i="127"/>
  <c r="AN100" i="127"/>
  <c r="AE70" i="127"/>
  <c r="AE42" i="127"/>
  <c r="AE277" i="127"/>
  <c r="AH277" i="127" s="1"/>
  <c r="AC515" i="127"/>
  <c r="AE522" i="127" s="1"/>
  <c r="AC487" i="127"/>
  <c r="AL483" i="127"/>
  <c r="AJ357" i="127"/>
  <c r="AE181" i="127"/>
  <c r="AC185" i="127"/>
  <c r="AL181" i="127"/>
  <c r="AC157" i="127"/>
  <c r="AE153" i="127"/>
  <c r="AC129" i="127"/>
  <c r="AE125" i="127"/>
  <c r="AC101" i="127"/>
  <c r="AE97" i="127"/>
  <c r="AL97" i="127"/>
  <c r="AE71" i="127"/>
  <c r="AL71" i="127"/>
  <c r="AL391" i="127"/>
  <c r="AE391" i="127"/>
  <c r="AH391" i="127" s="1"/>
  <c r="AE363" i="127"/>
  <c r="AH363" i="127" s="1"/>
  <c r="AE335" i="127"/>
  <c r="AH335" i="127" s="1"/>
  <c r="AE307" i="127"/>
  <c r="AH307" i="127" s="1"/>
  <c r="AL307" i="127"/>
  <c r="AE278" i="127"/>
  <c r="AH278" i="127" s="1"/>
  <c r="AL278" i="127"/>
  <c r="W479" i="127"/>
  <c r="V479" i="127"/>
  <c r="AN149" i="127"/>
  <c r="AN140" i="127"/>
  <c r="AL328" i="127"/>
  <c r="AN189" i="127"/>
  <c r="AN161" i="127"/>
  <c r="AN112" i="127"/>
  <c r="AN98" i="127"/>
  <c r="AE72" i="127"/>
  <c r="AE44" i="127"/>
  <c r="AC357" i="127"/>
  <c r="AE357" i="127" s="1"/>
  <c r="AC329" i="127"/>
  <c r="AL329" i="127" s="1"/>
  <c r="AL283" i="127"/>
  <c r="AE283" i="127"/>
  <c r="AH283" i="127" s="1"/>
  <c r="AC287" i="127"/>
  <c r="AN126" i="127"/>
  <c r="AL356" i="127"/>
  <c r="AE197" i="127"/>
  <c r="AE169" i="127"/>
  <c r="AL169" i="127"/>
  <c r="AE141" i="127"/>
  <c r="AE113" i="127"/>
  <c r="AL113" i="127"/>
  <c r="AN120" i="127" s="1"/>
  <c r="AE85" i="127"/>
  <c r="AL85" i="127"/>
  <c r="AN85" i="127" s="1"/>
  <c r="AL382" i="127"/>
  <c r="AE382" i="127"/>
  <c r="AH382" i="127" s="1"/>
  <c r="AE354" i="127"/>
  <c r="AH354" i="127" s="1"/>
  <c r="AE326" i="127"/>
  <c r="AH326" i="127" s="1"/>
  <c r="AE298" i="127"/>
  <c r="AH298" i="127" s="1"/>
  <c r="AL298" i="127"/>
  <c r="W469" i="127"/>
  <c r="Y469" i="127" s="1"/>
  <c r="V469" i="127"/>
  <c r="X469" i="127" s="1"/>
  <c r="W342" i="127"/>
  <c r="V342" i="127"/>
  <c r="W285" i="127"/>
  <c r="V285" i="127"/>
  <c r="X285" i="127" s="1"/>
  <c r="W293" i="127"/>
  <c r="Y293" i="127" s="1"/>
  <c r="V293" i="127"/>
  <c r="W311" i="127"/>
  <c r="V311" i="127"/>
  <c r="W334" i="127"/>
  <c r="V334" i="127"/>
  <c r="W457" i="127"/>
  <c r="V457" i="127"/>
  <c r="W450" i="127"/>
  <c r="V450" i="127"/>
  <c r="W464" i="127"/>
  <c r="V464" i="127"/>
  <c r="AE62" i="127"/>
  <c r="AC66" i="127"/>
  <c r="AC459" i="127"/>
  <c r="AL455" i="127"/>
  <c r="AE174" i="127"/>
  <c r="AC178" i="127"/>
  <c r="AL174" i="127"/>
  <c r="AE146" i="127"/>
  <c r="AC150" i="127"/>
  <c r="AE118" i="127"/>
  <c r="AC122" i="127"/>
  <c r="AE90" i="127"/>
  <c r="AC94" i="127"/>
  <c r="AL90" i="127"/>
  <c r="AE384" i="127"/>
  <c r="AL384" i="127"/>
  <c r="AE300" i="127"/>
  <c r="AH300" i="127" s="1"/>
  <c r="AL300" i="127"/>
  <c r="W472" i="127"/>
  <c r="V472" i="127"/>
  <c r="AJ508" i="127"/>
  <c r="AL392" i="127"/>
  <c r="AC385" i="127"/>
  <c r="AE308" i="127"/>
  <c r="AH308" i="127" s="1"/>
  <c r="AL308" i="127"/>
  <c r="AE255" i="127"/>
  <c r="AC259" i="127"/>
  <c r="AE231" i="127"/>
  <c r="AL231" i="127"/>
  <c r="AN139" i="127"/>
  <c r="AJ350" i="127"/>
  <c r="AL350" i="127" s="1"/>
  <c r="V504" i="127"/>
  <c r="AE190" i="127"/>
  <c r="AL190" i="127"/>
  <c r="AE162" i="127"/>
  <c r="AL162" i="127"/>
  <c r="AN162" i="127" s="1"/>
  <c r="AE106" i="127"/>
  <c r="AL106" i="127"/>
  <c r="AE77" i="127"/>
  <c r="AL77" i="127"/>
  <c r="AN77" i="127" s="1"/>
  <c r="AL375" i="127"/>
  <c r="AE375" i="127"/>
  <c r="AH375" i="127" s="1"/>
  <c r="AE319" i="127"/>
  <c r="AH319" i="127" s="1"/>
  <c r="AL319" i="127"/>
  <c r="AE291" i="127"/>
  <c r="AH291" i="127" s="1"/>
  <c r="AL291" i="127"/>
  <c r="N234" i="127"/>
  <c r="W321" i="127"/>
  <c r="V321" i="127"/>
  <c r="W318" i="127"/>
  <c r="V318" i="127"/>
  <c r="W333" i="127"/>
  <c r="V333" i="127"/>
  <c r="N304" i="127"/>
  <c r="P304" i="127" s="1"/>
  <c r="W297" i="127"/>
  <c r="V297" i="127"/>
  <c r="X297" i="127" s="1"/>
  <c r="W300" i="127"/>
  <c r="V300" i="127"/>
  <c r="W314" i="127"/>
  <c r="V314" i="127"/>
  <c r="W299" i="127"/>
  <c r="V299" i="127"/>
  <c r="W327" i="127"/>
  <c r="V327" i="127"/>
  <c r="W313" i="127"/>
  <c r="V313" i="127"/>
  <c r="W319" i="127"/>
  <c r="V319" i="127"/>
  <c r="X319" i="127" s="1"/>
  <c r="W277" i="127"/>
  <c r="V277" i="127"/>
  <c r="N485" i="127"/>
  <c r="P485" i="127" s="1"/>
  <c r="W478" i="127"/>
  <c r="Y485" i="127" s="1"/>
  <c r="V478" i="127"/>
  <c r="W497" i="127"/>
  <c r="V497" i="127"/>
  <c r="W442" i="127"/>
  <c r="V442" i="127"/>
  <c r="W477" i="127"/>
  <c r="V477" i="127"/>
  <c r="N479" i="127"/>
  <c r="V332" i="127"/>
  <c r="AN153" i="127"/>
  <c r="AL498" i="127"/>
  <c r="AJ529" i="127"/>
  <c r="AE58" i="127"/>
  <c r="AC273" i="127"/>
  <c r="AE269" i="127"/>
  <c r="AC245" i="127"/>
  <c r="AE241" i="127"/>
  <c r="AC431" i="127"/>
  <c r="AJ343" i="127"/>
  <c r="AE167" i="127"/>
  <c r="AC171" i="127"/>
  <c r="AL167" i="127"/>
  <c r="AE139" i="127"/>
  <c r="AC143" i="127"/>
  <c r="AE111" i="127"/>
  <c r="AC115" i="127"/>
  <c r="AL111" i="127"/>
  <c r="AE83" i="127"/>
  <c r="AC87" i="127"/>
  <c r="AL83" i="127"/>
  <c r="AE55" i="127"/>
  <c r="AC59" i="127"/>
  <c r="AL377" i="127"/>
  <c r="AE377" i="127"/>
  <c r="AH377" i="127" s="1"/>
  <c r="AE349" i="127"/>
  <c r="AL321" i="127"/>
  <c r="AE321" i="127"/>
  <c r="AL293" i="127"/>
  <c r="AE293" i="127"/>
  <c r="AH293" i="127" s="1"/>
  <c r="AE262" i="127"/>
  <c r="AC266" i="127"/>
  <c r="AE234" i="127"/>
  <c r="AC238" i="127"/>
  <c r="AC480" i="127"/>
  <c r="AL476" i="127"/>
  <c r="AL448" i="127"/>
  <c r="AC452" i="127"/>
  <c r="AC424" i="127"/>
  <c r="W492" i="127"/>
  <c r="Y492" i="127" s="1"/>
  <c r="V492" i="127"/>
  <c r="X492" i="127" s="1"/>
  <c r="W458" i="127"/>
  <c r="V458" i="127"/>
  <c r="AL347" i="127"/>
  <c r="AN135" i="127"/>
  <c r="AN182" i="127"/>
  <c r="AE76" i="127"/>
  <c r="AC80" i="127"/>
  <c r="AL76" i="127"/>
  <c r="AE56" i="127"/>
  <c r="AC364" i="127"/>
  <c r="AC336" i="127"/>
  <c r="AC322" i="127"/>
  <c r="AC294" i="127"/>
  <c r="AE301" i="127" s="1"/>
  <c r="AH301" i="127" s="1"/>
  <c r="AC473" i="127"/>
  <c r="AL469" i="127"/>
  <c r="AN156" i="127"/>
  <c r="AL148" i="127"/>
  <c r="AN148" i="127" s="1"/>
  <c r="AL183" i="127"/>
  <c r="AE183" i="127"/>
  <c r="AE155" i="127"/>
  <c r="AE127" i="127"/>
  <c r="AE99" i="127"/>
  <c r="AL99" i="127"/>
  <c r="AC73" i="127"/>
  <c r="AE69" i="127"/>
  <c r="AL69" i="127"/>
  <c r="AC45" i="127"/>
  <c r="AE41" i="127"/>
  <c r="AE396" i="127"/>
  <c r="AH396" i="127" s="1"/>
  <c r="AL396" i="127"/>
  <c r="AE368" i="127"/>
  <c r="AH368" i="127" s="1"/>
  <c r="AL368" i="127"/>
  <c r="AE340" i="127"/>
  <c r="AH340" i="127" s="1"/>
  <c r="AE312" i="127"/>
  <c r="AH312" i="127" s="1"/>
  <c r="AL312" i="127"/>
  <c r="AE284" i="127"/>
  <c r="AH284" i="127" s="1"/>
  <c r="AL284" i="127"/>
  <c r="AC466" i="127"/>
  <c r="AL466" i="127" s="1"/>
  <c r="AL462" i="127"/>
  <c r="AC438" i="127"/>
  <c r="W491" i="127"/>
  <c r="V491" i="127"/>
  <c r="W284" i="127"/>
  <c r="V284" i="127"/>
  <c r="X284" i="127" s="1"/>
  <c r="W326" i="127"/>
  <c r="V326" i="127"/>
  <c r="W320" i="127"/>
  <c r="V320" i="127"/>
  <c r="W328" i="127"/>
  <c r="V328" i="127"/>
  <c r="W304" i="127"/>
  <c r="V304" i="127"/>
  <c r="N491" i="127"/>
  <c r="P491" i="127" s="1"/>
  <c r="W484" i="127"/>
  <c r="V484" i="127"/>
  <c r="W443" i="127"/>
  <c r="V443" i="127"/>
  <c r="AN78" i="127"/>
  <c r="W498" i="127"/>
  <c r="V498" i="127"/>
  <c r="X498" i="127" s="1"/>
  <c r="W463" i="127"/>
  <c r="V463" i="127"/>
  <c r="W441" i="127"/>
  <c r="V441" i="127"/>
  <c r="W465" i="127"/>
  <c r="Y465" i="127" s="1"/>
  <c r="V465" i="127"/>
  <c r="X465" i="127" s="1"/>
  <c r="N428" i="127"/>
  <c r="N506" i="127"/>
  <c r="P506" i="127" s="1"/>
  <c r="W499" i="127"/>
  <c r="V499" i="127"/>
  <c r="AH311" i="127"/>
  <c r="AJ501" i="127"/>
  <c r="AN125" i="127"/>
  <c r="AN177" i="127"/>
  <c r="AN114" i="127"/>
  <c r="AC557" i="127"/>
  <c r="AC543" i="127"/>
  <c r="AE543" i="127" s="1"/>
  <c r="AE188" i="127"/>
  <c r="AL188" i="127"/>
  <c r="AE160" i="127"/>
  <c r="AC164" i="127"/>
  <c r="AL160" i="127"/>
  <c r="AN160" i="127" s="1"/>
  <c r="AE132" i="127"/>
  <c r="AC136" i="127"/>
  <c r="AE104" i="127"/>
  <c r="AC108" i="127"/>
  <c r="AL104" i="127"/>
  <c r="AE79" i="127"/>
  <c r="AL79" i="127"/>
  <c r="AN79" i="127" s="1"/>
  <c r="AL370" i="127"/>
  <c r="AE370" i="127"/>
  <c r="AH370" i="127" s="1"/>
  <c r="AE314" i="127"/>
  <c r="AH314" i="127" s="1"/>
  <c r="AL314" i="127"/>
  <c r="AE286" i="127"/>
  <c r="AH286" i="127" s="1"/>
  <c r="AL286" i="127"/>
  <c r="W486" i="127"/>
  <c r="V486" i="127"/>
  <c r="W451" i="127"/>
  <c r="V451" i="127"/>
  <c r="AN127" i="127"/>
  <c r="AJ522" i="127"/>
  <c r="AL522" i="127" s="1"/>
  <c r="AE48" i="127"/>
  <c r="AC52" i="127"/>
  <c r="AC343" i="127"/>
  <c r="AE271" i="127"/>
  <c r="AE243" i="127"/>
  <c r="AL441" i="127"/>
  <c r="AC445" i="127"/>
  <c r="AJ336" i="127"/>
  <c r="AJ364" i="127"/>
  <c r="AL342" i="127"/>
  <c r="AE176" i="127"/>
  <c r="AL176" i="127"/>
  <c r="AN176" i="127" s="1"/>
  <c r="AE92" i="127"/>
  <c r="AL92" i="127"/>
  <c r="AN92" i="127" s="1"/>
  <c r="AL389" i="127"/>
  <c r="AE389" i="127"/>
  <c r="AH389" i="127" s="1"/>
  <c r="AL305" i="127"/>
  <c r="AE305" i="127"/>
  <c r="AH305" i="127" s="1"/>
  <c r="AC280" i="127"/>
  <c r="AE276" i="127"/>
  <c r="AH276" i="127" s="1"/>
  <c r="AL276" i="127"/>
  <c r="AC252" i="127"/>
  <c r="AE248" i="127"/>
  <c r="W476" i="127"/>
  <c r="Y483" i="127" s="1"/>
  <c r="V476" i="127"/>
  <c r="N251" i="127"/>
  <c r="P455" i="127"/>
  <c r="N422" i="127"/>
  <c r="N244" i="127"/>
  <c r="P458" i="127"/>
  <c r="N223" i="127"/>
  <c r="N492" i="127"/>
  <c r="P492" i="127" s="1"/>
  <c r="N472" i="127"/>
  <c r="P472" i="127" s="1"/>
  <c r="N478" i="127"/>
  <c r="P478" i="127" s="1"/>
  <c r="N421" i="127"/>
  <c r="L417" i="127"/>
  <c r="V417" i="127" s="1"/>
  <c r="N270" i="127"/>
  <c r="N436" i="127"/>
  <c r="N423" i="127"/>
  <c r="N264" i="127"/>
  <c r="Y292" i="127"/>
  <c r="N500" i="127"/>
  <c r="P500" i="127" s="1"/>
  <c r="L315" i="127"/>
  <c r="N505" i="127"/>
  <c r="P505" i="127" s="1"/>
  <c r="N499" i="127"/>
  <c r="P499" i="127" s="1"/>
  <c r="N484" i="127"/>
  <c r="P484" i="127" s="1"/>
  <c r="L466" i="127"/>
  <c r="N464" i="127"/>
  <c r="P464" i="127" s="1"/>
  <c r="L459" i="127"/>
  <c r="N462" i="127"/>
  <c r="P462" i="127" s="1"/>
  <c r="N451" i="127"/>
  <c r="P451" i="127" s="1"/>
  <c r="N443" i="127"/>
  <c r="P443" i="127" s="1"/>
  <c r="N437" i="127"/>
  <c r="N429" i="127"/>
  <c r="L424" i="127"/>
  <c r="N427" i="127"/>
  <c r="N341" i="127"/>
  <c r="P341" i="127" s="1"/>
  <c r="N335" i="127"/>
  <c r="P335" i="127" s="1"/>
  <c r="N320" i="127"/>
  <c r="P320" i="127" s="1"/>
  <c r="N313" i="127"/>
  <c r="P313" i="127" s="1"/>
  <c r="N314" i="127"/>
  <c r="P314" i="127" s="1"/>
  <c r="N306" i="127"/>
  <c r="P306" i="127" s="1"/>
  <c r="N305" i="127"/>
  <c r="P305" i="127" s="1"/>
  <c r="N311" i="127"/>
  <c r="P311" i="127" s="1"/>
  <c r="N312" i="127"/>
  <c r="P312" i="127" s="1"/>
  <c r="L308" i="127"/>
  <c r="N277" i="127"/>
  <c r="P277" i="127" s="1"/>
  <c r="N250" i="127"/>
  <c r="N243" i="127"/>
  <c r="N249" i="127"/>
  <c r="N248" i="127"/>
  <c r="H315" i="127"/>
  <c r="L280" i="127"/>
  <c r="N278" i="127"/>
  <c r="P278" i="127" s="1"/>
  <c r="N285" i="127"/>
  <c r="P285" i="127" s="1"/>
  <c r="D480" i="127"/>
  <c r="N307" i="127"/>
  <c r="P307" i="127" s="1"/>
  <c r="N300" i="127"/>
  <c r="P300" i="127" s="1"/>
  <c r="D336" i="127"/>
  <c r="N299" i="127"/>
  <c r="P299" i="127" s="1"/>
  <c r="N227" i="127"/>
  <c r="N342" i="127"/>
  <c r="P342" i="127" s="1"/>
  <c r="N265" i="127"/>
  <c r="L245" i="127"/>
  <c r="N228" i="127"/>
  <c r="D529" i="127"/>
  <c r="H529" i="127" s="1"/>
  <c r="D521" i="127"/>
  <c r="H521" i="127" s="1"/>
  <c r="N471" i="127"/>
  <c r="P471" i="127" s="1"/>
  <c r="N465" i="127"/>
  <c r="P465" i="127" s="1"/>
  <c r="N435" i="127"/>
  <c r="L438" i="127"/>
  <c r="N444" i="127"/>
  <c r="P444" i="127" s="1"/>
  <c r="D390" i="127"/>
  <c r="H390" i="127" s="1"/>
  <c r="H508" i="127"/>
  <c r="D343" i="127"/>
  <c r="H343" i="127" s="1"/>
  <c r="D543" i="127"/>
  <c r="D546" i="127"/>
  <c r="H546" i="127" s="1"/>
  <c r="D539" i="127"/>
  <c r="H539" i="127" s="1"/>
  <c r="D554" i="127"/>
  <c r="H554" i="127" s="1"/>
  <c r="D561" i="127"/>
  <c r="H561" i="127" s="1"/>
  <c r="D556" i="127"/>
  <c r="H556" i="127" s="1"/>
  <c r="Y479" i="127"/>
  <c r="D479" i="127"/>
  <c r="H479" i="127" s="1"/>
  <c r="L501" i="127"/>
  <c r="W501" i="127" s="1"/>
  <c r="N497" i="127"/>
  <c r="P497" i="127" s="1"/>
  <c r="D493" i="127"/>
  <c r="H493" i="127" s="1"/>
  <c r="D486" i="127"/>
  <c r="H486" i="127" s="1"/>
  <c r="AH486" i="127" s="1"/>
  <c r="Y471" i="127"/>
  <c r="W417" i="127"/>
  <c r="Y417" i="127" s="1"/>
  <c r="N498" i="127"/>
  <c r="P498" i="127" s="1"/>
  <c r="N470" i="127"/>
  <c r="P470" i="127" s="1"/>
  <c r="N442" i="127"/>
  <c r="P442" i="127" s="1"/>
  <c r="D533" i="127"/>
  <c r="H533" i="127" s="1"/>
  <c r="D526" i="127"/>
  <c r="H526" i="127" s="1"/>
  <c r="L508" i="127"/>
  <c r="W508" i="127" s="1"/>
  <c r="N504" i="127"/>
  <c r="P504" i="127" s="1"/>
  <c r="D557" i="127"/>
  <c r="H557" i="127" s="1"/>
  <c r="D522" i="127"/>
  <c r="H522" i="127" s="1"/>
  <c r="H501" i="127"/>
  <c r="H480" i="127"/>
  <c r="D494" i="127"/>
  <c r="H494" i="127" s="1"/>
  <c r="D487" i="127"/>
  <c r="H487" i="127" s="1"/>
  <c r="L487" i="127"/>
  <c r="N456" i="127"/>
  <c r="P456" i="127" s="1"/>
  <c r="N449" i="127"/>
  <c r="P449" i="127" s="1"/>
  <c r="L445" i="127"/>
  <c r="N441" i="127"/>
  <c r="P441" i="127" s="1"/>
  <c r="L431" i="127"/>
  <c r="N507" i="127"/>
  <c r="P507" i="127" s="1"/>
  <c r="Y507" i="127"/>
  <c r="L494" i="127"/>
  <c r="N490" i="127"/>
  <c r="P490" i="127" s="1"/>
  <c r="N463" i="127"/>
  <c r="P463" i="127" s="1"/>
  <c r="L480" i="127"/>
  <c r="N457" i="127"/>
  <c r="P457" i="127" s="1"/>
  <c r="N477" i="127"/>
  <c r="P477" i="127" s="1"/>
  <c r="L473" i="127"/>
  <c r="N448" i="127"/>
  <c r="P448" i="127" s="1"/>
  <c r="L452" i="127"/>
  <c r="Y450" i="127"/>
  <c r="N450" i="127"/>
  <c r="P450" i="127" s="1"/>
  <c r="L231" i="127"/>
  <c r="N229" i="127"/>
  <c r="N222" i="127"/>
  <c r="N258" i="127"/>
  <c r="N263" i="127"/>
  <c r="N230" i="127"/>
  <c r="L343" i="127"/>
  <c r="V343" i="127" s="1"/>
  <c r="L224" i="127"/>
  <c r="N334" i="127"/>
  <c r="P334" i="127" s="1"/>
  <c r="N272" i="127"/>
  <c r="N286" i="127"/>
  <c r="P286" i="127" s="1"/>
  <c r="N340" i="127"/>
  <c r="P340" i="127" s="1"/>
  <c r="N293" i="127"/>
  <c r="P293" i="127" s="1"/>
  <c r="N257" i="127"/>
  <c r="N327" i="127"/>
  <c r="P327" i="127" s="1"/>
  <c r="N326" i="127"/>
  <c r="P326" i="127" s="1"/>
  <c r="L238" i="127"/>
  <c r="L252" i="127"/>
  <c r="N256" i="127"/>
  <c r="L259" i="127"/>
  <c r="D378" i="127"/>
  <c r="D374" i="127"/>
  <c r="H374" i="127" s="1"/>
  <c r="D381" i="127"/>
  <c r="H381" i="127" s="1"/>
  <c r="N291" i="127"/>
  <c r="P291" i="127" s="1"/>
  <c r="N269" i="127"/>
  <c r="L273" i="127"/>
  <c r="N276" i="127"/>
  <c r="P276" i="127" s="1"/>
  <c r="D384" i="127"/>
  <c r="H384" i="127" s="1"/>
  <c r="D349" i="127"/>
  <c r="H349" i="127" s="1"/>
  <c r="D321" i="127"/>
  <c r="H321" i="127" s="1"/>
  <c r="D328" i="127"/>
  <c r="H328" i="127" s="1"/>
  <c r="N332" i="127"/>
  <c r="P332" i="127" s="1"/>
  <c r="L336" i="127"/>
  <c r="W336" i="127" s="1"/>
  <c r="Y339" i="127"/>
  <c r="D353" i="127"/>
  <c r="H353" i="127" s="1"/>
  <c r="AH353" i="127" s="1"/>
  <c r="N321" i="127"/>
  <c r="N328" i="127"/>
  <c r="L322" i="127"/>
  <c r="N318" i="127"/>
  <c r="P318" i="127" s="1"/>
  <c r="N333" i="127"/>
  <c r="P333" i="127" s="1"/>
  <c r="D329" i="127"/>
  <c r="N297" i="127"/>
  <c r="P297" i="127" s="1"/>
  <c r="L301" i="127"/>
  <c r="N283" i="127"/>
  <c r="P283" i="127" s="1"/>
  <c r="L287" i="127"/>
  <c r="L266" i="127"/>
  <c r="N325" i="127"/>
  <c r="P325" i="127" s="1"/>
  <c r="L329" i="127"/>
  <c r="N290" i="127"/>
  <c r="P290" i="127" s="1"/>
  <c r="L294" i="127"/>
  <c r="N298" i="127"/>
  <c r="P298" i="127" s="1"/>
  <c r="N284" i="127"/>
  <c r="P284" i="127" s="1"/>
  <c r="Y472" i="127" l="1"/>
  <c r="Y451" i="127"/>
  <c r="X477" i="127"/>
  <c r="X299" i="127"/>
  <c r="Y284" i="127"/>
  <c r="X298" i="127"/>
  <c r="X293" i="127"/>
  <c r="AE315" i="127"/>
  <c r="AH315" i="127" s="1"/>
  <c r="Y307" i="127"/>
  <c r="X290" i="127"/>
  <c r="X497" i="127"/>
  <c r="AE501" i="127"/>
  <c r="AH501" i="127" s="1"/>
  <c r="AL501" i="127"/>
  <c r="Y478" i="127"/>
  <c r="Y341" i="127"/>
  <c r="Y335" i="127"/>
  <c r="Y313" i="127"/>
  <c r="X314" i="127"/>
  <c r="Y306" i="127"/>
  <c r="Y314" i="127"/>
  <c r="Y311" i="127"/>
  <c r="X326" i="127"/>
  <c r="I51" i="129"/>
  <c r="I54" i="129"/>
  <c r="I55" i="129" s="1"/>
  <c r="U208" i="129"/>
  <c r="U210" i="129"/>
  <c r="U211" i="129" s="1"/>
  <c r="I210" i="129"/>
  <c r="I211" i="129" s="1"/>
  <c r="I208" i="129"/>
  <c r="V219" i="129"/>
  <c r="V220" i="129" s="1"/>
  <c r="W203" i="129"/>
  <c r="W206" i="129" s="1"/>
  <c r="V207" i="129"/>
  <c r="U54" i="129"/>
  <c r="U55" i="129" s="1"/>
  <c r="U51" i="129"/>
  <c r="J206" i="129"/>
  <c r="J46" i="129"/>
  <c r="J49" i="129" s="1"/>
  <c r="J72" i="129" s="1"/>
  <c r="AE536" i="127"/>
  <c r="AL529" i="127"/>
  <c r="AE557" i="127"/>
  <c r="AH557" i="127" s="1"/>
  <c r="AN188" i="127"/>
  <c r="AQ170" i="128"/>
  <c r="AH554" i="127"/>
  <c r="AH561" i="127"/>
  <c r="AH539" i="127"/>
  <c r="AH556" i="127"/>
  <c r="AH546" i="127"/>
  <c r="Q131" i="129"/>
  <c r="Q133" i="129"/>
  <c r="Q134" i="129" s="1"/>
  <c r="W30" i="129"/>
  <c r="AJ29" i="129"/>
  <c r="AG169" i="129"/>
  <c r="AG171" i="129"/>
  <c r="AG172" i="129" s="1"/>
  <c r="Y250" i="129"/>
  <c r="AH181" i="129"/>
  <c r="X15" i="129"/>
  <c r="Y11" i="129"/>
  <c r="Y14" i="129" s="1"/>
  <c r="DM61" i="28" s="1"/>
  <c r="X29" i="129"/>
  <c r="X30" i="129" s="1"/>
  <c r="Y156" i="129"/>
  <c r="Y75" i="129" s="1"/>
  <c r="Z5" i="129"/>
  <c r="Z41" i="129" s="1"/>
  <c r="Z261" i="129"/>
  <c r="Z262" i="129" s="1"/>
  <c r="Z249" i="129"/>
  <c r="AA245" i="129"/>
  <c r="AA248" i="129" s="1"/>
  <c r="S126" i="129"/>
  <c r="S129" i="129" s="1"/>
  <c r="R130" i="129"/>
  <c r="R142" i="129"/>
  <c r="R143" i="129" s="1"/>
  <c r="AH168" i="129"/>
  <c r="W16" i="129"/>
  <c r="W19" i="129"/>
  <c r="X486" i="127"/>
  <c r="AL438" i="127"/>
  <c r="AE438" i="127"/>
  <c r="AH438" i="127" s="1"/>
  <c r="AL424" i="127"/>
  <c r="AE424" i="127"/>
  <c r="AL445" i="127"/>
  <c r="AE445" i="127"/>
  <c r="AH445" i="127" s="1"/>
  <c r="AL431" i="127"/>
  <c r="AE431" i="127"/>
  <c r="P486" i="127"/>
  <c r="P493" i="127"/>
  <c r="X457" i="127"/>
  <c r="X451" i="127"/>
  <c r="X450" i="127"/>
  <c r="AH384" i="127"/>
  <c r="AH390" i="127"/>
  <c r="AH381" i="127"/>
  <c r="AH374" i="127"/>
  <c r="P321" i="127"/>
  <c r="Y286" i="127"/>
  <c r="X305" i="127"/>
  <c r="X300" i="127"/>
  <c r="P328" i="127"/>
  <c r="Y342" i="127"/>
  <c r="X283" i="127"/>
  <c r="AN83" i="127"/>
  <c r="AL452" i="127"/>
  <c r="AE452" i="127"/>
  <c r="AH452" i="127" s="1"/>
  <c r="AL459" i="127"/>
  <c r="AE466" i="127"/>
  <c r="AH466" i="127" s="1"/>
  <c r="AE459" i="127"/>
  <c r="AH459" i="127" s="1"/>
  <c r="X463" i="127"/>
  <c r="X456" i="127"/>
  <c r="X458" i="127"/>
  <c r="AH521" i="127"/>
  <c r="AH522" i="127"/>
  <c r="AH349" i="127"/>
  <c r="AH493" i="127"/>
  <c r="AH328" i="127"/>
  <c r="P479" i="127"/>
  <c r="AH479" i="127"/>
  <c r="AH533" i="127"/>
  <c r="AH526" i="127"/>
  <c r="Y499" i="127"/>
  <c r="X334" i="127"/>
  <c r="X478" i="127"/>
  <c r="AL557" i="127"/>
  <c r="AL543" i="127"/>
  <c r="AE550" i="127"/>
  <c r="AE529" i="127"/>
  <c r="AH529" i="127" s="1"/>
  <c r="AE515" i="127"/>
  <c r="AH515" i="127" s="1"/>
  <c r="AL508" i="127"/>
  <c r="AE508" i="127"/>
  <c r="AH508" i="127" s="1"/>
  <c r="AL494" i="127"/>
  <c r="AL487" i="127"/>
  <c r="AE494" i="127"/>
  <c r="AH494" i="127" s="1"/>
  <c r="AL480" i="127"/>
  <c r="AE487" i="127"/>
  <c r="AH487" i="127" s="1"/>
  <c r="AL473" i="127"/>
  <c r="AE480" i="127"/>
  <c r="AH480" i="127" s="1"/>
  <c r="AE473" i="127"/>
  <c r="AH473" i="127" s="1"/>
  <c r="AE378" i="127"/>
  <c r="AL364" i="127"/>
  <c r="AL378" i="127"/>
  <c r="AE364" i="127"/>
  <c r="AL357" i="127"/>
  <c r="AL336" i="127"/>
  <c r="AE343" i="127"/>
  <c r="AH343" i="127" s="1"/>
  <c r="AE336" i="127"/>
  <c r="AH321" i="127"/>
  <c r="AE329" i="127"/>
  <c r="AL315" i="127"/>
  <c r="AN183" i="127"/>
  <c r="AE129" i="127"/>
  <c r="AN104" i="127"/>
  <c r="Y500" i="127"/>
  <c r="X499" i="127"/>
  <c r="X484" i="127"/>
  <c r="Y476" i="127"/>
  <c r="X476" i="127"/>
  <c r="X342" i="127"/>
  <c r="Y326" i="127"/>
  <c r="X332" i="127"/>
  <c r="X327" i="127"/>
  <c r="Y319" i="127"/>
  <c r="X321" i="127"/>
  <c r="X320" i="127"/>
  <c r="X311" i="127"/>
  <c r="X318" i="127"/>
  <c r="AN111" i="127"/>
  <c r="BI169" i="128"/>
  <c r="BJ169" i="128" s="1"/>
  <c r="BK169" i="128" s="1"/>
  <c r="BJ168" i="128"/>
  <c r="BK168" i="128" s="1"/>
  <c r="W329" i="127"/>
  <c r="V329" i="127"/>
  <c r="N308" i="127"/>
  <c r="P308" i="127" s="1"/>
  <c r="W301" i="127"/>
  <c r="V301" i="127"/>
  <c r="N322" i="127"/>
  <c r="W322" i="127"/>
  <c r="V322" i="127"/>
  <c r="W266" i="127"/>
  <c r="V266" i="127"/>
  <c r="N287" i="127"/>
  <c r="P287" i="127" s="1"/>
  <c r="W287" i="127"/>
  <c r="V287" i="127"/>
  <c r="W273" i="127"/>
  <c r="V273" i="127"/>
  <c r="W252" i="127"/>
  <c r="V252" i="127"/>
  <c r="W452" i="127"/>
  <c r="V452" i="127"/>
  <c r="N438" i="127"/>
  <c r="P438" i="127" s="1"/>
  <c r="V431" i="127"/>
  <c r="W245" i="127"/>
  <c r="V245" i="127"/>
  <c r="AN86" i="127"/>
  <c r="X304" i="127"/>
  <c r="X328" i="127"/>
  <c r="X491" i="127"/>
  <c r="AE73" i="127"/>
  <c r="AL73" i="127"/>
  <c r="AE322" i="127"/>
  <c r="AL322" i="127"/>
  <c r="AN76" i="127"/>
  <c r="AE59" i="127"/>
  <c r="AL59" i="127"/>
  <c r="AE143" i="127"/>
  <c r="AL143" i="127"/>
  <c r="AE245" i="127"/>
  <c r="AL245" i="127"/>
  <c r="X313" i="127"/>
  <c r="AL259" i="127"/>
  <c r="AE259" i="127"/>
  <c r="AE350" i="127"/>
  <c r="AH350" i="127" s="1"/>
  <c r="V508" i="127"/>
  <c r="AE94" i="127"/>
  <c r="AL94" i="127"/>
  <c r="AE150" i="127"/>
  <c r="AL150" i="127"/>
  <c r="Y285" i="127"/>
  <c r="X483" i="127"/>
  <c r="X506" i="127"/>
  <c r="X471" i="127"/>
  <c r="X449" i="127"/>
  <c r="X341" i="127"/>
  <c r="X485" i="127"/>
  <c r="X470" i="127"/>
  <c r="X335" i="127"/>
  <c r="X291" i="127"/>
  <c r="W343" i="127"/>
  <c r="W480" i="127"/>
  <c r="V480" i="127"/>
  <c r="W494" i="127"/>
  <c r="V494" i="127"/>
  <c r="W438" i="127"/>
  <c r="V438" i="127"/>
  <c r="W308" i="127"/>
  <c r="V308" i="127"/>
  <c r="X308" i="127" s="1"/>
  <c r="W459" i="127"/>
  <c r="V459" i="127"/>
  <c r="X459" i="127" s="1"/>
  <c r="AE280" i="127"/>
  <c r="AH280" i="127" s="1"/>
  <c r="AL280" i="127"/>
  <c r="AE108" i="127"/>
  <c r="AL108" i="127"/>
  <c r="V501" i="127"/>
  <c r="AE45" i="127"/>
  <c r="AL45" i="127"/>
  <c r="AN45" i="127" s="1"/>
  <c r="AN99" i="127"/>
  <c r="AE80" i="127"/>
  <c r="AL80" i="127"/>
  <c r="AN80" i="127" s="1"/>
  <c r="AE266" i="127"/>
  <c r="AL266" i="127"/>
  <c r="AL343" i="127"/>
  <c r="X333" i="127"/>
  <c r="X504" i="127"/>
  <c r="AL385" i="127"/>
  <c r="AE385" i="127"/>
  <c r="X472" i="127"/>
  <c r="AN169" i="127"/>
  <c r="AN84" i="127"/>
  <c r="X479" i="127"/>
  <c r="AE101" i="127"/>
  <c r="AL101" i="127"/>
  <c r="AN101" i="127" s="1"/>
  <c r="AE157" i="127"/>
  <c r="AL157" i="127"/>
  <c r="AL515" i="127"/>
  <c r="X448" i="127"/>
  <c r="AN118" i="127"/>
  <c r="W259" i="127"/>
  <c r="V259" i="127"/>
  <c r="X259" i="127" s="1"/>
  <c r="N238" i="127"/>
  <c r="W238" i="127"/>
  <c r="V238" i="127"/>
  <c r="W224" i="127"/>
  <c r="Y224" i="127" s="1"/>
  <c r="V224" i="127"/>
  <c r="X224" i="127" s="1"/>
  <c r="W231" i="127"/>
  <c r="V231" i="127"/>
  <c r="N473" i="127"/>
  <c r="P473" i="127" s="1"/>
  <c r="W473" i="127"/>
  <c r="V473" i="127"/>
  <c r="W445" i="127"/>
  <c r="V445" i="127"/>
  <c r="W487" i="127"/>
  <c r="V487" i="127"/>
  <c r="W280" i="127"/>
  <c r="V280" i="127"/>
  <c r="X280" i="127" s="1"/>
  <c r="W315" i="127"/>
  <c r="V315" i="127"/>
  <c r="AE252" i="127"/>
  <c r="AL252" i="127"/>
  <c r="V336" i="127"/>
  <c r="AL52" i="127"/>
  <c r="AE52" i="127"/>
  <c r="AE164" i="127"/>
  <c r="AL164" i="127"/>
  <c r="AN155" i="127"/>
  <c r="AE115" i="127"/>
  <c r="AL115" i="127"/>
  <c r="AN167" i="127"/>
  <c r="AE273" i="127"/>
  <c r="AH273" i="127" s="1"/>
  <c r="AL273" i="127"/>
  <c r="AE392" i="127"/>
  <c r="X339" i="127"/>
  <c r="AE122" i="127"/>
  <c r="AN174" i="127"/>
  <c r="AN141" i="127"/>
  <c r="AN113" i="127"/>
  <c r="AL287" i="127"/>
  <c r="AE287" i="127"/>
  <c r="AH287" i="127" s="1"/>
  <c r="AN181" i="127"/>
  <c r="X500" i="127"/>
  <c r="X455" i="127"/>
  <c r="X505" i="127"/>
  <c r="X507" i="127"/>
  <c r="Y283" i="127"/>
  <c r="X312" i="127"/>
  <c r="X292" i="127"/>
  <c r="X325" i="127"/>
  <c r="X307" i="127"/>
  <c r="W294" i="127"/>
  <c r="V294" i="127"/>
  <c r="X294" i="127" s="1"/>
  <c r="W424" i="127"/>
  <c r="Y424" i="127" s="1"/>
  <c r="V424" i="127"/>
  <c r="W466" i="127"/>
  <c r="V466" i="127"/>
  <c r="AE136" i="127"/>
  <c r="AL136" i="127"/>
  <c r="AE294" i="127"/>
  <c r="AH294" i="127" s="1"/>
  <c r="AL294" i="127"/>
  <c r="Y458" i="127"/>
  <c r="AL238" i="127"/>
  <c r="AE238" i="127"/>
  <c r="AE87" i="127"/>
  <c r="AL87" i="127"/>
  <c r="AE171" i="127"/>
  <c r="AL171" i="127"/>
  <c r="AN106" i="127"/>
  <c r="AN190" i="127"/>
  <c r="AN90" i="127"/>
  <c r="AE178" i="127"/>
  <c r="AL178" i="127"/>
  <c r="AE66" i="127"/>
  <c r="AL66" i="127"/>
  <c r="X464" i="127"/>
  <c r="AN97" i="127"/>
  <c r="AE185" i="127"/>
  <c r="AL185" i="127"/>
  <c r="X340" i="127"/>
  <c r="X306" i="127"/>
  <c r="X493" i="127"/>
  <c r="AE371" i="127"/>
  <c r="AH371" i="127" s="1"/>
  <c r="N315" i="127"/>
  <c r="P315" i="127" s="1"/>
  <c r="Y318" i="127"/>
  <c r="N424" i="127"/>
  <c r="Y300" i="127"/>
  <c r="Y506" i="127"/>
  <c r="H329" i="127"/>
  <c r="Y334" i="127"/>
  <c r="Y231" i="127"/>
  <c r="Y477" i="127"/>
  <c r="N466" i="127"/>
  <c r="P466" i="127" s="1"/>
  <c r="N452" i="127"/>
  <c r="P452" i="127" s="1"/>
  <c r="N445" i="127"/>
  <c r="P445" i="127" s="1"/>
  <c r="Y299" i="127"/>
  <c r="N280" i="127"/>
  <c r="P280" i="127" s="1"/>
  <c r="D536" i="127"/>
  <c r="H536" i="127" s="1"/>
  <c r="N343" i="127"/>
  <c r="P343" i="127" s="1"/>
  <c r="Y457" i="127"/>
  <c r="H336" i="127"/>
  <c r="Y463" i="127"/>
  <c r="Y449" i="127"/>
  <c r="Y490" i="127"/>
  <c r="Y448" i="127"/>
  <c r="N480" i="127"/>
  <c r="P480" i="127" s="1"/>
  <c r="N494" i="127"/>
  <c r="P494" i="127" s="1"/>
  <c r="Y464" i="127"/>
  <c r="Y456" i="127"/>
  <c r="N508" i="127"/>
  <c r="P508" i="127" s="1"/>
  <c r="N459" i="127"/>
  <c r="P459" i="127" s="1"/>
  <c r="Y486" i="127"/>
  <c r="Y493" i="127"/>
  <c r="H543" i="127"/>
  <c r="AH543" i="127" s="1"/>
  <c r="Y497" i="127"/>
  <c r="W431" i="127"/>
  <c r="N431" i="127"/>
  <c r="N487" i="127"/>
  <c r="P487" i="127" s="1"/>
  <c r="Y484" i="127"/>
  <c r="Y491" i="127"/>
  <c r="N501" i="127"/>
  <c r="P501" i="127" s="1"/>
  <c r="Y504" i="127"/>
  <c r="Y470" i="127"/>
  <c r="Y498" i="127"/>
  <c r="Y505" i="127"/>
  <c r="Y455" i="127"/>
  <c r="D550" i="127"/>
  <c r="N231" i="127"/>
  <c r="N224" i="127"/>
  <c r="N259" i="127"/>
  <c r="N294" i="127"/>
  <c r="P294" i="127" s="1"/>
  <c r="N329" i="127"/>
  <c r="Y245" i="127"/>
  <c r="N245" i="127"/>
  <c r="N252" i="127"/>
  <c r="Y252" i="127"/>
  <c r="Y320" i="127"/>
  <c r="Y327" i="127"/>
  <c r="N266" i="127"/>
  <c r="Y266" i="127"/>
  <c r="Y321" i="127"/>
  <c r="Y328" i="127"/>
  <c r="D322" i="127"/>
  <c r="Y290" i="127"/>
  <c r="Y325" i="127"/>
  <c r="N336" i="127"/>
  <c r="D385" i="127"/>
  <c r="D392" i="127"/>
  <c r="H392" i="127" s="1"/>
  <c r="H378" i="127"/>
  <c r="Y297" i="127"/>
  <c r="D356" i="127"/>
  <c r="H356" i="127" s="1"/>
  <c r="Y298" i="127"/>
  <c r="Y305" i="127"/>
  <c r="Y333" i="127"/>
  <c r="Y340" i="127"/>
  <c r="D357" i="127"/>
  <c r="H357" i="127" s="1"/>
  <c r="D364" i="127"/>
  <c r="H364" i="127" s="1"/>
  <c r="Y291" i="127"/>
  <c r="N273" i="127"/>
  <c r="P273" i="127" s="1"/>
  <c r="Y304" i="127"/>
  <c r="N301" i="127"/>
  <c r="P301" i="127" s="1"/>
  <c r="Y332" i="127"/>
  <c r="Y445" i="127" l="1"/>
  <c r="AN52" i="127"/>
  <c r="X315" i="127"/>
  <c r="Y315" i="127"/>
  <c r="P329" i="127"/>
  <c r="J219" i="129"/>
  <c r="J228" i="129"/>
  <c r="J207" i="129"/>
  <c r="W219" i="129"/>
  <c r="W220" i="129" s="1"/>
  <c r="AJ206" i="129"/>
  <c r="W207" i="129"/>
  <c r="X203" i="129"/>
  <c r="X206" i="129" s="1"/>
  <c r="J50" i="129"/>
  <c r="J52" i="129"/>
  <c r="J63" i="129"/>
  <c r="V208" i="129"/>
  <c r="V210" i="129"/>
  <c r="V211" i="129" s="1"/>
  <c r="Z250" i="129"/>
  <c r="Z156" i="129"/>
  <c r="Z75" i="129" s="1"/>
  <c r="AA5" i="129"/>
  <c r="AA41" i="129" s="1"/>
  <c r="X16" i="129"/>
  <c r="X19" i="129"/>
  <c r="X20" i="129" s="1"/>
  <c r="R131" i="129"/>
  <c r="R133" i="129"/>
  <c r="R134" i="129" s="1"/>
  <c r="W20" i="129"/>
  <c r="AJ19" i="129"/>
  <c r="T126" i="129"/>
  <c r="T129" i="129" s="1"/>
  <c r="S130" i="129"/>
  <c r="S142" i="129"/>
  <c r="S143" i="129" s="1"/>
  <c r="AH169" i="129"/>
  <c r="AH171" i="129"/>
  <c r="AH172" i="129" s="1"/>
  <c r="AB245" i="129"/>
  <c r="AB248" i="129" s="1"/>
  <c r="AA249" i="129"/>
  <c r="AA261" i="129"/>
  <c r="AA262" i="129" s="1"/>
  <c r="Y15" i="129"/>
  <c r="Z11" i="129"/>
  <c r="Z14" i="129" s="1"/>
  <c r="DN61" i="28" s="1"/>
  <c r="Y29" i="129"/>
  <c r="Y30" i="129" s="1"/>
  <c r="Y466" i="127"/>
  <c r="AH392" i="127"/>
  <c r="AH378" i="127"/>
  <c r="P336" i="127"/>
  <c r="X231" i="127"/>
  <c r="AN66" i="127"/>
  <c r="AN87" i="127"/>
  <c r="X466" i="127"/>
  <c r="AH536" i="127"/>
  <c r="AH364" i="127"/>
  <c r="AH356" i="127"/>
  <c r="AH357" i="127"/>
  <c r="AH336" i="127"/>
  <c r="AH329" i="127"/>
  <c r="AN150" i="127"/>
  <c r="AN185" i="127"/>
  <c r="AN178" i="127"/>
  <c r="AN171" i="127"/>
  <c r="AN164" i="127"/>
  <c r="AN115" i="127"/>
  <c r="X501" i="127"/>
  <c r="Y480" i="127"/>
  <c r="X487" i="127"/>
  <c r="Y473" i="127"/>
  <c r="X336" i="127"/>
  <c r="Y322" i="127"/>
  <c r="Y329" i="127"/>
  <c r="BI173" i="128"/>
  <c r="BI170" i="128"/>
  <c r="BJ170" i="128" s="1"/>
  <c r="BK170" i="128" s="1"/>
  <c r="X445" i="127"/>
  <c r="AN157" i="127"/>
  <c r="AN108" i="127"/>
  <c r="AN94" i="127"/>
  <c r="AN59" i="127"/>
  <c r="Y287" i="127"/>
  <c r="X329" i="127"/>
  <c r="X238" i="127"/>
  <c r="X494" i="127"/>
  <c r="AN73" i="127"/>
  <c r="X245" i="127"/>
  <c r="X452" i="127"/>
  <c r="X273" i="127"/>
  <c r="X301" i="127"/>
  <c r="X473" i="127"/>
  <c r="X508" i="127"/>
  <c r="AN143" i="127"/>
  <c r="X266" i="127"/>
  <c r="X322" i="127"/>
  <c r="X480" i="127"/>
  <c r="X252" i="127"/>
  <c r="X287" i="127"/>
  <c r="X343" i="127"/>
  <c r="Y487" i="127"/>
  <c r="Y452" i="127"/>
  <c r="Y494" i="127"/>
  <c r="Y508" i="127"/>
  <c r="H322" i="127"/>
  <c r="AH322" i="127" s="1"/>
  <c r="H550" i="127"/>
  <c r="Y501" i="127"/>
  <c r="Y431" i="127"/>
  <c r="Y438" i="127"/>
  <c r="Y459" i="127"/>
  <c r="Y259" i="127"/>
  <c r="Y301" i="127"/>
  <c r="Y273" i="127"/>
  <c r="Y280" i="127"/>
  <c r="Y336" i="127"/>
  <c r="Y308" i="127"/>
  <c r="H385" i="127"/>
  <c r="Y343" i="127"/>
  <c r="Y294" i="127"/>
  <c r="J51" i="129" l="1"/>
  <c r="J54" i="129"/>
  <c r="K51" i="129"/>
  <c r="J64" i="129"/>
  <c r="K64" i="129"/>
  <c r="X207" i="129"/>
  <c r="Y203" i="129"/>
  <c r="Y206" i="129" s="1"/>
  <c r="X219" i="129"/>
  <c r="X220" i="129" s="1"/>
  <c r="J210" i="129"/>
  <c r="J208" i="129"/>
  <c r="K208" i="129"/>
  <c r="W208" i="129"/>
  <c r="W210" i="129"/>
  <c r="W211" i="129" s="1"/>
  <c r="J220" i="129"/>
  <c r="K220" i="129"/>
  <c r="AH550" i="127"/>
  <c r="AH385" i="127"/>
  <c r="AA250" i="129"/>
  <c r="Z15" i="129"/>
  <c r="Z29" i="129"/>
  <c r="AC245" i="129"/>
  <c r="AC248" i="129" s="1"/>
  <c r="AB249" i="129"/>
  <c r="AB261" i="129"/>
  <c r="AB262" i="129" s="1"/>
  <c r="S131" i="129"/>
  <c r="S133" i="129"/>
  <c r="S134" i="129" s="1"/>
  <c r="AA156" i="129"/>
  <c r="AA75" i="129" s="1"/>
  <c r="AB5" i="129"/>
  <c r="AB41" i="129" s="1"/>
  <c r="Y16" i="129"/>
  <c r="Y19" i="129"/>
  <c r="Y20" i="129" s="1"/>
  <c r="T142" i="129"/>
  <c r="T143" i="129" s="1"/>
  <c r="T130" i="129"/>
  <c r="U126" i="129"/>
  <c r="U129" i="129" s="1"/>
  <c r="P322" i="127"/>
  <c r="BJ173" i="128"/>
  <c r="BK173" i="128" s="1"/>
  <c r="BI174" i="128"/>
  <c r="Y219" i="129" l="1"/>
  <c r="Y207" i="129"/>
  <c r="J211" i="129"/>
  <c r="K211" i="129"/>
  <c r="X208" i="129"/>
  <c r="X210" i="129"/>
  <c r="X211" i="129" s="1"/>
  <c r="J55" i="129"/>
  <c r="K55" i="129"/>
  <c r="AD245" i="129"/>
  <c r="AD248" i="129" s="1"/>
  <c r="AC249" i="129"/>
  <c r="AC261" i="129"/>
  <c r="AC262" i="129" s="1"/>
  <c r="Z30" i="129"/>
  <c r="AA30" i="129"/>
  <c r="T131" i="129"/>
  <c r="T133" i="129"/>
  <c r="T134" i="129" s="1"/>
  <c r="AB156" i="129"/>
  <c r="AB75" i="129" s="1"/>
  <c r="AC5" i="129"/>
  <c r="AC41" i="129" s="1"/>
  <c r="Z16" i="129"/>
  <c r="AA16" i="129"/>
  <c r="Z19" i="129"/>
  <c r="U130" i="129"/>
  <c r="U142" i="129"/>
  <c r="U143" i="129" s="1"/>
  <c r="AB250" i="129"/>
  <c r="BI175" i="128"/>
  <c r="BJ175" i="128" s="1"/>
  <c r="BJ174" i="128"/>
  <c r="BK174" i="128" s="1"/>
  <c r="Z208" i="129" l="1"/>
  <c r="Y208" i="129"/>
  <c r="Y210" i="129"/>
  <c r="Y220" i="129"/>
  <c r="Z220" i="129"/>
  <c r="AC156" i="129"/>
  <c r="AD5" i="129"/>
  <c r="AD41" i="129" s="1"/>
  <c r="U131" i="129"/>
  <c r="U133" i="129"/>
  <c r="U134" i="129" s="1"/>
  <c r="Z20" i="129"/>
  <c r="AA20" i="129"/>
  <c r="AC250" i="129"/>
  <c r="AD249" i="129"/>
  <c r="AE245" i="129"/>
  <c r="AE248" i="129" s="1"/>
  <c r="AD261" i="129"/>
  <c r="AD262" i="129" s="1"/>
  <c r="BK182" i="128"/>
  <c r="BK175" i="128"/>
  <c r="BI176" i="128"/>
  <c r="BJ176" i="128" s="1"/>
  <c r="BK176" i="128" s="1"/>
  <c r="B199" i="127"/>
  <c r="B192" i="127"/>
  <c r="B185" i="127"/>
  <c r="B178" i="127"/>
  <c r="B171" i="127"/>
  <c r="B164" i="127"/>
  <c r="B157" i="127"/>
  <c r="B150" i="127"/>
  <c r="B143" i="127"/>
  <c r="B136" i="127"/>
  <c r="B129" i="127"/>
  <c r="B122" i="127"/>
  <c r="B115" i="127"/>
  <c r="B108" i="127"/>
  <c r="B101" i="127"/>
  <c r="B94" i="127"/>
  <c r="B87" i="127"/>
  <c r="B80" i="127"/>
  <c r="B73" i="127"/>
  <c r="B66" i="127"/>
  <c r="B59" i="127"/>
  <c r="B52" i="127"/>
  <c r="B45" i="127"/>
  <c r="B38" i="127"/>
  <c r="B195" i="127"/>
  <c r="B188" i="127"/>
  <c r="B181" i="127"/>
  <c r="B174" i="127"/>
  <c r="B167" i="127"/>
  <c r="B160" i="127"/>
  <c r="B153" i="127"/>
  <c r="B146" i="127"/>
  <c r="B139" i="127"/>
  <c r="B132" i="127"/>
  <c r="B125" i="127"/>
  <c r="B118" i="127"/>
  <c r="B111" i="127"/>
  <c r="B104" i="127"/>
  <c r="B97" i="127"/>
  <c r="B90" i="127"/>
  <c r="B83" i="127"/>
  <c r="B76" i="127"/>
  <c r="B69" i="127"/>
  <c r="B62" i="127"/>
  <c r="B55" i="127"/>
  <c r="B48" i="127"/>
  <c r="B41" i="127"/>
  <c r="B34" i="127"/>
  <c r="B196" i="127"/>
  <c r="B189" i="127"/>
  <c r="B182" i="127"/>
  <c r="B175" i="127"/>
  <c r="B168" i="127"/>
  <c r="B161" i="127"/>
  <c r="B155" i="127"/>
  <c r="B147" i="127"/>
  <c r="B140" i="127"/>
  <c r="B133" i="127"/>
  <c r="B126" i="127"/>
  <c r="B119" i="127"/>
  <c r="B112" i="127"/>
  <c r="B105" i="127"/>
  <c r="B98" i="127"/>
  <c r="B91" i="127"/>
  <c r="B84" i="127"/>
  <c r="B77" i="127"/>
  <c r="B70" i="127"/>
  <c r="B63" i="127"/>
  <c r="B56" i="127"/>
  <c r="B49" i="127"/>
  <c r="B42" i="127"/>
  <c r="B35" i="127"/>
  <c r="B197" i="127"/>
  <c r="B190" i="127"/>
  <c r="B183" i="127"/>
  <c r="B176" i="127"/>
  <c r="B169" i="127"/>
  <c r="B162" i="127"/>
  <c r="B156" i="127"/>
  <c r="B148" i="127"/>
  <c r="B141" i="127"/>
  <c r="B134" i="127"/>
  <c r="B127" i="127"/>
  <c r="B120" i="127"/>
  <c r="B113" i="127"/>
  <c r="B106" i="127"/>
  <c r="B99" i="127"/>
  <c r="B92" i="127"/>
  <c r="B85" i="127"/>
  <c r="B78" i="127"/>
  <c r="B71" i="127"/>
  <c r="B64" i="127"/>
  <c r="B57" i="127"/>
  <c r="B50" i="127"/>
  <c r="B43" i="127"/>
  <c r="B36" i="127"/>
  <c r="B198" i="127"/>
  <c r="B191" i="127"/>
  <c r="B184" i="127"/>
  <c r="B177" i="127"/>
  <c r="B170" i="127"/>
  <c r="B163" i="127"/>
  <c r="B154" i="127"/>
  <c r="B149" i="127"/>
  <c r="B142" i="127"/>
  <c r="B135" i="127"/>
  <c r="B128" i="127"/>
  <c r="B121" i="127"/>
  <c r="B114" i="127"/>
  <c r="B107" i="127"/>
  <c r="B100" i="127"/>
  <c r="B93" i="127"/>
  <c r="B86" i="127"/>
  <c r="B79" i="127"/>
  <c r="B72" i="127"/>
  <c r="B65" i="127"/>
  <c r="B58" i="127"/>
  <c r="B51" i="127"/>
  <c r="B44" i="127"/>
  <c r="B37" i="127"/>
  <c r="A198" i="127"/>
  <c r="A191" i="127"/>
  <c r="A184" i="127"/>
  <c r="A177" i="127"/>
  <c r="A170" i="127"/>
  <c r="A163" i="127"/>
  <c r="A154" i="127"/>
  <c r="A149" i="127"/>
  <c r="A142" i="127"/>
  <c r="A135" i="127"/>
  <c r="A128" i="127"/>
  <c r="A121" i="127"/>
  <c r="A114" i="127"/>
  <c r="A107" i="127"/>
  <c r="A100" i="127"/>
  <c r="A93" i="127"/>
  <c r="A86" i="127"/>
  <c r="A79" i="127"/>
  <c r="A72" i="127"/>
  <c r="A65" i="127"/>
  <c r="A58" i="127"/>
  <c r="A51" i="127"/>
  <c r="A44" i="127"/>
  <c r="A37" i="127"/>
  <c r="A197" i="127"/>
  <c r="A190" i="127"/>
  <c r="A183" i="127"/>
  <c r="A176" i="127"/>
  <c r="A169" i="127"/>
  <c r="A162" i="127"/>
  <c r="A156" i="127"/>
  <c r="A148" i="127"/>
  <c r="A141" i="127"/>
  <c r="A134" i="127"/>
  <c r="A127" i="127"/>
  <c r="A120" i="127"/>
  <c r="A113" i="127"/>
  <c r="A106" i="127"/>
  <c r="A99" i="127"/>
  <c r="A92" i="127"/>
  <c r="A85" i="127"/>
  <c r="A78" i="127"/>
  <c r="A71" i="127"/>
  <c r="A64" i="127"/>
  <c r="A57" i="127"/>
  <c r="A50" i="127"/>
  <c r="A43" i="127"/>
  <c r="A36" i="127"/>
  <c r="A196" i="127"/>
  <c r="A189" i="127"/>
  <c r="A182" i="127"/>
  <c r="A175" i="127"/>
  <c r="A168" i="127"/>
  <c r="A161" i="127"/>
  <c r="A155" i="127"/>
  <c r="A147" i="127"/>
  <c r="A140" i="127"/>
  <c r="A133" i="127"/>
  <c r="A126" i="127"/>
  <c r="A119" i="127"/>
  <c r="A112" i="127"/>
  <c r="A105" i="127"/>
  <c r="A98" i="127"/>
  <c r="A91" i="127"/>
  <c r="A84" i="127"/>
  <c r="A77" i="127"/>
  <c r="A70" i="127"/>
  <c r="A63" i="127"/>
  <c r="A56" i="127"/>
  <c r="A49" i="127"/>
  <c r="A42" i="127"/>
  <c r="A35" i="127"/>
  <c r="A195" i="127"/>
  <c r="A188" i="127"/>
  <c r="A181" i="127"/>
  <c r="A174" i="127"/>
  <c r="A167" i="127"/>
  <c r="A160" i="127"/>
  <c r="A153" i="127"/>
  <c r="A146" i="127"/>
  <c r="A139" i="127"/>
  <c r="A132" i="127"/>
  <c r="A125" i="127"/>
  <c r="A118" i="127"/>
  <c r="A111" i="127"/>
  <c r="A104" i="127"/>
  <c r="A97" i="127"/>
  <c r="A90" i="127"/>
  <c r="A83" i="127"/>
  <c r="A76" i="127"/>
  <c r="A69" i="127"/>
  <c r="A62" i="127"/>
  <c r="A55" i="127"/>
  <c r="A48" i="127"/>
  <c r="A41" i="127"/>
  <c r="A34" i="127"/>
  <c r="D188" i="127"/>
  <c r="H188" i="127" s="1"/>
  <c r="AR157" i="127"/>
  <c r="AR155" i="127"/>
  <c r="AR154" i="127"/>
  <c r="AR153" i="127"/>
  <c r="AR150" i="127"/>
  <c r="AR156" i="127"/>
  <c r="AR148" i="127"/>
  <c r="AR147" i="127"/>
  <c r="AR146" i="127"/>
  <c r="AR143" i="127"/>
  <c r="AR141" i="127"/>
  <c r="D148" i="127"/>
  <c r="H148" i="127" s="1"/>
  <c r="D141" i="127"/>
  <c r="H141" i="127" s="1"/>
  <c r="AR140" i="127"/>
  <c r="D140" i="127"/>
  <c r="H140" i="127" s="1"/>
  <c r="AR139" i="127"/>
  <c r="D139" i="127"/>
  <c r="H139" i="127" s="1"/>
  <c r="AR135" i="127"/>
  <c r="D135" i="127"/>
  <c r="H135" i="127" s="1"/>
  <c r="AR134" i="127"/>
  <c r="AR133" i="127"/>
  <c r="D133" i="127"/>
  <c r="H133" i="127" s="1"/>
  <c r="AR132" i="127"/>
  <c r="D132" i="127"/>
  <c r="H132" i="127" s="1"/>
  <c r="AR128" i="127"/>
  <c r="D128" i="127"/>
  <c r="H128" i="127" s="1"/>
  <c r="AR127" i="127"/>
  <c r="D134" i="127"/>
  <c r="H134" i="127" s="1"/>
  <c r="L128" i="127"/>
  <c r="AR126" i="127"/>
  <c r="AR125" i="127"/>
  <c r="T122" i="127"/>
  <c r="AJ122" i="127" s="1"/>
  <c r="AL122" i="127" s="1"/>
  <c r="AN122" i="127" s="1"/>
  <c r="D105" i="127"/>
  <c r="H105" i="127" s="1"/>
  <c r="D100" i="127"/>
  <c r="H100" i="127" s="1"/>
  <c r="D99" i="127"/>
  <c r="H99" i="127" s="1"/>
  <c r="D98" i="127"/>
  <c r="H98" i="127" s="1"/>
  <c r="D97" i="127"/>
  <c r="H97" i="127" s="1"/>
  <c r="B96" i="127"/>
  <c r="B103" i="127" s="1"/>
  <c r="B110" i="127" s="1"/>
  <c r="B117" i="127" s="1"/>
  <c r="B124" i="127" s="1"/>
  <c r="D93" i="127"/>
  <c r="H93" i="127" s="1"/>
  <c r="D92" i="127"/>
  <c r="H92" i="127" s="1"/>
  <c r="D91" i="127"/>
  <c r="H91" i="127" s="1"/>
  <c r="AH91" i="127" s="1"/>
  <c r="L91" i="127"/>
  <c r="D90" i="127"/>
  <c r="H90" i="127" s="1"/>
  <c r="AH90" i="127" s="1"/>
  <c r="D86" i="127"/>
  <c r="H86" i="127" s="1"/>
  <c r="AH86" i="127" s="1"/>
  <c r="D85" i="127"/>
  <c r="H85" i="127" s="1"/>
  <c r="AH85" i="127" s="1"/>
  <c r="L84" i="127"/>
  <c r="D84" i="127"/>
  <c r="H84" i="127" s="1"/>
  <c r="AH84" i="127" s="1"/>
  <c r="D83" i="127"/>
  <c r="H83" i="127" s="1"/>
  <c r="AH83" i="127" s="1"/>
  <c r="D79" i="127"/>
  <c r="H79" i="127" s="1"/>
  <c r="AH79" i="127" s="1"/>
  <c r="D78" i="127"/>
  <c r="H78" i="127" s="1"/>
  <c r="AH78" i="127" s="1"/>
  <c r="D77" i="127"/>
  <c r="H77" i="127" s="1"/>
  <c r="AH77" i="127" s="1"/>
  <c r="D76" i="127"/>
  <c r="H76" i="127" s="1"/>
  <c r="AH76" i="127" s="1"/>
  <c r="AK72" i="127"/>
  <c r="AK71" i="127"/>
  <c r="AK70" i="127"/>
  <c r="L70" i="127"/>
  <c r="B40" i="127"/>
  <c r="B47" i="127" s="1"/>
  <c r="B54" i="127" s="1"/>
  <c r="B61" i="127" s="1"/>
  <c r="B68" i="127" s="1"/>
  <c r="B75" i="127" s="1"/>
  <c r="AK31" i="127"/>
  <c r="CM70" i="28"/>
  <c r="CL70" i="28"/>
  <c r="CK70" i="28"/>
  <c r="CJ70" i="28"/>
  <c r="CM69" i="28"/>
  <c r="CL69" i="28"/>
  <c r="CK69" i="28"/>
  <c r="CJ69" i="28"/>
  <c r="CM68" i="28"/>
  <c r="CL68" i="28"/>
  <c r="CK68" i="28"/>
  <c r="CJ68" i="28"/>
  <c r="CP65" i="28"/>
  <c r="CP62" i="28"/>
  <c r="CO61" i="28"/>
  <c r="Y211" i="129" l="1"/>
  <c r="Z211" i="129"/>
  <c r="AD156" i="129"/>
  <c r="AE5" i="129"/>
  <c r="AE41" i="129" s="1"/>
  <c r="AE249" i="129"/>
  <c r="AF245" i="129"/>
  <c r="AF248" i="129" s="1"/>
  <c r="AE261" i="129"/>
  <c r="AE262" i="129" s="1"/>
  <c r="AD250" i="129"/>
  <c r="AO80" i="127"/>
  <c r="BI180" i="128"/>
  <c r="BI177" i="128"/>
  <c r="BJ177" i="128" s="1"/>
  <c r="BK177" i="128" s="1"/>
  <c r="W84" i="127"/>
  <c r="V84" i="127"/>
  <c r="AO108" i="127"/>
  <c r="W91" i="127"/>
  <c r="V91" i="127"/>
  <c r="AO122" i="127"/>
  <c r="AR136" i="127"/>
  <c r="T129" i="127"/>
  <c r="AJ129" i="127" s="1"/>
  <c r="AL129" i="127" s="1"/>
  <c r="W70" i="127"/>
  <c r="V70" i="127"/>
  <c r="AO115" i="127"/>
  <c r="W128" i="127"/>
  <c r="V128" i="127"/>
  <c r="AH188" i="127"/>
  <c r="AH148" i="127"/>
  <c r="AH97" i="127"/>
  <c r="AH135" i="127"/>
  <c r="AH141" i="127"/>
  <c r="AH93" i="127"/>
  <c r="AH98" i="127"/>
  <c r="AH100" i="127"/>
  <c r="AH128" i="127"/>
  <c r="AH132" i="127"/>
  <c r="AH140" i="127"/>
  <c r="AH134" i="127"/>
  <c r="AH92" i="127"/>
  <c r="AH99" i="127"/>
  <c r="AH105" i="127"/>
  <c r="AH133" i="127"/>
  <c r="AH139" i="127"/>
  <c r="D118" i="127"/>
  <c r="H118" i="127" s="1"/>
  <c r="AR129" i="127"/>
  <c r="L48" i="127"/>
  <c r="L120" i="127"/>
  <c r="L132" i="127"/>
  <c r="L121" i="127"/>
  <c r="D177" i="127"/>
  <c r="D169" i="127"/>
  <c r="H169" i="127" s="1"/>
  <c r="D170" i="127"/>
  <c r="H170" i="127" s="1"/>
  <c r="L92" i="127"/>
  <c r="D163" i="127"/>
  <c r="H163" i="127" s="1"/>
  <c r="L64" i="127"/>
  <c r="B131" i="127"/>
  <c r="B138" i="127" s="1"/>
  <c r="B145" i="127" s="1"/>
  <c r="B152" i="127" s="1"/>
  <c r="B159" i="127" s="1"/>
  <c r="B166" i="127" s="1"/>
  <c r="B173" i="127" s="1"/>
  <c r="B180" i="127" s="1"/>
  <c r="B187" i="127" s="1"/>
  <c r="B194" i="127" s="1"/>
  <c r="L37" i="127"/>
  <c r="L50" i="127"/>
  <c r="L29" i="127"/>
  <c r="L42" i="127"/>
  <c r="D66" i="127"/>
  <c r="H66" i="127" s="1"/>
  <c r="AH66" i="127" s="1"/>
  <c r="L106" i="127"/>
  <c r="L44" i="127"/>
  <c r="D94" i="127"/>
  <c r="H94" i="127" s="1"/>
  <c r="AH94" i="127" s="1"/>
  <c r="L30" i="127"/>
  <c r="L34" i="127"/>
  <c r="L49" i="127"/>
  <c r="L51" i="127"/>
  <c r="L57" i="127"/>
  <c r="L65" i="127"/>
  <c r="L76" i="127"/>
  <c r="L43" i="127"/>
  <c r="L107" i="127"/>
  <c r="L56" i="127"/>
  <c r="L77" i="127"/>
  <c r="L79" i="127"/>
  <c r="L97" i="127"/>
  <c r="L99" i="127"/>
  <c r="L134" i="127"/>
  <c r="L35" i="127"/>
  <c r="L55" i="127"/>
  <c r="D73" i="127"/>
  <c r="H73" i="127" s="1"/>
  <c r="AH73" i="127" s="1"/>
  <c r="L78" i="127"/>
  <c r="L86" i="127"/>
  <c r="L90" i="127"/>
  <c r="L98" i="127"/>
  <c r="N98" i="127" s="1"/>
  <c r="P98" i="127" s="1"/>
  <c r="L105" i="127"/>
  <c r="D106" i="127"/>
  <c r="H106" i="127" s="1"/>
  <c r="AO106" i="127"/>
  <c r="D120" i="127"/>
  <c r="H120" i="127" s="1"/>
  <c r="D125" i="127"/>
  <c r="H125" i="127" s="1"/>
  <c r="L28" i="127"/>
  <c r="L58" i="127"/>
  <c r="N91" i="127"/>
  <c r="P91" i="127" s="1"/>
  <c r="L93" i="127"/>
  <c r="D101" i="127"/>
  <c r="H101" i="127" s="1"/>
  <c r="L111" i="127"/>
  <c r="L112" i="127"/>
  <c r="L113" i="127"/>
  <c r="L133" i="127"/>
  <c r="D143" i="127"/>
  <c r="L36" i="127"/>
  <c r="D38" i="127"/>
  <c r="L63" i="127"/>
  <c r="N70" i="127" s="1"/>
  <c r="P70" i="127" s="1"/>
  <c r="D80" i="127"/>
  <c r="H80" i="127" s="1"/>
  <c r="AH80" i="127" s="1"/>
  <c r="L85" i="127"/>
  <c r="L100" i="127"/>
  <c r="L104" i="127"/>
  <c r="D142" i="127"/>
  <c r="H142" i="127" s="1"/>
  <c r="D175" i="127"/>
  <c r="D190" i="127"/>
  <c r="H190" i="127" s="1"/>
  <c r="N64" i="127"/>
  <c r="L41" i="127"/>
  <c r="D59" i="127"/>
  <c r="L69" i="127"/>
  <c r="AO79" i="127"/>
  <c r="D45" i="127"/>
  <c r="D52" i="127"/>
  <c r="L62" i="127"/>
  <c r="L71" i="127"/>
  <c r="V71" i="127" s="1"/>
  <c r="L72" i="127"/>
  <c r="V72" i="127" s="1"/>
  <c r="L83" i="127"/>
  <c r="D87" i="127"/>
  <c r="H87" i="127" s="1"/>
  <c r="AH87" i="127" s="1"/>
  <c r="Y91" i="127"/>
  <c r="D104" i="127"/>
  <c r="H104" i="127" s="1"/>
  <c r="D111" i="127"/>
  <c r="H111" i="127" s="1"/>
  <c r="D119" i="127"/>
  <c r="H119" i="127" s="1"/>
  <c r="D126" i="127"/>
  <c r="H126" i="127" s="1"/>
  <c r="D112" i="127"/>
  <c r="H112" i="127" s="1"/>
  <c r="L114" i="127"/>
  <c r="L118" i="127"/>
  <c r="L119" i="127"/>
  <c r="L135" i="127"/>
  <c r="AR149" i="127"/>
  <c r="L127" i="127"/>
  <c r="AR142" i="127"/>
  <c r="D146" i="127"/>
  <c r="H146" i="127" s="1"/>
  <c r="D147" i="127"/>
  <c r="H147" i="127" s="1"/>
  <c r="D153" i="127"/>
  <c r="H153" i="127" s="1"/>
  <c r="D154" i="127"/>
  <c r="H154" i="127" s="1"/>
  <c r="AV178" i="127"/>
  <c r="D113" i="127"/>
  <c r="H113" i="127" s="1"/>
  <c r="D127" i="127"/>
  <c r="H127" i="127" s="1"/>
  <c r="D156" i="127"/>
  <c r="H156" i="127" s="1"/>
  <c r="D176" i="127"/>
  <c r="D168" i="127"/>
  <c r="H168" i="127" s="1"/>
  <c r="D181" i="127"/>
  <c r="H181" i="127" s="1"/>
  <c r="D174" i="127"/>
  <c r="AG245" i="129" l="1"/>
  <c r="AG248" i="129" s="1"/>
  <c r="AF249" i="129"/>
  <c r="AF261" i="129"/>
  <c r="AF262" i="129" s="1"/>
  <c r="AE250" i="129"/>
  <c r="AE156" i="129"/>
  <c r="AF5" i="129"/>
  <c r="AF41" i="129" s="1"/>
  <c r="AO85" i="127"/>
  <c r="AO107" i="127"/>
  <c r="N56" i="127"/>
  <c r="N57" i="127"/>
  <c r="L94" i="127"/>
  <c r="W94" i="127" s="1"/>
  <c r="BI181" i="128"/>
  <c r="BJ181" i="128" s="1"/>
  <c r="BK181" i="128" s="1"/>
  <c r="BJ180" i="128"/>
  <c r="BK180" i="128" s="1"/>
  <c r="W127" i="127"/>
  <c r="V127" i="127"/>
  <c r="N114" i="127"/>
  <c r="W114" i="127"/>
  <c r="V114" i="127"/>
  <c r="N90" i="127"/>
  <c r="P90" i="127" s="1"/>
  <c r="W83" i="127"/>
  <c r="V83" i="127"/>
  <c r="W69" i="127"/>
  <c r="V69" i="127"/>
  <c r="W85" i="127"/>
  <c r="V85" i="127"/>
  <c r="W119" i="127"/>
  <c r="V119" i="127"/>
  <c r="W104" i="127"/>
  <c r="V104" i="127"/>
  <c r="AO78" i="127"/>
  <c r="N113" i="127"/>
  <c r="P113" i="127" s="1"/>
  <c r="W113" i="127"/>
  <c r="V113" i="127"/>
  <c r="AO100" i="127"/>
  <c r="W98" i="127"/>
  <c r="V98" i="127"/>
  <c r="X98" i="127" s="1"/>
  <c r="W134" i="127"/>
  <c r="V134" i="127"/>
  <c r="W79" i="127"/>
  <c r="V79" i="127"/>
  <c r="X79" i="127" s="1"/>
  <c r="W107" i="127"/>
  <c r="V107" i="127"/>
  <c r="V76" i="127"/>
  <c r="W76" i="127"/>
  <c r="AO99" i="127"/>
  <c r="W92" i="127"/>
  <c r="V92" i="127"/>
  <c r="W121" i="127"/>
  <c r="Y128" i="127" s="1"/>
  <c r="V121" i="127"/>
  <c r="X128" i="127" s="1"/>
  <c r="W120" i="127"/>
  <c r="Y120" i="127" s="1"/>
  <c r="V120" i="127"/>
  <c r="N107" i="127"/>
  <c r="W100" i="127"/>
  <c r="V100" i="127"/>
  <c r="W112" i="127"/>
  <c r="V112" i="127"/>
  <c r="W93" i="127"/>
  <c r="V93" i="127"/>
  <c r="W90" i="127"/>
  <c r="V90" i="127"/>
  <c r="N84" i="127"/>
  <c r="P84" i="127" s="1"/>
  <c r="V77" i="127"/>
  <c r="X84" i="127" s="1"/>
  <c r="W77" i="127"/>
  <c r="Y84" i="127" s="1"/>
  <c r="V106" i="127"/>
  <c r="W106" i="127"/>
  <c r="Y106" i="127" s="1"/>
  <c r="AN129" i="127"/>
  <c r="AN136" i="127"/>
  <c r="X91" i="127"/>
  <c r="W111" i="127"/>
  <c r="V111" i="127"/>
  <c r="W86" i="127"/>
  <c r="V86" i="127"/>
  <c r="X86" i="127" s="1"/>
  <c r="W99" i="127"/>
  <c r="V99" i="127"/>
  <c r="AO114" i="127"/>
  <c r="W132" i="127"/>
  <c r="V132" i="127"/>
  <c r="W118" i="127"/>
  <c r="V118" i="127"/>
  <c r="W135" i="127"/>
  <c r="V135" i="127"/>
  <c r="X135" i="127" s="1"/>
  <c r="AO92" i="127"/>
  <c r="W133" i="127"/>
  <c r="V133" i="127"/>
  <c r="V105" i="127"/>
  <c r="W105" i="127"/>
  <c r="Y105" i="127" s="1"/>
  <c r="W78" i="127"/>
  <c r="V78" i="127"/>
  <c r="X78" i="127" s="1"/>
  <c r="V97" i="127"/>
  <c r="W97" i="127"/>
  <c r="Y97" i="127" s="1"/>
  <c r="AO101" i="127"/>
  <c r="AH190" i="127"/>
  <c r="AH181" i="127"/>
  <c r="AH177" i="127"/>
  <c r="AH174" i="127"/>
  <c r="AH176" i="127"/>
  <c r="AH175" i="127"/>
  <c r="AH170" i="127"/>
  <c r="AH168" i="127"/>
  <c r="AH169" i="127"/>
  <c r="AH163" i="127"/>
  <c r="AH156" i="127"/>
  <c r="AH154" i="127"/>
  <c r="AH153" i="127"/>
  <c r="AH147" i="127"/>
  <c r="AH146" i="127"/>
  <c r="AH126" i="127"/>
  <c r="AH104" i="127"/>
  <c r="AH142" i="127"/>
  <c r="AH119" i="127"/>
  <c r="AH106" i="127"/>
  <c r="AH118" i="127"/>
  <c r="AH101" i="127"/>
  <c r="AH125" i="127"/>
  <c r="AH127" i="127"/>
  <c r="AH113" i="127"/>
  <c r="AH112" i="127"/>
  <c r="AH111" i="127"/>
  <c r="AH120" i="127"/>
  <c r="N42" i="127"/>
  <c r="N37" i="127"/>
  <c r="N85" i="127"/>
  <c r="P85" i="127" s="1"/>
  <c r="N43" i="127"/>
  <c r="N55" i="127"/>
  <c r="L52" i="127"/>
  <c r="V52" i="127" s="1"/>
  <c r="N128" i="127"/>
  <c r="P128" i="127" s="1"/>
  <c r="N106" i="127"/>
  <c r="P106" i="127" s="1"/>
  <c r="N93" i="127"/>
  <c r="P93" i="127" s="1"/>
  <c r="N99" i="127"/>
  <c r="P99" i="127" s="1"/>
  <c r="N127" i="127"/>
  <c r="P127" i="127" s="1"/>
  <c r="N63" i="127"/>
  <c r="L136" i="127"/>
  <c r="W136" i="127" s="1"/>
  <c r="N112" i="127"/>
  <c r="P112" i="127" s="1"/>
  <c r="L108" i="127"/>
  <c r="W108" i="127" s="1"/>
  <c r="N97" i="127"/>
  <c r="P97" i="127" s="1"/>
  <c r="N92" i="127"/>
  <c r="P92" i="127" s="1"/>
  <c r="L80" i="127"/>
  <c r="W80" i="127" s="1"/>
  <c r="N77" i="127"/>
  <c r="P77" i="127" s="1"/>
  <c r="N86" i="127"/>
  <c r="P86" i="127" s="1"/>
  <c r="N78" i="127"/>
  <c r="P78" i="127" s="1"/>
  <c r="N76" i="127"/>
  <c r="P76" i="127" s="1"/>
  <c r="H143" i="127"/>
  <c r="N111" i="127"/>
  <c r="P111" i="127" s="1"/>
  <c r="N49" i="127"/>
  <c r="N44" i="127"/>
  <c r="N105" i="127"/>
  <c r="P105" i="127" s="1"/>
  <c r="N120" i="127"/>
  <c r="P120" i="127" s="1"/>
  <c r="N104" i="127"/>
  <c r="P104" i="127" s="1"/>
  <c r="N79" i="127"/>
  <c r="P79" i="127" s="1"/>
  <c r="N36" i="127"/>
  <c r="L31" i="127"/>
  <c r="AO66" i="127"/>
  <c r="N51" i="127"/>
  <c r="L101" i="127"/>
  <c r="N100" i="127"/>
  <c r="P100" i="127" s="1"/>
  <c r="N50" i="127"/>
  <c r="N35" i="127"/>
  <c r="L38" i="127"/>
  <c r="N58" i="127"/>
  <c r="L59" i="127"/>
  <c r="Y85" i="127"/>
  <c r="N65" i="127"/>
  <c r="N134" i="127"/>
  <c r="P134" i="127" s="1"/>
  <c r="D122" i="127"/>
  <c r="H122" i="127" s="1"/>
  <c r="D183" i="127"/>
  <c r="H183" i="127" s="1"/>
  <c r="D161" i="127"/>
  <c r="H161" i="127" s="1"/>
  <c r="D108" i="127"/>
  <c r="D184" i="127"/>
  <c r="H184" i="127" s="1"/>
  <c r="D178" i="127"/>
  <c r="D167" i="127"/>
  <c r="H167" i="127" s="1"/>
  <c r="D155" i="127"/>
  <c r="H155" i="127" s="1"/>
  <c r="D162" i="127"/>
  <c r="H162" i="127" s="1"/>
  <c r="D157" i="127"/>
  <c r="H157" i="127" s="1"/>
  <c r="L122" i="127"/>
  <c r="W122" i="127" s="1"/>
  <c r="N118" i="127"/>
  <c r="P118" i="127" s="1"/>
  <c r="L115" i="127"/>
  <c r="W115" i="127" s="1"/>
  <c r="Y104" i="127"/>
  <c r="N135" i="127"/>
  <c r="P135" i="127" s="1"/>
  <c r="N119" i="127"/>
  <c r="P119" i="127" s="1"/>
  <c r="Y93" i="127"/>
  <c r="W72" i="127"/>
  <c r="Y79" i="127" s="1"/>
  <c r="N72" i="127"/>
  <c r="P72" i="127" s="1"/>
  <c r="AO73" i="127"/>
  <c r="Y92" i="127"/>
  <c r="W59" i="127"/>
  <c r="D107" i="127"/>
  <c r="H107" i="127" s="1"/>
  <c r="N71" i="127"/>
  <c r="P71" i="127" s="1"/>
  <c r="W71" i="127"/>
  <c r="Y78" i="127" s="1"/>
  <c r="L66" i="127"/>
  <c r="N62" i="127"/>
  <c r="Y86" i="127"/>
  <c r="N69" i="127"/>
  <c r="P69" i="127" s="1"/>
  <c r="L73" i="127"/>
  <c r="W73" i="127" s="1"/>
  <c r="D150" i="127"/>
  <c r="H150" i="127" s="1"/>
  <c r="D182" i="127"/>
  <c r="H182" i="127" s="1"/>
  <c r="D189" i="127"/>
  <c r="H189" i="127" s="1"/>
  <c r="D160" i="127"/>
  <c r="H160" i="127" s="1"/>
  <c r="D164" i="127"/>
  <c r="H164" i="127" s="1"/>
  <c r="D136" i="127"/>
  <c r="H136" i="127" s="1"/>
  <c r="D129" i="127"/>
  <c r="D149" i="127"/>
  <c r="H149" i="127" s="1"/>
  <c r="N121" i="127"/>
  <c r="D115" i="127"/>
  <c r="H115" i="127" s="1"/>
  <c r="D114" i="127"/>
  <c r="H114" i="127" s="1"/>
  <c r="D121" i="127"/>
  <c r="H121" i="127" s="1"/>
  <c r="L87" i="127"/>
  <c r="W87" i="127" s="1"/>
  <c r="N83" i="127"/>
  <c r="P83" i="127" s="1"/>
  <c r="W52" i="127"/>
  <c r="Y100" i="127"/>
  <c r="L45" i="127"/>
  <c r="V45" i="127" s="1"/>
  <c r="N41" i="127"/>
  <c r="N48" i="127"/>
  <c r="AL30" i="20"/>
  <c r="Y99" i="127" l="1"/>
  <c r="Y77" i="127"/>
  <c r="Y76" i="127"/>
  <c r="Y127" i="127"/>
  <c r="X121" i="127"/>
  <c r="Y111" i="127"/>
  <c r="AF156" i="129"/>
  <c r="AG5" i="129"/>
  <c r="AG41" i="129" s="1"/>
  <c r="AF250" i="129"/>
  <c r="AH245" i="129"/>
  <c r="AH248" i="129" s="1"/>
  <c r="AG249" i="129"/>
  <c r="AG261" i="129"/>
  <c r="AG262" i="129" s="1"/>
  <c r="Y119" i="127"/>
  <c r="X93" i="127"/>
  <c r="X92" i="127"/>
  <c r="AO121" i="127"/>
  <c r="X120" i="127"/>
  <c r="Y112" i="127"/>
  <c r="W38" i="127"/>
  <c r="V38" i="127"/>
  <c r="X45" i="127" s="1"/>
  <c r="W31" i="127"/>
  <c r="V31" i="127"/>
  <c r="V101" i="127"/>
  <c r="X97" i="127"/>
  <c r="AO113" i="127"/>
  <c r="AO120" i="127"/>
  <c r="X100" i="127"/>
  <c r="X77" i="127"/>
  <c r="V80" i="127"/>
  <c r="X119" i="127"/>
  <c r="X76" i="127"/>
  <c r="V73" i="127"/>
  <c r="X73" i="127" s="1"/>
  <c r="X127" i="127"/>
  <c r="W66" i="127"/>
  <c r="Y66" i="127" s="1"/>
  <c r="V66" i="127"/>
  <c r="X59" i="127"/>
  <c r="X118" i="127"/>
  <c r="V122" i="127"/>
  <c r="V136" i="127"/>
  <c r="X107" i="127"/>
  <c r="X134" i="127"/>
  <c r="X114" i="127"/>
  <c r="N59" i="127"/>
  <c r="V59" i="127"/>
  <c r="N101" i="127"/>
  <c r="P101" i="127" s="1"/>
  <c r="W101" i="127"/>
  <c r="Y101" i="127" s="1"/>
  <c r="X90" i="127"/>
  <c r="V94" i="127"/>
  <c r="X104" i="127"/>
  <c r="V108" i="127"/>
  <c r="X85" i="127"/>
  <c r="V87" i="127"/>
  <c r="X83" i="127"/>
  <c r="X52" i="127"/>
  <c r="Y80" i="127"/>
  <c r="X112" i="127"/>
  <c r="X105" i="127"/>
  <c r="X106" i="127"/>
  <c r="X99" i="127"/>
  <c r="X111" i="127"/>
  <c r="V115" i="127"/>
  <c r="X113" i="127"/>
  <c r="Y83" i="127"/>
  <c r="AH189" i="127"/>
  <c r="AH182" i="127"/>
  <c r="AH184" i="127"/>
  <c r="AH183" i="127"/>
  <c r="AH167" i="127"/>
  <c r="AH161" i="127"/>
  <c r="AH164" i="127"/>
  <c r="AH160" i="127"/>
  <c r="AH162" i="127"/>
  <c r="AH157" i="127"/>
  <c r="AH155" i="127"/>
  <c r="AH149" i="127"/>
  <c r="AH150" i="127"/>
  <c r="P114" i="127"/>
  <c r="AH114" i="127"/>
  <c r="AH136" i="127"/>
  <c r="AH115" i="127"/>
  <c r="AH143" i="127"/>
  <c r="AH122" i="127"/>
  <c r="P121" i="127"/>
  <c r="AH121" i="127"/>
  <c r="P107" i="127"/>
  <c r="AH107" i="127"/>
  <c r="Y107" i="127"/>
  <c r="Y98" i="127"/>
  <c r="N108" i="127"/>
  <c r="N115" i="127"/>
  <c r="P115" i="127" s="1"/>
  <c r="Y113" i="127"/>
  <c r="N87" i="127"/>
  <c r="P87" i="127" s="1"/>
  <c r="N38" i="127"/>
  <c r="H108" i="127"/>
  <c r="Y134" i="127"/>
  <c r="N73" i="127"/>
  <c r="P73" i="127" s="1"/>
  <c r="N122" i="127"/>
  <c r="P122" i="127" s="1"/>
  <c r="Y114" i="127"/>
  <c r="Y121" i="127"/>
  <c r="H129" i="127"/>
  <c r="Y135" i="127"/>
  <c r="D171" i="127"/>
  <c r="Y87" i="127"/>
  <c r="N45" i="127"/>
  <c r="W45" i="127"/>
  <c r="N80" i="127"/>
  <c r="P80" i="127" s="1"/>
  <c r="Y59" i="127"/>
  <c r="N94" i="127"/>
  <c r="P94" i="127" s="1"/>
  <c r="H178" i="127"/>
  <c r="D185" i="127"/>
  <c r="H185" i="127" s="1"/>
  <c r="Y90" i="127"/>
  <c r="N66" i="127"/>
  <c r="P66" i="127" s="1"/>
  <c r="N52" i="127"/>
  <c r="Y118" i="127"/>
  <c r="H202" i="9"/>
  <c r="H201" i="9"/>
  <c r="F209" i="9"/>
  <c r="F208" i="9"/>
  <c r="F207" i="9"/>
  <c r="F200" i="9"/>
  <c r="CT30" i="28" a="1"/>
  <c r="CU30" i="28" s="1"/>
  <c r="CT21" i="28" a="1"/>
  <c r="CW21" i="28" s="1"/>
  <c r="CV17" i="28"/>
  <c r="CU17" i="28"/>
  <c r="CT17" i="28" a="1"/>
  <c r="CW17" i="28" s="1"/>
  <c r="X66" i="127" l="1"/>
  <c r="X87" i="127"/>
  <c r="X94" i="127"/>
  <c r="AG250" i="129"/>
  <c r="AH249" i="129"/>
  <c r="AL248" i="129"/>
  <c r="AH261" i="129"/>
  <c r="AH262" i="129" s="1"/>
  <c r="AG156" i="129"/>
  <c r="AH5" i="129"/>
  <c r="Y38" i="127"/>
  <c r="Y45" i="127"/>
  <c r="Y108" i="127"/>
  <c r="X108" i="127"/>
  <c r="X80" i="127"/>
  <c r="X101" i="127"/>
  <c r="X38" i="127"/>
  <c r="X122" i="127"/>
  <c r="X115" i="127"/>
  <c r="AH185" i="127"/>
  <c r="AH178" i="127"/>
  <c r="AH129" i="127"/>
  <c r="P108" i="127"/>
  <c r="AH108" i="127"/>
  <c r="Y115" i="127"/>
  <c r="Y122" i="127"/>
  <c r="AO45" i="127"/>
  <c r="H171" i="127"/>
  <c r="Y52" i="127"/>
  <c r="Y73" i="127"/>
  <c r="AO52" i="127"/>
  <c r="AO59" i="127"/>
  <c r="Y94" i="127"/>
  <c r="CT17" i="28"/>
  <c r="CT21" i="28"/>
  <c r="CV30" i="28"/>
  <c r="CU21" i="28"/>
  <c r="CW30" i="28"/>
  <c r="CV21" i="28"/>
  <c r="CT30" i="28"/>
  <c r="BP45" i="22"/>
  <c r="BP34" i="22"/>
  <c r="BP29" i="22"/>
  <c r="BP28" i="22"/>
  <c r="BP26" i="22"/>
  <c r="BP11" i="22"/>
  <c r="BP78" i="22"/>
  <c r="BP79" i="22"/>
  <c r="U172" i="97"/>
  <c r="U170" i="97"/>
  <c r="U125" i="97"/>
  <c r="U12" i="97"/>
  <c r="U133" i="97" s="1"/>
  <c r="DV75" i="28"/>
  <c r="DV60" i="28"/>
  <c r="DV17" i="28"/>
  <c r="DV16" i="28"/>
  <c r="DO212" i="29"/>
  <c r="DO211" i="29"/>
  <c r="DO210" i="29"/>
  <c r="DO209" i="29"/>
  <c r="DN161" i="29"/>
  <c r="DN151" i="29"/>
  <c r="DN150" i="29"/>
  <c r="DN149" i="29"/>
  <c r="DP128" i="29"/>
  <c r="DO128" i="29"/>
  <c r="DN83" i="29"/>
  <c r="DN82" i="29"/>
  <c r="DN81" i="29"/>
  <c r="DP56" i="29"/>
  <c r="DN56" i="29"/>
  <c r="DP55" i="29"/>
  <c r="DN55" i="29"/>
  <c r="DN54" i="29"/>
  <c r="DP54" i="29" s="1"/>
  <c r="DP53" i="29"/>
  <c r="DP52" i="29"/>
  <c r="DP51" i="29"/>
  <c r="DP50" i="29"/>
  <c r="DP43" i="29"/>
  <c r="DP42" i="29"/>
  <c r="DP41" i="29"/>
  <c r="DP40" i="29"/>
  <c r="DN40" i="29"/>
  <c r="DN45" i="29" s="1"/>
  <c r="DP23" i="29"/>
  <c r="BH34" i="36"/>
  <c r="BH29" i="36"/>
  <c r="BH35" i="36" s="1"/>
  <c r="BH28" i="36"/>
  <c r="BH27" i="36"/>
  <c r="BH45" i="36" s="1"/>
  <c r="DJ36" i="34"/>
  <c r="DJ35" i="34"/>
  <c r="DJ34" i="34"/>
  <c r="DK24" i="34"/>
  <c r="DK23" i="34"/>
  <c r="DK22" i="34"/>
  <c r="DK18" i="34"/>
  <c r="DL17" i="34"/>
  <c r="DL23" i="34" s="1"/>
  <c r="DL29" i="34" s="1"/>
  <c r="DL35" i="34" s="1"/>
  <c r="DK17" i="34"/>
  <c r="DK16" i="34"/>
  <c r="DL12" i="34"/>
  <c r="DL18" i="34" s="1"/>
  <c r="DL24" i="34" s="1"/>
  <c r="DL30" i="34" s="1"/>
  <c r="DL36" i="34" s="1"/>
  <c r="DK12" i="34"/>
  <c r="DL11" i="34"/>
  <c r="DK11" i="34"/>
  <c r="DL10" i="34"/>
  <c r="DL16" i="34" s="1"/>
  <c r="DL22" i="34" s="1"/>
  <c r="DL28" i="34" s="1"/>
  <c r="DL34" i="34" s="1"/>
  <c r="DK10" i="34"/>
  <c r="BQ72" i="17"/>
  <c r="BQ48" i="17"/>
  <c r="BQ10" i="17"/>
  <c r="DN213" i="29" l="1"/>
  <c r="CT31" i="28" a="1"/>
  <c r="AH156" i="129"/>
  <c r="AH41" i="129"/>
  <c r="AH250" i="129"/>
  <c r="AH171" i="127"/>
  <c r="DP20" i="29"/>
  <c r="DP21" i="29"/>
  <c r="BP92" i="22"/>
  <c r="BP75" i="22"/>
  <c r="BP73" i="22"/>
  <c r="BP76" i="22" s="1"/>
  <c r="U51" i="97"/>
  <c r="U92" i="97" s="1"/>
  <c r="DP45" i="29"/>
  <c r="DN44" i="29"/>
  <c r="DN46" i="29"/>
  <c r="BH47" i="36"/>
  <c r="BH59" i="36" s="1"/>
  <c r="BH58" i="36"/>
  <c r="BH33" i="36"/>
  <c r="BH57" i="36" s="1"/>
  <c r="BH46" i="36"/>
  <c r="BH52" i="36" s="1"/>
  <c r="BH53" i="36"/>
  <c r="BH51" i="36"/>
  <c r="DJ40" i="34"/>
  <c r="DK34" i="34"/>
  <c r="DK35" i="34"/>
  <c r="DJ41" i="34"/>
  <c r="DJ42" i="34"/>
  <c r="DK36" i="34"/>
  <c r="DK28" i="34"/>
  <c r="DK30" i="34"/>
  <c r="DK29" i="34"/>
  <c r="CW31" i="28" l="1"/>
  <c r="CT31" i="28"/>
  <c r="CV31" i="28"/>
  <c r="CU31" i="28"/>
  <c r="BP91" i="22"/>
  <c r="BP74" i="22"/>
  <c r="DP44" i="29"/>
  <c r="DP46" i="29"/>
  <c r="BD189" i="118"/>
  <c r="BD182" i="118"/>
  <c r="BD170" i="118"/>
  <c r="BD171" i="118" s="1"/>
  <c r="BD159" i="118"/>
  <c r="BD160" i="118" s="1"/>
  <c r="BD148" i="118"/>
  <c r="BD149" i="118" s="1"/>
  <c r="BD137" i="118"/>
  <c r="BD138" i="118" s="1"/>
  <c r="BD126" i="118"/>
  <c r="BD127" i="118" s="1"/>
  <c r="BD115" i="118"/>
  <c r="BD116" i="118" s="1"/>
  <c r="BD183" i="118"/>
  <c r="BD104" i="118"/>
  <c r="BD93" i="118"/>
  <c r="BD94" i="118" s="1"/>
  <c r="BD82" i="118"/>
  <c r="BD75" i="118"/>
  <c r="BD81" i="118" s="1"/>
  <c r="BD71" i="118"/>
  <c r="BD72" i="118" s="1"/>
  <c r="BD70" i="118"/>
  <c r="BD64" i="118"/>
  <c r="BD60" i="118"/>
  <c r="BD61" i="118" s="1"/>
  <c r="BD59" i="118"/>
  <c r="BD53" i="118"/>
  <c r="BD49" i="118"/>
  <c r="BD48" i="118"/>
  <c r="BD20" i="118"/>
  <c r="BD19" i="118"/>
  <c r="BD12" i="118"/>
  <c r="BD11" i="118"/>
  <c r="BD9" i="118"/>
  <c r="BD17" i="118" s="1"/>
  <c r="BD42" i="118" s="1"/>
  <c r="BD5" i="118"/>
  <c r="BD4" i="118"/>
  <c r="BD105" i="118" l="1"/>
  <c r="BD37" i="118" s="1"/>
  <c r="BD36" i="118"/>
  <c r="BD50" i="118"/>
  <c r="BD27" i="118" s="1"/>
  <c r="BD26" i="118"/>
  <c r="BD83" i="118"/>
  <c r="BD32" i="118" s="1"/>
  <c r="BD31" i="118"/>
  <c r="BD86" i="118"/>
  <c r="BD92" i="118" s="1"/>
  <c r="BD108" i="118" s="1"/>
  <c r="BD114" i="118" s="1"/>
  <c r="BD187" i="118"/>
  <c r="BD188" i="118" l="1"/>
  <c r="BD119" i="118"/>
  <c r="BD125" i="118" s="1"/>
  <c r="BD97" i="118"/>
  <c r="BD103" i="118" s="1"/>
  <c r="BD141" i="118" l="1"/>
  <c r="BD130" i="118"/>
  <c r="BD136" i="118"/>
  <c r="BD147" i="118"/>
  <c r="BD152" i="118" s="1"/>
  <c r="BD158" i="118" s="1"/>
  <c r="BD180" i="118" s="1"/>
  <c r="BD174" i="118" l="1"/>
  <c r="BD169" i="118"/>
  <c r="BD163" i="118"/>
  <c r="BD186" i="118" s="1"/>
  <c r="DF22" i="29" l="1"/>
  <c r="BF59" i="36"/>
  <c r="BF53" i="36"/>
  <c r="BF47" i="36"/>
  <c r="BF35" i="36"/>
  <c r="BF29" i="36"/>
  <c r="DF42" i="34"/>
  <c r="DF36" i="34"/>
  <c r="DG36" i="34"/>
  <c r="DG30" i="34"/>
  <c r="DF30" i="34"/>
  <c r="DG24" i="34"/>
  <c r="DG18" i="34"/>
  <c r="DG12" i="34"/>
  <c r="DH12" i="34"/>
  <c r="DH18" i="34" s="1"/>
  <c r="DH24" i="34" s="1"/>
  <c r="DH30" i="34" s="1"/>
  <c r="DH36" i="34" s="1"/>
  <c r="DK99" i="29"/>
  <c r="DK22" i="29"/>
  <c r="DK32" i="29"/>
  <c r="DL128" i="29" l="1"/>
  <c r="DL126" i="29"/>
  <c r="BC182" i="118" l="1"/>
  <c r="DC11" i="34"/>
  <c r="BC189" i="118"/>
  <c r="BC170" i="118"/>
  <c r="BC171" i="118" s="1"/>
  <c r="BC159" i="118"/>
  <c r="BC160" i="118" s="1"/>
  <c r="BC148" i="118"/>
  <c r="BC149" i="118" s="1"/>
  <c r="BC137" i="118"/>
  <c r="BC138" i="118" s="1"/>
  <c r="BC126" i="118"/>
  <c r="BC127" i="118" s="1"/>
  <c r="BC115" i="118"/>
  <c r="BC116" i="118" s="1"/>
  <c r="BC104" i="118"/>
  <c r="BC93" i="118"/>
  <c r="BC94" i="118" s="1"/>
  <c r="BC82" i="118"/>
  <c r="BC75" i="118"/>
  <c r="BC86" i="118" s="1"/>
  <c r="BC71" i="118"/>
  <c r="BC72" i="118" s="1"/>
  <c r="BC70" i="118"/>
  <c r="BC64" i="118"/>
  <c r="BC60" i="118"/>
  <c r="BC61" i="118" s="1"/>
  <c r="BC59" i="118"/>
  <c r="BC53" i="118"/>
  <c r="BC49" i="118"/>
  <c r="BC48" i="118"/>
  <c r="BC19" i="118"/>
  <c r="BC11" i="118"/>
  <c r="BC9" i="118"/>
  <c r="BC17" i="118" s="1"/>
  <c r="BC42" i="118" s="1"/>
  <c r="BC5" i="118"/>
  <c r="BC4" i="118"/>
  <c r="DJ116" i="29"/>
  <c r="DJ135" i="29"/>
  <c r="DJ117" i="29"/>
  <c r="DJ136" i="29" s="1"/>
  <c r="DL31" i="29"/>
  <c r="DJ98" i="29"/>
  <c r="DJ31" i="29"/>
  <c r="DF41" i="34"/>
  <c r="DF35" i="34"/>
  <c r="DF29" i="34"/>
  <c r="BF58" i="36"/>
  <c r="BF52" i="36"/>
  <c r="BF46" i="36"/>
  <c r="BF34" i="36"/>
  <c r="BF28" i="36"/>
  <c r="DK31" i="29"/>
  <c r="DK21" i="29"/>
  <c r="BC105" i="118" l="1"/>
  <c r="BC37" i="118" s="1"/>
  <c r="BC36" i="118"/>
  <c r="BC26" i="118"/>
  <c r="BC83" i="118"/>
  <c r="BC32" i="118" s="1"/>
  <c r="BC31" i="118"/>
  <c r="BC81" i="118"/>
  <c r="BC97" i="118"/>
  <c r="BC103" i="118" s="1"/>
  <c r="BC92" i="118"/>
  <c r="BC108" i="118" s="1"/>
  <c r="BC114" i="118" s="1"/>
  <c r="BC187" i="118"/>
  <c r="BC50" i="118"/>
  <c r="BC188" i="118" l="1"/>
  <c r="BC27" i="118"/>
  <c r="BC119" i="118"/>
  <c r="BC141" i="118" s="1"/>
  <c r="BC125" i="118"/>
  <c r="BC136" i="118" l="1"/>
  <c r="BC130" i="118"/>
  <c r="BC147" i="118"/>
  <c r="BC152" i="118" s="1"/>
  <c r="BC158" i="118" s="1"/>
  <c r="BC169" i="118" s="1"/>
  <c r="H33" i="122"/>
  <c r="E23" i="122"/>
  <c r="F23" i="122" s="1"/>
  <c r="G23" i="122" s="1"/>
  <c r="H23" i="122" s="1"/>
  <c r="I23" i="122" s="1"/>
  <c r="J23" i="122" s="1"/>
  <c r="H2" i="122"/>
  <c r="I2" i="122" s="1"/>
  <c r="J2" i="122" s="1"/>
  <c r="BC180" i="118" l="1"/>
  <c r="BC174" i="118"/>
  <c r="BC163" i="118"/>
  <c r="BC186" i="118" s="1"/>
  <c r="O149" i="120"/>
  <c r="P149" i="120" s="1"/>
  <c r="Q149" i="120" s="1"/>
  <c r="R149" i="120" s="1"/>
  <c r="S149" i="120" s="1"/>
  <c r="T149" i="120" s="1"/>
  <c r="U149" i="120" s="1"/>
  <c r="V149" i="120" s="1"/>
  <c r="W149" i="120" s="1"/>
  <c r="N149" i="120"/>
  <c r="M149" i="120"/>
  <c r="L149" i="120"/>
  <c r="K149" i="120"/>
  <c r="J149" i="120"/>
  <c r="I149" i="120"/>
  <c r="H149" i="120"/>
  <c r="C131" i="120"/>
  <c r="B131" i="120"/>
  <c r="B132" i="120" s="1"/>
  <c r="C130" i="120"/>
  <c r="C129" i="120"/>
  <c r="C128" i="120"/>
  <c r="C127" i="120"/>
  <c r="C126" i="120"/>
  <c r="C125" i="120"/>
  <c r="C124" i="120"/>
  <c r="C123" i="120"/>
  <c r="C122" i="120"/>
  <c r="C121" i="120"/>
  <c r="C120" i="120"/>
  <c r="C119" i="120"/>
  <c r="C118" i="120"/>
  <c r="C117" i="120"/>
  <c r="C116" i="120"/>
  <c r="C115" i="120"/>
  <c r="C114" i="120"/>
  <c r="C113" i="120"/>
  <c r="P116" i="120"/>
  <c r="O116" i="120"/>
  <c r="N116" i="120"/>
  <c r="M116" i="120"/>
  <c r="L116" i="120"/>
  <c r="K116" i="120"/>
  <c r="J116" i="120"/>
  <c r="P115" i="120"/>
  <c r="O115" i="120"/>
  <c r="N115" i="120"/>
  <c r="M115" i="120"/>
  <c r="L115" i="120"/>
  <c r="K115" i="120"/>
  <c r="J115" i="120"/>
  <c r="P114" i="120"/>
  <c r="O114" i="120"/>
  <c r="N114" i="120"/>
  <c r="M114" i="120"/>
  <c r="L114" i="120"/>
  <c r="K114" i="120"/>
  <c r="J114" i="120"/>
  <c r="P113" i="120"/>
  <c r="O113" i="120"/>
  <c r="N113" i="120"/>
  <c r="M113" i="120"/>
  <c r="L113" i="120"/>
  <c r="K113" i="120"/>
  <c r="J113" i="120"/>
  <c r="P112" i="120"/>
  <c r="O112" i="120"/>
  <c r="N112" i="120"/>
  <c r="M112" i="120"/>
  <c r="L112" i="120"/>
  <c r="K112" i="120"/>
  <c r="J112" i="120"/>
  <c r="P82" i="120"/>
  <c r="O82" i="120"/>
  <c r="N82" i="120"/>
  <c r="M82" i="120"/>
  <c r="L82" i="120"/>
  <c r="K82" i="120"/>
  <c r="J82" i="120"/>
  <c r="I82" i="120"/>
  <c r="J15" i="122" l="1"/>
  <c r="K117" i="120"/>
  <c r="L117" i="120"/>
  <c r="K83" i="120"/>
  <c r="L118" i="120" s="1"/>
  <c r="P83" i="120"/>
  <c r="J117" i="120"/>
  <c r="N117" i="120"/>
  <c r="Q82" i="120"/>
  <c r="I83" i="120"/>
  <c r="J118" i="120" s="1"/>
  <c r="M83" i="120"/>
  <c r="N118" i="120" s="1"/>
  <c r="M84" i="120"/>
  <c r="M85" i="120" s="1"/>
  <c r="J83" i="120"/>
  <c r="J84" i="120" s="1"/>
  <c r="O117" i="120"/>
  <c r="N83" i="120"/>
  <c r="N84" i="120" s="1"/>
  <c r="P117" i="120"/>
  <c r="O118" i="120"/>
  <c r="O83" i="120"/>
  <c r="M117" i="120"/>
  <c r="L83" i="120"/>
  <c r="L84" i="120" s="1"/>
  <c r="C133" i="120"/>
  <c r="B133" i="120"/>
  <c r="C132" i="120"/>
  <c r="Q81" i="120"/>
  <c r="Q80" i="120"/>
  <c r="R80" i="120" s="1"/>
  <c r="Q79" i="120"/>
  <c r="Q78" i="120"/>
  <c r="R78" i="120" s="1"/>
  <c r="Q77" i="120"/>
  <c r="Q76" i="120"/>
  <c r="R76" i="120" s="1"/>
  <c r="P72" i="120"/>
  <c r="O72" i="120"/>
  <c r="N72" i="120"/>
  <c r="M72" i="120"/>
  <c r="L72" i="120"/>
  <c r="K72" i="120"/>
  <c r="J72" i="120"/>
  <c r="I72" i="120"/>
  <c r="H72" i="120"/>
  <c r="N85" i="120" l="1"/>
  <c r="N86" i="120" s="1"/>
  <c r="O119" i="120"/>
  <c r="K84" i="120"/>
  <c r="K85" i="120" s="1"/>
  <c r="L120" i="120" s="1"/>
  <c r="M86" i="120"/>
  <c r="S78" i="120"/>
  <c r="J86" i="120"/>
  <c r="B134" i="120"/>
  <c r="C134" i="120"/>
  <c r="I84" i="120"/>
  <c r="R77" i="120"/>
  <c r="R81" i="120"/>
  <c r="L85" i="120"/>
  <c r="O84" i="120"/>
  <c r="O120" i="120" s="1"/>
  <c r="N119" i="120"/>
  <c r="J85" i="120"/>
  <c r="M119" i="120"/>
  <c r="M118" i="120"/>
  <c r="P84" i="120"/>
  <c r="P85" i="120" s="1"/>
  <c r="K118" i="120"/>
  <c r="Q83" i="120"/>
  <c r="M120" i="120"/>
  <c r="R82" i="120"/>
  <c r="L86" i="120"/>
  <c r="M121" i="120" s="1"/>
  <c r="P118" i="120"/>
  <c r="L87" i="120"/>
  <c r="L88" i="120" s="1"/>
  <c r="I85" i="120"/>
  <c r="S76" i="120"/>
  <c r="R79" i="120"/>
  <c r="S80" i="120"/>
  <c r="N120" i="120"/>
  <c r="J87" i="120"/>
  <c r="J88" i="120" s="1"/>
  <c r="K119" i="120"/>
  <c r="P66" i="120"/>
  <c r="O66" i="120"/>
  <c r="N66" i="120"/>
  <c r="M66" i="120"/>
  <c r="L66" i="120"/>
  <c r="K66" i="120"/>
  <c r="J66" i="120"/>
  <c r="I66" i="120"/>
  <c r="P63" i="120"/>
  <c r="Q63" i="120" s="1"/>
  <c r="R63" i="120" s="1"/>
  <c r="S63" i="120" s="1"/>
  <c r="T63" i="120" s="1"/>
  <c r="U63" i="120" s="1"/>
  <c r="V63" i="120" s="1"/>
  <c r="W63" i="120" s="1"/>
  <c r="O63" i="120"/>
  <c r="N63" i="120"/>
  <c r="M63" i="120"/>
  <c r="L63" i="120"/>
  <c r="M64" i="120" s="1"/>
  <c r="K63" i="120"/>
  <c r="J63" i="120"/>
  <c r="I63" i="120"/>
  <c r="I86" i="120" l="1"/>
  <c r="N67" i="120"/>
  <c r="N87" i="120"/>
  <c r="N88" i="120" s="1"/>
  <c r="L121" i="120"/>
  <c r="L119" i="120"/>
  <c r="K86" i="120"/>
  <c r="K87" i="120" s="1"/>
  <c r="K120" i="120"/>
  <c r="K64" i="120"/>
  <c r="O64" i="120"/>
  <c r="J64" i="120"/>
  <c r="N64" i="120"/>
  <c r="O67" i="120"/>
  <c r="K67" i="120"/>
  <c r="P67" i="120"/>
  <c r="J67" i="120"/>
  <c r="L67" i="120"/>
  <c r="M67" i="120"/>
  <c r="P86" i="120"/>
  <c r="S79" i="120"/>
  <c r="O85" i="120"/>
  <c r="P120" i="120" s="1"/>
  <c r="L64" i="120"/>
  <c r="P64" i="120"/>
  <c r="M87" i="120"/>
  <c r="K121" i="120"/>
  <c r="T76" i="120"/>
  <c r="I87" i="120"/>
  <c r="J121" i="120"/>
  <c r="S77" i="120"/>
  <c r="N121" i="120"/>
  <c r="T80" i="120"/>
  <c r="R83" i="120"/>
  <c r="P119" i="120"/>
  <c r="L89" i="120"/>
  <c r="Q84" i="120"/>
  <c r="S81" i="120"/>
  <c r="J122" i="120"/>
  <c r="M122" i="120"/>
  <c r="Q85" i="120"/>
  <c r="S82" i="120"/>
  <c r="T78" i="120"/>
  <c r="J119" i="120"/>
  <c r="I88" i="120"/>
  <c r="J123" i="120" s="1"/>
  <c r="J89" i="120"/>
  <c r="P87" i="120"/>
  <c r="C135" i="120"/>
  <c r="B135" i="120"/>
  <c r="J120" i="120"/>
  <c r="K122" i="120"/>
  <c r="P48" i="120"/>
  <c r="O48" i="120"/>
  <c r="N48" i="120"/>
  <c r="M48" i="120"/>
  <c r="L48" i="120"/>
  <c r="K48" i="120"/>
  <c r="J48" i="120"/>
  <c r="I48" i="120"/>
  <c r="Q47" i="120"/>
  <c r="R47" i="120" s="1"/>
  <c r="S47" i="120" s="1"/>
  <c r="T47" i="120" s="1"/>
  <c r="U47" i="120" s="1"/>
  <c r="V47" i="120" s="1"/>
  <c r="W47" i="120" s="1"/>
  <c r="Q45" i="120"/>
  <c r="R45" i="120" s="1"/>
  <c r="R113" i="120" s="1"/>
  <c r="O7" i="120"/>
  <c r="N7" i="120"/>
  <c r="M7" i="120"/>
  <c r="L7" i="120" s="1"/>
  <c r="Q7" i="120"/>
  <c r="R7" i="120" s="1"/>
  <c r="S7" i="120" s="1"/>
  <c r="T7" i="120" s="1"/>
  <c r="U7" i="120" s="1"/>
  <c r="V7" i="120" s="1"/>
  <c r="W7" i="120" s="1"/>
  <c r="P5" i="120"/>
  <c r="O5" i="120"/>
  <c r="N5" i="120"/>
  <c r="M5" i="120"/>
  <c r="H196" i="120"/>
  <c r="H81" i="120"/>
  <c r="H80" i="120"/>
  <c r="H78" i="120"/>
  <c r="O190" i="120"/>
  <c r="G56" i="120"/>
  <c r="H195" i="120"/>
  <c r="H77" i="120"/>
  <c r="P190" i="120"/>
  <c r="H79" i="120"/>
  <c r="M190" i="120"/>
  <c r="I89" i="120" l="1"/>
  <c r="J124" i="120" s="1"/>
  <c r="K123" i="120"/>
  <c r="K88" i="120"/>
  <c r="L122" i="120"/>
  <c r="N89" i="120"/>
  <c r="H117" i="120"/>
  <c r="I116" i="120"/>
  <c r="H116" i="120"/>
  <c r="I115" i="120"/>
  <c r="H115" i="120"/>
  <c r="I114" i="120"/>
  <c r="H114" i="120"/>
  <c r="I113" i="120"/>
  <c r="H113" i="120"/>
  <c r="I112" i="120"/>
  <c r="L5" i="120"/>
  <c r="K7" i="120"/>
  <c r="U78" i="120"/>
  <c r="T82" i="120"/>
  <c r="Q121" i="120"/>
  <c r="R85" i="120"/>
  <c r="Q120" i="120"/>
  <c r="R84" i="120"/>
  <c r="T77" i="120"/>
  <c r="L90" i="120"/>
  <c r="L91" i="120" s="1"/>
  <c r="O121" i="120"/>
  <c r="O86" i="120"/>
  <c r="Q113" i="120"/>
  <c r="Q116" i="120"/>
  <c r="Q114" i="120"/>
  <c r="Q117" i="120"/>
  <c r="Q118" i="120"/>
  <c r="Q115" i="120"/>
  <c r="Q112" i="120"/>
  <c r="R118" i="120"/>
  <c r="T81" i="120"/>
  <c r="T79" i="120"/>
  <c r="R112" i="120"/>
  <c r="R114" i="120"/>
  <c r="R116" i="120"/>
  <c r="Q87" i="120"/>
  <c r="P88" i="120"/>
  <c r="R117" i="120"/>
  <c r="R119" i="120"/>
  <c r="S83" i="120"/>
  <c r="U80" i="120"/>
  <c r="U76" i="120"/>
  <c r="R115" i="120"/>
  <c r="Q86" i="120"/>
  <c r="S45" i="120"/>
  <c r="B136" i="120"/>
  <c r="C136" i="120"/>
  <c r="K124" i="120"/>
  <c r="J90" i="120"/>
  <c r="J91" i="120" s="1"/>
  <c r="Q119" i="120"/>
  <c r="N90" i="120"/>
  <c r="M123" i="120"/>
  <c r="M88" i="120"/>
  <c r="N122" i="120"/>
  <c r="P89" i="120"/>
  <c r="H194" i="120"/>
  <c r="L190" i="120"/>
  <c r="H68" i="120"/>
  <c r="C4" i="120"/>
  <c r="H76" i="120"/>
  <c r="I4" i="120"/>
  <c r="N190" i="120"/>
  <c r="H112" i="120" l="1"/>
  <c r="H63" i="120"/>
  <c r="I64" i="120" s="1"/>
  <c r="W9" i="120"/>
  <c r="W74" i="120" s="1"/>
  <c r="W110" i="120" s="1"/>
  <c r="W147" i="120" s="1"/>
  <c r="M9" i="120"/>
  <c r="M8" i="120" s="1"/>
  <c r="S9" i="120"/>
  <c r="S74" i="120" s="1"/>
  <c r="S110" i="120" s="1"/>
  <c r="S147" i="120" s="1"/>
  <c r="R9" i="120"/>
  <c r="R74" i="120" s="1"/>
  <c r="R110" i="120" s="1"/>
  <c r="R147" i="120" s="1"/>
  <c r="T9" i="120"/>
  <c r="T8" i="120" s="1"/>
  <c r="O9" i="120"/>
  <c r="H4" i="120"/>
  <c r="Q9" i="120"/>
  <c r="Q8" i="120" s="1"/>
  <c r="P9" i="120"/>
  <c r="P187" i="120" s="1"/>
  <c r="N9" i="120"/>
  <c r="V9" i="120"/>
  <c r="V74" i="120" s="1"/>
  <c r="V110" i="120" s="1"/>
  <c r="V147" i="120" s="1"/>
  <c r="L9" i="120"/>
  <c r="U9" i="120"/>
  <c r="U74" i="120" s="1"/>
  <c r="U110" i="120" s="1"/>
  <c r="U147" i="120" s="1"/>
  <c r="H82" i="120"/>
  <c r="I117" i="120" s="1"/>
  <c r="H66" i="120"/>
  <c r="I67" i="120" s="1"/>
  <c r="I90" i="120"/>
  <c r="J125" i="120" s="1"/>
  <c r="P90" i="120"/>
  <c r="Q90" i="120" s="1"/>
  <c r="K89" i="120"/>
  <c r="L123" i="120"/>
  <c r="P91" i="120"/>
  <c r="M124" i="120"/>
  <c r="N123" i="120"/>
  <c r="M89" i="120"/>
  <c r="M90" i="120" s="1"/>
  <c r="S112" i="120"/>
  <c r="S116" i="120"/>
  <c r="S114" i="120"/>
  <c r="T45" i="120"/>
  <c r="T117" i="120" s="1"/>
  <c r="I91" i="120"/>
  <c r="S117" i="120"/>
  <c r="J92" i="120"/>
  <c r="J93" i="120" s="1"/>
  <c r="R121" i="120"/>
  <c r="S85" i="120"/>
  <c r="S118" i="120"/>
  <c r="J7" i="120"/>
  <c r="K5" i="120"/>
  <c r="K9" i="120"/>
  <c r="Q88" i="120"/>
  <c r="Q123" i="120"/>
  <c r="R87" i="120"/>
  <c r="O122" i="120"/>
  <c r="O87" i="120"/>
  <c r="O88" i="120" s="1"/>
  <c r="P121" i="120"/>
  <c r="U77" i="120"/>
  <c r="Q89" i="120"/>
  <c r="S119" i="120"/>
  <c r="T83" i="120"/>
  <c r="Q122" i="120"/>
  <c r="R86" i="120"/>
  <c r="V76" i="120"/>
  <c r="N91" i="120"/>
  <c r="N92" i="120" s="1"/>
  <c r="N93" i="120" s="1"/>
  <c r="V80" i="120"/>
  <c r="U79" i="120"/>
  <c r="S113" i="120"/>
  <c r="R120" i="120"/>
  <c r="S84" i="120"/>
  <c r="V78" i="120"/>
  <c r="C137" i="120"/>
  <c r="B137" i="120"/>
  <c r="S115" i="120"/>
  <c r="U81" i="120"/>
  <c r="L92" i="120"/>
  <c r="T118" i="120"/>
  <c r="U82" i="120"/>
  <c r="K125" i="120"/>
  <c r="BG75" i="17"/>
  <c r="BE75" i="17"/>
  <c r="K190" i="120"/>
  <c r="N8" i="120" l="1"/>
  <c r="T74" i="120"/>
  <c r="T110" i="120" s="1"/>
  <c r="T147" i="120" s="1"/>
  <c r="M74" i="120"/>
  <c r="M110" i="120" s="1"/>
  <c r="M147" i="120" s="1"/>
  <c r="O8" i="120"/>
  <c r="L8" i="120"/>
  <c r="S8" i="120"/>
  <c r="V8" i="120"/>
  <c r="H83" i="120"/>
  <c r="H119" i="120" s="1"/>
  <c r="N74" i="120"/>
  <c r="N110" i="120" s="1"/>
  <c r="N147" i="120" s="1"/>
  <c r="M187" i="120"/>
  <c r="O74" i="120"/>
  <c r="O110" i="120" s="1"/>
  <c r="O147" i="120" s="1"/>
  <c r="N187" i="120"/>
  <c r="O187" i="120"/>
  <c r="U8" i="120"/>
  <c r="W8" i="120"/>
  <c r="P8" i="120"/>
  <c r="P74" i="120"/>
  <c r="P110" i="120" s="1"/>
  <c r="P147" i="120" s="1"/>
  <c r="H118" i="120"/>
  <c r="Q74" i="120"/>
  <c r="Q110" i="120" s="1"/>
  <c r="Q147" i="120" s="1"/>
  <c r="R8" i="120"/>
  <c r="L74" i="120"/>
  <c r="L110" i="120" s="1"/>
  <c r="L147" i="120" s="1"/>
  <c r="L187" i="120"/>
  <c r="L124" i="120"/>
  <c r="K90" i="120"/>
  <c r="M126" i="120"/>
  <c r="N125" i="120"/>
  <c r="W76" i="120"/>
  <c r="V82" i="120"/>
  <c r="L93" i="120"/>
  <c r="N94" i="120"/>
  <c r="N95" i="120" s="1"/>
  <c r="W78" i="120"/>
  <c r="T115" i="120"/>
  <c r="O123" i="120"/>
  <c r="P122" i="120"/>
  <c r="O89" i="120"/>
  <c r="Q124" i="120"/>
  <c r="R88" i="120"/>
  <c r="U117" i="120"/>
  <c r="V81" i="120"/>
  <c r="W80" i="120"/>
  <c r="Q125" i="120"/>
  <c r="R89" i="120"/>
  <c r="V77" i="120"/>
  <c r="O124" i="120"/>
  <c r="P123" i="120"/>
  <c r="R123" i="120"/>
  <c r="S87" i="120"/>
  <c r="J94" i="120"/>
  <c r="Q91" i="120"/>
  <c r="P92" i="120"/>
  <c r="I7" i="120"/>
  <c r="J5" i="120"/>
  <c r="J9" i="120"/>
  <c r="S121" i="120"/>
  <c r="T85" i="120"/>
  <c r="U45" i="120"/>
  <c r="U113" i="120" s="1"/>
  <c r="T114" i="120"/>
  <c r="T116" i="120"/>
  <c r="T112" i="120"/>
  <c r="M125" i="120"/>
  <c r="N124" i="120"/>
  <c r="B138" i="120"/>
  <c r="C138" i="120"/>
  <c r="S120" i="120"/>
  <c r="T84" i="120"/>
  <c r="U115" i="120"/>
  <c r="V79" i="120"/>
  <c r="R122" i="120"/>
  <c r="S86" i="120"/>
  <c r="T119" i="120"/>
  <c r="U83" i="120"/>
  <c r="T113" i="120"/>
  <c r="K187" i="120"/>
  <c r="K74" i="120"/>
  <c r="K110" i="120" s="1"/>
  <c r="K147" i="120" s="1"/>
  <c r="K8" i="120"/>
  <c r="I92" i="120"/>
  <c r="I93" i="120" s="1"/>
  <c r="J126" i="120"/>
  <c r="M91" i="120"/>
  <c r="Q126" i="120"/>
  <c r="R90" i="120"/>
  <c r="J190" i="120"/>
  <c r="I118" i="120" l="1"/>
  <c r="H84" i="120"/>
  <c r="H85" i="120" s="1"/>
  <c r="H121" i="120" s="1"/>
  <c r="L125" i="120"/>
  <c r="K91" i="120"/>
  <c r="K126" i="120"/>
  <c r="N96" i="120"/>
  <c r="M127" i="120"/>
  <c r="N126" i="120"/>
  <c r="S123" i="120"/>
  <c r="T87" i="120"/>
  <c r="O125" i="120"/>
  <c r="O90" i="120"/>
  <c r="O91" i="120" s="1"/>
  <c r="P124" i="120"/>
  <c r="U119" i="120"/>
  <c r="V83" i="120"/>
  <c r="W79" i="120"/>
  <c r="V45" i="120"/>
  <c r="V115" i="120" s="1"/>
  <c r="U116" i="120"/>
  <c r="U114" i="120"/>
  <c r="U112" i="120"/>
  <c r="R124" i="120"/>
  <c r="S88" i="120"/>
  <c r="S122" i="120"/>
  <c r="T86" i="120"/>
  <c r="T120" i="120"/>
  <c r="U84" i="120"/>
  <c r="R126" i="120"/>
  <c r="S90" i="120"/>
  <c r="T121" i="120"/>
  <c r="U85" i="120"/>
  <c r="I5" i="120"/>
  <c r="H7" i="120"/>
  <c r="I9" i="120"/>
  <c r="J95" i="120"/>
  <c r="R125" i="120"/>
  <c r="S89" i="120"/>
  <c r="W81" i="120"/>
  <c r="M92" i="120"/>
  <c r="C139" i="120"/>
  <c r="B139" i="120"/>
  <c r="Q92" i="120"/>
  <c r="P93" i="120"/>
  <c r="W77" i="120"/>
  <c r="V118" i="120"/>
  <c r="W82" i="120"/>
  <c r="J127" i="120"/>
  <c r="I94" i="120"/>
  <c r="J187" i="120"/>
  <c r="J74" i="120"/>
  <c r="J110" i="120" s="1"/>
  <c r="J147" i="120" s="1"/>
  <c r="J8" i="120"/>
  <c r="Q127" i="120"/>
  <c r="R91" i="120"/>
  <c r="J128" i="120"/>
  <c r="L94" i="120"/>
  <c r="U118" i="120"/>
  <c r="I191" i="120"/>
  <c r="I190" i="120"/>
  <c r="H120" i="120" l="1"/>
  <c r="H86" i="120"/>
  <c r="I121" i="120" s="1"/>
  <c r="I119" i="120"/>
  <c r="I120" i="120"/>
  <c r="L126" i="120"/>
  <c r="K92" i="120"/>
  <c r="K93" i="120"/>
  <c r="K127" i="120"/>
  <c r="O127" i="120"/>
  <c r="P126" i="120"/>
  <c r="O92" i="120"/>
  <c r="J129" i="120"/>
  <c r="V119" i="120"/>
  <c r="W83" i="120"/>
  <c r="I95" i="120"/>
  <c r="R127" i="120"/>
  <c r="S91" i="120"/>
  <c r="U120" i="120"/>
  <c r="V84" i="120"/>
  <c r="V113" i="120"/>
  <c r="V117" i="120"/>
  <c r="U121" i="120"/>
  <c r="V85" i="120"/>
  <c r="S126" i="120"/>
  <c r="T90" i="120"/>
  <c r="S124" i="120"/>
  <c r="T88" i="120"/>
  <c r="L95" i="120"/>
  <c r="I187" i="120"/>
  <c r="I74" i="120"/>
  <c r="I110" i="120" s="1"/>
  <c r="I147" i="120" s="1"/>
  <c r="I8" i="120"/>
  <c r="O126" i="120"/>
  <c r="P125" i="120"/>
  <c r="N97" i="120"/>
  <c r="Q128" i="120"/>
  <c r="R92" i="120"/>
  <c r="B140" i="120"/>
  <c r="C140" i="120"/>
  <c r="M128" i="120"/>
  <c r="M93" i="120"/>
  <c r="N127" i="120"/>
  <c r="H5" i="120"/>
  <c r="H9" i="120"/>
  <c r="W45" i="120"/>
  <c r="W118" i="120" s="1"/>
  <c r="V112" i="120"/>
  <c r="V114" i="120"/>
  <c r="V116" i="120"/>
  <c r="T123" i="120"/>
  <c r="U87" i="120"/>
  <c r="Q93" i="120"/>
  <c r="P94" i="120"/>
  <c r="S125" i="120"/>
  <c r="T89" i="120"/>
  <c r="T122" i="120"/>
  <c r="U86" i="120"/>
  <c r="J96" i="120"/>
  <c r="W115" i="120"/>
  <c r="H190" i="120"/>
  <c r="H122" i="120" l="1"/>
  <c r="H87" i="120"/>
  <c r="H88" i="120" s="1"/>
  <c r="H124" i="120" s="1"/>
  <c r="L128" i="120"/>
  <c r="K129" i="120"/>
  <c r="K128" i="120"/>
  <c r="K94" i="120"/>
  <c r="L127" i="120"/>
  <c r="Q129" i="120"/>
  <c r="R93" i="120"/>
  <c r="V121" i="120"/>
  <c r="W85" i="120"/>
  <c r="W113" i="120"/>
  <c r="W119" i="120"/>
  <c r="O128" i="120"/>
  <c r="O93" i="120"/>
  <c r="P127" i="120"/>
  <c r="J97" i="120"/>
  <c r="T125" i="120"/>
  <c r="U89" i="120"/>
  <c r="C141" i="120"/>
  <c r="B141" i="120"/>
  <c r="T126" i="120"/>
  <c r="U90" i="120"/>
  <c r="V120" i="120"/>
  <c r="W84" i="120"/>
  <c r="S127" i="120"/>
  <c r="T91" i="120"/>
  <c r="U123" i="120"/>
  <c r="V87" i="120"/>
  <c r="M129" i="120"/>
  <c r="N128" i="120"/>
  <c r="M94" i="120"/>
  <c r="R128" i="120"/>
  <c r="S92" i="120"/>
  <c r="T124" i="120"/>
  <c r="U88" i="120"/>
  <c r="U122" i="120"/>
  <c r="V86" i="120"/>
  <c r="Q94" i="120"/>
  <c r="P95" i="120"/>
  <c r="W112" i="120"/>
  <c r="W116" i="120"/>
  <c r="W114" i="120"/>
  <c r="H187" i="120"/>
  <c r="H74" i="120"/>
  <c r="H110" i="120" s="1"/>
  <c r="H147" i="120" s="1"/>
  <c r="C155" i="120" s="1" a="1"/>
  <c r="H8" i="120"/>
  <c r="N98" i="120"/>
  <c r="L96" i="120"/>
  <c r="W117" i="120"/>
  <c r="I96" i="120"/>
  <c r="J130" i="120"/>
  <c r="H89" i="120" l="1"/>
  <c r="H90" i="120" s="1"/>
  <c r="H91" i="120" s="1"/>
  <c r="H92" i="120" s="1"/>
  <c r="H93" i="120" s="1"/>
  <c r="H123" i="120"/>
  <c r="I122" i="120"/>
  <c r="I123" i="120"/>
  <c r="L129" i="120"/>
  <c r="K130" i="120"/>
  <c r="K95" i="120"/>
  <c r="I97" i="120"/>
  <c r="J131" i="120"/>
  <c r="N99" i="120"/>
  <c r="C167" i="120"/>
  <c r="C163" i="120"/>
  <c r="C159" i="120"/>
  <c r="C155" i="120"/>
  <c r="C166" i="120"/>
  <c r="C162" i="120"/>
  <c r="C158" i="120"/>
  <c r="C169" i="120"/>
  <c r="C165" i="120"/>
  <c r="C161" i="120"/>
  <c r="C157" i="120"/>
  <c r="C168" i="120"/>
  <c r="C164" i="120"/>
  <c r="C160" i="120"/>
  <c r="C156" i="120"/>
  <c r="W120" i="120"/>
  <c r="U125" i="120"/>
  <c r="V89" i="120"/>
  <c r="L97" i="120"/>
  <c r="Q95" i="120"/>
  <c r="P96" i="120"/>
  <c r="V122" i="120"/>
  <c r="W86" i="120"/>
  <c r="W122" i="120" s="1"/>
  <c r="S128" i="120"/>
  <c r="T92" i="120"/>
  <c r="T127" i="120"/>
  <c r="U91" i="120"/>
  <c r="O129" i="120"/>
  <c r="O94" i="120"/>
  <c r="P128" i="120"/>
  <c r="W121" i="120"/>
  <c r="R129" i="120"/>
  <c r="S93" i="120"/>
  <c r="F5" i="120"/>
  <c r="H30" i="120" s="1"/>
  <c r="Q130" i="120"/>
  <c r="R94" i="120"/>
  <c r="U126" i="120"/>
  <c r="V90" i="120"/>
  <c r="J98" i="120"/>
  <c r="U124" i="120"/>
  <c r="V88" i="120"/>
  <c r="M130" i="120"/>
  <c r="N129" i="120"/>
  <c r="M95" i="120"/>
  <c r="V123" i="120"/>
  <c r="W87" i="120"/>
  <c r="H126" i="120" l="1"/>
  <c r="I124" i="120"/>
  <c r="H127" i="120"/>
  <c r="I125" i="120"/>
  <c r="I126" i="120"/>
  <c r="H125" i="120"/>
  <c r="H94" i="120"/>
  <c r="H130" i="120" s="1"/>
  <c r="W123" i="120"/>
  <c r="L130" i="120"/>
  <c r="K96" i="120"/>
  <c r="K131" i="120"/>
  <c r="L98" i="120"/>
  <c r="O130" i="120"/>
  <c r="O95" i="120"/>
  <c r="P129" i="120"/>
  <c r="T128" i="120"/>
  <c r="U92" i="120"/>
  <c r="V124" i="120"/>
  <c r="W88" i="120"/>
  <c r="W124" i="120" s="1"/>
  <c r="J99" i="120"/>
  <c r="V126" i="120"/>
  <c r="W90" i="120"/>
  <c r="H35" i="120"/>
  <c r="W11" i="120"/>
  <c r="O11" i="120"/>
  <c r="U11" i="120"/>
  <c r="N11" i="120"/>
  <c r="S11" i="120"/>
  <c r="Q11" i="120"/>
  <c r="T11" i="120"/>
  <c r="R11" i="120"/>
  <c r="L11" i="120"/>
  <c r="M11" i="120"/>
  <c r="P11" i="120"/>
  <c r="V11" i="120"/>
  <c r="K11" i="120"/>
  <c r="J11" i="120"/>
  <c r="I11" i="120"/>
  <c r="H129" i="120"/>
  <c r="I128" i="120"/>
  <c r="Q131" i="120"/>
  <c r="R95" i="120"/>
  <c r="Q68" i="120"/>
  <c r="Q66" i="120" s="1"/>
  <c r="Q67" i="120" s="1"/>
  <c r="R130" i="120"/>
  <c r="S94" i="120"/>
  <c r="I98" i="120"/>
  <c r="J132" i="120"/>
  <c r="S129" i="120"/>
  <c r="T93" i="120"/>
  <c r="Q96" i="120"/>
  <c r="P97" i="120"/>
  <c r="V125" i="120"/>
  <c r="W89" i="120"/>
  <c r="W125" i="120" s="1"/>
  <c r="N100" i="120"/>
  <c r="M131" i="120"/>
  <c r="M96" i="120"/>
  <c r="N130" i="120"/>
  <c r="U127" i="120"/>
  <c r="V91" i="120"/>
  <c r="H128" i="120"/>
  <c r="I127" i="120"/>
  <c r="DR126" i="29"/>
  <c r="DU30" i="29"/>
  <c r="DR30" i="29"/>
  <c r="BB75" i="118"/>
  <c r="BB81" i="118" s="1"/>
  <c r="BB70" i="118"/>
  <c r="BB64" i="118"/>
  <c r="BB59" i="118"/>
  <c r="BB53" i="118"/>
  <c r="BB48" i="118"/>
  <c r="BB9" i="118"/>
  <c r="BB17" i="118" s="1"/>
  <c r="BB42" i="118" s="1"/>
  <c r="BB189" i="118"/>
  <c r="BB170" i="118"/>
  <c r="BB171" i="118" s="1"/>
  <c r="BB159" i="118"/>
  <c r="BB160" i="118" s="1"/>
  <c r="BB148" i="118"/>
  <c r="BB149" i="118" s="1"/>
  <c r="BB137" i="118"/>
  <c r="BB138" i="118" s="1"/>
  <c r="BB126" i="118"/>
  <c r="BB127" i="118" s="1"/>
  <c r="BB115" i="118"/>
  <c r="BB116" i="118" s="1"/>
  <c r="BB104" i="118"/>
  <c r="BB93" i="118"/>
  <c r="BB94" i="118" s="1"/>
  <c r="BB82" i="118"/>
  <c r="BB71" i="118"/>
  <c r="BB72" i="118" s="1"/>
  <c r="BB60" i="118"/>
  <c r="BB61" i="118" s="1"/>
  <c r="BB49" i="118"/>
  <c r="BB11" i="118"/>
  <c r="BB4" i="118"/>
  <c r="AC47" i="129" s="1"/>
  <c r="H200" i="9"/>
  <c r="BF57" i="36"/>
  <c r="BF51" i="36"/>
  <c r="BF45" i="36"/>
  <c r="BF33" i="36"/>
  <c r="BF27" i="36"/>
  <c r="DG10" i="34"/>
  <c r="DF34" i="34"/>
  <c r="DF40" i="34" s="1"/>
  <c r="DF28" i="34"/>
  <c r="DG35" i="34"/>
  <c r="DG34" i="34"/>
  <c r="DG29" i="34"/>
  <c r="DG28" i="34"/>
  <c r="DG23" i="34"/>
  <c r="DG22" i="34"/>
  <c r="DG17" i="34"/>
  <c r="DG16" i="34"/>
  <c r="DG11" i="34"/>
  <c r="DH10" i="34"/>
  <c r="DH16" i="34" s="1"/>
  <c r="DH22" i="34" s="1"/>
  <c r="DH28" i="34" s="1"/>
  <c r="DH34" i="34" s="1"/>
  <c r="DK97" i="29"/>
  <c r="DK30" i="29"/>
  <c r="DK20" i="29"/>
  <c r="BB83" i="118" l="1"/>
  <c r="BB32" i="118" s="1"/>
  <c r="BB31" i="118"/>
  <c r="BB50" i="118"/>
  <c r="BB27" i="118" s="1"/>
  <c r="BB26" i="118"/>
  <c r="BB105" i="118"/>
  <c r="BB37" i="118" s="1"/>
  <c r="BB36" i="118"/>
  <c r="BB86" i="118"/>
  <c r="H95" i="120"/>
  <c r="H33" i="120" s="1"/>
  <c r="I29" i="120" s="1"/>
  <c r="I129" i="120"/>
  <c r="L131" i="120"/>
  <c r="K132" i="120"/>
  <c r="K97" i="120"/>
  <c r="R31" i="120"/>
  <c r="T129" i="120"/>
  <c r="U93" i="120"/>
  <c r="I99" i="120"/>
  <c r="J133" i="120"/>
  <c r="R131" i="120"/>
  <c r="S95" i="120"/>
  <c r="R68" i="120"/>
  <c r="R66" i="120" s="1"/>
  <c r="R67" i="120" s="1"/>
  <c r="I31" i="120"/>
  <c r="J31" i="120"/>
  <c r="V31" i="120"/>
  <c r="M31" i="120"/>
  <c r="L31" i="120"/>
  <c r="N31" i="120"/>
  <c r="O31" i="120"/>
  <c r="O131" i="120"/>
  <c r="O96" i="120"/>
  <c r="P130" i="120"/>
  <c r="N101" i="120"/>
  <c r="Q97" i="120"/>
  <c r="P98" i="120"/>
  <c r="P31" i="120"/>
  <c r="S31" i="120"/>
  <c r="U31" i="120"/>
  <c r="J100" i="120"/>
  <c r="U128" i="120"/>
  <c r="V92" i="120"/>
  <c r="L99" i="120"/>
  <c r="Q132" i="120"/>
  <c r="R96" i="120"/>
  <c r="T31" i="120"/>
  <c r="Q31" i="120"/>
  <c r="V127" i="120"/>
  <c r="W91" i="120"/>
  <c r="M132" i="120"/>
  <c r="M97" i="120"/>
  <c r="N131" i="120"/>
  <c r="S130" i="120"/>
  <c r="T94" i="120"/>
  <c r="K31" i="120"/>
  <c r="W31" i="120"/>
  <c r="W126" i="120"/>
  <c r="BB188" i="118"/>
  <c r="BB187" i="118"/>
  <c r="BB5" i="118"/>
  <c r="AC48" i="129" s="1"/>
  <c r="BB97" i="118" l="1"/>
  <c r="BB103" i="118" s="1"/>
  <c r="BB92" i="118"/>
  <c r="BB108" i="118" s="1"/>
  <c r="H24" i="120"/>
  <c r="H153" i="120" s="1"/>
  <c r="H131" i="120"/>
  <c r="I130" i="120"/>
  <c r="H96" i="120"/>
  <c r="H132" i="120" s="1"/>
  <c r="L132" i="120"/>
  <c r="K133" i="120"/>
  <c r="K98" i="120"/>
  <c r="K99" i="120" s="1"/>
  <c r="M133" i="120"/>
  <c r="M98" i="120"/>
  <c r="N132" i="120"/>
  <c r="T130" i="120"/>
  <c r="U94" i="120"/>
  <c r="L100" i="120"/>
  <c r="J101" i="120"/>
  <c r="N102" i="120"/>
  <c r="O132" i="120"/>
  <c r="O97" i="120"/>
  <c r="P131" i="120"/>
  <c r="S131" i="120"/>
  <c r="T95" i="120"/>
  <c r="S68" i="120"/>
  <c r="S66" i="120" s="1"/>
  <c r="S67" i="120" s="1"/>
  <c r="Q98" i="120"/>
  <c r="P99" i="120"/>
  <c r="U129" i="120"/>
  <c r="V93" i="120"/>
  <c r="W127" i="120"/>
  <c r="R132" i="120"/>
  <c r="S96" i="120"/>
  <c r="V128" i="120"/>
  <c r="W92" i="120"/>
  <c r="Q133" i="120"/>
  <c r="R97" i="120"/>
  <c r="I100" i="120"/>
  <c r="J134" i="120"/>
  <c r="BB119" i="118" l="1"/>
  <c r="BB114" i="118"/>
  <c r="I21" i="120"/>
  <c r="H37" i="120"/>
  <c r="H154" i="120"/>
  <c r="H171" i="120" s="1"/>
  <c r="H97" i="120"/>
  <c r="I132" i="120" s="1"/>
  <c r="I131" i="120"/>
  <c r="L134" i="120"/>
  <c r="K135" i="120"/>
  <c r="L133" i="120"/>
  <c r="K134" i="120"/>
  <c r="W128" i="120"/>
  <c r="K100" i="120"/>
  <c r="K101" i="120" s="1"/>
  <c r="L136" i="120" s="1"/>
  <c r="M134" i="120"/>
  <c r="M99" i="120"/>
  <c r="N133" i="120"/>
  <c r="Q134" i="120"/>
  <c r="R98" i="120"/>
  <c r="N103" i="120"/>
  <c r="K136" i="120"/>
  <c r="R133" i="120"/>
  <c r="S97" i="120"/>
  <c r="S132" i="120"/>
  <c r="T96" i="120"/>
  <c r="V129" i="120"/>
  <c r="W93" i="120"/>
  <c r="L135" i="120"/>
  <c r="I101" i="120"/>
  <c r="J135" i="120"/>
  <c r="O133" i="120"/>
  <c r="O98" i="120"/>
  <c r="P132" i="120"/>
  <c r="J102" i="120"/>
  <c r="U130" i="120"/>
  <c r="V94" i="120"/>
  <c r="Q99" i="120"/>
  <c r="P100" i="120"/>
  <c r="T131" i="120"/>
  <c r="U95" i="120"/>
  <c r="T68" i="120"/>
  <c r="T66" i="120" s="1"/>
  <c r="T67" i="120" s="1"/>
  <c r="L101" i="120"/>
  <c r="BB147" i="118" l="1"/>
  <c r="BB152" i="118" s="1"/>
  <c r="BB158" i="118" s="1"/>
  <c r="BB125" i="118"/>
  <c r="BB130" i="118"/>
  <c r="BB141" i="118"/>
  <c r="BB136" i="118"/>
  <c r="I154" i="120"/>
  <c r="J154" i="120" s="1"/>
  <c r="K154" i="120" s="1"/>
  <c r="H133" i="120"/>
  <c r="H98" i="120"/>
  <c r="H134" i="120" s="1"/>
  <c r="K137" i="120"/>
  <c r="K102" i="120"/>
  <c r="L137" i="120" s="1"/>
  <c r="R134" i="120"/>
  <c r="S98" i="120"/>
  <c r="V130" i="120"/>
  <c r="W94" i="120"/>
  <c r="I102" i="120"/>
  <c r="J136" i="120"/>
  <c r="W129" i="120"/>
  <c r="S133" i="120"/>
  <c r="T97" i="120"/>
  <c r="L102" i="120"/>
  <c r="O134" i="120"/>
  <c r="O99" i="120"/>
  <c r="P133" i="120"/>
  <c r="N104" i="120"/>
  <c r="J103" i="120"/>
  <c r="T132" i="120"/>
  <c r="U96" i="120"/>
  <c r="M135" i="120"/>
  <c r="M100" i="120"/>
  <c r="N134" i="120"/>
  <c r="Q100" i="120"/>
  <c r="P101" i="120"/>
  <c r="Q135" i="120"/>
  <c r="R99" i="120"/>
  <c r="U131" i="120"/>
  <c r="V95" i="120"/>
  <c r="U68" i="120"/>
  <c r="U66" i="120" s="1"/>
  <c r="U67" i="120" s="1"/>
  <c r="BB163" i="118" l="1"/>
  <c r="BB186" i="118" s="1"/>
  <c r="BB180" i="118"/>
  <c r="BB174" i="118"/>
  <c r="BB169" i="118"/>
  <c r="I133" i="120"/>
  <c r="H99" i="120"/>
  <c r="H135" i="120" s="1"/>
  <c r="M136" i="120"/>
  <c r="M101" i="120"/>
  <c r="N135" i="120"/>
  <c r="N105" i="120"/>
  <c r="L154" i="120"/>
  <c r="M154" i="120" s="1"/>
  <c r="T133" i="120"/>
  <c r="U97" i="120"/>
  <c r="I103" i="120"/>
  <c r="J137" i="120"/>
  <c r="S134" i="120"/>
  <c r="T98" i="120"/>
  <c r="Q101" i="120"/>
  <c r="P102" i="120"/>
  <c r="J104" i="120"/>
  <c r="O135" i="120"/>
  <c r="O100" i="120"/>
  <c r="P134" i="120"/>
  <c r="W130" i="120"/>
  <c r="K138" i="120"/>
  <c r="K103" i="120"/>
  <c r="L138" i="120" s="1"/>
  <c r="V131" i="120"/>
  <c r="W95" i="120"/>
  <c r="V68" i="120"/>
  <c r="V66" i="120" s="1"/>
  <c r="V67" i="120" s="1"/>
  <c r="Q136" i="120"/>
  <c r="R100" i="120"/>
  <c r="R135" i="120"/>
  <c r="S99" i="120"/>
  <c r="U132" i="120"/>
  <c r="V96" i="120"/>
  <c r="L103" i="120"/>
  <c r="I134" i="120" l="1"/>
  <c r="H100" i="120"/>
  <c r="H136" i="120" s="1"/>
  <c r="W131" i="120"/>
  <c r="W68" i="120"/>
  <c r="W66" i="120" s="1"/>
  <c r="W67" i="120" s="1"/>
  <c r="I104" i="120"/>
  <c r="J138" i="120"/>
  <c r="L104" i="120"/>
  <c r="N106" i="120"/>
  <c r="M137" i="120"/>
  <c r="M102" i="120"/>
  <c r="N136" i="120"/>
  <c r="S135" i="120"/>
  <c r="T99" i="120"/>
  <c r="O136" i="120"/>
  <c r="O101" i="120"/>
  <c r="P135" i="120"/>
  <c r="U133" i="120"/>
  <c r="V97" i="120"/>
  <c r="N154" i="120"/>
  <c r="Q137" i="120"/>
  <c r="R101" i="120"/>
  <c r="J105" i="120"/>
  <c r="R136" i="120"/>
  <c r="S100" i="120"/>
  <c r="V132" i="120"/>
  <c r="W96" i="120"/>
  <c r="W132" i="120" s="1"/>
  <c r="T134" i="120"/>
  <c r="U98" i="120"/>
  <c r="K139" i="120"/>
  <c r="K104" i="120"/>
  <c r="L139" i="120" s="1"/>
  <c r="Q102" i="120"/>
  <c r="P103" i="120"/>
  <c r="I135" i="120" l="1"/>
  <c r="H101" i="120"/>
  <c r="H102" i="120" s="1"/>
  <c r="O137" i="120"/>
  <c r="O102" i="120"/>
  <c r="P136" i="120"/>
  <c r="Q103" i="120"/>
  <c r="P104" i="120"/>
  <c r="S136" i="120"/>
  <c r="T100" i="120"/>
  <c r="V133" i="120"/>
  <c r="W97" i="120"/>
  <c r="M138" i="120"/>
  <c r="M103" i="120"/>
  <c r="N137" i="120"/>
  <c r="L105" i="120"/>
  <c r="T135" i="120"/>
  <c r="U99" i="120"/>
  <c r="O154" i="120"/>
  <c r="Q138" i="120"/>
  <c r="R102" i="120"/>
  <c r="J106" i="120"/>
  <c r="K140" i="120"/>
  <c r="K105" i="120"/>
  <c r="U134" i="120"/>
  <c r="V98" i="120"/>
  <c r="R137" i="120"/>
  <c r="S101" i="120"/>
  <c r="I105" i="120"/>
  <c r="J139" i="120"/>
  <c r="H137" i="120" l="1"/>
  <c r="I136" i="120"/>
  <c r="V134" i="120"/>
  <c r="W98" i="120"/>
  <c r="R138" i="120"/>
  <c r="S102" i="120"/>
  <c r="H138" i="120"/>
  <c r="H103" i="120"/>
  <c r="I137" i="120"/>
  <c r="M139" i="120"/>
  <c r="M104" i="120"/>
  <c r="N138" i="120"/>
  <c r="T136" i="120"/>
  <c r="U100" i="120"/>
  <c r="Q139" i="120"/>
  <c r="R103" i="120"/>
  <c r="I106" i="120"/>
  <c r="J141" i="120" s="1"/>
  <c r="J140" i="120"/>
  <c r="L106" i="120"/>
  <c r="T101" i="120"/>
  <c r="S137" i="120"/>
  <c r="K141" i="120"/>
  <c r="K143" i="120" s="1"/>
  <c r="K106" i="120"/>
  <c r="L141" i="120" s="1"/>
  <c r="L140" i="120"/>
  <c r="W133" i="120"/>
  <c r="P154" i="120"/>
  <c r="U135" i="120"/>
  <c r="V99" i="120"/>
  <c r="Q104" i="120"/>
  <c r="P105" i="120"/>
  <c r="O138" i="120"/>
  <c r="O103" i="120"/>
  <c r="P137" i="120"/>
  <c r="L143" i="120" l="1"/>
  <c r="L22" i="120" s="1"/>
  <c r="L153" i="120"/>
  <c r="Q154" i="120"/>
  <c r="M140" i="120"/>
  <c r="M105" i="120"/>
  <c r="N139" i="120"/>
  <c r="O139" i="120"/>
  <c r="O104" i="120"/>
  <c r="P138" i="120"/>
  <c r="T137" i="120"/>
  <c r="U101" i="120"/>
  <c r="J143" i="120"/>
  <c r="U136" i="120"/>
  <c r="V100" i="120"/>
  <c r="S138" i="120"/>
  <c r="T102" i="120"/>
  <c r="Q140" i="120"/>
  <c r="R104" i="120"/>
  <c r="V135" i="120"/>
  <c r="W99" i="120"/>
  <c r="Q105" i="120"/>
  <c r="P106" i="120"/>
  <c r="Q106" i="120" s="1"/>
  <c r="R106" i="120" s="1"/>
  <c r="S106" i="120" s="1"/>
  <c r="T106" i="120" s="1"/>
  <c r="U106" i="120" s="1"/>
  <c r="V106" i="120" s="1"/>
  <c r="W106" i="120" s="1"/>
  <c r="K153" i="120"/>
  <c r="K54" i="120"/>
  <c r="K22" i="120"/>
  <c r="R139" i="120"/>
  <c r="S103" i="120"/>
  <c r="H139" i="120"/>
  <c r="H104" i="120"/>
  <c r="I138" i="120"/>
  <c r="W134" i="120"/>
  <c r="L54" i="120" l="1"/>
  <c r="L51" i="120" s="1"/>
  <c r="U137" i="120"/>
  <c r="V101" i="120"/>
  <c r="H140" i="120"/>
  <c r="H105" i="120"/>
  <c r="I139" i="120"/>
  <c r="Q141" i="120"/>
  <c r="Q143" i="120" s="1"/>
  <c r="R105" i="120"/>
  <c r="R140" i="120"/>
  <c r="S104" i="120"/>
  <c r="V136" i="120"/>
  <c r="W100" i="120"/>
  <c r="W136" i="120" s="1"/>
  <c r="L158" i="120"/>
  <c r="L32" i="120"/>
  <c r="M141" i="120"/>
  <c r="M143" i="120" s="1"/>
  <c r="M106" i="120"/>
  <c r="N141" i="120" s="1"/>
  <c r="N140" i="120"/>
  <c r="L59" i="120"/>
  <c r="L60" i="120" s="1"/>
  <c r="K157" i="120"/>
  <c r="K32" i="120"/>
  <c r="K59" i="120"/>
  <c r="K60" i="120" s="1"/>
  <c r="K51" i="120"/>
  <c r="T103" i="120"/>
  <c r="S139" i="120"/>
  <c r="W135" i="120"/>
  <c r="T138" i="120"/>
  <c r="U102" i="120"/>
  <c r="J153" i="120"/>
  <c r="J54" i="120"/>
  <c r="J22" i="120"/>
  <c r="O140" i="120"/>
  <c r="O105" i="120"/>
  <c r="P139" i="120"/>
  <c r="R154" i="120"/>
  <c r="L55" i="120" l="1"/>
  <c r="M158" i="120"/>
  <c r="N158" i="120" s="1"/>
  <c r="H141" i="120"/>
  <c r="H143" i="120" s="1"/>
  <c r="H106" i="120"/>
  <c r="I141" i="120" s="1"/>
  <c r="I140" i="120"/>
  <c r="J59" i="120"/>
  <c r="J60" i="120" s="1"/>
  <c r="J51" i="120"/>
  <c r="K52" i="120" s="1"/>
  <c r="L157" i="120"/>
  <c r="M157" i="120" s="1"/>
  <c r="S140" i="120"/>
  <c r="T104" i="120"/>
  <c r="S154" i="120"/>
  <c r="U138" i="120"/>
  <c r="V102" i="120"/>
  <c r="T139" i="120"/>
  <c r="U103" i="120"/>
  <c r="L52" i="120"/>
  <c r="N143" i="120"/>
  <c r="R141" i="120"/>
  <c r="R143" i="120" s="1"/>
  <c r="S105" i="120"/>
  <c r="O141" i="120"/>
  <c r="O143" i="120" s="1"/>
  <c r="O106" i="120"/>
  <c r="P141" i="120" s="1"/>
  <c r="P143" i="120" s="1"/>
  <c r="P140" i="120"/>
  <c r="J156" i="120"/>
  <c r="J32" i="120"/>
  <c r="K55" i="120"/>
  <c r="M153" i="120"/>
  <c r="M54" i="120"/>
  <c r="M22" i="120"/>
  <c r="Q153" i="120"/>
  <c r="Q54" i="120"/>
  <c r="Q22" i="120"/>
  <c r="V137" i="120"/>
  <c r="W101" i="120"/>
  <c r="W137" i="120" s="1"/>
  <c r="DB20" i="29"/>
  <c r="DB30" i="29"/>
  <c r="I143" i="120" l="1"/>
  <c r="I153" i="120" s="1"/>
  <c r="N153" i="120"/>
  <c r="N54" i="120"/>
  <c r="N22" i="120"/>
  <c r="V138" i="120"/>
  <c r="W102" i="120"/>
  <c r="T140" i="120"/>
  <c r="U104" i="120"/>
  <c r="M159" i="120"/>
  <c r="M32" i="120"/>
  <c r="O153" i="120"/>
  <c r="O54" i="120"/>
  <c r="O22" i="120"/>
  <c r="O158" i="120"/>
  <c r="Q163" i="120"/>
  <c r="Q32" i="120"/>
  <c r="M59" i="120"/>
  <c r="M60" i="120" s="1"/>
  <c r="M51" i="120"/>
  <c r="M52" i="120" s="1"/>
  <c r="M55" i="120"/>
  <c r="K156" i="120"/>
  <c r="T105" i="120"/>
  <c r="S141" i="120"/>
  <c r="S143" i="120" s="1"/>
  <c r="U139" i="120"/>
  <c r="V103" i="120"/>
  <c r="T154" i="120"/>
  <c r="Q59" i="120"/>
  <c r="Q60" i="120" s="1"/>
  <c r="Q51" i="120"/>
  <c r="R153" i="120"/>
  <c r="R54" i="120"/>
  <c r="R22" i="120"/>
  <c r="N157" i="120"/>
  <c r="O157" i="120" s="1"/>
  <c r="P153" i="120"/>
  <c r="P54" i="120"/>
  <c r="P22" i="120"/>
  <c r="BE46" i="17"/>
  <c r="BD51" i="22"/>
  <c r="BD15" i="22"/>
  <c r="BD22" i="22"/>
  <c r="BD11" i="22"/>
  <c r="AB14" i="20"/>
  <c r="I22" i="120" l="1"/>
  <c r="I32" i="120" s="1"/>
  <c r="I30" i="120" s="1"/>
  <c r="I54" i="120"/>
  <c r="J55" i="120" s="1"/>
  <c r="P157" i="120"/>
  <c r="P59" i="120"/>
  <c r="P60" i="120" s="1"/>
  <c r="P51" i="120"/>
  <c r="P55" i="120"/>
  <c r="T141" i="120"/>
  <c r="T143" i="120" s="1"/>
  <c r="U105" i="120"/>
  <c r="N59" i="120"/>
  <c r="N60" i="120" s="1"/>
  <c r="N55" i="120"/>
  <c r="N51" i="120"/>
  <c r="N52" i="120" s="1"/>
  <c r="S153" i="120"/>
  <c r="S54" i="120"/>
  <c r="S22" i="120"/>
  <c r="R163" i="120"/>
  <c r="S163" i="120" s="1"/>
  <c r="N160" i="120"/>
  <c r="N32" i="120"/>
  <c r="R59" i="120"/>
  <c r="R60" i="120" s="1"/>
  <c r="R55" i="120"/>
  <c r="R51" i="120"/>
  <c r="R52" i="120" s="1"/>
  <c r="V139" i="120"/>
  <c r="W103" i="120"/>
  <c r="L156" i="120"/>
  <c r="M156" i="120" s="1"/>
  <c r="O161" i="120"/>
  <c r="O32" i="120"/>
  <c r="N159" i="120"/>
  <c r="W138" i="120"/>
  <c r="Q55" i="120"/>
  <c r="U140" i="120"/>
  <c r="V104" i="120"/>
  <c r="R164" i="120"/>
  <c r="R32" i="120"/>
  <c r="P162" i="120"/>
  <c r="P32" i="120"/>
  <c r="P158" i="120"/>
  <c r="O59" i="120"/>
  <c r="O60" i="120" s="1"/>
  <c r="O51" i="120"/>
  <c r="O55" i="120"/>
  <c r="U154" i="120"/>
  <c r="BA189" i="118"/>
  <c r="BA170" i="118"/>
  <c r="BA171" i="118" s="1"/>
  <c r="BA159" i="118"/>
  <c r="BA160" i="118" s="1"/>
  <c r="BA137" i="118"/>
  <c r="BA138" i="118" s="1"/>
  <c r="BA126" i="118"/>
  <c r="BA127" i="118" s="1"/>
  <c r="BA115" i="118"/>
  <c r="BA116" i="118" s="1"/>
  <c r="BA104" i="118"/>
  <c r="BA93" i="118"/>
  <c r="BA94" i="118" s="1"/>
  <c r="BA82" i="118"/>
  <c r="BA71" i="118"/>
  <c r="BA72" i="118" s="1"/>
  <c r="BA60" i="118"/>
  <c r="BA61" i="118" s="1"/>
  <c r="BA49" i="118"/>
  <c r="AZ189" i="118"/>
  <c r="AZ177" i="118"/>
  <c r="AZ176" i="118"/>
  <c r="AZ170" i="118"/>
  <c r="AZ171" i="118" s="1"/>
  <c r="AZ166" i="118"/>
  <c r="BA166" i="118" s="1"/>
  <c r="AZ165" i="118"/>
  <c r="BA165" i="118" s="1"/>
  <c r="AZ159" i="118"/>
  <c r="AZ160" i="118" s="1"/>
  <c r="AZ155" i="118"/>
  <c r="BA155" i="118" s="1"/>
  <c r="AZ154" i="118"/>
  <c r="BA154" i="118" s="1"/>
  <c r="BB154" i="118" s="1"/>
  <c r="BA148" i="118"/>
  <c r="BA149" i="118" s="1"/>
  <c r="AZ148" i="118"/>
  <c r="AZ149" i="118" s="1"/>
  <c r="AZ137" i="118"/>
  <c r="AZ138" i="118" s="1"/>
  <c r="AZ132" i="118"/>
  <c r="BA132" i="118" s="1"/>
  <c r="AZ126" i="118"/>
  <c r="AZ127" i="118" s="1"/>
  <c r="AZ115" i="118"/>
  <c r="AZ116" i="118" s="1"/>
  <c r="AZ111" i="118"/>
  <c r="BA111" i="118" s="1"/>
  <c r="BB111" i="118" s="1"/>
  <c r="AZ104" i="118"/>
  <c r="AZ100" i="118"/>
  <c r="BA100" i="118" s="1"/>
  <c r="AZ99" i="118"/>
  <c r="BA99" i="118" s="1"/>
  <c r="AZ93" i="118"/>
  <c r="AZ94" i="118" s="1"/>
  <c r="AZ89" i="118"/>
  <c r="BA89" i="118" s="1"/>
  <c r="BB89" i="118" s="1"/>
  <c r="AZ88" i="118"/>
  <c r="BA88" i="118" s="1"/>
  <c r="AZ82" i="118"/>
  <c r="AZ78" i="118"/>
  <c r="BA78" i="118" s="1"/>
  <c r="AZ77" i="118"/>
  <c r="AZ60" i="118"/>
  <c r="AZ61" i="118" s="1"/>
  <c r="AZ56" i="118"/>
  <c r="BA56" i="118" s="1"/>
  <c r="AZ55" i="118"/>
  <c r="BA55" i="118" s="1"/>
  <c r="AZ71" i="118"/>
  <c r="AZ72" i="118" s="1"/>
  <c r="AZ67" i="118"/>
  <c r="BA67" i="118" s="1"/>
  <c r="AZ66" i="118"/>
  <c r="BA66" i="118" s="1"/>
  <c r="AZ49" i="118"/>
  <c r="AZ45" i="118"/>
  <c r="BA45" i="118" s="1"/>
  <c r="AZ44" i="118"/>
  <c r="AZ83" i="118" l="1"/>
  <c r="AZ32" i="118" s="1"/>
  <c r="AZ31" i="118"/>
  <c r="BA105" i="118"/>
  <c r="BA37" i="118" s="1"/>
  <c r="BA36" i="118"/>
  <c r="AZ11" i="118"/>
  <c r="AZ105" i="118"/>
  <c r="AZ37" i="118" s="1"/>
  <c r="AZ36" i="118"/>
  <c r="BA83" i="118"/>
  <c r="BA32" i="118" s="1"/>
  <c r="BA31" i="118"/>
  <c r="AZ26" i="118"/>
  <c r="BA50" i="118"/>
  <c r="BA27" i="118" s="1"/>
  <c r="BA26" i="118"/>
  <c r="AZ187" i="118"/>
  <c r="AZ182" i="118"/>
  <c r="BA20" i="118"/>
  <c r="AZ4" i="118"/>
  <c r="AZ50" i="118"/>
  <c r="AZ27" i="118" s="1"/>
  <c r="BA12" i="118"/>
  <c r="AZ188" i="118"/>
  <c r="BC111" i="118"/>
  <c r="BC20" i="118" s="1"/>
  <c r="BB20" i="118"/>
  <c r="BA183" i="118"/>
  <c r="BA19" i="118"/>
  <c r="BB99" i="118"/>
  <c r="BB12" i="118"/>
  <c r="BC89" i="118"/>
  <c r="BB183" i="118"/>
  <c r="AZ19" i="118"/>
  <c r="AZ20" i="118"/>
  <c r="AZ183" i="118"/>
  <c r="AZ5" i="118"/>
  <c r="BA44" i="118"/>
  <c r="BA77" i="118"/>
  <c r="BA11" i="118" s="1"/>
  <c r="AZ12" i="118"/>
  <c r="BA187" i="118"/>
  <c r="I51" i="120"/>
  <c r="J52" i="120" s="1"/>
  <c r="I155" i="120"/>
  <c r="J155" i="120" s="1"/>
  <c r="J171" i="120" s="1"/>
  <c r="J23" i="120" s="1"/>
  <c r="J12" i="120" s="1"/>
  <c r="J13" i="120" s="1"/>
  <c r="O52" i="120"/>
  <c r="P52" i="120"/>
  <c r="V140" i="120"/>
  <c r="W104" i="120"/>
  <c r="I15" i="120"/>
  <c r="I38" i="120" s="1"/>
  <c r="I33" i="120"/>
  <c r="J29" i="120" s="1"/>
  <c r="O159" i="120"/>
  <c r="W139" i="120"/>
  <c r="T163" i="120"/>
  <c r="T153" i="120"/>
  <c r="T54" i="120"/>
  <c r="T22" i="120"/>
  <c r="V154" i="120"/>
  <c r="Q162" i="120"/>
  <c r="Q157" i="120"/>
  <c r="R157" i="120" s="1"/>
  <c r="S157" i="120" s="1"/>
  <c r="Q52" i="120"/>
  <c r="Q158" i="120"/>
  <c r="R158" i="120" s="1"/>
  <c r="P161" i="120"/>
  <c r="Q161" i="120" s="1"/>
  <c r="N156" i="120"/>
  <c r="O160" i="120"/>
  <c r="P160" i="120" s="1"/>
  <c r="S165" i="120"/>
  <c r="S32" i="120"/>
  <c r="S164" i="120"/>
  <c r="S59" i="120"/>
  <c r="S60" i="120" s="1"/>
  <c r="S51" i="120"/>
  <c r="S52" i="120" s="1"/>
  <c r="S55" i="120"/>
  <c r="U141" i="120"/>
  <c r="U143" i="120" s="1"/>
  <c r="V105" i="120"/>
  <c r="BA4" i="118"/>
  <c r="BA5" i="118"/>
  <c r="CX31" i="29"/>
  <c r="CX98" i="29"/>
  <c r="BA188" i="118" l="1"/>
  <c r="AC88" i="129"/>
  <c r="BC12" i="118"/>
  <c r="BC183" i="118"/>
  <c r="BA182" i="118"/>
  <c r="BB19" i="118"/>
  <c r="AC87" i="129" s="1"/>
  <c r="BB182" i="118"/>
  <c r="I171" i="120"/>
  <c r="I23" i="120" s="1"/>
  <c r="I24" i="120" s="1"/>
  <c r="K155" i="120"/>
  <c r="K171" i="120" s="1"/>
  <c r="K23" i="120" s="1"/>
  <c r="K12" i="120" s="1"/>
  <c r="K13" i="120" s="1"/>
  <c r="P159" i="120"/>
  <c r="Q159" i="120" s="1"/>
  <c r="R159" i="120" s="1"/>
  <c r="V141" i="120"/>
  <c r="V143" i="120" s="1"/>
  <c r="W105" i="120"/>
  <c r="W141" i="120" s="1"/>
  <c r="T157" i="120"/>
  <c r="U157" i="120" s="1"/>
  <c r="V157" i="120" s="1"/>
  <c r="W157" i="120" s="1"/>
  <c r="T166" i="120"/>
  <c r="T32" i="120"/>
  <c r="W140" i="120"/>
  <c r="U153" i="120"/>
  <c r="U54" i="120"/>
  <c r="U22" i="120"/>
  <c r="T165" i="120"/>
  <c r="U165" i="120" s="1"/>
  <c r="O156" i="120"/>
  <c r="P156" i="120" s="1"/>
  <c r="S158" i="120"/>
  <c r="W154" i="120"/>
  <c r="T59" i="120"/>
  <c r="T60" i="120" s="1"/>
  <c r="T51" i="120"/>
  <c r="T52" i="120" s="1"/>
  <c r="T55" i="120"/>
  <c r="U163" i="120"/>
  <c r="V163" i="120" s="1"/>
  <c r="W163" i="120" s="1"/>
  <c r="T164" i="120"/>
  <c r="Q160" i="120"/>
  <c r="R161" i="120"/>
  <c r="R162" i="120"/>
  <c r="J30" i="120"/>
  <c r="J15" i="120" s="1"/>
  <c r="J38" i="120" s="1"/>
  <c r="DF100" i="29"/>
  <c r="I12" i="120" l="1"/>
  <c r="I13" i="120" s="1"/>
  <c r="I16" i="120" s="1"/>
  <c r="L155" i="120"/>
  <c r="L171" i="120" s="1"/>
  <c r="L23" i="120" s="1"/>
  <c r="L12" i="120" s="1"/>
  <c r="L13" i="120" s="1"/>
  <c r="W143" i="120"/>
  <c r="W22" i="120" s="1"/>
  <c r="V165" i="120"/>
  <c r="W165" i="120" s="1"/>
  <c r="J33" i="120"/>
  <c r="K29" i="120" s="1"/>
  <c r="T158" i="120"/>
  <c r="U158" i="120" s="1"/>
  <c r="R160" i="120"/>
  <c r="S160" i="120" s="1"/>
  <c r="T160" i="120" s="1"/>
  <c r="U59" i="120"/>
  <c r="U60" i="120" s="1"/>
  <c r="U51" i="120"/>
  <c r="U52" i="120" s="1"/>
  <c r="U55" i="120"/>
  <c r="Q156" i="120"/>
  <c r="V153" i="120"/>
  <c r="V54" i="120"/>
  <c r="V22" i="120"/>
  <c r="U167" i="120"/>
  <c r="U32" i="120"/>
  <c r="U166" i="120"/>
  <c r="U164" i="120"/>
  <c r="V164" i="120" s="1"/>
  <c r="W164" i="120" s="1"/>
  <c r="J16" i="120"/>
  <c r="S162" i="120"/>
  <c r="T162" i="120" s="1"/>
  <c r="I37" i="120"/>
  <c r="I39" i="120" s="1"/>
  <c r="J21" i="120"/>
  <c r="J24" i="120" s="1"/>
  <c r="I35" i="120"/>
  <c r="S161" i="120"/>
  <c r="S159" i="120"/>
  <c r="T159" i="120" s="1"/>
  <c r="W153" i="120"/>
  <c r="W54" i="120"/>
  <c r="DF60" i="29"/>
  <c r="M155" i="120" l="1"/>
  <c r="M171" i="120" s="1"/>
  <c r="M23" i="120" s="1"/>
  <c r="M12" i="120" s="1"/>
  <c r="M13" i="120" s="1"/>
  <c r="R156" i="120"/>
  <c r="S156" i="120" s="1"/>
  <c r="T156" i="120" s="1"/>
  <c r="U156" i="120" s="1"/>
  <c r="V156" i="120" s="1"/>
  <c r="W156" i="120" s="1"/>
  <c r="U162" i="120"/>
  <c r="V162" i="120" s="1"/>
  <c r="W162" i="120" s="1"/>
  <c r="U160" i="120"/>
  <c r="V160" i="120" s="1"/>
  <c r="W160" i="120" s="1"/>
  <c r="V167" i="120"/>
  <c r="W167" i="120" s="1"/>
  <c r="T161" i="120"/>
  <c r="U161" i="120" s="1"/>
  <c r="V166" i="120"/>
  <c r="W166" i="120" s="1"/>
  <c r="V158" i="120"/>
  <c r="W158" i="120" s="1"/>
  <c r="W169" i="120"/>
  <c r="W32" i="120"/>
  <c r="U159" i="120"/>
  <c r="V159" i="120" s="1"/>
  <c r="W159" i="120" s="1"/>
  <c r="V168" i="120"/>
  <c r="W168" i="120" s="1"/>
  <c r="V32" i="120"/>
  <c r="W59" i="120"/>
  <c r="W60" i="120" s="1"/>
  <c r="W51" i="120"/>
  <c r="W55" i="120"/>
  <c r="J37" i="120"/>
  <c r="J39" i="120" s="1"/>
  <c r="K21" i="120"/>
  <c r="K24" i="120" s="1"/>
  <c r="J35" i="120"/>
  <c r="V59" i="120"/>
  <c r="V60" i="120" s="1"/>
  <c r="V55" i="120"/>
  <c r="V51" i="120"/>
  <c r="V52" i="120" s="1"/>
  <c r="K30" i="120"/>
  <c r="K15" i="120" s="1"/>
  <c r="N155" i="120" l="1"/>
  <c r="N171" i="120" s="1"/>
  <c r="N23" i="120" s="1"/>
  <c r="N12" i="120" s="1"/>
  <c r="N13" i="120" s="1"/>
  <c r="V161" i="120"/>
  <c r="W161" i="120" s="1"/>
  <c r="K38" i="120"/>
  <c r="K16" i="120"/>
  <c r="K33" i="120"/>
  <c r="L29" i="120" s="1"/>
  <c r="W52" i="120"/>
  <c r="L21" i="120"/>
  <c r="L24" i="120" s="1"/>
  <c r="O155" i="120" l="1"/>
  <c r="O171" i="120" s="1"/>
  <c r="O23" i="120" s="1"/>
  <c r="O12" i="120" s="1"/>
  <c r="O13" i="120" s="1"/>
  <c r="K37" i="120"/>
  <c r="K39" i="120" s="1"/>
  <c r="K35" i="120"/>
  <c r="L30" i="120"/>
  <c r="L15" i="120" s="1"/>
  <c r="M21" i="120"/>
  <c r="M24" i="120" s="1"/>
  <c r="DF33" i="29"/>
  <c r="DF63" i="29" s="1"/>
  <c r="H196" i="9"/>
  <c r="P200" i="9" s="1"/>
  <c r="DC19" i="34"/>
  <c r="DC25" i="34"/>
  <c r="DB31" i="34"/>
  <c r="DG33" i="29"/>
  <c r="DG23" i="29"/>
  <c r="P155" i="120" l="1"/>
  <c r="P171" i="120" s="1"/>
  <c r="P23" i="120" s="1"/>
  <c r="P12" i="120" s="1"/>
  <c r="P13" i="120" s="1"/>
  <c r="L33" i="120"/>
  <c r="L38" i="120"/>
  <c r="L16" i="120"/>
  <c r="N21" i="120"/>
  <c r="N24" i="120" s="1"/>
  <c r="DB37" i="34"/>
  <c r="Q155" i="120" l="1"/>
  <c r="Q171" i="120" s="1"/>
  <c r="Q23" i="120" s="1"/>
  <c r="Q12" i="120" s="1"/>
  <c r="Q13" i="120" s="1"/>
  <c r="M29" i="120"/>
  <c r="L37" i="120"/>
  <c r="L39" i="120" s="1"/>
  <c r="L35" i="120"/>
  <c r="O21" i="120"/>
  <c r="O24" i="120" s="1"/>
  <c r="DB28" i="34"/>
  <c r="R155" i="120" l="1"/>
  <c r="R171" i="120" s="1"/>
  <c r="R23" i="120" s="1"/>
  <c r="R12" i="120" s="1"/>
  <c r="R13" i="120" s="1"/>
  <c r="P21" i="120"/>
  <c r="P24" i="120" s="1"/>
  <c r="M30" i="120"/>
  <c r="M15" i="120" s="1"/>
  <c r="S155" i="120" l="1"/>
  <c r="S171" i="120" s="1"/>
  <c r="S23" i="120" s="1"/>
  <c r="S12" i="120" s="1"/>
  <c r="S13" i="120" s="1"/>
  <c r="M33" i="120"/>
  <c r="M37" i="120" s="1"/>
  <c r="M39" i="120" s="1"/>
  <c r="M38" i="120"/>
  <c r="M16" i="120"/>
  <c r="Q21" i="120"/>
  <c r="Q24" i="120" s="1"/>
  <c r="T155" i="120" l="1"/>
  <c r="T171" i="120" s="1"/>
  <c r="T23" i="120" s="1"/>
  <c r="T12" i="120" s="1"/>
  <c r="T13" i="120" s="1"/>
  <c r="M35" i="120"/>
  <c r="N29" i="120"/>
  <c r="N30" i="120" s="1"/>
  <c r="N15" i="120" s="1"/>
  <c r="R21" i="120"/>
  <c r="R24" i="120" s="1"/>
  <c r="CO62" i="28"/>
  <c r="CO65" i="28"/>
  <c r="U155" i="120" l="1"/>
  <c r="U171" i="120" s="1"/>
  <c r="U23" i="120" s="1"/>
  <c r="U12" i="120" s="1"/>
  <c r="U13" i="120" s="1"/>
  <c r="N33" i="120"/>
  <c r="N35" i="120" s="1"/>
  <c r="S21" i="120"/>
  <c r="S24" i="120" s="1"/>
  <c r="N38" i="120"/>
  <c r="N16" i="120"/>
  <c r="T172" i="97"/>
  <c r="S172" i="97"/>
  <c r="T125" i="97"/>
  <c r="S125" i="97"/>
  <c r="V155" i="120" l="1"/>
  <c r="V171" i="120" s="1"/>
  <c r="V23" i="120" s="1"/>
  <c r="V12" i="120" s="1"/>
  <c r="V13" i="120" s="1"/>
  <c r="N37" i="120"/>
  <c r="N39" i="120" s="1"/>
  <c r="O29" i="120"/>
  <c r="O30" i="120" s="1"/>
  <c r="O15" i="120" s="1"/>
  <c r="T21" i="120"/>
  <c r="T24" i="120" s="1"/>
  <c r="W155" i="120" l="1"/>
  <c r="W171" i="120" s="1"/>
  <c r="W23" i="120" s="1"/>
  <c r="W12" i="120" s="1"/>
  <c r="W13" i="120" s="1"/>
  <c r="O33" i="120"/>
  <c r="O37" i="120" s="1"/>
  <c r="O39" i="120" s="1"/>
  <c r="U21" i="120"/>
  <c r="U24" i="120" s="1"/>
  <c r="O38" i="120"/>
  <c r="O16" i="120"/>
  <c r="O35" i="120" l="1"/>
  <c r="P29" i="120"/>
  <c r="P30" i="120" s="1"/>
  <c r="P15" i="120" s="1"/>
  <c r="V21" i="120"/>
  <c r="V24" i="120" s="1"/>
  <c r="P33" i="120" l="1"/>
  <c r="P35" i="120" s="1"/>
  <c r="W21" i="120"/>
  <c r="W24" i="120" s="1"/>
  <c r="P38" i="120"/>
  <c r="P16" i="120"/>
  <c r="DU60" i="28"/>
  <c r="DU16" i="28"/>
  <c r="DT60" i="28"/>
  <c r="DT16" i="28"/>
  <c r="CO21" i="28" a="1"/>
  <c r="CO21" i="28" s="1"/>
  <c r="CO17" i="28" a="1"/>
  <c r="CO17" i="28" s="1"/>
  <c r="P37" i="120" l="1"/>
  <c r="P39" i="120" s="1"/>
  <c r="Q29" i="120"/>
  <c r="Q30" i="120" s="1"/>
  <c r="Q15" i="120" s="1"/>
  <c r="CR21" i="28"/>
  <c r="CP21" i="28"/>
  <c r="CQ21" i="28"/>
  <c r="CR17" i="28"/>
  <c r="CP17" i="28"/>
  <c r="CQ17" i="28"/>
  <c r="BN79" i="22"/>
  <c r="BN78" i="22"/>
  <c r="BN45" i="22"/>
  <c r="BN34" i="22"/>
  <c r="BN29" i="22"/>
  <c r="BN26" i="22"/>
  <c r="BL79" i="22"/>
  <c r="BL78" i="22"/>
  <c r="BL45" i="22"/>
  <c r="BL34" i="22"/>
  <c r="BL29" i="22"/>
  <c r="BL26" i="22"/>
  <c r="Q33" i="120" l="1"/>
  <c r="Q44" i="120" s="1"/>
  <c r="Q38" i="120"/>
  <c r="Q16" i="120"/>
  <c r="DK202" i="29"/>
  <c r="DK209" i="29"/>
  <c r="DJ194" i="29"/>
  <c r="DJ161" i="29"/>
  <c r="DJ83" i="29"/>
  <c r="DJ82" i="29"/>
  <c r="DJ81" i="29"/>
  <c r="DJ55" i="29"/>
  <c r="DL53" i="29"/>
  <c r="DL51" i="29"/>
  <c r="DL50" i="29"/>
  <c r="DL43" i="29"/>
  <c r="DL42" i="29"/>
  <c r="DL41" i="29"/>
  <c r="DJ40" i="29"/>
  <c r="DJ45" i="29" s="1"/>
  <c r="DL23" i="29"/>
  <c r="Q37" i="120" l="1"/>
  <c r="Q39" i="120" s="1"/>
  <c r="Q35" i="120"/>
  <c r="R29" i="120"/>
  <c r="R30" i="120" s="1"/>
  <c r="DJ44" i="29"/>
  <c r="DJ46" i="29"/>
  <c r="DK211" i="29"/>
  <c r="DJ150" i="29"/>
  <c r="DJ54" i="29"/>
  <c r="AC30" i="20" s="1"/>
  <c r="DJ56" i="29"/>
  <c r="R15" i="120" l="1"/>
  <c r="R38" i="120" s="1"/>
  <c r="R33" i="120"/>
  <c r="R37" i="120" s="1"/>
  <c r="R39" i="120" s="1"/>
  <c r="DK210" i="29"/>
  <c r="CO31" i="28" a="1"/>
  <c r="DJ149" i="29"/>
  <c r="CO30" i="28" a="1"/>
  <c r="DJ151" i="29"/>
  <c r="DK212" i="29" l="1"/>
  <c r="AE54" i="20"/>
  <c r="AF54" i="20" s="1"/>
  <c r="AG54" i="20" s="1"/>
  <c r="AH54" i="20" s="1"/>
  <c r="R35" i="120"/>
  <c r="S29" i="120"/>
  <c r="R44" i="120"/>
  <c r="R16" i="120"/>
  <c r="CO31" i="28"/>
  <c r="CR31" i="28"/>
  <c r="CQ31" i="28"/>
  <c r="CP31" i="28"/>
  <c r="CO30" i="28"/>
  <c r="CQ30" i="28"/>
  <c r="CR30" i="28"/>
  <c r="CP30" i="28"/>
  <c r="T24" i="97" l="1"/>
  <c r="C36" i="122"/>
  <c r="C38" i="122" s="1"/>
  <c r="S30" i="120"/>
  <c r="S15" i="120" s="1"/>
  <c r="S38" i="120" s="1"/>
  <c r="T147" i="97" l="1"/>
  <c r="T104" i="97"/>
  <c r="T148" i="97" s="1"/>
  <c r="AL54" i="20"/>
  <c r="S24" i="97"/>
  <c r="S63" i="97" s="1"/>
  <c r="S146" i="97" s="1"/>
  <c r="T63" i="97"/>
  <c r="T146" i="97" s="1"/>
  <c r="S33" i="120"/>
  <c r="S44" i="120" s="1"/>
  <c r="S16" i="120"/>
  <c r="CH58" i="29"/>
  <c r="CH28" i="29"/>
  <c r="AH56" i="20" l="1"/>
  <c r="S104" i="97"/>
  <c r="S148" i="97" s="1"/>
  <c r="AH55" i="20"/>
  <c r="S147" i="97"/>
  <c r="DV30" i="28"/>
  <c r="U24" i="97"/>
  <c r="U63" i="97" s="1"/>
  <c r="S35" i="120"/>
  <c r="S37" i="120"/>
  <c r="S39" i="120" s="1"/>
  <c r="T29" i="120"/>
  <c r="T30" i="120" s="1"/>
  <c r="DF99" i="29"/>
  <c r="DF32" i="29"/>
  <c r="U104" i="97" l="1"/>
  <c r="U148" i="97" s="1"/>
  <c r="U147" i="97"/>
  <c r="U145" i="97" s="1"/>
  <c r="U146" i="97"/>
  <c r="T15" i="120"/>
  <c r="T33" i="120"/>
  <c r="DF62" i="29"/>
  <c r="BA107" i="128" l="1"/>
  <c r="BA108" i="128" s="1"/>
  <c r="BC108" i="128"/>
  <c r="BA100" i="128"/>
  <c r="BA101" i="128" s="1"/>
  <c r="BC101" i="128"/>
  <c r="U29" i="120"/>
  <c r="T37" i="120"/>
  <c r="T39" i="120" s="1"/>
  <c r="T35" i="120"/>
  <c r="T44" i="120"/>
  <c r="T38" i="120"/>
  <c r="T16" i="120"/>
  <c r="U30" i="120" l="1"/>
  <c r="U15" i="120" s="1"/>
  <c r="U38" i="120" l="1"/>
  <c r="U16" i="120"/>
  <c r="U33" i="120"/>
  <c r="U44" i="120" s="1"/>
  <c r="Y231" i="129" l="1"/>
  <c r="Y273" i="129"/>
  <c r="Y264" i="129"/>
  <c r="Y240" i="129"/>
  <c r="AJ238" i="129"/>
  <c r="Y115" i="129"/>
  <c r="Y252" i="129"/>
  <c r="Y253" i="129" s="1"/>
  <c r="V29" i="120"/>
  <c r="U37" i="120"/>
  <c r="U39" i="120" s="1"/>
  <c r="U35" i="120"/>
  <c r="Y265" i="129" l="1"/>
  <c r="AJ264" i="129"/>
  <c r="Y268" i="129"/>
  <c r="Y272" i="129" s="1"/>
  <c r="V30" i="120"/>
  <c r="V15" i="120" l="1"/>
  <c r="V33" i="120"/>
  <c r="W29" i="120" l="1"/>
  <c r="V37" i="120"/>
  <c r="V39" i="120" s="1"/>
  <c r="V35" i="120"/>
  <c r="V38" i="120"/>
  <c r="V16" i="120"/>
  <c r="V44" i="120"/>
  <c r="W30" i="120" l="1"/>
  <c r="W15" i="120" s="1"/>
  <c r="H195" i="9"/>
  <c r="W33" i="120" l="1"/>
  <c r="W38" i="120"/>
  <c r="W16" i="120"/>
  <c r="W37" i="120" l="1"/>
  <c r="W39" i="120" s="1"/>
  <c r="W35" i="120"/>
  <c r="W44" i="120"/>
  <c r="AG68" i="97" l="1"/>
  <c r="X42" i="97" l="1"/>
  <c r="DB30" i="34" l="1"/>
  <c r="DB36" i="34" s="1"/>
  <c r="DC24" i="34"/>
  <c r="DC18" i="34"/>
  <c r="DC12" i="34"/>
  <c r="DG22" i="29" l="1"/>
  <c r="DF52" i="29"/>
  <c r="DL52" i="29" s="1"/>
  <c r="DG32" i="29"/>
  <c r="AY2" i="118" l="1"/>
  <c r="AY4" i="118"/>
  <c r="AY5" i="118"/>
  <c r="AY11" i="118"/>
  <c r="AY12" i="118"/>
  <c r="AY19" i="118"/>
  <c r="AY20" i="118"/>
  <c r="AX183" i="118"/>
  <c r="AY183" i="118"/>
  <c r="AY186" i="118"/>
  <c r="AY180" i="118"/>
  <c r="AY174" i="118"/>
  <c r="AY169" i="118"/>
  <c r="AY163" i="118"/>
  <c r="AY158" i="118"/>
  <c r="AY152" i="118"/>
  <c r="AY147" i="118"/>
  <c r="AY141" i="118"/>
  <c r="AY136" i="118"/>
  <c r="AY130" i="118"/>
  <c r="AY125" i="118"/>
  <c r="AY119" i="118"/>
  <c r="AY114" i="118"/>
  <c r="AY108" i="118"/>
  <c r="AY103" i="118"/>
  <c r="AY97" i="118"/>
  <c r="AY92" i="118"/>
  <c r="AY86" i="118"/>
  <c r="AY81" i="118"/>
  <c r="AY75" i="118"/>
  <c r="AY35" i="118" s="1"/>
  <c r="AY70" i="118"/>
  <c r="AY30" i="118" s="1"/>
  <c r="AY64" i="118"/>
  <c r="AY59" i="118"/>
  <c r="AY53" i="118"/>
  <c r="AY48" i="118"/>
  <c r="AY49" i="118"/>
  <c r="AY60" i="118"/>
  <c r="AY61" i="118" s="1"/>
  <c r="AY71" i="118"/>
  <c r="AY72" i="118" s="1"/>
  <c r="AY82" i="118"/>
  <c r="AY93" i="118"/>
  <c r="AY94" i="118" s="1"/>
  <c r="AY104" i="118"/>
  <c r="AY115" i="118"/>
  <c r="AY116" i="118" s="1"/>
  <c r="AY126" i="118"/>
  <c r="AY127" i="118" s="1"/>
  <c r="AY137" i="118"/>
  <c r="AY138" i="118" s="1"/>
  <c r="AY148" i="118"/>
  <c r="AY149" i="118" s="1"/>
  <c r="AY159" i="118"/>
  <c r="AY160" i="118" s="1"/>
  <c r="AY170" i="118"/>
  <c r="AY171" i="118" s="1"/>
  <c r="AY182" i="118"/>
  <c r="AY189" i="118"/>
  <c r="AY105" i="118" l="1"/>
  <c r="AY37" i="118" s="1"/>
  <c r="AY36" i="118"/>
  <c r="AY9" i="118"/>
  <c r="AY17" i="118" s="1"/>
  <c r="AY25" i="118"/>
  <c r="AY50" i="118"/>
  <c r="AY27" i="118" s="1"/>
  <c r="AY26" i="118"/>
  <c r="AY83" i="118"/>
  <c r="AY32" i="118" s="1"/>
  <c r="AY31" i="118"/>
  <c r="AY187" i="118"/>
  <c r="AY188" i="118" l="1"/>
  <c r="CL47" i="28"/>
  <c r="CA10" i="28"/>
  <c r="AE36" i="20" l="1"/>
  <c r="R15" i="97" s="1"/>
  <c r="Z110" i="97"/>
  <c r="Y72" i="97"/>
  <c r="DC23" i="34"/>
  <c r="DB35" i="34"/>
  <c r="DB29" i="34"/>
  <c r="DC17" i="34"/>
  <c r="DF98" i="29"/>
  <c r="DF31" i="29"/>
  <c r="DG31" i="29"/>
  <c r="DF21" i="29"/>
  <c r="H194" i="9"/>
  <c r="H193" i="9"/>
  <c r="V70" i="97"/>
  <c r="BB15" i="22"/>
  <c r="BB11" i="22"/>
  <c r="BB51" i="22"/>
  <c r="BB22" i="22"/>
  <c r="BC75" i="17"/>
  <c r="BA75" i="17"/>
  <c r="DG210" i="29"/>
  <c r="DG209" i="29"/>
  <c r="AX20" i="118"/>
  <c r="AB88" i="129" s="1"/>
  <c r="AW20" i="118"/>
  <c r="AV20" i="118"/>
  <c r="AU20" i="118"/>
  <c r="AT20" i="118"/>
  <c r="AA88" i="129" s="1"/>
  <c r="AS20" i="118"/>
  <c r="AR20" i="118"/>
  <c r="AQ20" i="118"/>
  <c r="AP20" i="118"/>
  <c r="Z88" i="129" s="1"/>
  <c r="AO20" i="118"/>
  <c r="AN20" i="118"/>
  <c r="AM20" i="118"/>
  <c r="AL20" i="118"/>
  <c r="Y88" i="129" s="1"/>
  <c r="AK20" i="118"/>
  <c r="AJ20" i="118"/>
  <c r="AI20" i="118"/>
  <c r="AH20" i="118"/>
  <c r="X88" i="129" s="1"/>
  <c r="AG20" i="118"/>
  <c r="AF20" i="118"/>
  <c r="AE20" i="118"/>
  <c r="AD20" i="118"/>
  <c r="W88" i="129" s="1"/>
  <c r="AC20" i="118"/>
  <c r="AB20" i="118"/>
  <c r="AA20" i="118"/>
  <c r="AX19" i="118"/>
  <c r="AB87" i="129" s="1"/>
  <c r="AW19" i="118"/>
  <c r="AV19" i="118"/>
  <c r="AU19" i="118"/>
  <c r="AT19" i="118"/>
  <c r="AA87" i="129" s="1"/>
  <c r="AS19" i="118"/>
  <c r="AR19" i="118"/>
  <c r="AQ19" i="118"/>
  <c r="AP19" i="118"/>
  <c r="Z87" i="129" s="1"/>
  <c r="AO19" i="118"/>
  <c r="AN19" i="118"/>
  <c r="AM19" i="118"/>
  <c r="AL19" i="118"/>
  <c r="AK19" i="118"/>
  <c r="AJ19" i="118"/>
  <c r="AI19" i="118"/>
  <c r="AH19" i="118"/>
  <c r="AG19" i="118"/>
  <c r="AF19" i="118"/>
  <c r="AE19" i="118"/>
  <c r="AD19" i="118"/>
  <c r="AC19" i="118"/>
  <c r="AB19" i="118"/>
  <c r="AA19" i="118"/>
  <c r="Z20" i="118"/>
  <c r="V88" i="129" s="1"/>
  <c r="Z19" i="118"/>
  <c r="Z18" i="118"/>
  <c r="V86" i="129" s="1"/>
  <c r="AX12" i="118"/>
  <c r="AW12" i="118"/>
  <c r="AV12" i="118"/>
  <c r="AU12" i="118"/>
  <c r="AT12" i="118"/>
  <c r="AS12" i="118"/>
  <c r="AR12" i="118"/>
  <c r="AQ12" i="118"/>
  <c r="AP12" i="118"/>
  <c r="AO12" i="118"/>
  <c r="AN12" i="118"/>
  <c r="AM12" i="118"/>
  <c r="AL12" i="118"/>
  <c r="AK12" i="118"/>
  <c r="AJ12" i="118"/>
  <c r="AI12" i="118"/>
  <c r="AH12" i="118"/>
  <c r="AG12" i="118"/>
  <c r="AF12" i="118"/>
  <c r="AE12" i="118"/>
  <c r="AD12" i="118"/>
  <c r="AC12" i="118"/>
  <c r="AB12" i="118"/>
  <c r="AA12" i="118"/>
  <c r="AX11" i="118"/>
  <c r="AW11" i="118"/>
  <c r="AV11" i="118"/>
  <c r="AU11" i="118"/>
  <c r="AT11" i="118"/>
  <c r="AS11" i="118"/>
  <c r="AR11" i="118"/>
  <c r="AQ11" i="118"/>
  <c r="AP11" i="118"/>
  <c r="AO11" i="118"/>
  <c r="AN11" i="118"/>
  <c r="AM11" i="118"/>
  <c r="AL11" i="118"/>
  <c r="AK11" i="118"/>
  <c r="AJ11" i="118"/>
  <c r="AI11" i="118"/>
  <c r="AH11" i="118"/>
  <c r="AG11" i="118"/>
  <c r="AF11" i="118"/>
  <c r="AE11" i="118"/>
  <c r="AD11" i="118"/>
  <c r="AC11" i="118"/>
  <c r="AB11" i="118"/>
  <c r="AA11" i="118"/>
  <c r="Z12" i="118"/>
  <c r="Z11" i="118"/>
  <c r="Z10" i="118"/>
  <c r="V126" i="129" s="1"/>
  <c r="AX2" i="118"/>
  <c r="AW2" i="118"/>
  <c r="AV2" i="118"/>
  <c r="AU2" i="118"/>
  <c r="AT2" i="118"/>
  <c r="AS2" i="118"/>
  <c r="AR2" i="118"/>
  <c r="AQ2" i="118"/>
  <c r="AP2" i="118"/>
  <c r="AO2" i="118"/>
  <c r="AN2" i="118"/>
  <c r="AM2" i="118"/>
  <c r="AL2" i="118"/>
  <c r="AK2" i="118"/>
  <c r="AJ2" i="118"/>
  <c r="AI2" i="118"/>
  <c r="AH2" i="118"/>
  <c r="AG2" i="118"/>
  <c r="AF2" i="118"/>
  <c r="AE2" i="118"/>
  <c r="AD2" i="118"/>
  <c r="AC2" i="118"/>
  <c r="AB2" i="118"/>
  <c r="AA2" i="118"/>
  <c r="Z2" i="118"/>
  <c r="AX5" i="118"/>
  <c r="AW5" i="118"/>
  <c r="AV5" i="118"/>
  <c r="AU5" i="118"/>
  <c r="AT5" i="118"/>
  <c r="AS5" i="118"/>
  <c r="AR5" i="118"/>
  <c r="AQ5" i="118"/>
  <c r="AP5" i="118"/>
  <c r="AO5" i="118"/>
  <c r="AN5" i="118"/>
  <c r="AM5" i="118"/>
  <c r="AL5" i="118"/>
  <c r="AK5" i="118"/>
  <c r="AJ5" i="118"/>
  <c r="AI5" i="118"/>
  <c r="AH5" i="118"/>
  <c r="AG5" i="118"/>
  <c r="AF5" i="118"/>
  <c r="AE5" i="118"/>
  <c r="AD5" i="118"/>
  <c r="AC5" i="118"/>
  <c r="AB5" i="118"/>
  <c r="AA5" i="118"/>
  <c r="AX4" i="118"/>
  <c r="AW4" i="118"/>
  <c r="AV4" i="118"/>
  <c r="AU4" i="118"/>
  <c r="AT4" i="118"/>
  <c r="AS4" i="118"/>
  <c r="AR4" i="118"/>
  <c r="AQ4" i="118"/>
  <c r="AP4" i="118"/>
  <c r="AO4" i="118"/>
  <c r="AN4" i="118"/>
  <c r="AM4" i="118"/>
  <c r="AL4" i="118"/>
  <c r="AK4" i="118"/>
  <c r="AJ4" i="118"/>
  <c r="AI4" i="118"/>
  <c r="AH4" i="118"/>
  <c r="AG4" i="118"/>
  <c r="AF4" i="118"/>
  <c r="AE4" i="118"/>
  <c r="AD4" i="118"/>
  <c r="AC4" i="118"/>
  <c r="AB4" i="118"/>
  <c r="AA4" i="118"/>
  <c r="Z5" i="118"/>
  <c r="Z4" i="118"/>
  <c r="V47" i="129" s="1"/>
  <c r="AW86" i="118"/>
  <c r="AX186" i="118"/>
  <c r="AX180" i="118"/>
  <c r="AX174" i="118"/>
  <c r="AX169" i="118"/>
  <c r="AX163" i="118"/>
  <c r="AX158" i="118"/>
  <c r="AX152" i="118"/>
  <c r="AX147" i="118"/>
  <c r="AX141" i="118"/>
  <c r="AX136" i="118"/>
  <c r="AX130" i="118"/>
  <c r="AX125" i="118"/>
  <c r="AX119" i="118"/>
  <c r="AX114" i="118"/>
  <c r="AX108" i="118"/>
  <c r="AX103" i="118"/>
  <c r="AX97" i="118"/>
  <c r="AX92" i="118"/>
  <c r="AX86" i="118"/>
  <c r="AX81" i="118"/>
  <c r="AX75" i="118"/>
  <c r="AX35" i="118" s="1"/>
  <c r="AX70" i="118"/>
  <c r="AX30" i="118" s="1"/>
  <c r="AX64" i="118"/>
  <c r="AX59" i="118"/>
  <c r="AX53" i="118"/>
  <c r="AX48" i="118"/>
  <c r="AX189" i="118"/>
  <c r="AX182" i="118"/>
  <c r="AX170" i="118"/>
  <c r="AX171" i="118" s="1"/>
  <c r="AX159" i="118"/>
  <c r="AX160" i="118" s="1"/>
  <c r="AX148" i="118"/>
  <c r="AX149" i="118" s="1"/>
  <c r="AX137" i="118"/>
  <c r="AX138" i="118" s="1"/>
  <c r="AX126" i="118"/>
  <c r="AX127" i="118" s="1"/>
  <c r="AX115" i="118"/>
  <c r="AX116" i="118" s="1"/>
  <c r="AX104" i="118"/>
  <c r="AX93" i="118"/>
  <c r="AX94" i="118" s="1"/>
  <c r="AX82" i="118"/>
  <c r="AX71" i="118"/>
  <c r="AX72" i="118" s="1"/>
  <c r="AX60" i="118"/>
  <c r="AX61" i="118" s="1"/>
  <c r="AX49" i="118"/>
  <c r="Z46" i="118"/>
  <c r="AA43" i="118" s="1"/>
  <c r="AA49" i="118"/>
  <c r="AB49" i="118"/>
  <c r="AC49" i="118"/>
  <c r="AD49" i="118"/>
  <c r="AE49" i="118"/>
  <c r="AF49" i="118"/>
  <c r="AG49" i="118"/>
  <c r="AH49" i="118"/>
  <c r="AI49" i="118"/>
  <c r="AJ49" i="118"/>
  <c r="AK49" i="118"/>
  <c r="AL49" i="118"/>
  <c r="AM49" i="118"/>
  <c r="AN49" i="118"/>
  <c r="AO49" i="118"/>
  <c r="AP49" i="118"/>
  <c r="AQ49" i="118"/>
  <c r="AR49" i="118"/>
  <c r="AS49" i="118"/>
  <c r="AT49" i="118"/>
  <c r="AU49" i="118"/>
  <c r="AV49" i="118"/>
  <c r="AW49" i="118"/>
  <c r="Z50" i="118"/>
  <c r="Z57" i="118"/>
  <c r="AA54" i="118" s="1"/>
  <c r="AA57" i="118" s="1"/>
  <c r="AB54" i="118" s="1"/>
  <c r="AB57" i="118" s="1"/>
  <c r="AC54" i="118" s="1"/>
  <c r="AC57" i="118" s="1"/>
  <c r="AD54" i="118" s="1"/>
  <c r="AD57" i="118" s="1"/>
  <c r="AE54" i="118" s="1"/>
  <c r="AE57" i="118" s="1"/>
  <c r="AF54" i="118" s="1"/>
  <c r="AF57" i="118" s="1"/>
  <c r="AG54" i="118" s="1"/>
  <c r="AG57" i="118" s="1"/>
  <c r="AH54" i="118" s="1"/>
  <c r="AH57" i="118" s="1"/>
  <c r="AI54" i="118" s="1"/>
  <c r="AI57" i="118" s="1"/>
  <c r="AJ54" i="118" s="1"/>
  <c r="AJ57" i="118" s="1"/>
  <c r="AK54" i="118" s="1"/>
  <c r="AK57" i="118" s="1"/>
  <c r="AL54" i="118" s="1"/>
  <c r="AL57" i="118" s="1"/>
  <c r="AM54" i="118" s="1"/>
  <c r="AM57" i="118" s="1"/>
  <c r="AN54" i="118" s="1"/>
  <c r="AN57" i="118" s="1"/>
  <c r="AO54" i="118" s="1"/>
  <c r="AO57" i="118" s="1"/>
  <c r="AP54" i="118" s="1"/>
  <c r="AP57" i="118" s="1"/>
  <c r="AQ54" i="118" s="1"/>
  <c r="AQ57" i="118" s="1"/>
  <c r="AR54" i="118" s="1"/>
  <c r="AR57" i="118" s="1"/>
  <c r="AS54" i="118" s="1"/>
  <c r="AS57" i="118" s="1"/>
  <c r="AT54" i="118" s="1"/>
  <c r="AT57" i="118" s="1"/>
  <c r="AU54" i="118" s="1"/>
  <c r="AU57" i="118" s="1"/>
  <c r="AV54" i="118" s="1"/>
  <c r="AV57" i="118" s="1"/>
  <c r="AW54" i="118" s="1"/>
  <c r="AW57" i="118" s="1"/>
  <c r="AX54" i="118" s="1"/>
  <c r="AX57" i="118" s="1"/>
  <c r="AY54" i="118" s="1"/>
  <c r="AY57" i="118" s="1"/>
  <c r="AZ54" i="118" s="1"/>
  <c r="AZ57" i="118" s="1"/>
  <c r="BA54" i="118" s="1"/>
  <c r="BA57" i="118" s="1"/>
  <c r="BB54" i="118" s="1"/>
  <c r="BB57" i="118" s="1"/>
  <c r="BC54" i="118" s="1"/>
  <c r="BC57" i="118" s="1"/>
  <c r="BD54" i="118" s="1"/>
  <c r="BD57" i="118" s="1"/>
  <c r="AA60" i="118"/>
  <c r="AA61" i="118" s="1"/>
  <c r="AB60" i="118"/>
  <c r="AC60" i="118"/>
  <c r="AC61" i="118" s="1"/>
  <c r="AD60" i="118"/>
  <c r="AD61" i="118" s="1"/>
  <c r="AE60" i="118"/>
  <c r="AF60" i="118"/>
  <c r="AF61" i="118" s="1"/>
  <c r="AG60" i="118"/>
  <c r="AG61" i="118" s="1"/>
  <c r="AH60" i="118"/>
  <c r="AH61" i="118" s="1"/>
  <c r="AI60" i="118"/>
  <c r="AI61" i="118" s="1"/>
  <c r="AJ60" i="118"/>
  <c r="AJ61" i="118" s="1"/>
  <c r="AK60" i="118"/>
  <c r="AK61" i="118" s="1"/>
  <c r="AL60" i="118"/>
  <c r="AL61" i="118" s="1"/>
  <c r="AM60" i="118"/>
  <c r="AM61" i="118" s="1"/>
  <c r="AN60" i="118"/>
  <c r="AN61" i="118" s="1"/>
  <c r="AO60" i="118"/>
  <c r="AO61" i="118" s="1"/>
  <c r="AP60" i="118"/>
  <c r="AP61" i="118" s="1"/>
  <c r="AQ60" i="118"/>
  <c r="AQ61" i="118" s="1"/>
  <c r="AR60" i="118"/>
  <c r="AR61" i="118" s="1"/>
  <c r="AS60" i="118"/>
  <c r="AS61" i="118" s="1"/>
  <c r="AT60" i="118"/>
  <c r="AT61" i="118" s="1"/>
  <c r="AU60" i="118"/>
  <c r="AU61" i="118" s="1"/>
  <c r="AV60" i="118"/>
  <c r="AV61" i="118" s="1"/>
  <c r="AW60" i="118"/>
  <c r="AW61" i="118" s="1"/>
  <c r="Z61" i="118"/>
  <c r="Z68" i="118"/>
  <c r="AA65" i="118" s="1"/>
  <c r="AA71" i="118"/>
  <c r="AA72" i="118" s="1"/>
  <c r="AB71" i="118"/>
  <c r="AB72" i="118" s="1"/>
  <c r="AC71" i="118"/>
  <c r="AC72" i="118" s="1"/>
  <c r="AD71" i="118"/>
  <c r="AD72" i="118" s="1"/>
  <c r="AE71" i="118"/>
  <c r="AE72" i="118" s="1"/>
  <c r="AF71" i="118"/>
  <c r="AF72" i="118" s="1"/>
  <c r="AG71" i="118"/>
  <c r="AG72" i="118" s="1"/>
  <c r="AH71" i="118"/>
  <c r="AH72" i="118" s="1"/>
  <c r="AI71" i="118"/>
  <c r="AI72" i="118" s="1"/>
  <c r="AJ71" i="118"/>
  <c r="AJ72" i="118" s="1"/>
  <c r="AK71" i="118"/>
  <c r="AK72" i="118" s="1"/>
  <c r="AL71" i="118"/>
  <c r="AL72" i="118" s="1"/>
  <c r="AM71" i="118"/>
  <c r="AN71" i="118"/>
  <c r="AN72" i="118" s="1"/>
  <c r="AO71" i="118"/>
  <c r="AO72" i="118" s="1"/>
  <c r="AP71" i="118"/>
  <c r="AP72" i="118" s="1"/>
  <c r="AQ71" i="118"/>
  <c r="AR71" i="118"/>
  <c r="AR72" i="118" s="1"/>
  <c r="AS71" i="118"/>
  <c r="AS72" i="118" s="1"/>
  <c r="AT71" i="118"/>
  <c r="AU71" i="118"/>
  <c r="AV71" i="118"/>
  <c r="AV72" i="118" s="1"/>
  <c r="AW71" i="118"/>
  <c r="AW72" i="118" s="1"/>
  <c r="Z72" i="118"/>
  <c r="Z79" i="118"/>
  <c r="AA76" i="118" s="1"/>
  <c r="AA79" i="118" s="1"/>
  <c r="AA82" i="118"/>
  <c r="AB82" i="118"/>
  <c r="AC82" i="118"/>
  <c r="AD82" i="118"/>
  <c r="AE82" i="118"/>
  <c r="AF82" i="118"/>
  <c r="AG82" i="118"/>
  <c r="AH82" i="118"/>
  <c r="AI82" i="118"/>
  <c r="AJ82" i="118"/>
  <c r="AK82" i="118"/>
  <c r="AL82" i="118"/>
  <c r="AM82" i="118"/>
  <c r="AN82" i="118"/>
  <c r="AO82" i="118"/>
  <c r="AP82" i="118"/>
  <c r="AQ82" i="118"/>
  <c r="AR82" i="118"/>
  <c r="AS82" i="118"/>
  <c r="AT82" i="118"/>
  <c r="AU82" i="118"/>
  <c r="AV82" i="118"/>
  <c r="AW82" i="118"/>
  <c r="Z83" i="118"/>
  <c r="AU83" i="118"/>
  <c r="AW85" i="118"/>
  <c r="Z90" i="118"/>
  <c r="AA87" i="118" s="1"/>
  <c r="AA93" i="118"/>
  <c r="AA94" i="118" s="1"/>
  <c r="AB93" i="118"/>
  <c r="AB94" i="118" s="1"/>
  <c r="AC93" i="118"/>
  <c r="AC94" i="118" s="1"/>
  <c r="AD93" i="118"/>
  <c r="AE93" i="118"/>
  <c r="AE94" i="118" s="1"/>
  <c r="AF93" i="118"/>
  <c r="AF94" i="118" s="1"/>
  <c r="AG93" i="118"/>
  <c r="AG94" i="118" s="1"/>
  <c r="AH93" i="118"/>
  <c r="AI93" i="118"/>
  <c r="AI94" i="118" s="1"/>
  <c r="AJ93" i="118"/>
  <c r="AJ94" i="118" s="1"/>
  <c r="AK93" i="118"/>
  <c r="AK94" i="118" s="1"/>
  <c r="AL93" i="118"/>
  <c r="AL94" i="118" s="1"/>
  <c r="AM93" i="118"/>
  <c r="AM94" i="118" s="1"/>
  <c r="AN93" i="118"/>
  <c r="AN94" i="118" s="1"/>
  <c r="AO93" i="118"/>
  <c r="AO94" i="118" s="1"/>
  <c r="AP93" i="118"/>
  <c r="AP94" i="118" s="1"/>
  <c r="AQ93" i="118"/>
  <c r="AQ94" i="118" s="1"/>
  <c r="AR93" i="118"/>
  <c r="AS93" i="118"/>
  <c r="AS94" i="118" s="1"/>
  <c r="AT93" i="118"/>
  <c r="AT94" i="118" s="1"/>
  <c r="AU93" i="118"/>
  <c r="AU94" i="118" s="1"/>
  <c r="AV93" i="118"/>
  <c r="AV94" i="118" s="1"/>
  <c r="AW93" i="118"/>
  <c r="AW94" i="118" s="1"/>
  <c r="Z94" i="118"/>
  <c r="Z101" i="118"/>
  <c r="AA98" i="118" s="1"/>
  <c r="AA104" i="118"/>
  <c r="AB104" i="118"/>
  <c r="AC104" i="118"/>
  <c r="AC36" i="118" s="1"/>
  <c r="AD104" i="118"/>
  <c r="AE104" i="118"/>
  <c r="AF104" i="118"/>
  <c r="AG104" i="118"/>
  <c r="AH104" i="118"/>
  <c r="AI104" i="118"/>
  <c r="AJ104" i="118"/>
  <c r="AK104" i="118"/>
  <c r="AL104" i="118"/>
  <c r="AM104" i="118"/>
  <c r="AN104" i="118"/>
  <c r="AO104" i="118"/>
  <c r="AO36" i="118" s="1"/>
  <c r="AP104" i="118"/>
  <c r="AQ104" i="118"/>
  <c r="AR104" i="118"/>
  <c r="AS104" i="118"/>
  <c r="AT104" i="118"/>
  <c r="AU104" i="118"/>
  <c r="AV104" i="118"/>
  <c r="AW104" i="118"/>
  <c r="Z105" i="118"/>
  <c r="Z112" i="118"/>
  <c r="AA109" i="118" s="1"/>
  <c r="AA112" i="118" s="1"/>
  <c r="AB109" i="118" s="1"/>
  <c r="AB112" i="118" s="1"/>
  <c r="AC109" i="118" s="1"/>
  <c r="AC112" i="118" s="1"/>
  <c r="AD109" i="118" s="1"/>
  <c r="AD112" i="118" s="1"/>
  <c r="AE109" i="118" s="1"/>
  <c r="AE112" i="118" s="1"/>
  <c r="AF109" i="118" s="1"/>
  <c r="AF112" i="118" s="1"/>
  <c r="AG109" i="118" s="1"/>
  <c r="AG112" i="118" s="1"/>
  <c r="AH109" i="118" s="1"/>
  <c r="AH112" i="118" s="1"/>
  <c r="AI109" i="118" s="1"/>
  <c r="AI112" i="118" s="1"/>
  <c r="AJ109" i="118" s="1"/>
  <c r="AJ112" i="118" s="1"/>
  <c r="AK109" i="118" s="1"/>
  <c r="AK112" i="118" s="1"/>
  <c r="AL109" i="118" s="1"/>
  <c r="AL112" i="118" s="1"/>
  <c r="AM109" i="118" s="1"/>
  <c r="AM112" i="118" s="1"/>
  <c r="AN109" i="118" s="1"/>
  <c r="AN112" i="118" s="1"/>
  <c r="AO109" i="118" s="1"/>
  <c r="AO112" i="118" s="1"/>
  <c r="AP109" i="118" s="1"/>
  <c r="AP112" i="118" s="1"/>
  <c r="AQ109" i="118" s="1"/>
  <c r="AQ112" i="118" s="1"/>
  <c r="AR109" i="118" s="1"/>
  <c r="AR112" i="118" s="1"/>
  <c r="AS109" i="118" s="1"/>
  <c r="AS112" i="118" s="1"/>
  <c r="AT109" i="118" s="1"/>
  <c r="AT112" i="118" s="1"/>
  <c r="AU109" i="118" s="1"/>
  <c r="AU112" i="118" s="1"/>
  <c r="AV109" i="118" s="1"/>
  <c r="AV112" i="118" s="1"/>
  <c r="AW109" i="118" s="1"/>
  <c r="AW112" i="118" s="1"/>
  <c r="AX109" i="118" s="1"/>
  <c r="AX112" i="118" s="1"/>
  <c r="AY109" i="118" s="1"/>
  <c r="AY112" i="118" s="1"/>
  <c r="AZ109" i="118" s="1"/>
  <c r="AZ112" i="118" s="1"/>
  <c r="BA109" i="118" s="1"/>
  <c r="BA112" i="118" s="1"/>
  <c r="BB109" i="118" s="1"/>
  <c r="BB112" i="118" s="1"/>
  <c r="BC109" i="118" s="1"/>
  <c r="BC112" i="118" s="1"/>
  <c r="BD109" i="118" s="1"/>
  <c r="BD112" i="118" s="1"/>
  <c r="AA115" i="118"/>
  <c r="AA116" i="118" s="1"/>
  <c r="AB115" i="118"/>
  <c r="AB116" i="118" s="1"/>
  <c r="AC115" i="118"/>
  <c r="AC116" i="118" s="1"/>
  <c r="AD115" i="118"/>
  <c r="AD116" i="118" s="1"/>
  <c r="AE115" i="118"/>
  <c r="AE116" i="118" s="1"/>
  <c r="AF115" i="118"/>
  <c r="AF116" i="118" s="1"/>
  <c r="AG115" i="118"/>
  <c r="AG116" i="118" s="1"/>
  <c r="AH115" i="118"/>
  <c r="AH116" i="118" s="1"/>
  <c r="AI115" i="118"/>
  <c r="AI116" i="118" s="1"/>
  <c r="AJ115" i="118"/>
  <c r="AJ116" i="118" s="1"/>
  <c r="AK115" i="118"/>
  <c r="AK116" i="118" s="1"/>
  <c r="AL115" i="118"/>
  <c r="AL116" i="118" s="1"/>
  <c r="AM115" i="118"/>
  <c r="AM116" i="118" s="1"/>
  <c r="AN115" i="118"/>
  <c r="AN116" i="118" s="1"/>
  <c r="AO115" i="118"/>
  <c r="AO116" i="118" s="1"/>
  <c r="AP115" i="118"/>
  <c r="AP116" i="118" s="1"/>
  <c r="AQ115" i="118"/>
  <c r="AQ116" i="118" s="1"/>
  <c r="AR115" i="118"/>
  <c r="AR116" i="118" s="1"/>
  <c r="AS115" i="118"/>
  <c r="AS116" i="118" s="1"/>
  <c r="AT115" i="118"/>
  <c r="AT116" i="118" s="1"/>
  <c r="AU115" i="118"/>
  <c r="AU116" i="118" s="1"/>
  <c r="AV115" i="118"/>
  <c r="AV116" i="118" s="1"/>
  <c r="AW115" i="118"/>
  <c r="AW116" i="118" s="1"/>
  <c r="Z116" i="118"/>
  <c r="Z123" i="118"/>
  <c r="AA120" i="118" s="1"/>
  <c r="AA123" i="118" s="1"/>
  <c r="AB120" i="118" s="1"/>
  <c r="AB123" i="118" s="1"/>
  <c r="AC120" i="118" s="1"/>
  <c r="AC123" i="118" s="1"/>
  <c r="AD120" i="118" s="1"/>
  <c r="AD123" i="118" s="1"/>
  <c r="AE120" i="118" s="1"/>
  <c r="AE123" i="118" s="1"/>
  <c r="AF120" i="118" s="1"/>
  <c r="AF123" i="118" s="1"/>
  <c r="AG120" i="118" s="1"/>
  <c r="AG123" i="118" s="1"/>
  <c r="AH120" i="118" s="1"/>
  <c r="AH123" i="118" s="1"/>
  <c r="AI120" i="118" s="1"/>
  <c r="AI123" i="118" s="1"/>
  <c r="AJ120" i="118" s="1"/>
  <c r="AJ123" i="118" s="1"/>
  <c r="AK120" i="118" s="1"/>
  <c r="AK123" i="118" s="1"/>
  <c r="AL120" i="118" s="1"/>
  <c r="AL123" i="118" s="1"/>
  <c r="AM120" i="118" s="1"/>
  <c r="AM123" i="118" s="1"/>
  <c r="AN120" i="118" s="1"/>
  <c r="AN123" i="118" s="1"/>
  <c r="AO120" i="118" s="1"/>
  <c r="AO123" i="118" s="1"/>
  <c r="AP120" i="118" s="1"/>
  <c r="AP123" i="118" s="1"/>
  <c r="AQ120" i="118" s="1"/>
  <c r="AQ123" i="118" s="1"/>
  <c r="AR120" i="118" s="1"/>
  <c r="AR123" i="118" s="1"/>
  <c r="AS120" i="118" s="1"/>
  <c r="AS123" i="118" s="1"/>
  <c r="AT120" i="118" s="1"/>
  <c r="AT123" i="118" s="1"/>
  <c r="AU120" i="118" s="1"/>
  <c r="AU123" i="118" s="1"/>
  <c r="AV120" i="118" s="1"/>
  <c r="AV123" i="118" s="1"/>
  <c r="AW120" i="118" s="1"/>
  <c r="AW123" i="118" s="1"/>
  <c r="AX120" i="118" s="1"/>
  <c r="AX123" i="118" s="1"/>
  <c r="AY120" i="118" s="1"/>
  <c r="AY123" i="118" s="1"/>
  <c r="AZ120" i="118" s="1"/>
  <c r="AZ123" i="118" s="1"/>
  <c r="BA120" i="118" s="1"/>
  <c r="BA123" i="118" s="1"/>
  <c r="BB120" i="118" s="1"/>
  <c r="BB123" i="118" s="1"/>
  <c r="BC120" i="118" s="1"/>
  <c r="BC123" i="118" s="1"/>
  <c r="BD120" i="118" s="1"/>
  <c r="BD123" i="118" s="1"/>
  <c r="AA126" i="118"/>
  <c r="AA127" i="118" s="1"/>
  <c r="AB126" i="118"/>
  <c r="AB127" i="118" s="1"/>
  <c r="AC126" i="118"/>
  <c r="AC127" i="118" s="1"/>
  <c r="AD126" i="118"/>
  <c r="AD127" i="118" s="1"/>
  <c r="AE126" i="118"/>
  <c r="AE127" i="118" s="1"/>
  <c r="AF126" i="118"/>
  <c r="AF127" i="118" s="1"/>
  <c r="AG126" i="118"/>
  <c r="AG127" i="118" s="1"/>
  <c r="AH126" i="118"/>
  <c r="AH127" i="118" s="1"/>
  <c r="AI126" i="118"/>
  <c r="AI127" i="118" s="1"/>
  <c r="AJ126" i="118"/>
  <c r="AJ127" i="118" s="1"/>
  <c r="AK126" i="118"/>
  <c r="AK127" i="118" s="1"/>
  <c r="AL126" i="118"/>
  <c r="AL127" i="118" s="1"/>
  <c r="AM126" i="118"/>
  <c r="AM127" i="118" s="1"/>
  <c r="AN126" i="118"/>
  <c r="AN127" i="118" s="1"/>
  <c r="AO126" i="118"/>
  <c r="AO127" i="118" s="1"/>
  <c r="AP126" i="118"/>
  <c r="AP127" i="118" s="1"/>
  <c r="AQ126" i="118"/>
  <c r="AQ127" i="118" s="1"/>
  <c r="AR126" i="118"/>
  <c r="AR127" i="118" s="1"/>
  <c r="AS126" i="118"/>
  <c r="AS127" i="118" s="1"/>
  <c r="AT126" i="118"/>
  <c r="AT127" i="118" s="1"/>
  <c r="AU126" i="118"/>
  <c r="AU127" i="118" s="1"/>
  <c r="AV126" i="118"/>
  <c r="AV127" i="118" s="1"/>
  <c r="AW126" i="118"/>
  <c r="AW127" i="118" s="1"/>
  <c r="Z127" i="118"/>
  <c r="Z134" i="118"/>
  <c r="AA131" i="118" s="1"/>
  <c r="AA134" i="118" s="1"/>
  <c r="AB131" i="118" s="1"/>
  <c r="AB134" i="118" s="1"/>
  <c r="AC131" i="118" s="1"/>
  <c r="AC134" i="118" s="1"/>
  <c r="AD131" i="118" s="1"/>
  <c r="AD134" i="118" s="1"/>
  <c r="AE131" i="118" s="1"/>
  <c r="AE134" i="118" s="1"/>
  <c r="AF131" i="118" s="1"/>
  <c r="AF134" i="118" s="1"/>
  <c r="AG131" i="118" s="1"/>
  <c r="AG134" i="118" s="1"/>
  <c r="AH131" i="118" s="1"/>
  <c r="AH134" i="118" s="1"/>
  <c r="AI131" i="118" s="1"/>
  <c r="AI134" i="118" s="1"/>
  <c r="AJ131" i="118" s="1"/>
  <c r="AJ134" i="118" s="1"/>
  <c r="AK131" i="118" s="1"/>
  <c r="AK134" i="118" s="1"/>
  <c r="AL131" i="118" s="1"/>
  <c r="AL134" i="118" s="1"/>
  <c r="AM131" i="118" s="1"/>
  <c r="AM134" i="118" s="1"/>
  <c r="AN131" i="118" s="1"/>
  <c r="AN134" i="118" s="1"/>
  <c r="AO131" i="118" s="1"/>
  <c r="AO134" i="118" s="1"/>
  <c r="AP131" i="118" s="1"/>
  <c r="AP134" i="118" s="1"/>
  <c r="AQ131" i="118" s="1"/>
  <c r="AQ134" i="118" s="1"/>
  <c r="AR131" i="118" s="1"/>
  <c r="AR134" i="118" s="1"/>
  <c r="AS131" i="118" s="1"/>
  <c r="AS134" i="118" s="1"/>
  <c r="AT131" i="118" s="1"/>
  <c r="AT134" i="118" s="1"/>
  <c r="AU131" i="118" s="1"/>
  <c r="AU134" i="118" s="1"/>
  <c r="AV131" i="118" s="1"/>
  <c r="AV134" i="118" s="1"/>
  <c r="AW131" i="118" s="1"/>
  <c r="AW134" i="118" s="1"/>
  <c r="AX131" i="118" s="1"/>
  <c r="AX134" i="118" s="1"/>
  <c r="AY131" i="118" s="1"/>
  <c r="AY134" i="118" s="1"/>
  <c r="AZ131" i="118" s="1"/>
  <c r="AZ134" i="118" s="1"/>
  <c r="BA131" i="118" s="1"/>
  <c r="BA134" i="118" s="1"/>
  <c r="BB131" i="118" s="1"/>
  <c r="BB134" i="118" s="1"/>
  <c r="BC131" i="118" s="1"/>
  <c r="BC134" i="118" s="1"/>
  <c r="BD131" i="118" s="1"/>
  <c r="BD134" i="118" s="1"/>
  <c r="BE131" i="118" s="1"/>
  <c r="BE134" i="118" s="1"/>
  <c r="AA137" i="118"/>
  <c r="AA138" i="118" s="1"/>
  <c r="AB137" i="118"/>
  <c r="AB138" i="118" s="1"/>
  <c r="AC137" i="118"/>
  <c r="AC138" i="118" s="1"/>
  <c r="AD137" i="118"/>
  <c r="AD138" i="118" s="1"/>
  <c r="AE137" i="118"/>
  <c r="AE138" i="118" s="1"/>
  <c r="AF137" i="118"/>
  <c r="AF138" i="118" s="1"/>
  <c r="AG137" i="118"/>
  <c r="AG138" i="118" s="1"/>
  <c r="AH137" i="118"/>
  <c r="AH138" i="118" s="1"/>
  <c r="AI137" i="118"/>
  <c r="AI138" i="118" s="1"/>
  <c r="AJ137" i="118"/>
  <c r="AJ138" i="118" s="1"/>
  <c r="AK137" i="118"/>
  <c r="AK138" i="118" s="1"/>
  <c r="AL137" i="118"/>
  <c r="AL138" i="118" s="1"/>
  <c r="AM137" i="118"/>
  <c r="AM138" i="118" s="1"/>
  <c r="AN137" i="118"/>
  <c r="AN138" i="118" s="1"/>
  <c r="AO137" i="118"/>
  <c r="AO138" i="118" s="1"/>
  <c r="AP137" i="118"/>
  <c r="AQ137" i="118"/>
  <c r="AQ138" i="118" s="1"/>
  <c r="AR137" i="118"/>
  <c r="AR138" i="118" s="1"/>
  <c r="AS137" i="118"/>
  <c r="AS138" i="118" s="1"/>
  <c r="AT137" i="118"/>
  <c r="AT138" i="118" s="1"/>
  <c r="AU137" i="118"/>
  <c r="AU138" i="118" s="1"/>
  <c r="AV137" i="118"/>
  <c r="AV138" i="118" s="1"/>
  <c r="AW137" i="118"/>
  <c r="AW138" i="118" s="1"/>
  <c r="Z138" i="118"/>
  <c r="Z145" i="118"/>
  <c r="AA142" i="118" s="1"/>
  <c r="AA145" i="118" s="1"/>
  <c r="AB142" i="118" s="1"/>
  <c r="AB145" i="118" s="1"/>
  <c r="AC142" i="118" s="1"/>
  <c r="AC145" i="118" s="1"/>
  <c r="AD142" i="118" s="1"/>
  <c r="AD145" i="118" s="1"/>
  <c r="AE142" i="118" s="1"/>
  <c r="AE145" i="118" s="1"/>
  <c r="AF142" i="118" s="1"/>
  <c r="AF145" i="118" s="1"/>
  <c r="AG142" i="118" s="1"/>
  <c r="AG145" i="118" s="1"/>
  <c r="AH142" i="118" s="1"/>
  <c r="AH145" i="118" s="1"/>
  <c r="AI142" i="118" s="1"/>
  <c r="AI145" i="118" s="1"/>
  <c r="AJ142" i="118" s="1"/>
  <c r="AJ145" i="118" s="1"/>
  <c r="AK142" i="118" s="1"/>
  <c r="AK145" i="118" s="1"/>
  <c r="AL142" i="118" s="1"/>
  <c r="AL145" i="118" s="1"/>
  <c r="AM142" i="118" s="1"/>
  <c r="AM145" i="118" s="1"/>
  <c r="AN142" i="118" s="1"/>
  <c r="AN145" i="118" s="1"/>
  <c r="AO142" i="118" s="1"/>
  <c r="AO145" i="118" s="1"/>
  <c r="AP142" i="118" s="1"/>
  <c r="AP145" i="118" s="1"/>
  <c r="AQ142" i="118" s="1"/>
  <c r="AQ145" i="118" s="1"/>
  <c r="AR142" i="118" s="1"/>
  <c r="AR145" i="118" s="1"/>
  <c r="AS142" i="118" s="1"/>
  <c r="AS145" i="118" s="1"/>
  <c r="AT142" i="118" s="1"/>
  <c r="AT145" i="118" s="1"/>
  <c r="AU142" i="118" s="1"/>
  <c r="AU145" i="118" s="1"/>
  <c r="AV142" i="118" s="1"/>
  <c r="AV145" i="118" s="1"/>
  <c r="AW142" i="118" s="1"/>
  <c r="AW145" i="118" s="1"/>
  <c r="AX142" i="118" s="1"/>
  <c r="AX145" i="118" s="1"/>
  <c r="AY142" i="118" s="1"/>
  <c r="AA148" i="118"/>
  <c r="AB148" i="118"/>
  <c r="AB149" i="118" s="1"/>
  <c r="AC148" i="118"/>
  <c r="AC149" i="118" s="1"/>
  <c r="AD148" i="118"/>
  <c r="AD149" i="118" s="1"/>
  <c r="AE148" i="118"/>
  <c r="AE149" i="118" s="1"/>
  <c r="AF148" i="118"/>
  <c r="AF149" i="118" s="1"/>
  <c r="AG148" i="118"/>
  <c r="AG149" i="118" s="1"/>
  <c r="AH148" i="118"/>
  <c r="AH149" i="118" s="1"/>
  <c r="AI148" i="118"/>
  <c r="AI149" i="118" s="1"/>
  <c r="AJ148" i="118"/>
  <c r="AJ149" i="118" s="1"/>
  <c r="AK148" i="118"/>
  <c r="AK149" i="118" s="1"/>
  <c r="AL148" i="118"/>
  <c r="AL149" i="118" s="1"/>
  <c r="AM148" i="118"/>
  <c r="AM149" i="118" s="1"/>
  <c r="AN148" i="118"/>
  <c r="AN149" i="118" s="1"/>
  <c r="AO148" i="118"/>
  <c r="AO149" i="118" s="1"/>
  <c r="AP148" i="118"/>
  <c r="AP149" i="118" s="1"/>
  <c r="AQ148" i="118"/>
  <c r="AQ149" i="118" s="1"/>
  <c r="AR148" i="118"/>
  <c r="AR149" i="118" s="1"/>
  <c r="AS148" i="118"/>
  <c r="AS149" i="118" s="1"/>
  <c r="AT148" i="118"/>
  <c r="AT149" i="118" s="1"/>
  <c r="AU148" i="118"/>
  <c r="AU149" i="118" s="1"/>
  <c r="AV148" i="118"/>
  <c r="AV149" i="118" s="1"/>
  <c r="AW148" i="118"/>
  <c r="AW149" i="118" s="1"/>
  <c r="Z149" i="118"/>
  <c r="Z156" i="118"/>
  <c r="AA153" i="118" s="1"/>
  <c r="AA156" i="118" s="1"/>
  <c r="AB153" i="118" s="1"/>
  <c r="AB156" i="118" s="1"/>
  <c r="AC153" i="118" s="1"/>
  <c r="AC156" i="118" s="1"/>
  <c r="AD153" i="118" s="1"/>
  <c r="AD156" i="118" s="1"/>
  <c r="AE153" i="118" s="1"/>
  <c r="AE156" i="118" s="1"/>
  <c r="AF153" i="118" s="1"/>
  <c r="AF156" i="118" s="1"/>
  <c r="AG153" i="118" s="1"/>
  <c r="AG156" i="118" s="1"/>
  <c r="AH153" i="118" s="1"/>
  <c r="AH156" i="118" s="1"/>
  <c r="AI153" i="118" s="1"/>
  <c r="AI156" i="118" s="1"/>
  <c r="AJ153" i="118" s="1"/>
  <c r="AJ156" i="118" s="1"/>
  <c r="AK153" i="118" s="1"/>
  <c r="AK156" i="118" s="1"/>
  <c r="AL153" i="118" s="1"/>
  <c r="AL156" i="118" s="1"/>
  <c r="AM153" i="118" s="1"/>
  <c r="AM156" i="118" s="1"/>
  <c r="AN153" i="118" s="1"/>
  <c r="AN156" i="118" s="1"/>
  <c r="AO153" i="118" s="1"/>
  <c r="AO156" i="118" s="1"/>
  <c r="AP153" i="118" s="1"/>
  <c r="AP156" i="118" s="1"/>
  <c r="AQ153" i="118" s="1"/>
  <c r="AQ156" i="118" s="1"/>
  <c r="AR153" i="118" s="1"/>
  <c r="AR156" i="118" s="1"/>
  <c r="AS153" i="118" s="1"/>
  <c r="AS156" i="118" s="1"/>
  <c r="AT153" i="118" s="1"/>
  <c r="AT156" i="118" s="1"/>
  <c r="AU153" i="118" s="1"/>
  <c r="AU156" i="118" s="1"/>
  <c r="AV153" i="118" s="1"/>
  <c r="AV156" i="118" s="1"/>
  <c r="AW153" i="118" s="1"/>
  <c r="AW156" i="118" s="1"/>
  <c r="AX153" i="118" s="1"/>
  <c r="AX156" i="118" s="1"/>
  <c r="AY153" i="118" s="1"/>
  <c r="AY156" i="118" s="1"/>
  <c r="AZ153" i="118" s="1"/>
  <c r="AZ156" i="118" s="1"/>
  <c r="AA159" i="118"/>
  <c r="AA160" i="118" s="1"/>
  <c r="AB159" i="118"/>
  <c r="AB160" i="118" s="1"/>
  <c r="AC159" i="118"/>
  <c r="AC160" i="118" s="1"/>
  <c r="AD159" i="118"/>
  <c r="AD160" i="118" s="1"/>
  <c r="AE159" i="118"/>
  <c r="AE160" i="118" s="1"/>
  <c r="AF159" i="118"/>
  <c r="AF160" i="118" s="1"/>
  <c r="AG159" i="118"/>
  <c r="AG160" i="118" s="1"/>
  <c r="AH159" i="118"/>
  <c r="AH160" i="118" s="1"/>
  <c r="AI159" i="118"/>
  <c r="AI160" i="118" s="1"/>
  <c r="AJ159" i="118"/>
  <c r="AJ160" i="118" s="1"/>
  <c r="AK159" i="118"/>
  <c r="AK160" i="118" s="1"/>
  <c r="AL159" i="118"/>
  <c r="AL160" i="118" s="1"/>
  <c r="AM159" i="118"/>
  <c r="AM160" i="118" s="1"/>
  <c r="AN159" i="118"/>
  <c r="AN160" i="118" s="1"/>
  <c r="AO159" i="118"/>
  <c r="AO160" i="118" s="1"/>
  <c r="AP159" i="118"/>
  <c r="AP160" i="118" s="1"/>
  <c r="AQ159" i="118"/>
  <c r="AQ160" i="118" s="1"/>
  <c r="AR159" i="118"/>
  <c r="AR160" i="118" s="1"/>
  <c r="AS159" i="118"/>
  <c r="AS160" i="118" s="1"/>
  <c r="AT159" i="118"/>
  <c r="AT160" i="118" s="1"/>
  <c r="AU159" i="118"/>
  <c r="AU160" i="118" s="1"/>
  <c r="AV159" i="118"/>
  <c r="AV160" i="118" s="1"/>
  <c r="AW159" i="118"/>
  <c r="AW160" i="118" s="1"/>
  <c r="Z160" i="118"/>
  <c r="AL164" i="118"/>
  <c r="AL167" i="118" s="1"/>
  <c r="AM164" i="118" s="1"/>
  <c r="AM167" i="118" s="1"/>
  <c r="AN164" i="118" s="1"/>
  <c r="AN167" i="118" s="1"/>
  <c r="AO164" i="118" s="1"/>
  <c r="AO167" i="118" s="1"/>
  <c r="AP164" i="118" s="1"/>
  <c r="AP167" i="118" s="1"/>
  <c r="AQ164" i="118" s="1"/>
  <c r="AQ167" i="118" s="1"/>
  <c r="AR164" i="118" s="1"/>
  <c r="AR167" i="118" s="1"/>
  <c r="AS164" i="118" s="1"/>
  <c r="AS167" i="118" s="1"/>
  <c r="AT164" i="118" s="1"/>
  <c r="AT167" i="118" s="1"/>
  <c r="AU164" i="118" s="1"/>
  <c r="AU167" i="118" s="1"/>
  <c r="AV164" i="118" s="1"/>
  <c r="AV167" i="118" s="1"/>
  <c r="AW164" i="118" s="1"/>
  <c r="AW167" i="118" s="1"/>
  <c r="AX164" i="118" s="1"/>
  <c r="AX167" i="118" s="1"/>
  <c r="AY164" i="118" s="1"/>
  <c r="AY167" i="118" s="1"/>
  <c r="AZ164" i="118" s="1"/>
  <c r="AZ167" i="118" s="1"/>
  <c r="BA164" i="118" s="1"/>
  <c r="BA167" i="118" s="1"/>
  <c r="BB164" i="118" s="1"/>
  <c r="BB167" i="118" s="1"/>
  <c r="BC164" i="118" s="1"/>
  <c r="BC167" i="118" s="1"/>
  <c r="BD164" i="118" s="1"/>
  <c r="BD167" i="118" s="1"/>
  <c r="Z167" i="118"/>
  <c r="AA164" i="118" s="1"/>
  <c r="AA167" i="118" s="1"/>
  <c r="AB164" i="118" s="1"/>
  <c r="AB167" i="118" s="1"/>
  <c r="AC164" i="118" s="1"/>
  <c r="AC167" i="118" s="1"/>
  <c r="AD164" i="118" s="1"/>
  <c r="AD167" i="118" s="1"/>
  <c r="AE164" i="118" s="1"/>
  <c r="AE167" i="118" s="1"/>
  <c r="AF164" i="118" s="1"/>
  <c r="AF167" i="118" s="1"/>
  <c r="AG164" i="118" s="1"/>
  <c r="AG167" i="118" s="1"/>
  <c r="AH164" i="118" s="1"/>
  <c r="AH167" i="118" s="1"/>
  <c r="AI164" i="118" s="1"/>
  <c r="AI167" i="118" s="1"/>
  <c r="AJ164" i="118" s="1"/>
  <c r="AJ167" i="118" s="1"/>
  <c r="AK164" i="118" s="1"/>
  <c r="AA170" i="118"/>
  <c r="AA171" i="118" s="1"/>
  <c r="AB170" i="118"/>
  <c r="AB171" i="118" s="1"/>
  <c r="AC170" i="118"/>
  <c r="AC171" i="118" s="1"/>
  <c r="AD170" i="118"/>
  <c r="AD171" i="118" s="1"/>
  <c r="AE170" i="118"/>
  <c r="AE171" i="118" s="1"/>
  <c r="AF170" i="118"/>
  <c r="AF171" i="118" s="1"/>
  <c r="AG170" i="118"/>
  <c r="AG171" i="118" s="1"/>
  <c r="AH170" i="118"/>
  <c r="AH171" i="118" s="1"/>
  <c r="AI170" i="118"/>
  <c r="AI171" i="118" s="1"/>
  <c r="AJ170" i="118"/>
  <c r="AJ171" i="118" s="1"/>
  <c r="AK170" i="118"/>
  <c r="AK171" i="118" s="1"/>
  <c r="AL170" i="118"/>
  <c r="AL171" i="118" s="1"/>
  <c r="AM170" i="118"/>
  <c r="AM171" i="118" s="1"/>
  <c r="AN170" i="118"/>
  <c r="AN171" i="118" s="1"/>
  <c r="AO170" i="118"/>
  <c r="AO171" i="118" s="1"/>
  <c r="AP170" i="118"/>
  <c r="AP171" i="118" s="1"/>
  <c r="AQ170" i="118"/>
  <c r="AQ171" i="118" s="1"/>
  <c r="AR170" i="118"/>
  <c r="AR171" i="118" s="1"/>
  <c r="AS170" i="118"/>
  <c r="AS171" i="118" s="1"/>
  <c r="AT170" i="118"/>
  <c r="AT171" i="118" s="1"/>
  <c r="AU170" i="118"/>
  <c r="AU171" i="118" s="1"/>
  <c r="AV170" i="118"/>
  <c r="AV171" i="118" s="1"/>
  <c r="AW170" i="118"/>
  <c r="AW171" i="118" s="1"/>
  <c r="Z171" i="118"/>
  <c r="Z178" i="118"/>
  <c r="Z181" i="118"/>
  <c r="Z182" i="118"/>
  <c r="AA182" i="118"/>
  <c r="AB182" i="118"/>
  <c r="AC182" i="118"/>
  <c r="AD182" i="118"/>
  <c r="AE182" i="118"/>
  <c r="AF182" i="118"/>
  <c r="AG182" i="118"/>
  <c r="AH182" i="118"/>
  <c r="AI182" i="118"/>
  <c r="AJ182" i="118"/>
  <c r="AK182" i="118"/>
  <c r="AL182" i="118"/>
  <c r="AM182" i="118"/>
  <c r="AN182" i="118"/>
  <c r="AO182" i="118"/>
  <c r="AP182" i="118"/>
  <c r="AQ182" i="118"/>
  <c r="AR182" i="118"/>
  <c r="AS182" i="118"/>
  <c r="AT182" i="118"/>
  <c r="AU182" i="118"/>
  <c r="AV182" i="118"/>
  <c r="AW182" i="118"/>
  <c r="Z183" i="118"/>
  <c r="AA183" i="118"/>
  <c r="AB183" i="118"/>
  <c r="AC183" i="118"/>
  <c r="AD183" i="118"/>
  <c r="AE183" i="118"/>
  <c r="AF183" i="118"/>
  <c r="AG183" i="118"/>
  <c r="AH183" i="118"/>
  <c r="AI183" i="118"/>
  <c r="AJ183" i="118"/>
  <c r="AK183" i="118"/>
  <c r="AL183" i="118"/>
  <c r="AM183" i="118"/>
  <c r="AN183" i="118"/>
  <c r="AO183" i="118"/>
  <c r="AP183" i="118"/>
  <c r="AQ183" i="118"/>
  <c r="AR183" i="118"/>
  <c r="AS183" i="118"/>
  <c r="AT183" i="118"/>
  <c r="AU183" i="118"/>
  <c r="AV183" i="118"/>
  <c r="AW183" i="118"/>
  <c r="AA189" i="118"/>
  <c r="AB189" i="118"/>
  <c r="AC189" i="118"/>
  <c r="AD189" i="118"/>
  <c r="AE189" i="118"/>
  <c r="AF189" i="118"/>
  <c r="AG189" i="118"/>
  <c r="AH189" i="118"/>
  <c r="AI189" i="118"/>
  <c r="AJ189" i="118"/>
  <c r="AK189" i="118"/>
  <c r="AL189" i="118"/>
  <c r="AM189" i="118"/>
  <c r="AN189" i="118"/>
  <c r="AO189" i="118"/>
  <c r="AP189" i="118"/>
  <c r="AQ189" i="118"/>
  <c r="AR189" i="118"/>
  <c r="AS189" i="118"/>
  <c r="AT189" i="118"/>
  <c r="AU189" i="118"/>
  <c r="AV189" i="118"/>
  <c r="AW189" i="118"/>
  <c r="AB76" i="118"/>
  <c r="DG211" i="29"/>
  <c r="BD30" i="36"/>
  <c r="BD29" i="36"/>
  <c r="BD28" i="36"/>
  <c r="BD27" i="36"/>
  <c r="BD45" i="36" s="1"/>
  <c r="BD51" i="36" s="1"/>
  <c r="DB34" i="34"/>
  <c r="BD33" i="36"/>
  <c r="DG30" i="29"/>
  <c r="DG20" i="29"/>
  <c r="V112" i="97"/>
  <c r="DB14" i="29"/>
  <c r="CX14" i="29"/>
  <c r="AP63" i="20"/>
  <c r="AA14" i="20"/>
  <c r="BD63" i="36" s="1"/>
  <c r="BD66" i="36" s="1"/>
  <c r="DB200" i="29"/>
  <c r="DB100" i="29"/>
  <c r="CH24" i="28" s="1"/>
  <c r="DB97" i="29"/>
  <c r="DB98" i="29"/>
  <c r="DB99" i="29"/>
  <c r="DB21" i="29"/>
  <c r="EU51" i="29"/>
  <c r="DB31" i="29"/>
  <c r="EU53" i="29"/>
  <c r="EU52" i="29"/>
  <c r="EU50" i="29"/>
  <c r="ET54" i="29"/>
  <c r="ES54" i="29"/>
  <c r="BX55" i="22"/>
  <c r="BH79" i="22"/>
  <c r="DC22" i="34"/>
  <c r="DC16" i="34"/>
  <c r="DC10" i="34"/>
  <c r="BY31" i="22"/>
  <c r="BY30" i="22"/>
  <c r="BY28" i="22"/>
  <c r="BY27" i="22"/>
  <c r="BF45" i="22"/>
  <c r="BH45" i="22"/>
  <c r="DH30" i="29"/>
  <c r="DB23" i="29"/>
  <c r="DC23" i="29"/>
  <c r="DB33" i="29"/>
  <c r="DC33" i="29" s="1"/>
  <c r="BB30" i="36"/>
  <c r="CX31" i="34"/>
  <c r="CY25" i="34"/>
  <c r="CY19" i="34"/>
  <c r="CY13" i="34"/>
  <c r="H188" i="9"/>
  <c r="DB32" i="29"/>
  <c r="DH32" i="29" s="1"/>
  <c r="DC32" i="29"/>
  <c r="DB22" i="29"/>
  <c r="CJ21" i="28" a="1"/>
  <c r="CJ21" i="28" s="1"/>
  <c r="CJ17" i="28" a="1"/>
  <c r="BB29" i="36"/>
  <c r="CX30" i="34"/>
  <c r="DC30" i="34" s="1"/>
  <c r="CY24" i="34"/>
  <c r="CY18" i="34"/>
  <c r="CY22" i="34"/>
  <c r="CY12" i="34"/>
  <c r="DG202" i="29"/>
  <c r="DF194" i="29"/>
  <c r="DF161" i="29"/>
  <c r="DF83" i="29"/>
  <c r="DF82" i="29"/>
  <c r="DF81" i="29"/>
  <c r="AB36" i="20" s="1"/>
  <c r="DF56" i="29"/>
  <c r="DL56" i="29" s="1"/>
  <c r="DF55" i="29"/>
  <c r="DL55" i="29" s="1"/>
  <c r="DF54" i="29"/>
  <c r="DL54" i="29" s="1"/>
  <c r="DH53" i="29"/>
  <c r="DH52" i="29"/>
  <c r="DH51" i="29"/>
  <c r="DH50" i="29"/>
  <c r="DH43" i="29"/>
  <c r="DH42" i="29"/>
  <c r="DH41" i="29"/>
  <c r="DF40" i="29"/>
  <c r="DL40" i="29" s="1"/>
  <c r="DF45" i="29"/>
  <c r="DL45" i="29" s="1"/>
  <c r="H187" i="9"/>
  <c r="F34" i="34"/>
  <c r="D37" i="34"/>
  <c r="D36" i="34"/>
  <c r="D35" i="34"/>
  <c r="D34" i="34"/>
  <c r="CL36" i="34"/>
  <c r="CH36" i="34"/>
  <c r="BR35" i="34"/>
  <c r="BR41" i="34" s="1"/>
  <c r="BS35" i="34"/>
  <c r="BN36" i="34"/>
  <c r="BN35" i="34"/>
  <c r="BN34" i="34"/>
  <c r="BJ37" i="34"/>
  <c r="BJ35" i="34"/>
  <c r="BJ34" i="34"/>
  <c r="BK34" i="34" s="1"/>
  <c r="BF34" i="34"/>
  <c r="AT36" i="34"/>
  <c r="AT35" i="34"/>
  <c r="AP37" i="34"/>
  <c r="AP36" i="34"/>
  <c r="AP35" i="34"/>
  <c r="AH34" i="34"/>
  <c r="N35" i="34"/>
  <c r="J34" i="34"/>
  <c r="CL31" i="34"/>
  <c r="CH31" i="34"/>
  <c r="BN31" i="34"/>
  <c r="AT31" i="34"/>
  <c r="AT37" i="34"/>
  <c r="AU31" i="34"/>
  <c r="BR31" i="34"/>
  <c r="BR30" i="34"/>
  <c r="BJ30" i="34"/>
  <c r="AH30" i="34"/>
  <c r="AH29" i="34"/>
  <c r="AM29" i="34" s="1"/>
  <c r="N31" i="34"/>
  <c r="N30" i="34"/>
  <c r="CL29" i="34"/>
  <c r="CL35" i="34" s="1"/>
  <c r="CL28" i="34"/>
  <c r="CL34" i="34" s="1"/>
  <c r="CH29" i="34"/>
  <c r="CH35" i="34" s="1"/>
  <c r="CH28" i="34"/>
  <c r="CH34" i="34" s="1"/>
  <c r="CI34" i="34" s="1"/>
  <c r="BF31" i="34"/>
  <c r="BK31" i="34"/>
  <c r="BF30" i="34"/>
  <c r="BF36" i="34" s="1"/>
  <c r="BF29" i="34"/>
  <c r="BF35" i="34"/>
  <c r="J31" i="34"/>
  <c r="J30" i="34"/>
  <c r="O30" i="34" s="1"/>
  <c r="J29" i="34"/>
  <c r="O29" i="34" s="1"/>
  <c r="F31" i="34"/>
  <c r="G31" i="34" s="1"/>
  <c r="F30" i="34"/>
  <c r="F36" i="34" s="1"/>
  <c r="F29" i="34"/>
  <c r="F35" i="34" s="1"/>
  <c r="CX29" i="34"/>
  <c r="CX35" i="34"/>
  <c r="CX28" i="34"/>
  <c r="CT31" i="34"/>
  <c r="CT37" i="34" s="1"/>
  <c r="CT30" i="34"/>
  <c r="CT36" i="34" s="1"/>
  <c r="CT29" i="34"/>
  <c r="CT35" i="34" s="1"/>
  <c r="CT28" i="34"/>
  <c r="CT34" i="34" s="1"/>
  <c r="CP31" i="34"/>
  <c r="CQ30" i="34"/>
  <c r="CP30" i="34"/>
  <c r="CP29" i="34"/>
  <c r="CP28" i="34"/>
  <c r="CM30" i="34"/>
  <c r="CD31" i="34"/>
  <c r="CD30" i="34"/>
  <c r="CI30" i="34" s="1"/>
  <c r="CD36" i="34"/>
  <c r="CD29" i="34"/>
  <c r="CD35" i="34" s="1"/>
  <c r="CD28" i="34"/>
  <c r="CD34" i="34"/>
  <c r="BZ31" i="34"/>
  <c r="BZ30" i="34"/>
  <c r="BZ36" i="34"/>
  <c r="BZ29" i="34"/>
  <c r="BZ35" i="34" s="1"/>
  <c r="BZ28" i="34"/>
  <c r="BZ34" i="34"/>
  <c r="BV31" i="34"/>
  <c r="BV30" i="34"/>
  <c r="CA30" i="34" s="1"/>
  <c r="BW30" i="34"/>
  <c r="BV36" i="34"/>
  <c r="BV29" i="34"/>
  <c r="BV35" i="34" s="1"/>
  <c r="BV28" i="34"/>
  <c r="BW28" i="34" s="1"/>
  <c r="BV34" i="34"/>
  <c r="BS29" i="34"/>
  <c r="BR28" i="34"/>
  <c r="BR34" i="34"/>
  <c r="BO30" i="34"/>
  <c r="BO29" i="34"/>
  <c r="BO28" i="34"/>
  <c r="BK29" i="34"/>
  <c r="BK28" i="34"/>
  <c r="BB31" i="34"/>
  <c r="BB37" i="34"/>
  <c r="BB30" i="34"/>
  <c r="BB29" i="34"/>
  <c r="BB35" i="34" s="1"/>
  <c r="BB28" i="34"/>
  <c r="AX31" i="34"/>
  <c r="AX37" i="34"/>
  <c r="AX30" i="34"/>
  <c r="AX36" i="34" s="1"/>
  <c r="AX29" i="34"/>
  <c r="AX28" i="34"/>
  <c r="AU30" i="34"/>
  <c r="AU29" i="34"/>
  <c r="AT28" i="34"/>
  <c r="AT34" i="34" s="1"/>
  <c r="AQ31" i="34"/>
  <c r="AQ30" i="34"/>
  <c r="AQ29" i="34"/>
  <c r="AQ28" i="34"/>
  <c r="AM31" i="34"/>
  <c r="AM28" i="34"/>
  <c r="AD31" i="34"/>
  <c r="AI31" i="34" s="1"/>
  <c r="AD30" i="34"/>
  <c r="AD29" i="34"/>
  <c r="AD28" i="34"/>
  <c r="AI28" i="34" s="1"/>
  <c r="Z31" i="34"/>
  <c r="Z30" i="34"/>
  <c r="AE30" i="34"/>
  <c r="Z29" i="34"/>
  <c r="Z28" i="34"/>
  <c r="V31" i="34"/>
  <c r="W31" i="34"/>
  <c r="V30" i="34"/>
  <c r="V29" i="34"/>
  <c r="W29" i="34"/>
  <c r="V28" i="34"/>
  <c r="R31" i="34"/>
  <c r="R30" i="34"/>
  <c r="R29" i="34"/>
  <c r="R28" i="34"/>
  <c r="N28" i="34"/>
  <c r="K28" i="34"/>
  <c r="G28" i="34"/>
  <c r="BV25" i="34"/>
  <c r="BV37" i="34" s="1"/>
  <c r="CP23" i="34"/>
  <c r="CP35" i="34" s="1"/>
  <c r="AH25" i="34"/>
  <c r="AH24" i="34"/>
  <c r="AI24" i="34" s="1"/>
  <c r="AH23" i="34"/>
  <c r="K25" i="34"/>
  <c r="K24" i="34"/>
  <c r="K23" i="34"/>
  <c r="CY23" i="34"/>
  <c r="CU25" i="34"/>
  <c r="CU24" i="34"/>
  <c r="CU23" i="34"/>
  <c r="CU22" i="34"/>
  <c r="CQ25" i="34"/>
  <c r="CQ24" i="34"/>
  <c r="CQ23" i="34"/>
  <c r="CQ22" i="34"/>
  <c r="CM25" i="34"/>
  <c r="CM24" i="34"/>
  <c r="CM23" i="34"/>
  <c r="CM22" i="34"/>
  <c r="CI25" i="34"/>
  <c r="CI24" i="34"/>
  <c r="CI23" i="34"/>
  <c r="CI22" i="34"/>
  <c r="CE25" i="34"/>
  <c r="CE24" i="34"/>
  <c r="CE23" i="34"/>
  <c r="CE22" i="34"/>
  <c r="CA24" i="34"/>
  <c r="CA23" i="34"/>
  <c r="CA22" i="34"/>
  <c r="BW24" i="34"/>
  <c r="BW23" i="34"/>
  <c r="BW22" i="34"/>
  <c r="BS25" i="34"/>
  <c r="BS24" i="34"/>
  <c r="BS23" i="34"/>
  <c r="BS22" i="34"/>
  <c r="BO25" i="34"/>
  <c r="BO24" i="34"/>
  <c r="BO23" i="34"/>
  <c r="BO22" i="34"/>
  <c r="BK25" i="34"/>
  <c r="BK24" i="34"/>
  <c r="BK23" i="34"/>
  <c r="BK22" i="34"/>
  <c r="BG25" i="34"/>
  <c r="BG24" i="34"/>
  <c r="BG23" i="34"/>
  <c r="BG22" i="34"/>
  <c r="BC25" i="34"/>
  <c r="BC24" i="34"/>
  <c r="BC23" i="34"/>
  <c r="BC22" i="34"/>
  <c r="AY25" i="34"/>
  <c r="AY24" i="34"/>
  <c r="AY23" i="34"/>
  <c r="AY22" i="34"/>
  <c r="AU25" i="34"/>
  <c r="AU24" i="34"/>
  <c r="AU23" i="34"/>
  <c r="AP22" i="34"/>
  <c r="AQ22" i="34" s="1"/>
  <c r="AL25" i="34"/>
  <c r="AL37" i="34" s="1"/>
  <c r="AL24" i="34"/>
  <c r="AQ24" i="34" s="1"/>
  <c r="AL23" i="34"/>
  <c r="AL22" i="34"/>
  <c r="AM22" i="34" s="1"/>
  <c r="AD25" i="34"/>
  <c r="AD24" i="34"/>
  <c r="AD36" i="34" s="1"/>
  <c r="AD23" i="34"/>
  <c r="AD22" i="34"/>
  <c r="Z25" i="34"/>
  <c r="Z37" i="34" s="1"/>
  <c r="Z24" i="34"/>
  <c r="Z23" i="34"/>
  <c r="Z22" i="34"/>
  <c r="V25" i="34"/>
  <c r="V24" i="34"/>
  <c r="W24" i="34"/>
  <c r="V23" i="34"/>
  <c r="V22" i="34"/>
  <c r="R25" i="34"/>
  <c r="R24" i="34"/>
  <c r="S24" i="34" s="1"/>
  <c r="R23" i="34"/>
  <c r="S23" i="34" s="1"/>
  <c r="R22" i="34"/>
  <c r="O25" i="34"/>
  <c r="O24" i="34"/>
  <c r="O23" i="34"/>
  <c r="O22" i="34"/>
  <c r="G25" i="34"/>
  <c r="G24" i="34"/>
  <c r="G23" i="34"/>
  <c r="G22" i="34"/>
  <c r="N19" i="34"/>
  <c r="R18" i="34"/>
  <c r="R17" i="34"/>
  <c r="S17" i="34" s="1"/>
  <c r="R16" i="34"/>
  <c r="CY17" i="34"/>
  <c r="CY16" i="34"/>
  <c r="CU19" i="34"/>
  <c r="CU18" i="34"/>
  <c r="CU17" i="34"/>
  <c r="CU16" i="34"/>
  <c r="CQ19" i="34"/>
  <c r="CQ18" i="34"/>
  <c r="CQ17" i="34"/>
  <c r="CQ16" i="34"/>
  <c r="CM19" i="34"/>
  <c r="CM18" i="34"/>
  <c r="CM17" i="34"/>
  <c r="CM16" i="34"/>
  <c r="CI19" i="34"/>
  <c r="CI18" i="34"/>
  <c r="CI17" i="34"/>
  <c r="CI16" i="34"/>
  <c r="CE19" i="34"/>
  <c r="CE18" i="34"/>
  <c r="CE17" i="34"/>
  <c r="CE16" i="34"/>
  <c r="CA19" i="34"/>
  <c r="CA18" i="34"/>
  <c r="CA17" i="34"/>
  <c r="CA16" i="34"/>
  <c r="BW19" i="34"/>
  <c r="BW18" i="34"/>
  <c r="BW17" i="34"/>
  <c r="BW16" i="34"/>
  <c r="BS19" i="34"/>
  <c r="BS18" i="34"/>
  <c r="BS17" i="34"/>
  <c r="BS16" i="34"/>
  <c r="BO19" i="34"/>
  <c r="BO18" i="34"/>
  <c r="BO17" i="34"/>
  <c r="BO16" i="34"/>
  <c r="BK19" i="34"/>
  <c r="BK18" i="34"/>
  <c r="BK17" i="34"/>
  <c r="BK16" i="34"/>
  <c r="BG19" i="34"/>
  <c r="BG18" i="34"/>
  <c r="BG17" i="34"/>
  <c r="BG16" i="34"/>
  <c r="BC19" i="34"/>
  <c r="BC18" i="34"/>
  <c r="BC17" i="34"/>
  <c r="BC16" i="34"/>
  <c r="AY19" i="34"/>
  <c r="AY18" i="34"/>
  <c r="AY17" i="34"/>
  <c r="AY16" i="34"/>
  <c r="AU19" i="34"/>
  <c r="AU18" i="34"/>
  <c r="AU17" i="34"/>
  <c r="AU16" i="34"/>
  <c r="AQ19" i="34"/>
  <c r="AQ18" i="34"/>
  <c r="AQ17" i="34"/>
  <c r="AQ16" i="34"/>
  <c r="AM19" i="34"/>
  <c r="AM18" i="34"/>
  <c r="AM17" i="34"/>
  <c r="AM16" i="34"/>
  <c r="AI19" i="34"/>
  <c r="AI18" i="34"/>
  <c r="AI17" i="34"/>
  <c r="AI16" i="34"/>
  <c r="AE19" i="34"/>
  <c r="AE18" i="34"/>
  <c r="AE17" i="34"/>
  <c r="AE16" i="34"/>
  <c r="AA19" i="34"/>
  <c r="AA18" i="34"/>
  <c r="AA17" i="34"/>
  <c r="AA16" i="34"/>
  <c r="W19" i="34"/>
  <c r="W18" i="34"/>
  <c r="W17" i="34"/>
  <c r="W16" i="34"/>
  <c r="S18" i="34"/>
  <c r="O18" i="34"/>
  <c r="O17" i="34"/>
  <c r="O16" i="34"/>
  <c r="K19" i="34"/>
  <c r="K18" i="34"/>
  <c r="K17" i="34"/>
  <c r="K16" i="34"/>
  <c r="G19" i="34"/>
  <c r="G18" i="34"/>
  <c r="G17" i="34"/>
  <c r="G16" i="34"/>
  <c r="CY11" i="34"/>
  <c r="CY10" i="34"/>
  <c r="CU13" i="34"/>
  <c r="CU12" i="34"/>
  <c r="CU11" i="34"/>
  <c r="CU10" i="34"/>
  <c r="CQ13" i="34"/>
  <c r="CQ12" i="34"/>
  <c r="CQ11" i="34"/>
  <c r="CQ10" i="34"/>
  <c r="CM13" i="34"/>
  <c r="CM12" i="34"/>
  <c r="CM11" i="34"/>
  <c r="CM10" i="34"/>
  <c r="CI13" i="34"/>
  <c r="CI12" i="34"/>
  <c r="CI11" i="34"/>
  <c r="CI10" i="34"/>
  <c r="CE13" i="34"/>
  <c r="CE12" i="34"/>
  <c r="CE11" i="34"/>
  <c r="CE10" i="34"/>
  <c r="CA13" i="34"/>
  <c r="CA12" i="34"/>
  <c r="CA11" i="34"/>
  <c r="CA10" i="34"/>
  <c r="BW13" i="34"/>
  <c r="BW12" i="34"/>
  <c r="BW11" i="34"/>
  <c r="BW10" i="34"/>
  <c r="BS13" i="34"/>
  <c r="BS12" i="34"/>
  <c r="BS11" i="34"/>
  <c r="BS10" i="34"/>
  <c r="BO13" i="34"/>
  <c r="BO12" i="34"/>
  <c r="BO11" i="34"/>
  <c r="BO10" i="34"/>
  <c r="BK13" i="34"/>
  <c r="BK12" i="34"/>
  <c r="BK11" i="34"/>
  <c r="BK10" i="34"/>
  <c r="BG13" i="34"/>
  <c r="BG12" i="34"/>
  <c r="BG11" i="34"/>
  <c r="BG10" i="34"/>
  <c r="BC13" i="34"/>
  <c r="BC12" i="34"/>
  <c r="BC11" i="34"/>
  <c r="BC10" i="34"/>
  <c r="AY13" i="34"/>
  <c r="AY12" i="34"/>
  <c r="AY11" i="34"/>
  <c r="AY10" i="34"/>
  <c r="AU13" i="34"/>
  <c r="AU12" i="34"/>
  <c r="AU11" i="34"/>
  <c r="AU10" i="34"/>
  <c r="AQ13" i="34"/>
  <c r="AQ12" i="34"/>
  <c r="AQ11" i="34"/>
  <c r="AQ10" i="34"/>
  <c r="AM13" i="34"/>
  <c r="AM12" i="34"/>
  <c r="AM11" i="34"/>
  <c r="AM10" i="34"/>
  <c r="AI13" i="34"/>
  <c r="AI12" i="34"/>
  <c r="AI11" i="34"/>
  <c r="AI10" i="34"/>
  <c r="AE13" i="34"/>
  <c r="AE12" i="34"/>
  <c r="AE11" i="34"/>
  <c r="AE10" i="34"/>
  <c r="AA13" i="34"/>
  <c r="AA12" i="34"/>
  <c r="AA11" i="34"/>
  <c r="AA10" i="34"/>
  <c r="W13" i="34"/>
  <c r="W12" i="34"/>
  <c r="W11" i="34"/>
  <c r="W10" i="34"/>
  <c r="S13" i="34"/>
  <c r="S12" i="34"/>
  <c r="S11" i="34"/>
  <c r="S10" i="34"/>
  <c r="O13" i="34"/>
  <c r="O12" i="34"/>
  <c r="O11" i="34"/>
  <c r="O10" i="34"/>
  <c r="K13" i="34"/>
  <c r="K12" i="34"/>
  <c r="K11" i="34"/>
  <c r="K10" i="34"/>
  <c r="G13" i="34"/>
  <c r="G12" i="34"/>
  <c r="G11" i="34"/>
  <c r="G10" i="34"/>
  <c r="B13" i="34"/>
  <c r="A13" i="34"/>
  <c r="B12" i="34"/>
  <c r="A12" i="34"/>
  <c r="A18" i="34" s="1"/>
  <c r="B11" i="34"/>
  <c r="A11" i="34"/>
  <c r="A41" i="34" s="1"/>
  <c r="B10" i="34"/>
  <c r="A10" i="34"/>
  <c r="A40" i="34" s="1"/>
  <c r="F7" i="34"/>
  <c r="J7" i="34" s="1"/>
  <c r="N7" i="34" s="1"/>
  <c r="R7" i="34" s="1"/>
  <c r="V7" i="34" s="1"/>
  <c r="A3" i="34"/>
  <c r="F187" i="9"/>
  <c r="D187" i="9"/>
  <c r="D186" i="9"/>
  <c r="H186" i="9"/>
  <c r="F182" i="9"/>
  <c r="F181" i="9"/>
  <c r="F180" i="9"/>
  <c r="AM179" i="9" s="1"/>
  <c r="F179" i="9"/>
  <c r="D182" i="9"/>
  <c r="D181" i="9"/>
  <c r="D180" i="9"/>
  <c r="D179" i="9"/>
  <c r="H182" i="9"/>
  <c r="H181" i="9"/>
  <c r="N188" i="9" s="1"/>
  <c r="H180" i="9"/>
  <c r="H179" i="9"/>
  <c r="F175" i="9"/>
  <c r="F174" i="9"/>
  <c r="F173" i="9"/>
  <c r="F172" i="9"/>
  <c r="D175" i="9"/>
  <c r="D174" i="9"/>
  <c r="D173" i="9"/>
  <c r="D172" i="9"/>
  <c r="H175" i="9"/>
  <c r="H174" i="9"/>
  <c r="H173" i="9"/>
  <c r="H172" i="9"/>
  <c r="F168" i="9"/>
  <c r="F167" i="9"/>
  <c r="F166" i="9"/>
  <c r="T165" i="9" s="1"/>
  <c r="F165" i="9"/>
  <c r="D169" i="9"/>
  <c r="D168" i="9"/>
  <c r="D167" i="9"/>
  <c r="D166" i="9"/>
  <c r="D165" i="9"/>
  <c r="H168" i="9"/>
  <c r="P172" i="9" s="1"/>
  <c r="H167" i="9"/>
  <c r="H166" i="9"/>
  <c r="H165" i="9"/>
  <c r="F161" i="9"/>
  <c r="F160" i="9"/>
  <c r="F159" i="9"/>
  <c r="F158" i="9"/>
  <c r="D161" i="9"/>
  <c r="D160" i="9"/>
  <c r="D159" i="9"/>
  <c r="D158" i="9"/>
  <c r="H161" i="9"/>
  <c r="J161" i="9" s="1"/>
  <c r="H160" i="9"/>
  <c r="H159" i="9"/>
  <c r="H158" i="9"/>
  <c r="F154" i="9"/>
  <c r="F153" i="9"/>
  <c r="F152" i="9"/>
  <c r="T151" i="9" s="1"/>
  <c r="F151" i="9"/>
  <c r="D154" i="9"/>
  <c r="D153" i="9"/>
  <c r="D152" i="9"/>
  <c r="L159" i="9" s="1"/>
  <c r="D151" i="9"/>
  <c r="L158" i="9" s="1"/>
  <c r="H154" i="9"/>
  <c r="P154" i="9" s="1"/>
  <c r="H153" i="9"/>
  <c r="H152" i="9"/>
  <c r="H151" i="9"/>
  <c r="F147" i="9"/>
  <c r="F146" i="9"/>
  <c r="F145" i="9"/>
  <c r="F144" i="9"/>
  <c r="D147" i="9"/>
  <c r="D146" i="9"/>
  <c r="H147" i="9"/>
  <c r="H146" i="9"/>
  <c r="H145" i="9"/>
  <c r="H144" i="9"/>
  <c r="F140" i="9"/>
  <c r="F139" i="9"/>
  <c r="F138" i="9"/>
  <c r="F137" i="9"/>
  <c r="T133" i="9" s="1"/>
  <c r="D140" i="9"/>
  <c r="D139" i="9"/>
  <c r="D138" i="9"/>
  <c r="D137" i="9"/>
  <c r="H140" i="9"/>
  <c r="H139" i="9"/>
  <c r="H138" i="9"/>
  <c r="H137" i="9"/>
  <c r="F133" i="9"/>
  <c r="T132" i="9" s="1"/>
  <c r="F132" i="9"/>
  <c r="F131" i="9"/>
  <c r="F130" i="9"/>
  <c r="D133" i="9"/>
  <c r="L140" i="9" s="1"/>
  <c r="D132" i="9"/>
  <c r="D131" i="9"/>
  <c r="D130" i="9"/>
  <c r="H133" i="9"/>
  <c r="H132" i="9"/>
  <c r="H131" i="9"/>
  <c r="H130" i="9"/>
  <c r="F126" i="9"/>
  <c r="F125" i="9"/>
  <c r="F124" i="9"/>
  <c r="F123" i="9"/>
  <c r="D126" i="9"/>
  <c r="D125" i="9"/>
  <c r="D124" i="9"/>
  <c r="D123" i="9"/>
  <c r="H126" i="9"/>
  <c r="H125" i="9"/>
  <c r="H124" i="9"/>
  <c r="J125" i="9" s="1"/>
  <c r="H123" i="9"/>
  <c r="F119" i="9"/>
  <c r="F117" i="9"/>
  <c r="F116" i="9"/>
  <c r="D119" i="9"/>
  <c r="D118" i="9"/>
  <c r="D117" i="9"/>
  <c r="D116" i="9"/>
  <c r="H119" i="9"/>
  <c r="H118" i="9"/>
  <c r="H117" i="9"/>
  <c r="H116" i="9"/>
  <c r="AM116" i="9" s="1"/>
  <c r="F112" i="9"/>
  <c r="F111" i="9"/>
  <c r="F110" i="9"/>
  <c r="F109" i="9"/>
  <c r="D112" i="9"/>
  <c r="D111" i="9"/>
  <c r="D110" i="9"/>
  <c r="D109" i="9"/>
  <c r="H112" i="9"/>
  <c r="H111" i="9"/>
  <c r="H110" i="9"/>
  <c r="H109" i="9"/>
  <c r="F105" i="9"/>
  <c r="T104" i="9" s="1"/>
  <c r="F104" i="9"/>
  <c r="F103" i="9"/>
  <c r="F102" i="9"/>
  <c r="D105" i="9"/>
  <c r="D104" i="9"/>
  <c r="D103" i="9"/>
  <c r="D102" i="9"/>
  <c r="H105" i="9"/>
  <c r="H104" i="9"/>
  <c r="H103" i="9"/>
  <c r="H102" i="9"/>
  <c r="J102" i="9" s="1"/>
  <c r="F98" i="9"/>
  <c r="F97" i="9"/>
  <c r="F96" i="9"/>
  <c r="F95" i="9"/>
  <c r="D98" i="9"/>
  <c r="D97" i="9"/>
  <c r="D96" i="9"/>
  <c r="D95" i="9"/>
  <c r="H98" i="9"/>
  <c r="H97" i="9"/>
  <c r="H96" i="9"/>
  <c r="H95" i="9"/>
  <c r="F91" i="9"/>
  <c r="F90" i="9"/>
  <c r="F89" i="9"/>
  <c r="F88" i="9"/>
  <c r="D91" i="9"/>
  <c r="D90" i="9"/>
  <c r="L97" i="9" s="1"/>
  <c r="D89" i="9"/>
  <c r="D88" i="9"/>
  <c r="H91" i="9"/>
  <c r="H90" i="9"/>
  <c r="H89" i="9"/>
  <c r="H88" i="9"/>
  <c r="F84" i="9"/>
  <c r="F83" i="9"/>
  <c r="F82" i="9"/>
  <c r="F81" i="9"/>
  <c r="D84" i="9"/>
  <c r="D83" i="9"/>
  <c r="D82" i="9"/>
  <c r="D81" i="9"/>
  <c r="H84" i="9"/>
  <c r="H83" i="9"/>
  <c r="H82" i="9"/>
  <c r="H81" i="9"/>
  <c r="F77" i="9"/>
  <c r="F76" i="9"/>
  <c r="F75" i="9"/>
  <c r="F74" i="9"/>
  <c r="D77" i="9"/>
  <c r="D76" i="9"/>
  <c r="D75" i="9"/>
  <c r="D74" i="9"/>
  <c r="H77" i="9"/>
  <c r="H76" i="9"/>
  <c r="H75" i="9"/>
  <c r="H74" i="9"/>
  <c r="F70" i="9"/>
  <c r="F69" i="9"/>
  <c r="F68" i="9"/>
  <c r="F67" i="9"/>
  <c r="D70" i="9"/>
  <c r="D69" i="9"/>
  <c r="D68" i="9"/>
  <c r="D67" i="9"/>
  <c r="H70" i="9"/>
  <c r="H69" i="9"/>
  <c r="H68" i="9"/>
  <c r="H67" i="9"/>
  <c r="F63" i="9"/>
  <c r="F62" i="9"/>
  <c r="F61" i="9"/>
  <c r="F60" i="9"/>
  <c r="D63" i="9"/>
  <c r="L70" i="9" s="1"/>
  <c r="D62" i="9"/>
  <c r="D61" i="9"/>
  <c r="D60" i="9"/>
  <c r="H63" i="9"/>
  <c r="P67" i="9" s="1"/>
  <c r="H62" i="9"/>
  <c r="H61" i="9"/>
  <c r="H60" i="9"/>
  <c r="F56" i="9"/>
  <c r="F55" i="9"/>
  <c r="F54" i="9"/>
  <c r="F53" i="9"/>
  <c r="D56" i="9"/>
  <c r="D55" i="9"/>
  <c r="D54" i="9"/>
  <c r="D53" i="9"/>
  <c r="AD55" i="9"/>
  <c r="H56" i="9"/>
  <c r="H55" i="9"/>
  <c r="H54" i="9"/>
  <c r="N61" i="9" s="1"/>
  <c r="H53" i="9"/>
  <c r="J53" i="9" s="1"/>
  <c r="F49" i="9"/>
  <c r="F48" i="9"/>
  <c r="F47" i="9"/>
  <c r="T46" i="9" s="1"/>
  <c r="F46" i="9"/>
  <c r="D49" i="9"/>
  <c r="D48" i="9"/>
  <c r="D47" i="9"/>
  <c r="D46" i="9"/>
  <c r="AD46" i="9"/>
  <c r="H49" i="9"/>
  <c r="N49" i="9" s="1"/>
  <c r="H48" i="9"/>
  <c r="H47" i="9"/>
  <c r="H46" i="9"/>
  <c r="F42" i="9"/>
  <c r="T41" i="9" s="1"/>
  <c r="F41" i="9"/>
  <c r="F40" i="9"/>
  <c r="F39" i="9"/>
  <c r="D42" i="9"/>
  <c r="D41" i="9"/>
  <c r="D40" i="9"/>
  <c r="D39" i="9"/>
  <c r="AD41" i="9"/>
  <c r="H42" i="9"/>
  <c r="H41" i="9"/>
  <c r="H40" i="9"/>
  <c r="X40" i="9" s="1"/>
  <c r="H39" i="9"/>
  <c r="F35" i="9"/>
  <c r="F34" i="9"/>
  <c r="T33" i="9" s="1"/>
  <c r="F33" i="9"/>
  <c r="T32" i="9" s="1"/>
  <c r="F32" i="9"/>
  <c r="D35" i="9"/>
  <c r="D34" i="9"/>
  <c r="D33" i="9"/>
  <c r="D32" i="9"/>
  <c r="H35" i="9"/>
  <c r="N42" i="9" s="1"/>
  <c r="H34" i="9"/>
  <c r="N41" i="9" s="1"/>
  <c r="H33" i="9"/>
  <c r="H32" i="9"/>
  <c r="F28" i="9"/>
  <c r="T27" i="9" s="1"/>
  <c r="F27" i="9"/>
  <c r="F26" i="9"/>
  <c r="F25" i="9"/>
  <c r="D28" i="9"/>
  <c r="D27" i="9"/>
  <c r="D26" i="9"/>
  <c r="D25" i="9"/>
  <c r="H28" i="9"/>
  <c r="H27" i="9"/>
  <c r="H26" i="9"/>
  <c r="X26" i="9" s="1"/>
  <c r="H25" i="9"/>
  <c r="N32" i="9" s="1"/>
  <c r="F21" i="9"/>
  <c r="F20" i="9"/>
  <c r="F19" i="9"/>
  <c r="F18" i="9"/>
  <c r="D21" i="9"/>
  <c r="D20" i="9"/>
  <c r="D19" i="9"/>
  <c r="D18" i="9"/>
  <c r="B17" i="9"/>
  <c r="B24" i="9" s="1"/>
  <c r="B31" i="9" s="1"/>
  <c r="B38" i="9" s="1"/>
  <c r="B45" i="9" s="1"/>
  <c r="B52" i="9" s="1"/>
  <c r="B59" i="9" s="1"/>
  <c r="B66" i="9" s="1"/>
  <c r="B73" i="9" s="1"/>
  <c r="B80" i="9" s="1"/>
  <c r="B87" i="9" s="1"/>
  <c r="B94" i="9" s="1"/>
  <c r="B101" i="9" s="1"/>
  <c r="B108" i="9" s="1"/>
  <c r="B115" i="9" s="1"/>
  <c r="B122" i="9" s="1"/>
  <c r="B129" i="9" s="1"/>
  <c r="B136" i="9" s="1"/>
  <c r="B143" i="9" s="1"/>
  <c r="B150" i="9" s="1"/>
  <c r="B157" i="9" s="1"/>
  <c r="B164" i="9" s="1"/>
  <c r="B171" i="9" s="1"/>
  <c r="B178" i="9" s="1"/>
  <c r="B185" i="9" s="1"/>
  <c r="B192" i="9" s="1"/>
  <c r="B199" i="9" s="1"/>
  <c r="B206" i="9" s="1"/>
  <c r="AD19" i="9"/>
  <c r="H21" i="9"/>
  <c r="H20" i="9"/>
  <c r="H19" i="9"/>
  <c r="H18" i="9"/>
  <c r="X18" i="9" s="1"/>
  <c r="F14" i="9"/>
  <c r="F13" i="9"/>
  <c r="F12" i="9"/>
  <c r="F11" i="9"/>
  <c r="D14" i="9"/>
  <c r="D13" i="9"/>
  <c r="D12" i="9"/>
  <c r="D11" i="9"/>
  <c r="B15" i="9"/>
  <c r="B14" i="9"/>
  <c r="B13" i="9"/>
  <c r="B12" i="9"/>
  <c r="B11" i="9"/>
  <c r="B81" i="9" s="1"/>
  <c r="H14" i="9"/>
  <c r="H13" i="9"/>
  <c r="H12" i="9"/>
  <c r="H11" i="9"/>
  <c r="A14" i="9"/>
  <c r="A21" i="9" s="1"/>
  <c r="A13" i="9"/>
  <c r="A34" i="9" s="1"/>
  <c r="A12" i="9"/>
  <c r="A11" i="9"/>
  <c r="AZ30" i="36"/>
  <c r="AZ29" i="36"/>
  <c r="AZ28" i="36"/>
  <c r="AZ34" i="36" s="1"/>
  <c r="AZ58" i="36" s="1"/>
  <c r="AZ27" i="36"/>
  <c r="AX30" i="36"/>
  <c r="AX29" i="36"/>
  <c r="AX28" i="36"/>
  <c r="AX27" i="36"/>
  <c r="AX45" i="36" s="1"/>
  <c r="AV30" i="36"/>
  <c r="AV29" i="36"/>
  <c r="AV47" i="36" s="1"/>
  <c r="AV28" i="36"/>
  <c r="AV46" i="36" s="1"/>
  <c r="AV27" i="36"/>
  <c r="AT30" i="36"/>
  <c r="AT29" i="36"/>
  <c r="AT47" i="36"/>
  <c r="AT28" i="36"/>
  <c r="AT27" i="36"/>
  <c r="AR30" i="36"/>
  <c r="AR48" i="36" s="1"/>
  <c r="AR29" i="36"/>
  <c r="AR47" i="36"/>
  <c r="AR28" i="36"/>
  <c r="AR46" i="36"/>
  <c r="AR27" i="36"/>
  <c r="AR45" i="36"/>
  <c r="AR51" i="36" s="1"/>
  <c r="AP30" i="36"/>
  <c r="AP48" i="36" s="1"/>
  <c r="AP29" i="36"/>
  <c r="AP28" i="36"/>
  <c r="AP46" i="36"/>
  <c r="AP52" i="36" s="1"/>
  <c r="AP27" i="36"/>
  <c r="AP45" i="36" s="1"/>
  <c r="AN30" i="36"/>
  <c r="AN29" i="36"/>
  <c r="AN28" i="36"/>
  <c r="AN27" i="36"/>
  <c r="AN45" i="36"/>
  <c r="AL30" i="36"/>
  <c r="AL29" i="36"/>
  <c r="AL47" i="36" s="1"/>
  <c r="AL53" i="36" s="1"/>
  <c r="AL28" i="36"/>
  <c r="AL27" i="36"/>
  <c r="AJ30" i="36"/>
  <c r="AJ29" i="36"/>
  <c r="AJ28" i="36"/>
  <c r="AJ27" i="36"/>
  <c r="AJ45" i="36" s="1"/>
  <c r="AH30" i="36"/>
  <c r="AH29" i="36"/>
  <c r="AH28" i="36"/>
  <c r="AH46" i="36" s="1"/>
  <c r="AH27" i="36"/>
  <c r="AF30" i="36"/>
  <c r="AF29" i="36"/>
  <c r="AF28" i="36"/>
  <c r="AF27" i="36"/>
  <c r="AB30" i="36"/>
  <c r="AB36" i="36"/>
  <c r="AB29" i="36"/>
  <c r="AB28" i="36"/>
  <c r="AB46" i="36" s="1"/>
  <c r="AB27" i="36"/>
  <c r="AB45" i="36"/>
  <c r="AB51" i="36" s="1"/>
  <c r="Z30" i="36"/>
  <c r="Z48" i="36" s="1"/>
  <c r="X29" i="36"/>
  <c r="X47" i="36" s="1"/>
  <c r="X53" i="36" s="1"/>
  <c r="X28" i="36"/>
  <c r="X46" i="36"/>
  <c r="X27" i="36"/>
  <c r="X45" i="36" s="1"/>
  <c r="V30" i="36"/>
  <c r="V48" i="36" s="1"/>
  <c r="V29" i="36"/>
  <c r="V47" i="36"/>
  <c r="V28" i="36"/>
  <c r="V27" i="36"/>
  <c r="V33" i="36" s="1"/>
  <c r="V57" i="36" s="1"/>
  <c r="T30" i="36"/>
  <c r="T29" i="36"/>
  <c r="T28" i="36"/>
  <c r="T46" i="36" s="1"/>
  <c r="T27" i="36"/>
  <c r="R30" i="36"/>
  <c r="R29" i="36"/>
  <c r="R47" i="36" s="1"/>
  <c r="R28" i="36"/>
  <c r="R27" i="36"/>
  <c r="P30" i="36"/>
  <c r="P36" i="36" s="1"/>
  <c r="P60" i="36" s="1"/>
  <c r="P29" i="36"/>
  <c r="P28" i="36"/>
  <c r="P46" i="36"/>
  <c r="P27" i="36"/>
  <c r="P45" i="36" s="1"/>
  <c r="N30" i="36"/>
  <c r="N29" i="36"/>
  <c r="N47" i="36" s="1"/>
  <c r="N28" i="36"/>
  <c r="N46" i="36" s="1"/>
  <c r="N52" i="36" s="1"/>
  <c r="N27" i="36"/>
  <c r="L30" i="36"/>
  <c r="L29" i="36"/>
  <c r="L28" i="36"/>
  <c r="J30" i="36"/>
  <c r="J29" i="36"/>
  <c r="J28" i="36"/>
  <c r="J27" i="36"/>
  <c r="H30" i="36"/>
  <c r="H29" i="36"/>
  <c r="H28" i="36"/>
  <c r="H27" i="36"/>
  <c r="F30" i="36"/>
  <c r="F48" i="36" s="1"/>
  <c r="F27" i="36"/>
  <c r="BB28" i="36"/>
  <c r="BB27" i="36"/>
  <c r="AD24" i="36"/>
  <c r="AD30" i="36" s="1"/>
  <c r="AD23" i="36"/>
  <c r="AD29" i="36" s="1"/>
  <c r="AD35" i="36" s="1"/>
  <c r="AD22" i="36"/>
  <c r="AD28" i="36" s="1"/>
  <c r="AD21" i="36"/>
  <c r="AD27" i="36"/>
  <c r="X18" i="36"/>
  <c r="X30" i="36" s="1"/>
  <c r="Z17" i="36"/>
  <c r="Z29" i="36" s="1"/>
  <c r="Z16" i="36"/>
  <c r="Z28" i="36" s="1"/>
  <c r="Z15" i="36"/>
  <c r="Z27" i="36"/>
  <c r="Z45" i="36" s="1"/>
  <c r="F17" i="36"/>
  <c r="F29" i="36"/>
  <c r="F16" i="36"/>
  <c r="F28" i="36" s="1"/>
  <c r="F46" i="36" s="1"/>
  <c r="L15" i="36"/>
  <c r="L27" i="36" s="1"/>
  <c r="AR12" i="36"/>
  <c r="AR36" i="36" s="1"/>
  <c r="AR11" i="36"/>
  <c r="AR35" i="36"/>
  <c r="AR10" i="36"/>
  <c r="AR34" i="36"/>
  <c r="AR58" i="36" s="1"/>
  <c r="AR9" i="36"/>
  <c r="AP12" i="36"/>
  <c r="AP36" i="36" s="1"/>
  <c r="AP60" i="36" s="1"/>
  <c r="AP11" i="36"/>
  <c r="AP10" i="36"/>
  <c r="AP9" i="36"/>
  <c r="AN12" i="36"/>
  <c r="AN36" i="36" s="1"/>
  <c r="AN11" i="36"/>
  <c r="AN10" i="36"/>
  <c r="AN9" i="36"/>
  <c r="AN33" i="36" s="1"/>
  <c r="AN57" i="36" s="1"/>
  <c r="AL12" i="36"/>
  <c r="AL11" i="36"/>
  <c r="AL35" i="36" s="1"/>
  <c r="AL10" i="36"/>
  <c r="AL9" i="36"/>
  <c r="AL33" i="36" s="1"/>
  <c r="AJ12" i="36"/>
  <c r="AJ11" i="36"/>
  <c r="AJ10" i="36"/>
  <c r="AJ9" i="36"/>
  <c r="AH12" i="36"/>
  <c r="AH36" i="36" s="1"/>
  <c r="AH11" i="36"/>
  <c r="AH10" i="36"/>
  <c r="AH34" i="36"/>
  <c r="AH9" i="36"/>
  <c r="AF12" i="36"/>
  <c r="AF11" i="36"/>
  <c r="AF35" i="36"/>
  <c r="AF10" i="36"/>
  <c r="AF9" i="36"/>
  <c r="AD12" i="36"/>
  <c r="AD11" i="36"/>
  <c r="AD10" i="36"/>
  <c r="AT11" i="36"/>
  <c r="AT10" i="36"/>
  <c r="AT34" i="36" s="1"/>
  <c r="AT58" i="36" s="1"/>
  <c r="AT9" i="36"/>
  <c r="AT33" i="36" s="1"/>
  <c r="A3" i="36"/>
  <c r="AM91" i="22"/>
  <c r="BD79" i="22"/>
  <c r="BD78" i="22"/>
  <c r="BB79" i="22"/>
  <c r="BB78" i="22"/>
  <c r="AZ79" i="22"/>
  <c r="AZ78" i="22"/>
  <c r="AX79" i="22"/>
  <c r="AX78" i="22"/>
  <c r="AV79" i="22"/>
  <c r="AV78" i="22"/>
  <c r="AT79" i="22"/>
  <c r="AT78" i="22"/>
  <c r="AR79" i="22"/>
  <c r="AR78" i="22"/>
  <c r="AP79" i="22"/>
  <c r="AP78" i="22"/>
  <c r="AF79" i="22"/>
  <c r="AF78" i="22"/>
  <c r="AM81" i="22"/>
  <c r="AK81" i="22"/>
  <c r="AI81" i="22"/>
  <c r="AM80" i="22"/>
  <c r="AK80" i="22"/>
  <c r="AI80" i="22"/>
  <c r="AG80" i="22"/>
  <c r="AH75" i="22"/>
  <c r="AH73" i="22" s="1"/>
  <c r="AF75" i="22"/>
  <c r="AF73" i="22" s="1"/>
  <c r="AD75" i="22"/>
  <c r="AB75" i="22"/>
  <c r="AB76" i="22"/>
  <c r="N58" i="22"/>
  <c r="H58" i="22"/>
  <c r="F58" i="22"/>
  <c r="D58" i="22"/>
  <c r="AP56" i="22"/>
  <c r="AD53" i="22"/>
  <c r="AB53" i="22"/>
  <c r="X53" i="22"/>
  <c r="V53" i="22"/>
  <c r="T53" i="22"/>
  <c r="R53" i="22"/>
  <c r="AZ51" i="22"/>
  <c r="AZ53" i="22" s="1"/>
  <c r="AZ81" i="22" s="1"/>
  <c r="AX51" i="22"/>
  <c r="AX53" i="22" s="1"/>
  <c r="AX81" i="22" s="1"/>
  <c r="AR51" i="22"/>
  <c r="AP51" i="22"/>
  <c r="P50" i="22"/>
  <c r="N50" i="22"/>
  <c r="L50" i="22"/>
  <c r="J50" i="22"/>
  <c r="H50" i="22"/>
  <c r="F50" i="22"/>
  <c r="BC94" i="17"/>
  <c r="AL48" i="22"/>
  <c r="AM94" i="17"/>
  <c r="AJ48" i="22"/>
  <c r="AN47" i="22"/>
  <c r="BJ45" i="22"/>
  <c r="AT46" i="22"/>
  <c r="AT53" i="22" s="1"/>
  <c r="AT81" i="22" s="1"/>
  <c r="AT45" i="22"/>
  <c r="Z46" i="22"/>
  <c r="Z53" i="22" s="1"/>
  <c r="P46" i="22"/>
  <c r="N46" i="22"/>
  <c r="L46" i="22"/>
  <c r="L45" i="22"/>
  <c r="J46" i="22"/>
  <c r="J45" i="22"/>
  <c r="H46" i="22"/>
  <c r="H45" i="22"/>
  <c r="F46" i="22"/>
  <c r="F45" i="22"/>
  <c r="D46" i="22"/>
  <c r="D45" i="22"/>
  <c r="AV45" i="22"/>
  <c r="AV53" i="22"/>
  <c r="AV81" i="22" s="1"/>
  <c r="AR45" i="22"/>
  <c r="AR53" i="22" s="1"/>
  <c r="AR81" i="22" s="1"/>
  <c r="AP45" i="22"/>
  <c r="AP53" i="22" s="1"/>
  <c r="AP81" i="22" s="1"/>
  <c r="AN45" i="22"/>
  <c r="AL45" i="22"/>
  <c r="AL53" i="22" s="1"/>
  <c r="AL81" i="22" s="1"/>
  <c r="AJ45" i="22"/>
  <c r="AH45" i="22"/>
  <c r="AH53" i="22" s="1"/>
  <c r="AH81" i="22" s="1"/>
  <c r="AF45" i="22"/>
  <c r="AF53" i="22" s="1"/>
  <c r="AF81" i="22" s="1"/>
  <c r="AZ36" i="22"/>
  <c r="AZ38" i="22" s="1"/>
  <c r="AX36" i="22"/>
  <c r="AV36" i="22"/>
  <c r="AV38" i="22" s="1"/>
  <c r="L34" i="22"/>
  <c r="L33" i="22"/>
  <c r="L32" i="22"/>
  <c r="J34" i="22"/>
  <c r="J33" i="22"/>
  <c r="J32" i="22"/>
  <c r="H34" i="22"/>
  <c r="H33" i="22"/>
  <c r="H32" i="22"/>
  <c r="F35" i="22"/>
  <c r="F34" i="22"/>
  <c r="F33" i="22"/>
  <c r="F32" i="22"/>
  <c r="D36" i="22"/>
  <c r="D38" i="22"/>
  <c r="BJ29" i="22"/>
  <c r="BJ26" i="22"/>
  <c r="BH29" i="22"/>
  <c r="BH26" i="22"/>
  <c r="BF29" i="22"/>
  <c r="BF26" i="22"/>
  <c r="BD29" i="22"/>
  <c r="BD26" i="22"/>
  <c r="AT29" i="22"/>
  <c r="AT36" i="22" s="1"/>
  <c r="AR29" i="22"/>
  <c r="AR36" i="22" s="1"/>
  <c r="AP29" i="22"/>
  <c r="AP36" i="22" s="1"/>
  <c r="AN29" i="22"/>
  <c r="AL29" i="22"/>
  <c r="AJ29" i="22"/>
  <c r="AJ28" i="22"/>
  <c r="AH29" i="22"/>
  <c r="AH28" i="22"/>
  <c r="AB29" i="22"/>
  <c r="AB28" i="22"/>
  <c r="Z29" i="22"/>
  <c r="Z28" i="22"/>
  <c r="X29" i="22"/>
  <c r="X28" i="22"/>
  <c r="V29" i="22"/>
  <c r="V28" i="22"/>
  <c r="T29" i="22"/>
  <c r="T28" i="22"/>
  <c r="AF28" i="22"/>
  <c r="AF36" i="22"/>
  <c r="AF38" i="22" s="1"/>
  <c r="AD28" i="22"/>
  <c r="AD36" i="22" s="1"/>
  <c r="AD38" i="22" s="1"/>
  <c r="L27" i="22"/>
  <c r="L26" i="22"/>
  <c r="L25" i="22"/>
  <c r="J27" i="22"/>
  <c r="J26" i="22"/>
  <c r="J25" i="22"/>
  <c r="H27" i="22"/>
  <c r="H26" i="22"/>
  <c r="H25" i="22"/>
  <c r="AN26" i="22"/>
  <c r="AL26" i="22"/>
  <c r="AJ26" i="22"/>
  <c r="AB26" i="22"/>
  <c r="Z26" i="22"/>
  <c r="X26" i="22"/>
  <c r="V26" i="22"/>
  <c r="T26" i="22"/>
  <c r="R26" i="22"/>
  <c r="R36" i="22" s="1"/>
  <c r="P26" i="22"/>
  <c r="P36" i="22" s="1"/>
  <c r="N26" i="22"/>
  <c r="N36" i="22" s="1"/>
  <c r="AN22" i="22"/>
  <c r="AN78" i="22" s="1"/>
  <c r="AL22" i="22"/>
  <c r="AL79" i="22"/>
  <c r="AJ22" i="22"/>
  <c r="AH22" i="22"/>
  <c r="AD22" i="22"/>
  <c r="AB22" i="22"/>
  <c r="Z22" i="22"/>
  <c r="X22" i="22"/>
  <c r="X78" i="22"/>
  <c r="V22" i="22"/>
  <c r="T22" i="22"/>
  <c r="R22" i="22"/>
  <c r="P22" i="22"/>
  <c r="N22" i="22"/>
  <c r="L22" i="22"/>
  <c r="J22" i="22"/>
  <c r="H22" i="22"/>
  <c r="F22" i="22"/>
  <c r="BH13" i="22"/>
  <c r="BJ13" i="22" s="1"/>
  <c r="BL13" i="22" s="1"/>
  <c r="BN13" i="22" s="1"/>
  <c r="BP13" i="22" s="1"/>
  <c r="AL14" i="22"/>
  <c r="AL13" i="22"/>
  <c r="AV13" i="22"/>
  <c r="AT13" i="22"/>
  <c r="AR13" i="22"/>
  <c r="AP13" i="22"/>
  <c r="AN13" i="22"/>
  <c r="AJ13" i="22"/>
  <c r="AJ12" i="22"/>
  <c r="Z12" i="22"/>
  <c r="Z11" i="22"/>
  <c r="Z75" i="22" s="1"/>
  <c r="X11" i="22"/>
  <c r="X75" i="22" s="1"/>
  <c r="X74" i="22" s="1"/>
  <c r="V11" i="22"/>
  <c r="V75" i="22" s="1"/>
  <c r="V76" i="22" s="1"/>
  <c r="T11" i="22"/>
  <c r="R11" i="22"/>
  <c r="P11" i="22"/>
  <c r="N11" i="22"/>
  <c r="L11" i="22"/>
  <c r="J11" i="22"/>
  <c r="H11" i="22"/>
  <c r="F11" i="22"/>
  <c r="D11" i="22"/>
  <c r="F8" i="22"/>
  <c r="H8" i="22" s="1"/>
  <c r="J8" i="22" s="1"/>
  <c r="L8" i="22" s="1"/>
  <c r="N8" i="22" s="1"/>
  <c r="P8" i="22" s="1"/>
  <c r="R8" i="22" s="1"/>
  <c r="T8" i="22" s="1"/>
  <c r="V8" i="22" s="1"/>
  <c r="X8" i="22" s="1"/>
  <c r="Z8" i="22" s="1"/>
  <c r="AB8" i="22" s="1"/>
  <c r="AD8" i="22" s="1"/>
  <c r="AF8" i="22" s="1"/>
  <c r="AH8" i="22" s="1"/>
  <c r="AJ8" i="22" s="1"/>
  <c r="AL8" i="22" s="1"/>
  <c r="AN8" i="22" s="1"/>
  <c r="AP8" i="22" s="1"/>
  <c r="AR8" i="22" s="1"/>
  <c r="AT8" i="22" s="1"/>
  <c r="AV8" i="22" s="1"/>
  <c r="AX8" i="22" s="1"/>
  <c r="AZ8" i="22" s="1"/>
  <c r="BB8" i="22" s="1"/>
  <c r="BD8" i="22" s="1"/>
  <c r="BH8" i="22" s="1"/>
  <c r="BJ8" i="22" s="1"/>
  <c r="BL8" i="22" s="1"/>
  <c r="BN8" i="22" s="1"/>
  <c r="BP8" i="22" s="1"/>
  <c r="A3" i="22"/>
  <c r="BH95" i="17"/>
  <c r="BF95" i="17"/>
  <c r="BD95" i="17"/>
  <c r="BB95" i="17"/>
  <c r="BA95" i="17"/>
  <c r="AZ95" i="17"/>
  <c r="AY95" i="17"/>
  <c r="AX95" i="17"/>
  <c r="AW95" i="17"/>
  <c r="AV95" i="17"/>
  <c r="AU95" i="17"/>
  <c r="AT95" i="17"/>
  <c r="AS95" i="17"/>
  <c r="AR95" i="17"/>
  <c r="AQ95" i="17"/>
  <c r="AP95" i="17"/>
  <c r="AO95" i="17"/>
  <c r="AN95" i="17"/>
  <c r="AM95" i="17"/>
  <c r="AL95" i="17"/>
  <c r="AK95" i="17"/>
  <c r="AJ95" i="17"/>
  <c r="AI95" i="17"/>
  <c r="AH95" i="17"/>
  <c r="AG95" i="17"/>
  <c r="AF95" i="17"/>
  <c r="AE95" i="17"/>
  <c r="AD95" i="17"/>
  <c r="AC95" i="17"/>
  <c r="AB95" i="17"/>
  <c r="AA95" i="17"/>
  <c r="Z95" i="17"/>
  <c r="Y95" i="17"/>
  <c r="X95" i="17"/>
  <c r="W95" i="17"/>
  <c r="BH94" i="17"/>
  <c r="BF94" i="17"/>
  <c r="BD94" i="17"/>
  <c r="BB94" i="17"/>
  <c r="BA94" i="17"/>
  <c r="AZ94" i="17"/>
  <c r="AY94" i="17"/>
  <c r="AX94" i="17"/>
  <c r="AW94" i="17"/>
  <c r="AV94" i="17"/>
  <c r="AU94" i="17"/>
  <c r="AS94" i="17"/>
  <c r="AQ94" i="17"/>
  <c r="AO94" i="17"/>
  <c r="AI94" i="17"/>
  <c r="AG94" i="17"/>
  <c r="AE94" i="17"/>
  <c r="AC94" i="17"/>
  <c r="AA94" i="17"/>
  <c r="Y94" i="17"/>
  <c r="W94" i="17"/>
  <c r="AK90" i="17"/>
  <c r="AM90" i="17" s="1"/>
  <c r="AO90" i="17" s="1"/>
  <c r="AQ90" i="17" s="1"/>
  <c r="AS90" i="17" s="1"/>
  <c r="AU90" i="17" s="1"/>
  <c r="AW90" i="17" s="1"/>
  <c r="AY90" i="17" s="1"/>
  <c r="BA90" i="17" s="1"/>
  <c r="BC90" i="17" s="1"/>
  <c r="BC87" i="17"/>
  <c r="BA87" i="17"/>
  <c r="AY87" i="17"/>
  <c r="AW87" i="17"/>
  <c r="AU87" i="17"/>
  <c r="AS87" i="17"/>
  <c r="AQ87" i="17"/>
  <c r="AO87" i="17"/>
  <c r="AM87" i="17"/>
  <c r="AK87" i="17"/>
  <c r="AI87" i="17"/>
  <c r="AG87" i="17"/>
  <c r="AE87" i="17"/>
  <c r="AC87" i="17"/>
  <c r="AA87" i="17"/>
  <c r="Y87" i="17"/>
  <c r="W87" i="17"/>
  <c r="AU75" i="17"/>
  <c r="AS75" i="17"/>
  <c r="BK62" i="28" s="1"/>
  <c r="AQ75" i="17"/>
  <c r="AO75" i="17"/>
  <c r="AM75" i="17"/>
  <c r="AK75" i="17"/>
  <c r="AI75" i="17"/>
  <c r="AG75" i="17"/>
  <c r="AE75" i="17"/>
  <c r="AC75" i="17"/>
  <c r="AA75" i="17"/>
  <c r="Y75" i="17"/>
  <c r="W75" i="17"/>
  <c r="U75" i="17"/>
  <c r="S75" i="17"/>
  <c r="Q75" i="17"/>
  <c r="O75" i="17"/>
  <c r="M75" i="17"/>
  <c r="K75" i="17"/>
  <c r="I75" i="17"/>
  <c r="G75" i="17"/>
  <c r="AY75" i="17"/>
  <c r="AW75" i="17"/>
  <c r="BE49" i="17"/>
  <c r="BC48" i="17"/>
  <c r="BK45" i="17"/>
  <c r="BM45" i="17" s="1"/>
  <c r="BO45" i="17" s="1"/>
  <c r="BQ45" i="17" s="1"/>
  <c r="BE44" i="17"/>
  <c r="BD49" i="22" s="1"/>
  <c r="BE94" i="17" s="1"/>
  <c r="BA50" i="17"/>
  <c r="AW50" i="17"/>
  <c r="AU50" i="17"/>
  <c r="AS50" i="17"/>
  <c r="AQ50" i="17"/>
  <c r="AK50" i="17"/>
  <c r="AI50" i="17"/>
  <c r="AG50" i="17"/>
  <c r="AE50" i="17"/>
  <c r="AC50" i="17"/>
  <c r="AA50" i="17"/>
  <c r="Y50" i="17"/>
  <c r="W50" i="17"/>
  <c r="U50" i="17"/>
  <c r="S50" i="17"/>
  <c r="Q50" i="17"/>
  <c r="O50" i="17"/>
  <c r="M50" i="17"/>
  <c r="K50" i="17"/>
  <c r="I50" i="17"/>
  <c r="G50" i="17"/>
  <c r="E50" i="17"/>
  <c r="AM48" i="17"/>
  <c r="AM50" i="17" s="1"/>
  <c r="AY44" i="17"/>
  <c r="AY50" i="17"/>
  <c r="BA39" i="17"/>
  <c r="AY39" i="17"/>
  <c r="AW39" i="17"/>
  <c r="AU39" i="17"/>
  <c r="AS39" i="17"/>
  <c r="AQ39" i="17"/>
  <c r="AA39" i="17"/>
  <c r="Y39" i="17"/>
  <c r="W39" i="17"/>
  <c r="U39" i="17"/>
  <c r="S39" i="17"/>
  <c r="Q39" i="17"/>
  <c r="O39" i="17"/>
  <c r="M39" i="17"/>
  <c r="G39" i="17"/>
  <c r="E39" i="17"/>
  <c r="K36" i="17"/>
  <c r="I36" i="17"/>
  <c r="AG35" i="17"/>
  <c r="AE35" i="17"/>
  <c r="AE39" i="17"/>
  <c r="AC35" i="17"/>
  <c r="BA33" i="17"/>
  <c r="AY33" i="17"/>
  <c r="AW33" i="17"/>
  <c r="AW41" i="17" s="1"/>
  <c r="AS33" i="17"/>
  <c r="AQ33" i="17"/>
  <c r="AO33" i="17"/>
  <c r="AM33" i="17"/>
  <c r="AK33" i="17"/>
  <c r="AI33" i="17"/>
  <c r="AG33" i="17"/>
  <c r="AE33" i="17"/>
  <c r="AE41" i="17" s="1"/>
  <c r="AE52" i="17" s="1"/>
  <c r="AC33" i="17"/>
  <c r="AA33" i="17"/>
  <c r="AA41" i="17" s="1"/>
  <c r="AA52" i="17" s="1"/>
  <c r="Y33" i="17"/>
  <c r="W33" i="17"/>
  <c r="U33" i="17"/>
  <c r="S33" i="17"/>
  <c r="S41" i="17" s="1"/>
  <c r="Q33" i="17"/>
  <c r="Q41" i="17"/>
  <c r="Q52" i="17" s="1"/>
  <c r="O33" i="17"/>
  <c r="M33" i="17"/>
  <c r="K33" i="17"/>
  <c r="I33" i="17"/>
  <c r="G33" i="17"/>
  <c r="E33" i="17"/>
  <c r="E41" i="17" s="1"/>
  <c r="AU28" i="17"/>
  <c r="AU18" i="17"/>
  <c r="AS18" i="17"/>
  <c r="AQ18" i="17"/>
  <c r="AC18" i="17"/>
  <c r="AA18" i="17"/>
  <c r="Y18" i="17"/>
  <c r="W18" i="17"/>
  <c r="U18" i="17"/>
  <c r="S18" i="17"/>
  <c r="Q18" i="17"/>
  <c r="O18" i="17"/>
  <c r="AG16" i="17"/>
  <c r="AG18" i="17" s="1"/>
  <c r="AE16" i="17"/>
  <c r="AE18" i="17" s="1"/>
  <c r="W14" i="17"/>
  <c r="U14" i="17"/>
  <c r="S14" i="17"/>
  <c r="Q14" i="17"/>
  <c r="O14" i="17"/>
  <c r="M14" i="17"/>
  <c r="M22" i="17" s="1"/>
  <c r="K14" i="17"/>
  <c r="K22" i="17"/>
  <c r="I14" i="17"/>
  <c r="I22" i="17" s="1"/>
  <c r="G14" i="17"/>
  <c r="G22" i="17"/>
  <c r="E14" i="17"/>
  <c r="E22" i="17"/>
  <c r="BC10" i="17"/>
  <c r="G6" i="17"/>
  <c r="I6" i="17"/>
  <c r="K6" i="17"/>
  <c r="M6" i="17" s="1"/>
  <c r="O6" i="17" s="1"/>
  <c r="Q6" i="17" s="1"/>
  <c r="S6" i="17" s="1"/>
  <c r="U6" i="17" s="1"/>
  <c r="W6" i="17" s="1"/>
  <c r="Y6" i="17" s="1"/>
  <c r="AA6" i="17" s="1"/>
  <c r="AC6" i="17" s="1"/>
  <c r="AE6" i="17" s="1"/>
  <c r="AG6" i="17" s="1"/>
  <c r="AI6" i="17" s="1"/>
  <c r="AK6" i="17" s="1"/>
  <c r="AM6" i="17" s="1"/>
  <c r="AO6" i="17" s="1"/>
  <c r="AQ6" i="17" s="1"/>
  <c r="AS6" i="17" s="1"/>
  <c r="AU6" i="17" s="1"/>
  <c r="AW6" i="17" s="1"/>
  <c r="AY6" i="17" s="1"/>
  <c r="BA6" i="17" s="1"/>
  <c r="BC6" i="17" s="1"/>
  <c r="BE6" i="17" s="1"/>
  <c r="BI6" i="17" s="1"/>
  <c r="BK6" i="17" s="1"/>
  <c r="BM6" i="17" s="1"/>
  <c r="BO6" i="17" s="1"/>
  <c r="BQ6" i="17" s="1"/>
  <c r="X88" i="20"/>
  <c r="DL31" i="28" s="1"/>
  <c r="W88" i="20"/>
  <c r="DK31" i="28" s="1"/>
  <c r="V88" i="20"/>
  <c r="U88" i="20"/>
  <c r="T88" i="20"/>
  <c r="S88" i="20"/>
  <c r="R88" i="20"/>
  <c r="Q87" i="20"/>
  <c r="DE32" i="28" s="1"/>
  <c r="P87" i="20"/>
  <c r="DD32" i="28" s="1"/>
  <c r="O87" i="20"/>
  <c r="N87" i="20"/>
  <c r="DB32" i="28" s="1"/>
  <c r="M87" i="20"/>
  <c r="DA32" i="28" s="1"/>
  <c r="L87" i="20"/>
  <c r="CZ32" i="28" s="1"/>
  <c r="K87" i="20"/>
  <c r="CY32" i="28" s="1"/>
  <c r="AA85" i="20"/>
  <c r="Z85" i="20"/>
  <c r="X85" i="20"/>
  <c r="W85" i="20"/>
  <c r="V85" i="20"/>
  <c r="T85" i="20"/>
  <c r="R85" i="20"/>
  <c r="Q85" i="20"/>
  <c r="P85" i="20"/>
  <c r="O85" i="20"/>
  <c r="N85" i="20"/>
  <c r="M85" i="20"/>
  <c r="L85" i="20"/>
  <c r="K85" i="20"/>
  <c r="AA81" i="20"/>
  <c r="Z81" i="20"/>
  <c r="Y81" i="20"/>
  <c r="X81" i="20"/>
  <c r="W81" i="20"/>
  <c r="V81" i="20"/>
  <c r="U81" i="20"/>
  <c r="T81" i="20"/>
  <c r="S81" i="20"/>
  <c r="R81" i="20"/>
  <c r="Q81" i="20"/>
  <c r="P81" i="20"/>
  <c r="O81" i="20"/>
  <c r="Z54" i="20"/>
  <c r="Z55" i="20" s="1"/>
  <c r="W54" i="20"/>
  <c r="V54" i="20"/>
  <c r="U54" i="20"/>
  <c r="U55" i="20" s="1"/>
  <c r="DI30" i="28" s="1"/>
  <c r="Q55" i="20"/>
  <c r="DE30" i="28" s="1"/>
  <c r="P55" i="20"/>
  <c r="DD30" i="28" s="1"/>
  <c r="O55" i="20"/>
  <c r="DC30" i="28" s="1"/>
  <c r="T54" i="20"/>
  <c r="U56" i="20" s="1"/>
  <c r="S54" i="20"/>
  <c r="R54" i="20"/>
  <c r="DF30" i="28" s="1"/>
  <c r="Q54" i="20"/>
  <c r="D24" i="97" s="1"/>
  <c r="P54" i="20"/>
  <c r="C24" i="97" s="1"/>
  <c r="C63" i="97" s="1"/>
  <c r="O54" i="20"/>
  <c r="N54" i="20"/>
  <c r="M54" i="20"/>
  <c r="DA30" i="28" s="1"/>
  <c r="L54" i="20"/>
  <c r="CZ30" i="28" s="1"/>
  <c r="F54" i="20"/>
  <c r="E54" i="20"/>
  <c r="D54" i="20"/>
  <c r="C54" i="20"/>
  <c r="B54" i="20"/>
  <c r="T30" i="20"/>
  <c r="R30" i="20"/>
  <c r="Q30" i="20"/>
  <c r="DE17" i="28" s="1"/>
  <c r="P30" i="20"/>
  <c r="O30" i="20"/>
  <c r="DC17" i="28" s="1"/>
  <c r="N30" i="20"/>
  <c r="M30" i="20"/>
  <c r="L30" i="20"/>
  <c r="K30" i="20"/>
  <c r="K12" i="20" s="1"/>
  <c r="K16" i="20" s="1"/>
  <c r="O22" i="20"/>
  <c r="N22" i="20"/>
  <c r="AJ22" i="20"/>
  <c r="P21" i="20"/>
  <c r="O21" i="20"/>
  <c r="Q18" i="20"/>
  <c r="P18" i="20"/>
  <c r="O18" i="20"/>
  <c r="N18" i="20"/>
  <c r="M18" i="20"/>
  <c r="L18" i="20"/>
  <c r="K14" i="20"/>
  <c r="J14" i="20"/>
  <c r="H14" i="20"/>
  <c r="G14" i="20"/>
  <c r="F14" i="20"/>
  <c r="E14" i="20"/>
  <c r="D14" i="20"/>
  <c r="C14" i="20"/>
  <c r="Z14" i="20"/>
  <c r="Z18" i="20"/>
  <c r="Y14" i="20"/>
  <c r="Y18" i="20" s="1"/>
  <c r="X14" i="20"/>
  <c r="X18" i="20" s="1"/>
  <c r="W14" i="20"/>
  <c r="W18" i="20" s="1"/>
  <c r="W19" i="20" s="1"/>
  <c r="V14" i="20"/>
  <c r="V18" i="20" s="1"/>
  <c r="U14" i="20"/>
  <c r="U18" i="20"/>
  <c r="T14" i="20"/>
  <c r="T18" i="20" s="1"/>
  <c r="S14" i="20"/>
  <c r="S18" i="20" s="1"/>
  <c r="R14" i="20"/>
  <c r="R18" i="20" s="1"/>
  <c r="C5" i="20"/>
  <c r="D5" i="20" s="1"/>
  <c r="E5" i="20" s="1"/>
  <c r="F5" i="20" s="1"/>
  <c r="G5" i="20" s="1"/>
  <c r="H5" i="20" s="1"/>
  <c r="I5" i="20" s="1"/>
  <c r="J5" i="20" s="1"/>
  <c r="K5" i="20" s="1"/>
  <c r="L5" i="20" s="1"/>
  <c r="M5" i="20" s="1"/>
  <c r="N5" i="20" s="1"/>
  <c r="O5" i="20" s="1"/>
  <c r="P5" i="20" s="1"/>
  <c r="Q5" i="20" s="1"/>
  <c r="R5" i="20" s="1"/>
  <c r="S5" i="20" s="1"/>
  <c r="T5" i="20" s="1"/>
  <c r="U5" i="20" s="1"/>
  <c r="V5" i="20" s="1"/>
  <c r="W5" i="20" s="1"/>
  <c r="X5" i="20" s="1"/>
  <c r="Y5" i="20" s="1"/>
  <c r="Z5" i="20" s="1"/>
  <c r="AA5" i="20" s="1"/>
  <c r="AB5" i="20" s="1"/>
  <c r="AD5" i="20" s="1"/>
  <c r="AE5" i="20" s="1"/>
  <c r="AF5" i="20" s="1"/>
  <c r="AG5" i="20" s="1"/>
  <c r="AH5" i="20" s="1"/>
  <c r="A1" i="20"/>
  <c r="DJ74" i="28"/>
  <c r="A215" i="29"/>
  <c r="A214" i="29"/>
  <c r="DB210" i="29"/>
  <c r="CF31" i="28" s="1"/>
  <c r="CX213" i="29"/>
  <c r="CT213" i="29"/>
  <c r="Y88" i="20" s="1"/>
  <c r="DM31" i="28" s="1"/>
  <c r="BN212" i="29"/>
  <c r="AJ31" i="28" s="1"/>
  <c r="BN211" i="29"/>
  <c r="BN210" i="29"/>
  <c r="BN209" i="29"/>
  <c r="AG31" i="28" s="1"/>
  <c r="BJ212" i="29"/>
  <c r="BJ211" i="29"/>
  <c r="BJ210" i="29"/>
  <c r="AC31" i="28" s="1"/>
  <c r="BF213" i="29"/>
  <c r="O88" i="20" s="1"/>
  <c r="BB213" i="29"/>
  <c r="N88" i="20" s="1"/>
  <c r="AX213" i="29"/>
  <c r="AT213" i="29"/>
  <c r="CZ31" i="28" s="1"/>
  <c r="B213" i="29"/>
  <c r="B212" i="29"/>
  <c r="B211" i="29"/>
  <c r="B210" i="29"/>
  <c r="B209" i="29"/>
  <c r="DC209" i="29"/>
  <c r="CY212" i="29"/>
  <c r="CY211" i="29"/>
  <c r="CY210" i="29"/>
  <c r="CY209" i="29"/>
  <c r="CU212" i="29"/>
  <c r="CU211" i="29"/>
  <c r="CU210" i="29"/>
  <c r="CU209" i="29"/>
  <c r="CQ212" i="29"/>
  <c r="CQ211" i="29"/>
  <c r="CQ210" i="29"/>
  <c r="CQ209" i="29"/>
  <c r="CM212" i="29"/>
  <c r="CM211" i="29"/>
  <c r="CM210" i="29"/>
  <c r="CM209" i="29"/>
  <c r="CI212" i="29"/>
  <c r="CI211" i="29"/>
  <c r="CI210" i="29"/>
  <c r="CI209" i="29"/>
  <c r="BZ212" i="29"/>
  <c r="A212" i="29"/>
  <c r="A211" i="29"/>
  <c r="A210" i="29"/>
  <c r="A209" i="29"/>
  <c r="AP211" i="29"/>
  <c r="AP210" i="29" s="1"/>
  <c r="CH208" i="29"/>
  <c r="A203" i="29"/>
  <c r="CX202" i="29"/>
  <c r="CT202" i="29"/>
  <c r="CL202" i="29"/>
  <c r="CH202" i="29"/>
  <c r="V87" i="20" s="1"/>
  <c r="DJ32" i="28" s="1"/>
  <c r="CD202" i="29"/>
  <c r="U87" i="20" s="1"/>
  <c r="DI32" i="28" s="1"/>
  <c r="BZ202" i="29"/>
  <c r="T87" i="20" s="1"/>
  <c r="DH32" i="28" s="1"/>
  <c r="BV202" i="29"/>
  <c r="S87" i="20" s="1"/>
  <c r="DG32" i="28" s="1"/>
  <c r="BR202" i="29"/>
  <c r="R87" i="20" s="1"/>
  <c r="DF32" i="28" s="1"/>
  <c r="BN202" i="29"/>
  <c r="BJ202" i="29"/>
  <c r="BF202" i="29"/>
  <c r="BB202" i="29"/>
  <c r="AX202" i="29"/>
  <c r="AT202" i="29"/>
  <c r="AP202" i="29"/>
  <c r="B202" i="29"/>
  <c r="B201" i="29"/>
  <c r="B200" i="29"/>
  <c r="B199" i="29"/>
  <c r="B198" i="29"/>
  <c r="DC202" i="29"/>
  <c r="CY201" i="29"/>
  <c r="CY200" i="29"/>
  <c r="CY199" i="29"/>
  <c r="CY198" i="29"/>
  <c r="CU201" i="29"/>
  <c r="CU200" i="29"/>
  <c r="CU199" i="29"/>
  <c r="CP201" i="29"/>
  <c r="CQ201" i="29"/>
  <c r="CM201" i="29"/>
  <c r="CM200" i="29"/>
  <c r="CM199" i="29"/>
  <c r="CM198" i="29"/>
  <c r="CI201" i="29"/>
  <c r="CI200" i="29"/>
  <c r="CI199" i="29"/>
  <c r="CI198" i="29"/>
  <c r="A201" i="29"/>
  <c r="A200" i="29"/>
  <c r="A199" i="29"/>
  <c r="A198" i="29"/>
  <c r="CQ200" i="29"/>
  <c r="CQ199" i="29"/>
  <c r="CQ198" i="29"/>
  <c r="BZ196" i="29"/>
  <c r="CH196" i="29" s="1"/>
  <c r="DB194" i="29"/>
  <c r="BF192" i="29"/>
  <c r="BB193" i="29"/>
  <c r="BN181" i="29"/>
  <c r="BJ189" i="29"/>
  <c r="BF189" i="29"/>
  <c r="BF188" i="29" s="1"/>
  <c r="BB189" i="29"/>
  <c r="BB188" i="29"/>
  <c r="N55" i="20" s="1"/>
  <c r="B188" i="29"/>
  <c r="BK187" i="29"/>
  <c r="BG187" i="29"/>
  <c r="A186" i="29"/>
  <c r="BK185" i="29"/>
  <c r="BG185" i="29"/>
  <c r="BB185" i="29"/>
  <c r="A184" i="29"/>
  <c r="BK183" i="29"/>
  <c r="BG183" i="29"/>
  <c r="BB183" i="29"/>
  <c r="BB182" i="29" s="1"/>
  <c r="BB181" i="29"/>
  <c r="BB180" i="29" s="1"/>
  <c r="A182" i="29"/>
  <c r="BK181" i="29"/>
  <c r="BG181" i="29"/>
  <c r="A180" i="29"/>
  <c r="B176" i="29"/>
  <c r="A174" i="29"/>
  <c r="BV172" i="29"/>
  <c r="BR172" i="29"/>
  <c r="A172" i="29"/>
  <c r="BW171" i="29"/>
  <c r="BS171" i="29"/>
  <c r="BS170" i="29"/>
  <c r="BS169" i="29"/>
  <c r="BS168" i="29"/>
  <c r="A170" i="29"/>
  <c r="BW169" i="29"/>
  <c r="BW168" i="29"/>
  <c r="A168" i="29"/>
  <c r="CH166" i="29"/>
  <c r="BV165" i="29"/>
  <c r="BJ163" i="29"/>
  <c r="BJ162" i="29"/>
  <c r="BF163" i="29"/>
  <c r="BF162" i="29"/>
  <c r="BB163" i="29"/>
  <c r="BB162" i="29"/>
  <c r="AX163" i="29"/>
  <c r="AX162" i="29"/>
  <c r="AT163" i="29"/>
  <c r="AT162" i="29"/>
  <c r="AP163" i="29"/>
  <c r="AP162" i="29"/>
  <c r="A163" i="29"/>
  <c r="A162" i="29"/>
  <c r="DB161" i="29"/>
  <c r="CX161" i="29"/>
  <c r="CT161" i="29"/>
  <c r="CP160" i="29"/>
  <c r="CP159" i="29"/>
  <c r="CP158" i="29"/>
  <c r="CP157" i="29"/>
  <c r="CL161" i="29"/>
  <c r="CH160" i="29"/>
  <c r="CH161" i="29" s="1"/>
  <c r="CD159" i="29"/>
  <c r="CD160" i="29" s="1"/>
  <c r="BV158" i="29"/>
  <c r="BV159" i="29" s="1"/>
  <c r="B161" i="29"/>
  <c r="B160" i="29"/>
  <c r="B159" i="29"/>
  <c r="B158" i="29"/>
  <c r="B157" i="29"/>
  <c r="BZ159" i="29"/>
  <c r="BZ160" i="29" s="1"/>
  <c r="BR158" i="29"/>
  <c r="BR159" i="29" s="1"/>
  <c r="BR160" i="29" s="1"/>
  <c r="BN160" i="29"/>
  <c r="BN159" i="29"/>
  <c r="BN158" i="29"/>
  <c r="BN157" i="29"/>
  <c r="A160" i="29"/>
  <c r="A159" i="29"/>
  <c r="A158" i="29"/>
  <c r="A157" i="29"/>
  <c r="CH155" i="29"/>
  <c r="DB150" i="29"/>
  <c r="CX151" i="29"/>
  <c r="CX150" i="29"/>
  <c r="CT151" i="29"/>
  <c r="CT150" i="29"/>
  <c r="CT149" i="29"/>
  <c r="Y54" i="20" s="1"/>
  <c r="CP151" i="29"/>
  <c r="CP150" i="29"/>
  <c r="CP149" i="29"/>
  <c r="X54" i="20"/>
  <c r="X55" i="20" s="1"/>
  <c r="CL151" i="29"/>
  <c r="CL150" i="29"/>
  <c r="CH151" i="29"/>
  <c r="CH150" i="29"/>
  <c r="CD151" i="29"/>
  <c r="CD150" i="29"/>
  <c r="BZ151" i="29"/>
  <c r="BZ150" i="29"/>
  <c r="BV151" i="29"/>
  <c r="BV150" i="29"/>
  <c r="BR151" i="29"/>
  <c r="BR150" i="29"/>
  <c r="BN151" i="29"/>
  <c r="BN150" i="29"/>
  <c r="BB151" i="29"/>
  <c r="BB150" i="29"/>
  <c r="AX151" i="29"/>
  <c r="AX150" i="29"/>
  <c r="AT151" i="29"/>
  <c r="AT150" i="29"/>
  <c r="AL148" i="29"/>
  <c r="AL147" i="29"/>
  <c r="AL146" i="29"/>
  <c r="AL145" i="29"/>
  <c r="AH149" i="29"/>
  <c r="I54" i="20"/>
  <c r="AH148" i="29"/>
  <c r="AH147" i="29"/>
  <c r="AH146" i="29"/>
  <c r="AH145" i="29"/>
  <c r="AD149" i="29"/>
  <c r="H54" i="20"/>
  <c r="AD148" i="29"/>
  <c r="AD147" i="29"/>
  <c r="AD146" i="29"/>
  <c r="AD145" i="29"/>
  <c r="AD150" i="29" s="1"/>
  <c r="Z149" i="29"/>
  <c r="G54" i="20" s="1"/>
  <c r="Z148" i="29"/>
  <c r="Z147" i="29"/>
  <c r="Z146" i="29"/>
  <c r="Z145" i="29"/>
  <c r="A151" i="29"/>
  <c r="A150" i="29"/>
  <c r="CQ150" i="29"/>
  <c r="CM150" i="29"/>
  <c r="CI150" i="29"/>
  <c r="CE149" i="29"/>
  <c r="CE150" i="29" s="1"/>
  <c r="B149" i="29"/>
  <c r="B148" i="29"/>
  <c r="B147" i="29"/>
  <c r="B146" i="29"/>
  <c r="B145" i="29"/>
  <c r="CY148" i="29"/>
  <c r="CY147" i="29"/>
  <c r="CY146" i="29"/>
  <c r="CY145" i="29"/>
  <c r="CU148" i="29"/>
  <c r="CU147" i="29"/>
  <c r="CU146" i="29"/>
  <c r="CU145" i="29"/>
  <c r="CQ148" i="29"/>
  <c r="CQ147" i="29"/>
  <c r="CQ146" i="29"/>
  <c r="CQ145" i="29"/>
  <c r="CN148" i="29"/>
  <c r="CN147" i="29"/>
  <c r="CN146" i="29"/>
  <c r="CN145" i="29"/>
  <c r="CC148" i="29"/>
  <c r="CA148" i="29"/>
  <c r="CA147" i="29"/>
  <c r="CA146" i="29"/>
  <c r="CA145" i="29"/>
  <c r="BX148" i="29"/>
  <c r="BW148" i="29"/>
  <c r="BS148" i="29"/>
  <c r="BS147" i="29"/>
  <c r="BS146" i="29"/>
  <c r="BS145" i="29"/>
  <c r="BC148" i="29"/>
  <c r="BC147" i="29"/>
  <c r="BC146" i="29"/>
  <c r="BC145" i="29"/>
  <c r="AY148" i="29"/>
  <c r="AY147" i="29"/>
  <c r="AY146" i="29"/>
  <c r="AY145" i="29"/>
  <c r="AU148" i="29"/>
  <c r="AU147" i="29"/>
  <c r="AU146" i="29"/>
  <c r="V148" i="29"/>
  <c r="V147" i="29"/>
  <c r="V146" i="29"/>
  <c r="V145" i="29"/>
  <c r="R148" i="29"/>
  <c r="R147" i="29"/>
  <c r="R146" i="29"/>
  <c r="R145" i="29"/>
  <c r="N148" i="29"/>
  <c r="N147" i="29"/>
  <c r="N146" i="29"/>
  <c r="N145" i="29"/>
  <c r="J148" i="29"/>
  <c r="J147" i="29"/>
  <c r="J146" i="29"/>
  <c r="J145" i="29"/>
  <c r="F148" i="29"/>
  <c r="F147" i="29"/>
  <c r="F146" i="29"/>
  <c r="F145" i="29"/>
  <c r="A148" i="29"/>
  <c r="A147" i="29"/>
  <c r="A146" i="29"/>
  <c r="A145" i="29"/>
  <c r="BY147" i="29"/>
  <c r="BX147" i="29"/>
  <c r="BW147" i="29"/>
  <c r="BW146" i="29"/>
  <c r="BW145" i="29"/>
  <c r="BF148" i="29"/>
  <c r="BF147" i="29"/>
  <c r="BG147" i="29" s="1"/>
  <c r="BF146" i="29"/>
  <c r="X30" i="28" s="1"/>
  <c r="BJ148" i="29"/>
  <c r="BJ147" i="29"/>
  <c r="BJ146" i="29"/>
  <c r="BJ145" i="29"/>
  <c r="BO145" i="29" s="1"/>
  <c r="BG145" i="29"/>
  <c r="AP145" i="29"/>
  <c r="AU145" i="29"/>
  <c r="CH143" i="29"/>
  <c r="E143" i="29"/>
  <c r="BZ141" i="29"/>
  <c r="BZ140" i="29"/>
  <c r="BZ139" i="29"/>
  <c r="BZ138" i="29"/>
  <c r="BV139" i="29"/>
  <c r="A132" i="29"/>
  <c r="A131" i="29"/>
  <c r="DD130" i="29"/>
  <c r="CZ130" i="29"/>
  <c r="CV130" i="29"/>
  <c r="CR130" i="29"/>
  <c r="CN130" i="29"/>
  <c r="B130" i="29"/>
  <c r="B129" i="29"/>
  <c r="B128" i="29"/>
  <c r="B127" i="29"/>
  <c r="B126" i="29"/>
  <c r="A129" i="29"/>
  <c r="A128" i="29"/>
  <c r="A127" i="29"/>
  <c r="A126" i="29"/>
  <c r="CH124" i="29"/>
  <c r="E124" i="29"/>
  <c r="CH115" i="29"/>
  <c r="E115" i="29"/>
  <c r="A113" i="29"/>
  <c r="A112" i="29"/>
  <c r="B111" i="29"/>
  <c r="B110" i="29"/>
  <c r="B109" i="29"/>
  <c r="B108" i="29"/>
  <c r="B107" i="29"/>
  <c r="A110" i="29"/>
  <c r="A109" i="29"/>
  <c r="A108" i="29"/>
  <c r="A107" i="29"/>
  <c r="BX108" i="29"/>
  <c r="BX107" i="29"/>
  <c r="BX109" i="29" s="1"/>
  <c r="CH105" i="29"/>
  <c r="E105" i="29"/>
  <c r="BZ103" i="29"/>
  <c r="BZ102" i="29"/>
  <c r="BZ101" i="29"/>
  <c r="T42" i="20" s="1"/>
  <c r="A103" i="29"/>
  <c r="A102" i="29"/>
  <c r="CT103" i="29"/>
  <c r="CT102" i="29"/>
  <c r="CT101" i="29"/>
  <c r="Y42" i="20" s="1"/>
  <c r="DM24" i="28" s="1"/>
  <c r="CP103" i="29"/>
  <c r="CP102" i="29"/>
  <c r="CP101" i="29"/>
  <c r="X42" i="20" s="1"/>
  <c r="CL103" i="29"/>
  <c r="CL102" i="29"/>
  <c r="CL101" i="29"/>
  <c r="CH103" i="29"/>
  <c r="CH102" i="29"/>
  <c r="CH101" i="29"/>
  <c r="V42" i="20"/>
  <c r="CD103" i="29"/>
  <c r="CD102" i="29"/>
  <c r="CD101" i="29"/>
  <c r="U42" i="20"/>
  <c r="DI24" i="28" s="1"/>
  <c r="BR103" i="29"/>
  <c r="BR102" i="29"/>
  <c r="BR101" i="29"/>
  <c r="R42" i="20" s="1"/>
  <c r="DF24" i="28" s="1"/>
  <c r="BN103" i="29"/>
  <c r="BN102" i="29"/>
  <c r="BN101" i="29"/>
  <c r="Q42" i="20" s="1"/>
  <c r="BJ103" i="29"/>
  <c r="BJ102" i="29"/>
  <c r="BJ101" i="29"/>
  <c r="BF103" i="29"/>
  <c r="BF102" i="29"/>
  <c r="BF101" i="29"/>
  <c r="O42" i="20"/>
  <c r="BB103" i="29"/>
  <c r="BB102" i="29"/>
  <c r="BB101" i="29"/>
  <c r="N42" i="20"/>
  <c r="AX102" i="29"/>
  <c r="AT103" i="29"/>
  <c r="AT102" i="29"/>
  <c r="AT101" i="29"/>
  <c r="L42" i="20" s="1"/>
  <c r="CZ24" i="28" s="1"/>
  <c r="AP103" i="29"/>
  <c r="AP102" i="29"/>
  <c r="AP101" i="29"/>
  <c r="K42" i="20" s="1"/>
  <c r="CY24" i="28" s="1"/>
  <c r="AL103" i="29"/>
  <c r="AL102" i="29"/>
  <c r="AL101" i="29"/>
  <c r="J42" i="20"/>
  <c r="AH103" i="29"/>
  <c r="AH102" i="29"/>
  <c r="AH101" i="29"/>
  <c r="I42" i="20"/>
  <c r="AD103" i="29"/>
  <c r="AD102" i="29"/>
  <c r="AD101" i="29"/>
  <c r="Z103" i="29"/>
  <c r="Z102" i="29"/>
  <c r="Z101" i="29"/>
  <c r="G42" i="20" s="1"/>
  <c r="V103" i="29"/>
  <c r="W103" i="29" s="1"/>
  <c r="V102" i="29"/>
  <c r="W102" i="29"/>
  <c r="V101" i="29"/>
  <c r="R103" i="29"/>
  <c r="S103" i="29" s="1"/>
  <c r="R102" i="29"/>
  <c r="S102" i="29"/>
  <c r="R101" i="29"/>
  <c r="S101" i="29" s="1"/>
  <c r="N103" i="29"/>
  <c r="O103" i="29" s="1"/>
  <c r="N102" i="29"/>
  <c r="O102" i="29" s="1"/>
  <c r="N101" i="29"/>
  <c r="O101" i="29" s="1"/>
  <c r="J103" i="29"/>
  <c r="K103" i="29" s="1"/>
  <c r="J102" i="29"/>
  <c r="K102" i="29" s="1"/>
  <c r="J101" i="29"/>
  <c r="F103" i="29"/>
  <c r="G103" i="29"/>
  <c r="F102" i="29"/>
  <c r="G102" i="29" s="1"/>
  <c r="F101" i="29"/>
  <c r="B42" i="20" s="1"/>
  <c r="B101" i="29"/>
  <c r="B100" i="29"/>
  <c r="B99" i="29"/>
  <c r="B98" i="29"/>
  <c r="B97" i="29"/>
  <c r="CF24" i="28"/>
  <c r="A100" i="29"/>
  <c r="A99" i="29"/>
  <c r="A98" i="29"/>
  <c r="A97" i="29"/>
  <c r="BV99" i="29"/>
  <c r="BV98" i="29"/>
  <c r="BV102" i="29" s="1"/>
  <c r="AX99" i="29"/>
  <c r="CA24" i="28"/>
  <c r="CH95" i="29"/>
  <c r="E95" i="29"/>
  <c r="A93" i="29"/>
  <c r="A92" i="29"/>
  <c r="B91" i="29"/>
  <c r="B90" i="29"/>
  <c r="B89" i="29"/>
  <c r="B88" i="29"/>
  <c r="B87" i="29"/>
  <c r="A90" i="29"/>
  <c r="A89" i="29"/>
  <c r="A88" i="29"/>
  <c r="A87" i="29"/>
  <c r="CH85" i="29"/>
  <c r="E85" i="29"/>
  <c r="A83" i="29"/>
  <c r="A82" i="29"/>
  <c r="DB83" i="29"/>
  <c r="DB82" i="29"/>
  <c r="DB81" i="29"/>
  <c r="AA36" i="20"/>
  <c r="CX83" i="29"/>
  <c r="CX82" i="29"/>
  <c r="CX81" i="29"/>
  <c r="CY81" i="29" s="1"/>
  <c r="CT83" i="29"/>
  <c r="CT82" i="29"/>
  <c r="CT81" i="29"/>
  <c r="CP83" i="29"/>
  <c r="CP82" i="29"/>
  <c r="CP81" i="29"/>
  <c r="X36" i="20" s="1"/>
  <c r="CL83" i="29"/>
  <c r="CL82" i="29"/>
  <c r="CL81" i="29"/>
  <c r="W36" i="20"/>
  <c r="CH83" i="29"/>
  <c r="CH82" i="29"/>
  <c r="CH81" i="29"/>
  <c r="V36" i="20" s="1"/>
  <c r="CD83" i="29"/>
  <c r="CD82" i="29"/>
  <c r="CD81" i="29"/>
  <c r="U36" i="20" s="1"/>
  <c r="BN83" i="29"/>
  <c r="BN82" i="29"/>
  <c r="BN81" i="29"/>
  <c r="Q36" i="20" s="1"/>
  <c r="Q66" i="20" s="1"/>
  <c r="AP83" i="29"/>
  <c r="AP82" i="29"/>
  <c r="AP81" i="29"/>
  <c r="AL83" i="29"/>
  <c r="AL82" i="29"/>
  <c r="AL81" i="29"/>
  <c r="AH83" i="29"/>
  <c r="AH82" i="29"/>
  <c r="AH81" i="29"/>
  <c r="I36" i="20"/>
  <c r="AD83" i="29"/>
  <c r="AD82" i="29"/>
  <c r="AD81" i="29"/>
  <c r="H36" i="20" s="1"/>
  <c r="Z83" i="29"/>
  <c r="Z82" i="29"/>
  <c r="Z81" i="29"/>
  <c r="G36" i="20" s="1"/>
  <c r="V83" i="29"/>
  <c r="V82" i="29"/>
  <c r="V81" i="29"/>
  <c r="R83" i="29"/>
  <c r="R82" i="29"/>
  <c r="R81" i="29"/>
  <c r="E36" i="20" s="1"/>
  <c r="N83" i="29"/>
  <c r="N82" i="29"/>
  <c r="N81" i="29"/>
  <c r="D36" i="20" s="1"/>
  <c r="J83" i="29"/>
  <c r="J82" i="29"/>
  <c r="J81" i="29"/>
  <c r="F83" i="29"/>
  <c r="F82" i="29"/>
  <c r="F81" i="29"/>
  <c r="B81" i="29"/>
  <c r="B80" i="29"/>
  <c r="B79" i="29"/>
  <c r="B78" i="29"/>
  <c r="B77" i="29"/>
  <c r="DC78" i="29"/>
  <c r="DC77" i="29"/>
  <c r="CY80" i="29"/>
  <c r="CY79" i="29"/>
  <c r="CY78" i="29"/>
  <c r="CY77" i="29"/>
  <c r="CU80" i="29"/>
  <c r="CU79" i="29"/>
  <c r="CU78" i="29"/>
  <c r="CU77" i="29"/>
  <c r="CQ80" i="29"/>
  <c r="CQ79" i="29"/>
  <c r="CQ78" i="29"/>
  <c r="CQ77" i="29"/>
  <c r="CM80" i="29"/>
  <c r="CM79" i="29"/>
  <c r="CM78" i="29"/>
  <c r="CM77" i="29"/>
  <c r="CI80" i="29"/>
  <c r="CI79" i="29"/>
  <c r="CI78" i="29"/>
  <c r="CI77" i="29"/>
  <c r="CE80" i="29"/>
  <c r="CE79" i="29"/>
  <c r="CA80" i="29"/>
  <c r="BR80" i="29"/>
  <c r="BO80" i="29"/>
  <c r="BO79" i="29"/>
  <c r="BO78" i="29"/>
  <c r="BO77" i="29"/>
  <c r="AT80" i="29"/>
  <c r="AQ80" i="29"/>
  <c r="AQ79" i="29"/>
  <c r="AQ78" i="29"/>
  <c r="AQ77" i="29"/>
  <c r="AM80" i="29"/>
  <c r="AM79" i="29"/>
  <c r="AM78" i="29"/>
  <c r="AM77" i="29"/>
  <c r="AI80" i="29"/>
  <c r="AI79" i="29"/>
  <c r="AI78" i="29"/>
  <c r="AI77" i="29"/>
  <c r="AE80" i="29"/>
  <c r="AE79" i="29"/>
  <c r="AE78" i="29"/>
  <c r="AE77" i="29"/>
  <c r="AA80" i="29"/>
  <c r="AA79" i="29"/>
  <c r="AA78" i="29"/>
  <c r="AA77" i="29"/>
  <c r="W80" i="29"/>
  <c r="W79" i="29"/>
  <c r="W78" i="29"/>
  <c r="W77" i="29"/>
  <c r="S80" i="29"/>
  <c r="S79" i="29"/>
  <c r="S78" i="29"/>
  <c r="S77" i="29"/>
  <c r="O80" i="29"/>
  <c r="O79" i="29"/>
  <c r="O78" i="29"/>
  <c r="O77" i="29"/>
  <c r="K80" i="29"/>
  <c r="K79" i="29"/>
  <c r="K78" i="29"/>
  <c r="K77" i="29"/>
  <c r="G80" i="29"/>
  <c r="G79" i="29"/>
  <c r="G78" i="29"/>
  <c r="G77" i="29"/>
  <c r="A80" i="29"/>
  <c r="A79" i="29"/>
  <c r="A78" i="29"/>
  <c r="A77" i="29"/>
  <c r="CA79" i="29"/>
  <c r="CA78" i="29"/>
  <c r="BS79" i="29"/>
  <c r="BS77" i="29"/>
  <c r="BJ82" i="29"/>
  <c r="BJ80" i="29"/>
  <c r="BJ79" i="29"/>
  <c r="AU79" i="29"/>
  <c r="AU77" i="29"/>
  <c r="BR78" i="29"/>
  <c r="BK78" i="29"/>
  <c r="BK77" i="29"/>
  <c r="AT78" i="29"/>
  <c r="BZ77" i="29"/>
  <c r="CA77" i="29" s="1"/>
  <c r="BZ81" i="29"/>
  <c r="T36" i="20" s="1"/>
  <c r="BV80" i="29"/>
  <c r="CB80" i="29"/>
  <c r="BV79" i="29"/>
  <c r="BV78" i="29"/>
  <c r="BW78" i="29" s="1"/>
  <c r="BV77" i="29"/>
  <c r="BW77" i="29" s="1"/>
  <c r="BF80" i="29"/>
  <c r="BF79" i="29"/>
  <c r="BF78" i="29"/>
  <c r="BF77" i="29"/>
  <c r="W21" i="28" s="1"/>
  <c r="BB80" i="29"/>
  <c r="BC80" i="29" s="1"/>
  <c r="BB79" i="29"/>
  <c r="BC79" i="29" s="1"/>
  <c r="BB78" i="29"/>
  <c r="BC78" i="29" s="1"/>
  <c r="BB77" i="29"/>
  <c r="BC77" i="29" s="1"/>
  <c r="AX80" i="29"/>
  <c r="AX79" i="29"/>
  <c r="AY79" i="29" s="1"/>
  <c r="AX78" i="29"/>
  <c r="AY78" i="29" s="1"/>
  <c r="AX77" i="29"/>
  <c r="CH75" i="29"/>
  <c r="E75" i="29"/>
  <c r="BV70" i="29"/>
  <c r="BV69" i="29"/>
  <c r="BZ63" i="29"/>
  <c r="BZ62" i="29"/>
  <c r="BZ89" i="29" s="1"/>
  <c r="CA99" i="29" s="1"/>
  <c r="BZ61" i="29"/>
  <c r="BZ60" i="29"/>
  <c r="A66" i="29"/>
  <c r="A65" i="29"/>
  <c r="B64" i="29"/>
  <c r="B63" i="29"/>
  <c r="B62" i="29"/>
  <c r="B61" i="29"/>
  <c r="B60" i="29"/>
  <c r="A63" i="29"/>
  <c r="A62" i="29"/>
  <c r="A61" i="29"/>
  <c r="A60" i="29"/>
  <c r="CX63" i="29"/>
  <c r="CX62" i="29"/>
  <c r="CX89" i="29" s="1"/>
  <c r="CY89" i="29" s="1"/>
  <c r="CX60" i="29"/>
  <c r="CT63" i="29"/>
  <c r="CT90" i="29" s="1"/>
  <c r="CT62" i="29"/>
  <c r="CT89" i="29" s="1"/>
  <c r="CU89" i="29" s="1"/>
  <c r="CT61" i="29"/>
  <c r="CT60" i="29"/>
  <c r="CP63" i="29"/>
  <c r="CP62" i="29"/>
  <c r="CQ62" i="29"/>
  <c r="CP61" i="29"/>
  <c r="CP60" i="29"/>
  <c r="CQ60" i="29" s="1"/>
  <c r="CL63" i="29"/>
  <c r="CL62" i="29"/>
  <c r="CL61" i="29"/>
  <c r="CL60" i="29"/>
  <c r="CL64" i="29" s="1"/>
  <c r="CH63" i="29"/>
  <c r="CH62" i="29"/>
  <c r="CH61" i="29"/>
  <c r="CH60" i="29"/>
  <c r="CD63" i="29"/>
  <c r="CD62" i="29"/>
  <c r="BV63" i="29"/>
  <c r="BV90" i="29" s="1"/>
  <c r="BV60" i="29"/>
  <c r="BR63" i="29"/>
  <c r="BS63" i="29"/>
  <c r="BR62" i="29"/>
  <c r="BS62" i="29" s="1"/>
  <c r="BR61" i="29"/>
  <c r="BR60" i="29"/>
  <c r="BS60" i="29"/>
  <c r="BN63" i="29"/>
  <c r="BN60" i="29"/>
  <c r="BJ63" i="29"/>
  <c r="BF63" i="29"/>
  <c r="BF62" i="29"/>
  <c r="BF61" i="29"/>
  <c r="BF60" i="29"/>
  <c r="BB63" i="29"/>
  <c r="BB90" i="29" s="1"/>
  <c r="BB62" i="29"/>
  <c r="BB61" i="29"/>
  <c r="BB60" i="29"/>
  <c r="AX63" i="29"/>
  <c r="BD63" i="29" s="1"/>
  <c r="AX62" i="29"/>
  <c r="AX61" i="29"/>
  <c r="AX60" i="29"/>
  <c r="AT63" i="29"/>
  <c r="AT62" i="29"/>
  <c r="AT61" i="29"/>
  <c r="AT60" i="29"/>
  <c r="AP63" i="29"/>
  <c r="AP62" i="29"/>
  <c r="AV62" i="29" s="1"/>
  <c r="AP61" i="29"/>
  <c r="AP88" i="29" s="1"/>
  <c r="AP60" i="29"/>
  <c r="AV60" i="29" s="1"/>
  <c r="AL63" i="29"/>
  <c r="AR63" i="29" s="1"/>
  <c r="F52" i="28" s="1"/>
  <c r="AL62" i="29"/>
  <c r="AL61" i="29"/>
  <c r="AR61" i="29" s="1"/>
  <c r="D52" i="28" s="1"/>
  <c r="AM61" i="29"/>
  <c r="AL60" i="29"/>
  <c r="AM60" i="29" s="1"/>
  <c r="AH63" i="29"/>
  <c r="AH90" i="29"/>
  <c r="AH62" i="29"/>
  <c r="AH61" i="29"/>
  <c r="AH60" i="29"/>
  <c r="AD63" i="29"/>
  <c r="AD62" i="29"/>
  <c r="AE62" i="29" s="1"/>
  <c r="AD61" i="29"/>
  <c r="AD60" i="29"/>
  <c r="Z63" i="29"/>
  <c r="Z90" i="29" s="1"/>
  <c r="Z62" i="29"/>
  <c r="Z61" i="29"/>
  <c r="Z88" i="29"/>
  <c r="Z108" i="29" s="1"/>
  <c r="Z60" i="29"/>
  <c r="AF60" i="29" s="1"/>
  <c r="V63" i="29"/>
  <c r="V62" i="29"/>
  <c r="V61" i="29"/>
  <c r="V60" i="29"/>
  <c r="R63" i="29"/>
  <c r="R90" i="29" s="1"/>
  <c r="R62" i="29"/>
  <c r="R61" i="29"/>
  <c r="R60" i="29"/>
  <c r="N63" i="29"/>
  <c r="N62" i="29"/>
  <c r="N61" i="29"/>
  <c r="N60" i="29"/>
  <c r="J63" i="29"/>
  <c r="J62" i="29"/>
  <c r="J61" i="29"/>
  <c r="J88" i="29"/>
  <c r="J60" i="29"/>
  <c r="J87" i="29" s="1"/>
  <c r="J91" i="29" s="1"/>
  <c r="K91" i="29" s="1"/>
  <c r="F63" i="29"/>
  <c r="F90" i="29"/>
  <c r="F62" i="29"/>
  <c r="F61" i="29"/>
  <c r="F88" i="29" s="1"/>
  <c r="F60" i="29"/>
  <c r="E58" i="29"/>
  <c r="W50" i="29"/>
  <c r="S50" i="29"/>
  <c r="A56" i="29"/>
  <c r="A55" i="29"/>
  <c r="BR56" i="29"/>
  <c r="BR55" i="29"/>
  <c r="BN56" i="29"/>
  <c r="BN55" i="29"/>
  <c r="N56" i="29"/>
  <c r="N55" i="29"/>
  <c r="J56" i="29"/>
  <c r="J55" i="29"/>
  <c r="DB56" i="29"/>
  <c r="DB55" i="29"/>
  <c r="DB54" i="29"/>
  <c r="AA30" i="20" s="1"/>
  <c r="BT54" i="29"/>
  <c r="BL56" i="29"/>
  <c r="BL55" i="29"/>
  <c r="BL54" i="29"/>
  <c r="BD56" i="29"/>
  <c r="BD55" i="29"/>
  <c r="BD54" i="29"/>
  <c r="O53" i="29"/>
  <c r="O52" i="29"/>
  <c r="O51" i="29"/>
  <c r="O50" i="29"/>
  <c r="K53" i="29"/>
  <c r="K52" i="29"/>
  <c r="K51" i="29"/>
  <c r="K50" i="29"/>
  <c r="F56" i="29"/>
  <c r="F55" i="29"/>
  <c r="F54" i="29"/>
  <c r="B54" i="29"/>
  <c r="B53" i="29"/>
  <c r="B52" i="29"/>
  <c r="B51" i="29"/>
  <c r="B50" i="29"/>
  <c r="BZ51" i="29"/>
  <c r="BT52" i="29"/>
  <c r="BT51" i="29"/>
  <c r="BT50" i="29"/>
  <c r="BR53" i="29"/>
  <c r="BL53" i="29"/>
  <c r="BL52" i="29"/>
  <c r="BL51" i="29"/>
  <c r="BL50" i="29"/>
  <c r="BD50" i="29"/>
  <c r="BB53" i="29"/>
  <c r="BH53" i="29" s="1"/>
  <c r="BB52" i="29"/>
  <c r="BH52" i="29" s="1"/>
  <c r="BB51" i="29"/>
  <c r="BC51" i="29" s="1"/>
  <c r="AX53" i="29"/>
  <c r="AY53" i="29" s="1"/>
  <c r="AX52" i="29"/>
  <c r="AY52" i="29" s="1"/>
  <c r="AX51" i="29"/>
  <c r="AY51" i="29" s="1"/>
  <c r="AT53" i="29"/>
  <c r="AT52" i="29"/>
  <c r="AU52" i="29" s="1"/>
  <c r="AT51" i="29"/>
  <c r="AP53" i="29"/>
  <c r="AP52" i="29"/>
  <c r="AP51" i="29"/>
  <c r="AQ51" i="29" s="1"/>
  <c r="AL53" i="29"/>
  <c r="AL52" i="29"/>
  <c r="AM52" i="29" s="1"/>
  <c r="AL51" i="29"/>
  <c r="AH53" i="29"/>
  <c r="AI53" i="29" s="1"/>
  <c r="AH52" i="29"/>
  <c r="AI52" i="29" s="1"/>
  <c r="AH51" i="29"/>
  <c r="AD53" i="29"/>
  <c r="AE53" i="29" s="1"/>
  <c r="AD52" i="29"/>
  <c r="AJ52" i="29" s="1"/>
  <c r="AD51" i="29"/>
  <c r="Z53" i="29"/>
  <c r="Z52" i="29"/>
  <c r="AA52" i="29" s="1"/>
  <c r="Z51" i="29"/>
  <c r="V53" i="29"/>
  <c r="W53" i="29" s="1"/>
  <c r="V52" i="29"/>
  <c r="V51" i="29"/>
  <c r="W51" i="29" s="1"/>
  <c r="R53" i="29"/>
  <c r="S53" i="29" s="1"/>
  <c r="R52" i="29"/>
  <c r="S52" i="29" s="1"/>
  <c r="R51" i="29"/>
  <c r="S51" i="29" s="1"/>
  <c r="G53" i="29"/>
  <c r="G52" i="29"/>
  <c r="G51" i="29"/>
  <c r="G50" i="29"/>
  <c r="A53" i="29"/>
  <c r="A52" i="29"/>
  <c r="A51" i="29"/>
  <c r="A50" i="29"/>
  <c r="BS52" i="29"/>
  <c r="BS51" i="29"/>
  <c r="BS50" i="29"/>
  <c r="BK52" i="29"/>
  <c r="BK51" i="29"/>
  <c r="BK50" i="29"/>
  <c r="BC50" i="29"/>
  <c r="CX51" i="29"/>
  <c r="CT51" i="29"/>
  <c r="CP51" i="29"/>
  <c r="CP52" i="29" s="1"/>
  <c r="CP53" i="29" s="1"/>
  <c r="CQ53" i="29" s="1"/>
  <c r="CH51" i="29"/>
  <c r="CI51" i="29" s="1"/>
  <c r="CD51" i="29"/>
  <c r="BV51" i="29"/>
  <c r="DC51" i="29"/>
  <c r="DD50" i="29"/>
  <c r="DC50" i="29"/>
  <c r="CZ50" i="29"/>
  <c r="CY50" i="29"/>
  <c r="CV50" i="29"/>
  <c r="CU50" i="29"/>
  <c r="CQ50" i="29"/>
  <c r="CL50" i="29"/>
  <c r="CJ50" i="29"/>
  <c r="CI50" i="29"/>
  <c r="CF50" i="29"/>
  <c r="CB50" i="29"/>
  <c r="CA50" i="29"/>
  <c r="BX50" i="29"/>
  <c r="BW50" i="29"/>
  <c r="BP54" i="29"/>
  <c r="BP53" i="29"/>
  <c r="BO53" i="29"/>
  <c r="BP52" i="29"/>
  <c r="BO52" i="29"/>
  <c r="BP51" i="29"/>
  <c r="BO51" i="29"/>
  <c r="BP50" i="29"/>
  <c r="BO50" i="29"/>
  <c r="BH56" i="29"/>
  <c r="BH55" i="29"/>
  <c r="BH54" i="29"/>
  <c r="BG53" i="29"/>
  <c r="BG52" i="29"/>
  <c r="BH51" i="29"/>
  <c r="BG51" i="29"/>
  <c r="BH50" i="29"/>
  <c r="BG50" i="29"/>
  <c r="AZ56" i="29"/>
  <c r="AZ55" i="29"/>
  <c r="AZ54" i="29"/>
  <c r="AZ50" i="29"/>
  <c r="AY50" i="29"/>
  <c r="AV56" i="29"/>
  <c r="AV55" i="29"/>
  <c r="AV54" i="29"/>
  <c r="AV50" i="29"/>
  <c r="AU50" i="29"/>
  <c r="AR56" i="29"/>
  <c r="AR55" i="29"/>
  <c r="AR54" i="29"/>
  <c r="AQ52" i="29"/>
  <c r="AR50" i="29"/>
  <c r="AQ50" i="29"/>
  <c r="AN56" i="29"/>
  <c r="AN55" i="29"/>
  <c r="AN54" i="29"/>
  <c r="AN50" i="29"/>
  <c r="AM50" i="29"/>
  <c r="AJ56" i="29"/>
  <c r="AJ55" i="29"/>
  <c r="AJ54" i="29"/>
  <c r="AI51" i="29"/>
  <c r="AJ50" i="29"/>
  <c r="AI50" i="29"/>
  <c r="AF56" i="29"/>
  <c r="AF55" i="29"/>
  <c r="AF54" i="29"/>
  <c r="AF50" i="29"/>
  <c r="AE50" i="29"/>
  <c r="AB56" i="29"/>
  <c r="AB55" i="29"/>
  <c r="AB54" i="29"/>
  <c r="AA53" i="29"/>
  <c r="AA51" i="29"/>
  <c r="AB50" i="29"/>
  <c r="AA50" i="29"/>
  <c r="CH48" i="29"/>
  <c r="AH48" i="29"/>
  <c r="E48" i="29"/>
  <c r="A46" i="29"/>
  <c r="A45" i="29"/>
  <c r="AP46" i="29"/>
  <c r="AP45" i="29"/>
  <c r="AP44" i="29"/>
  <c r="AQ44" i="29" s="1"/>
  <c r="AL46" i="29"/>
  <c r="AL45" i="29"/>
  <c r="AM45" i="29" s="1"/>
  <c r="AL44" i="29"/>
  <c r="AH46" i="29"/>
  <c r="AN46" i="29" s="1"/>
  <c r="AH45" i="29"/>
  <c r="AH44" i="29"/>
  <c r="AD46" i="29"/>
  <c r="AD45" i="29"/>
  <c r="AE45" i="29" s="1"/>
  <c r="AD44" i="29"/>
  <c r="Z46" i="29"/>
  <c r="Z45" i="29"/>
  <c r="Z44" i="29"/>
  <c r="AF44" i="29" s="1"/>
  <c r="V46" i="29"/>
  <c r="V45" i="29"/>
  <c r="AB45" i="29" s="1"/>
  <c r="V44" i="29"/>
  <c r="R46" i="29"/>
  <c r="R45" i="29"/>
  <c r="R44" i="29"/>
  <c r="N46" i="29"/>
  <c r="N45" i="29"/>
  <c r="N44" i="29"/>
  <c r="J46" i="29"/>
  <c r="J45" i="29"/>
  <c r="J44" i="29"/>
  <c r="F46" i="29"/>
  <c r="F45" i="29"/>
  <c r="F44" i="29"/>
  <c r="B44" i="29"/>
  <c r="B43" i="29"/>
  <c r="B42" i="29"/>
  <c r="B41" i="29"/>
  <c r="B40" i="29"/>
  <c r="W43" i="29"/>
  <c r="W42" i="29"/>
  <c r="W41" i="29"/>
  <c r="W40" i="29"/>
  <c r="S43" i="29"/>
  <c r="S42" i="29"/>
  <c r="S41" i="29"/>
  <c r="S40" i="29"/>
  <c r="O43" i="29"/>
  <c r="O42" i="29"/>
  <c r="O41" i="29"/>
  <c r="O40" i="29"/>
  <c r="K43" i="29"/>
  <c r="K42" i="29"/>
  <c r="K41" i="29"/>
  <c r="K40" i="29"/>
  <c r="G43" i="29"/>
  <c r="G42" i="29"/>
  <c r="G41" i="29"/>
  <c r="G40" i="29"/>
  <c r="A43" i="29"/>
  <c r="A42" i="29"/>
  <c r="A41" i="29"/>
  <c r="A40" i="29"/>
  <c r="DD43" i="29"/>
  <c r="DD42" i="29"/>
  <c r="DD41" i="29"/>
  <c r="DC41" i="29"/>
  <c r="DB40" i="29"/>
  <c r="CZ43" i="29"/>
  <c r="CY43" i="29"/>
  <c r="CZ42" i="29"/>
  <c r="CY42" i="29"/>
  <c r="CZ41" i="29"/>
  <c r="CY41" i="29"/>
  <c r="CX40" i="29"/>
  <c r="CV43" i="29"/>
  <c r="CU43" i="29"/>
  <c r="CV42" i="29"/>
  <c r="CU42" i="29"/>
  <c r="CV41" i="29"/>
  <c r="CU41" i="29"/>
  <c r="CT40" i="29"/>
  <c r="CR43" i="29"/>
  <c r="CQ43" i="29"/>
  <c r="CR42" i="29"/>
  <c r="CQ42" i="29"/>
  <c r="CR41" i="29"/>
  <c r="CQ41" i="29"/>
  <c r="CP40" i="29"/>
  <c r="CV40" i="29"/>
  <c r="CN43" i="29"/>
  <c r="CM43" i="29"/>
  <c r="CN42" i="29"/>
  <c r="CM42" i="29"/>
  <c r="CN41" i="29"/>
  <c r="CM41" i="29"/>
  <c r="CL40" i="29"/>
  <c r="CJ43" i="29"/>
  <c r="CI43" i="29"/>
  <c r="CJ42" i="29"/>
  <c r="CI42" i="29"/>
  <c r="CJ41" i="29"/>
  <c r="CI41" i="29"/>
  <c r="CH40" i="29"/>
  <c r="CF43" i="29"/>
  <c r="CE43" i="29"/>
  <c r="CF42" i="29"/>
  <c r="CE42" i="29"/>
  <c r="CF41" i="29"/>
  <c r="CD40" i="29"/>
  <c r="CB43" i="29"/>
  <c r="CA43" i="29"/>
  <c r="CB42" i="29"/>
  <c r="CA42" i="29"/>
  <c r="CB41" i="29"/>
  <c r="CA41" i="29"/>
  <c r="BZ40" i="29"/>
  <c r="BX43" i="29"/>
  <c r="BW43" i="29"/>
  <c r="BX42" i="29"/>
  <c r="BW42" i="29"/>
  <c r="BX41" i="29"/>
  <c r="BW41" i="29"/>
  <c r="BW40" i="29"/>
  <c r="BV40" i="29"/>
  <c r="BS43" i="29"/>
  <c r="BS42" i="29"/>
  <c r="BS41" i="29"/>
  <c r="BR40" i="29"/>
  <c r="AR43" i="29"/>
  <c r="AQ43" i="29"/>
  <c r="AR42" i="29"/>
  <c r="AQ42" i="29"/>
  <c r="AR41" i="29"/>
  <c r="AQ41" i="29"/>
  <c r="AR40" i="29"/>
  <c r="AQ40" i="29"/>
  <c r="AN43" i="29"/>
  <c r="AM43" i="29"/>
  <c r="AN42" i="29"/>
  <c r="AM42" i="29"/>
  <c r="AN41" i="29"/>
  <c r="AM41" i="29"/>
  <c r="AN40" i="29"/>
  <c r="AM40" i="29"/>
  <c r="AJ43" i="29"/>
  <c r="AI43" i="29"/>
  <c r="AJ42" i="29"/>
  <c r="AI42" i="29"/>
  <c r="AJ41" i="29"/>
  <c r="AI41" i="29"/>
  <c r="AJ40" i="29"/>
  <c r="AI40" i="29"/>
  <c r="AF43" i="29"/>
  <c r="AE43" i="29"/>
  <c r="AF42" i="29"/>
  <c r="AE42" i="29"/>
  <c r="AF41" i="29"/>
  <c r="AE41" i="29"/>
  <c r="AF40" i="29"/>
  <c r="AE40" i="29"/>
  <c r="AB43" i="29"/>
  <c r="AA43" i="29"/>
  <c r="AB42" i="29"/>
  <c r="AA42" i="29"/>
  <c r="AB41" i="29"/>
  <c r="AA41" i="29"/>
  <c r="AB40" i="29"/>
  <c r="AA40" i="29"/>
  <c r="E38" i="29"/>
  <c r="A36" i="29"/>
  <c r="A35" i="29"/>
  <c r="CT36" i="29"/>
  <c r="CT35" i="29"/>
  <c r="CT34" i="29"/>
  <c r="CP36" i="29"/>
  <c r="CV36" i="29" s="1"/>
  <c r="CP35" i="29"/>
  <c r="CP34" i="29"/>
  <c r="CL36" i="29"/>
  <c r="CL35" i="29"/>
  <c r="CL34" i="29"/>
  <c r="CH36" i="29"/>
  <c r="CH35" i="29"/>
  <c r="CH34" i="29"/>
  <c r="CJ34" i="29" s="1"/>
  <c r="CD36" i="29"/>
  <c r="CD35" i="29"/>
  <c r="CD34" i="29"/>
  <c r="BZ36" i="29"/>
  <c r="BZ35" i="29"/>
  <c r="BZ34" i="29"/>
  <c r="T21" i="20" s="1"/>
  <c r="BR36" i="29"/>
  <c r="BR35" i="29"/>
  <c r="BR34" i="29"/>
  <c r="R21" i="20" s="1"/>
  <c r="E11" i="97" s="1"/>
  <c r="BF36" i="29"/>
  <c r="BF35" i="29"/>
  <c r="BF34" i="29"/>
  <c r="BB36" i="29"/>
  <c r="BB35" i="29"/>
  <c r="BB34" i="29"/>
  <c r="AX36" i="29"/>
  <c r="AX35" i="29"/>
  <c r="AX34" i="29"/>
  <c r="AT36" i="29"/>
  <c r="AT35" i="29"/>
  <c r="AT34" i="29"/>
  <c r="Y68" i="17"/>
  <c r="Y76" i="17" s="1"/>
  <c r="AP36" i="29"/>
  <c r="AP35" i="29"/>
  <c r="AP34" i="29"/>
  <c r="AL36" i="29"/>
  <c r="AL35" i="29"/>
  <c r="AL34" i="29"/>
  <c r="AH36" i="29"/>
  <c r="AH35" i="29"/>
  <c r="AH34" i="29"/>
  <c r="AD36" i="29"/>
  <c r="AD35" i="29"/>
  <c r="AD34" i="29"/>
  <c r="Q68" i="17" s="1"/>
  <c r="Q76" i="17" s="1"/>
  <c r="Z36" i="29"/>
  <c r="Z35" i="29"/>
  <c r="Z34" i="29"/>
  <c r="G21" i="20"/>
  <c r="V36" i="29"/>
  <c r="V35" i="29"/>
  <c r="V34" i="29"/>
  <c r="M68" i="17"/>
  <c r="M76" i="17" s="1"/>
  <c r="R36" i="29"/>
  <c r="S83" i="29" s="1"/>
  <c r="R35" i="29"/>
  <c r="R34" i="29"/>
  <c r="N36" i="29"/>
  <c r="N35" i="29"/>
  <c r="N34" i="29"/>
  <c r="O81" i="29" s="1"/>
  <c r="J36" i="29"/>
  <c r="J35" i="29"/>
  <c r="J34" i="29"/>
  <c r="F36" i="29"/>
  <c r="F35" i="29"/>
  <c r="F34" i="29"/>
  <c r="B21" i="20" s="1"/>
  <c r="B34" i="29"/>
  <c r="B33" i="29"/>
  <c r="B32" i="29"/>
  <c r="B31" i="29"/>
  <c r="B30" i="29"/>
  <c r="BU33" i="29"/>
  <c r="BT33" i="29"/>
  <c r="BS33" i="29"/>
  <c r="BM33" i="29"/>
  <c r="BL33" i="29"/>
  <c r="BK33" i="29"/>
  <c r="W33" i="29"/>
  <c r="W32" i="29"/>
  <c r="W31" i="29"/>
  <c r="W30" i="29"/>
  <c r="S33" i="29"/>
  <c r="S32" i="29"/>
  <c r="S31" i="29"/>
  <c r="S30" i="29"/>
  <c r="O33" i="29"/>
  <c r="O32" i="29"/>
  <c r="O31" i="29"/>
  <c r="O30" i="29"/>
  <c r="K33" i="29"/>
  <c r="K32" i="29"/>
  <c r="K31" i="29"/>
  <c r="K30" i="29"/>
  <c r="G33" i="29"/>
  <c r="G32" i="29"/>
  <c r="G31" i="29"/>
  <c r="G30" i="29"/>
  <c r="A32" i="29"/>
  <c r="A31" i="29"/>
  <c r="A30" i="29"/>
  <c r="CZ31" i="29"/>
  <c r="BV32" i="29"/>
  <c r="BS32" i="29"/>
  <c r="BV31" i="29"/>
  <c r="CB31" i="29" s="1"/>
  <c r="BS31" i="29"/>
  <c r="BN32" i="29"/>
  <c r="BJ32" i="29"/>
  <c r="BN31" i="29"/>
  <c r="BJ31" i="29"/>
  <c r="CZ33" i="29"/>
  <c r="CY33" i="29"/>
  <c r="CZ32" i="29"/>
  <c r="CY32" i="29"/>
  <c r="CY31" i="29"/>
  <c r="CZ30" i="29"/>
  <c r="CY30" i="29"/>
  <c r="CV33" i="29"/>
  <c r="CU33" i="29"/>
  <c r="CV32" i="29"/>
  <c r="CU32" i="29"/>
  <c r="CV31" i="29"/>
  <c r="CU31" i="29"/>
  <c r="CV30" i="29"/>
  <c r="CU30" i="29"/>
  <c r="CR33" i="29"/>
  <c r="CQ33" i="29"/>
  <c r="CR32" i="29"/>
  <c r="CQ32" i="29"/>
  <c r="CR31" i="29"/>
  <c r="CQ31" i="29"/>
  <c r="CR30" i="29"/>
  <c r="CQ30" i="29"/>
  <c r="CN33" i="29"/>
  <c r="CM33" i="29"/>
  <c r="CN32" i="29"/>
  <c r="CM32" i="29"/>
  <c r="CN31" i="29"/>
  <c r="CM31" i="29"/>
  <c r="CN30" i="29"/>
  <c r="CM30" i="29"/>
  <c r="CJ33" i="29"/>
  <c r="CI33" i="29"/>
  <c r="CJ32" i="29"/>
  <c r="CI32" i="29"/>
  <c r="CJ31" i="29"/>
  <c r="CI31" i="29"/>
  <c r="CJ30" i="29"/>
  <c r="CI30" i="29"/>
  <c r="CG33" i="29"/>
  <c r="CF33" i="29"/>
  <c r="CE33" i="29"/>
  <c r="CG32" i="29"/>
  <c r="CF32" i="29"/>
  <c r="CE32" i="29"/>
  <c r="CG31" i="29"/>
  <c r="CF31" i="29"/>
  <c r="CG30" i="29"/>
  <c r="CF30" i="29"/>
  <c r="CC33" i="29"/>
  <c r="CB33" i="29"/>
  <c r="CA33" i="29"/>
  <c r="CC32" i="29"/>
  <c r="CA32" i="29"/>
  <c r="CC31" i="29"/>
  <c r="CA31" i="29"/>
  <c r="CC30" i="29"/>
  <c r="CB30" i="29"/>
  <c r="CA30" i="29"/>
  <c r="BY33" i="29"/>
  <c r="BX33" i="29"/>
  <c r="BW33" i="29"/>
  <c r="BX31" i="29"/>
  <c r="BW31" i="29"/>
  <c r="BY30" i="29"/>
  <c r="BX30" i="29"/>
  <c r="BW30" i="29"/>
  <c r="BU30" i="29"/>
  <c r="BT30" i="29"/>
  <c r="BS30" i="29"/>
  <c r="BP33" i="29"/>
  <c r="BO33" i="29"/>
  <c r="BO31" i="29"/>
  <c r="BO30" i="29"/>
  <c r="BJ30" i="29"/>
  <c r="BH33" i="29"/>
  <c r="BG33" i="29"/>
  <c r="BH32" i="29"/>
  <c r="BG32" i="29"/>
  <c r="BH31" i="29"/>
  <c r="BG31" i="29"/>
  <c r="BH30" i="29"/>
  <c r="BG30" i="29"/>
  <c r="BD33" i="29"/>
  <c r="BC33" i="29"/>
  <c r="BD32" i="29"/>
  <c r="BC32" i="29"/>
  <c r="BD31" i="29"/>
  <c r="BC31" i="29"/>
  <c r="BD30" i="29"/>
  <c r="BC30" i="29"/>
  <c r="AZ33" i="29"/>
  <c r="AY33" i="29"/>
  <c r="AZ32" i="29"/>
  <c r="AY32" i="29"/>
  <c r="AZ31" i="29"/>
  <c r="AY31" i="29"/>
  <c r="AZ30" i="29"/>
  <c r="AY30" i="29"/>
  <c r="AV33" i="29"/>
  <c r="AU33" i="29"/>
  <c r="AV32" i="29"/>
  <c r="AU32" i="29"/>
  <c r="AV31" i="29"/>
  <c r="AU31" i="29"/>
  <c r="AV30" i="29"/>
  <c r="AU30" i="29"/>
  <c r="AR33" i="29"/>
  <c r="AQ33" i="29"/>
  <c r="AR32" i="29"/>
  <c r="E51" i="28" s="1"/>
  <c r="AQ32" i="29"/>
  <c r="AR31" i="29"/>
  <c r="AQ31" i="29"/>
  <c r="AR30" i="29"/>
  <c r="C51" i="28" s="1"/>
  <c r="AQ30" i="29"/>
  <c r="AN33" i="29"/>
  <c r="AM33" i="29"/>
  <c r="AN32" i="29"/>
  <c r="AM32" i="29"/>
  <c r="AN31" i="29"/>
  <c r="AM31" i="29"/>
  <c r="AN30" i="29"/>
  <c r="AM30" i="29"/>
  <c r="AJ33" i="29"/>
  <c r="AI33" i="29"/>
  <c r="AJ32" i="29"/>
  <c r="AI32" i="29"/>
  <c r="AJ31" i="29"/>
  <c r="AI31" i="29"/>
  <c r="AJ30" i="29"/>
  <c r="AI30" i="29"/>
  <c r="AF33" i="29"/>
  <c r="AE33" i="29"/>
  <c r="AF32" i="29"/>
  <c r="AE32" i="29"/>
  <c r="AF31" i="29"/>
  <c r="AE31" i="29"/>
  <c r="AF30" i="29"/>
  <c r="AE30" i="29"/>
  <c r="AB33" i="29"/>
  <c r="AA33" i="29"/>
  <c r="AB32" i="29"/>
  <c r="AA32" i="29"/>
  <c r="AB31" i="29"/>
  <c r="AA31" i="29"/>
  <c r="AB30" i="29"/>
  <c r="AA30" i="29"/>
  <c r="E28" i="29"/>
  <c r="CE27" i="29"/>
  <c r="CE23" i="29"/>
  <c r="CE22" i="29"/>
  <c r="CB27" i="29"/>
  <c r="CD26" i="29"/>
  <c r="CD25" i="29"/>
  <c r="CD24" i="29"/>
  <c r="BJ26" i="29"/>
  <c r="BF26" i="29"/>
  <c r="A26" i="29"/>
  <c r="A25" i="29"/>
  <c r="CX27" i="29"/>
  <c r="CY27" i="29" s="1"/>
  <c r="CX26" i="29"/>
  <c r="CX25" i="29"/>
  <c r="CT26" i="29"/>
  <c r="CT25" i="29"/>
  <c r="CP26" i="29"/>
  <c r="CP25" i="29"/>
  <c r="CL26" i="29"/>
  <c r="CL25" i="29"/>
  <c r="CH26" i="29"/>
  <c r="CH25" i="29"/>
  <c r="BZ26" i="29"/>
  <c r="BZ25" i="29"/>
  <c r="BV26" i="29"/>
  <c r="BV25" i="29"/>
  <c r="BR26" i="29"/>
  <c r="BR25" i="29"/>
  <c r="BN25" i="29"/>
  <c r="BB26" i="29"/>
  <c r="BB25" i="29"/>
  <c r="AX26" i="29"/>
  <c r="AX25" i="29"/>
  <c r="AT26" i="29"/>
  <c r="AT25" i="29"/>
  <c r="AP26" i="29"/>
  <c r="AP25" i="29"/>
  <c r="AQ45" i="29"/>
  <c r="CX24" i="29"/>
  <c r="F183" i="9" s="1"/>
  <c r="CT24" i="29"/>
  <c r="CP24" i="29"/>
  <c r="F169" i="9" s="1"/>
  <c r="CL24" i="29"/>
  <c r="CH24" i="29"/>
  <c r="F155" i="9" s="1"/>
  <c r="BZ24" i="29"/>
  <c r="F141" i="9"/>
  <c r="BV24" i="29"/>
  <c r="S10" i="20" s="1"/>
  <c r="F8" i="97" s="1"/>
  <c r="BU24" i="29"/>
  <c r="BR24" i="29"/>
  <c r="BJ25" i="29"/>
  <c r="BJ24" i="29"/>
  <c r="BF25" i="29"/>
  <c r="BF24" i="29"/>
  <c r="AE67" i="17" s="1"/>
  <c r="BB24" i="29"/>
  <c r="AX24" i="29"/>
  <c r="AT24" i="29"/>
  <c r="L10" i="20" s="1"/>
  <c r="AP24" i="29"/>
  <c r="AL26" i="29"/>
  <c r="AL25" i="29"/>
  <c r="AL24" i="29"/>
  <c r="AH26" i="29"/>
  <c r="AH25" i="29"/>
  <c r="AI45" i="29" s="1"/>
  <c r="AH24" i="29"/>
  <c r="S67" i="17"/>
  <c r="AD26" i="29"/>
  <c r="AE56" i="29" s="1"/>
  <c r="AD25" i="29"/>
  <c r="AE55" i="29" s="1"/>
  <c r="AD24" i="29"/>
  <c r="Z26" i="29"/>
  <c r="Z25" i="29"/>
  <c r="AA55" i="29" s="1"/>
  <c r="Z24" i="29"/>
  <c r="O67" i="17" s="1"/>
  <c r="V26" i="29"/>
  <c r="W56" i="29"/>
  <c r="V25" i="29"/>
  <c r="V24" i="29"/>
  <c r="R26" i="29"/>
  <c r="S56" i="29"/>
  <c r="R25" i="29"/>
  <c r="R24" i="29"/>
  <c r="N26" i="29"/>
  <c r="N25" i="29"/>
  <c r="N24" i="29"/>
  <c r="J26" i="29"/>
  <c r="J25" i="29"/>
  <c r="J24" i="29"/>
  <c r="F26" i="29"/>
  <c r="G56" i="29"/>
  <c r="F25" i="29"/>
  <c r="F24" i="29"/>
  <c r="B10" i="20" s="1"/>
  <c r="B24" i="29"/>
  <c r="B23" i="29"/>
  <c r="B22" i="29"/>
  <c r="B21" i="29"/>
  <c r="B20" i="29"/>
  <c r="AM23" i="29"/>
  <c r="AM22" i="29"/>
  <c r="AM21" i="29"/>
  <c r="AM20" i="29"/>
  <c r="AI23" i="29"/>
  <c r="AI22" i="29"/>
  <c r="AI21" i="29"/>
  <c r="AI20" i="29"/>
  <c r="AE23" i="29"/>
  <c r="AE22" i="29"/>
  <c r="AE21" i="29"/>
  <c r="AE20" i="29"/>
  <c r="AA23" i="29"/>
  <c r="AA22" i="29"/>
  <c r="AA21" i="29"/>
  <c r="AA20" i="29"/>
  <c r="W23" i="29"/>
  <c r="W22" i="29"/>
  <c r="W21" i="29"/>
  <c r="W20" i="29"/>
  <c r="S23" i="29"/>
  <c r="S22" i="29"/>
  <c r="S21" i="29"/>
  <c r="S20" i="29"/>
  <c r="O23" i="29"/>
  <c r="O22" i="29"/>
  <c r="O21" i="29"/>
  <c r="O20" i="29"/>
  <c r="K23" i="29"/>
  <c r="K22" i="29"/>
  <c r="K21" i="29"/>
  <c r="K20" i="29"/>
  <c r="G23" i="29"/>
  <c r="G22" i="29"/>
  <c r="G21" i="29"/>
  <c r="G20" i="29"/>
  <c r="A23" i="29"/>
  <c r="A22" i="29"/>
  <c r="A21" i="29"/>
  <c r="A20" i="29"/>
  <c r="BN22" i="29"/>
  <c r="DC21" i="29"/>
  <c r="DC20" i="29"/>
  <c r="CY23" i="29"/>
  <c r="CY22" i="29"/>
  <c r="CY21" i="29"/>
  <c r="CY20" i="29"/>
  <c r="CU23" i="29"/>
  <c r="CZ23" i="29" s="1"/>
  <c r="CU22" i="29"/>
  <c r="CU21" i="29"/>
  <c r="CZ21" i="29" s="1"/>
  <c r="CU20" i="29"/>
  <c r="CQ23" i="29"/>
  <c r="CQ22" i="29"/>
  <c r="CV22" i="29" s="1"/>
  <c r="CQ21" i="29"/>
  <c r="CQ20" i="29"/>
  <c r="CV20" i="29" s="1"/>
  <c r="CM23" i="29"/>
  <c r="CM22" i="29"/>
  <c r="CR22" i="29" s="1"/>
  <c r="CM21" i="29"/>
  <c r="CM20" i="29"/>
  <c r="CI23" i="29"/>
  <c r="CN23" i="29"/>
  <c r="CI22" i="29"/>
  <c r="CI21" i="29"/>
  <c r="CI20" i="29"/>
  <c r="CA23" i="29"/>
  <c r="CA22" i="29"/>
  <c r="CF22" i="29" s="1"/>
  <c r="CA21" i="29"/>
  <c r="CB21" i="29" s="1"/>
  <c r="CA20" i="29"/>
  <c r="BW23" i="29"/>
  <c r="BW22" i="29"/>
  <c r="BW21" i="29"/>
  <c r="BW20" i="29"/>
  <c r="CB20" i="29" s="1"/>
  <c r="BS23" i="29"/>
  <c r="BS22" i="29"/>
  <c r="BS21" i="29"/>
  <c r="BS20" i="29"/>
  <c r="BO23" i="29"/>
  <c r="BT23" i="29" s="1"/>
  <c r="BO22" i="29"/>
  <c r="BO21" i="29"/>
  <c r="BO20" i="29"/>
  <c r="BK23" i="29"/>
  <c r="BK22" i="29"/>
  <c r="BK21" i="29"/>
  <c r="BK20" i="29"/>
  <c r="BG23" i="29"/>
  <c r="BG22" i="29"/>
  <c r="BG21" i="29"/>
  <c r="BG20" i="29"/>
  <c r="BC23" i="29"/>
  <c r="BC22" i="29"/>
  <c r="BC21" i="29"/>
  <c r="BC20" i="29"/>
  <c r="AY23" i="29"/>
  <c r="BD23" i="29" s="1"/>
  <c r="AY22" i="29"/>
  <c r="AY21" i="29"/>
  <c r="BD21" i="29" s="1"/>
  <c r="AY20" i="29"/>
  <c r="AU23" i="29"/>
  <c r="AU22" i="29"/>
  <c r="AZ22" i="29" s="1"/>
  <c r="AU21" i="29"/>
  <c r="AV21" i="29" s="1"/>
  <c r="AU20" i="29"/>
  <c r="AQ23" i="29"/>
  <c r="AR23" i="29" s="1"/>
  <c r="AQ22" i="29"/>
  <c r="AR22" i="29" s="1"/>
  <c r="AQ21" i="29"/>
  <c r="AQ20" i="29"/>
  <c r="CH18" i="29"/>
  <c r="E18" i="29"/>
  <c r="D16" i="29"/>
  <c r="D15" i="29"/>
  <c r="D14" i="29"/>
  <c r="CL16" i="29"/>
  <c r="CL15" i="29"/>
  <c r="CH16" i="29"/>
  <c r="CI26" i="29" s="1"/>
  <c r="CH15" i="29"/>
  <c r="BZ16" i="29"/>
  <c r="BZ15" i="29"/>
  <c r="BV16" i="29"/>
  <c r="BW26" i="29" s="1"/>
  <c r="BV15" i="29"/>
  <c r="BR16" i="29"/>
  <c r="BR15" i="29"/>
  <c r="BN16" i="29"/>
  <c r="BN15" i="29"/>
  <c r="BJ16" i="29"/>
  <c r="BJ15" i="29"/>
  <c r="BK25" i="29" s="1"/>
  <c r="BF16" i="29"/>
  <c r="BF15" i="29"/>
  <c r="BB16" i="29"/>
  <c r="BB15" i="29"/>
  <c r="AX16" i="29"/>
  <c r="AY26" i="29" s="1"/>
  <c r="AY56" i="29"/>
  <c r="AX15" i="29"/>
  <c r="AT16" i="29"/>
  <c r="AT15" i="29"/>
  <c r="AU25" i="29" s="1"/>
  <c r="AU55" i="29"/>
  <c r="AP16" i="29"/>
  <c r="AQ26" i="29"/>
  <c r="AQ56" i="29"/>
  <c r="AP15" i="29"/>
  <c r="AL16" i="29"/>
  <c r="AM56" i="29"/>
  <c r="AL15" i="29"/>
  <c r="AN15" i="29" s="1"/>
  <c r="AH16" i="29"/>
  <c r="AI56" i="29" s="1"/>
  <c r="AH15" i="29"/>
  <c r="AD16" i="29"/>
  <c r="AE83" i="29" s="1"/>
  <c r="AD15" i="29"/>
  <c r="AE25" i="29" s="1"/>
  <c r="Z16" i="29"/>
  <c r="Z15" i="29"/>
  <c r="V16" i="29"/>
  <c r="V15" i="29"/>
  <c r="W35" i="29" s="1"/>
  <c r="R16" i="29"/>
  <c r="S26" i="29" s="1"/>
  <c r="R15" i="29"/>
  <c r="S35" i="29" s="1"/>
  <c r="N16" i="29"/>
  <c r="O36" i="29" s="1"/>
  <c r="N15" i="29"/>
  <c r="J16" i="29"/>
  <c r="J15" i="29"/>
  <c r="K35" i="29" s="1"/>
  <c r="F16" i="29"/>
  <c r="F15" i="29"/>
  <c r="CX16" i="29"/>
  <c r="CY26" i="29" s="1"/>
  <c r="CX15" i="29"/>
  <c r="CT16" i="29"/>
  <c r="CT15" i="29"/>
  <c r="CT14" i="29"/>
  <c r="CP16" i="29"/>
  <c r="CP15" i="29"/>
  <c r="CQ15" i="29"/>
  <c r="CP14" i="29"/>
  <c r="CL14" i="29"/>
  <c r="CM34" i="29" s="1"/>
  <c r="CH14" i="29"/>
  <c r="BZ14" i="29"/>
  <c r="BV14" i="29"/>
  <c r="BR14" i="29"/>
  <c r="BS54" i="29" s="1"/>
  <c r="BN14" i="29"/>
  <c r="BJ14" i="29"/>
  <c r="BK54" i="29" s="1"/>
  <c r="BF14" i="29"/>
  <c r="BB14" i="29"/>
  <c r="BC54" i="29"/>
  <c r="AX14" i="29"/>
  <c r="M7" i="20" s="1"/>
  <c r="AT14" i="29"/>
  <c r="AP14" i="29"/>
  <c r="AL14" i="29"/>
  <c r="J7" i="20" s="1"/>
  <c r="AH14" i="29"/>
  <c r="AD14" i="29"/>
  <c r="Z14" i="29"/>
  <c r="V14" i="29"/>
  <c r="W24" i="29" s="1"/>
  <c r="R14" i="29"/>
  <c r="N14" i="29"/>
  <c r="J14" i="29"/>
  <c r="F14" i="29"/>
  <c r="CY13" i="29"/>
  <c r="CV13" i="34" s="1"/>
  <c r="CV19" i="34" s="1"/>
  <c r="CV25" i="34" s="1"/>
  <c r="CV31" i="34" s="1"/>
  <c r="CV37" i="34" s="1"/>
  <c r="CY12" i="29"/>
  <c r="CV12" i="34"/>
  <c r="CV18" i="34" s="1"/>
  <c r="CV24" i="34" s="1"/>
  <c r="CV30" i="34" s="1"/>
  <c r="CV36" i="34" s="1"/>
  <c r="CY11" i="29"/>
  <c r="CY10" i="29"/>
  <c r="CU13" i="29"/>
  <c r="CR13" i="34"/>
  <c r="CR19" i="34" s="1"/>
  <c r="CR25" i="34" s="1"/>
  <c r="CR31" i="34" s="1"/>
  <c r="CR37" i="34" s="1"/>
  <c r="CU12" i="29"/>
  <c r="CU11" i="29"/>
  <c r="CR11" i="34" s="1"/>
  <c r="CR17" i="34" s="1"/>
  <c r="CR23" i="34" s="1"/>
  <c r="CR29" i="34" s="1"/>
  <c r="CR35" i="34" s="1"/>
  <c r="CU10" i="29"/>
  <c r="CR10" i="34" s="1"/>
  <c r="CR16" i="34" s="1"/>
  <c r="CR22" i="34" s="1"/>
  <c r="CR28" i="34" s="1"/>
  <c r="CR34" i="34" s="1"/>
  <c r="CQ13" i="29"/>
  <c r="CN13" i="34" s="1"/>
  <c r="CN19" i="34" s="1"/>
  <c r="CN25" i="34" s="1"/>
  <c r="CN31" i="34" s="1"/>
  <c r="CN37" i="34" s="1"/>
  <c r="CQ12" i="29"/>
  <c r="CQ11" i="29"/>
  <c r="CN11" i="34" s="1"/>
  <c r="CN17" i="34" s="1"/>
  <c r="CN23" i="34" s="1"/>
  <c r="CN29" i="34" s="1"/>
  <c r="CN35" i="34" s="1"/>
  <c r="CQ10" i="29"/>
  <c r="CM13" i="29"/>
  <c r="CJ13" i="34" s="1"/>
  <c r="CJ19" i="34" s="1"/>
  <c r="CJ25" i="34" s="1"/>
  <c r="CJ31" i="34" s="1"/>
  <c r="CJ37" i="34" s="1"/>
  <c r="CM12" i="29"/>
  <c r="CJ12" i="34" s="1"/>
  <c r="CJ18" i="34" s="1"/>
  <c r="CJ24" i="34" s="1"/>
  <c r="CJ30" i="34" s="1"/>
  <c r="CJ36" i="34" s="1"/>
  <c r="CM11" i="29"/>
  <c r="CJ11" i="34" s="1"/>
  <c r="CJ17" i="34" s="1"/>
  <c r="CJ23" i="34" s="1"/>
  <c r="CJ29" i="34" s="1"/>
  <c r="CJ35" i="34" s="1"/>
  <c r="CM10" i="29"/>
  <c r="CJ10" i="34" s="1"/>
  <c r="CJ16" i="34" s="1"/>
  <c r="CJ22" i="34" s="1"/>
  <c r="CJ28" i="34" s="1"/>
  <c r="CJ34" i="34" s="1"/>
  <c r="CI13" i="29"/>
  <c r="CF13" i="34" s="1"/>
  <c r="CF19" i="34" s="1"/>
  <c r="CF25" i="34" s="1"/>
  <c r="CF31" i="34" s="1"/>
  <c r="CF37" i="34" s="1"/>
  <c r="CI12" i="29"/>
  <c r="CF12" i="34" s="1"/>
  <c r="CF18" i="34" s="1"/>
  <c r="CF24" i="34" s="1"/>
  <c r="CF30" i="34" s="1"/>
  <c r="CF36" i="34" s="1"/>
  <c r="CE13" i="29"/>
  <c r="CB13" i="34" s="1"/>
  <c r="CB19" i="34" s="1"/>
  <c r="CB25" i="34" s="1"/>
  <c r="CB31" i="34" s="1"/>
  <c r="CB37" i="34" s="1"/>
  <c r="CE12" i="29"/>
  <c r="CB12" i="34" s="1"/>
  <c r="CB18" i="34" s="1"/>
  <c r="CB24" i="34" s="1"/>
  <c r="CB30" i="34" s="1"/>
  <c r="CB36" i="34" s="1"/>
  <c r="CA13" i="29"/>
  <c r="BX13" i="34" s="1"/>
  <c r="BX19" i="34" s="1"/>
  <c r="BX25" i="34" s="1"/>
  <c r="BX31" i="34" s="1"/>
  <c r="BX37" i="34" s="1"/>
  <c r="CA12" i="29"/>
  <c r="BX12" i="34" s="1"/>
  <c r="BX18" i="34" s="1"/>
  <c r="BX24" i="34" s="1"/>
  <c r="BX30" i="34" s="1"/>
  <c r="BX36" i="34" s="1"/>
  <c r="CA11" i="29"/>
  <c r="BX11" i="34" s="1"/>
  <c r="BX17" i="34" s="1"/>
  <c r="BX23" i="34" s="1"/>
  <c r="BX29" i="34" s="1"/>
  <c r="BX35" i="34" s="1"/>
  <c r="CA10" i="29"/>
  <c r="BX10" i="34" s="1"/>
  <c r="BX16" i="34" s="1"/>
  <c r="BX22" i="34" s="1"/>
  <c r="BX28" i="34" s="1"/>
  <c r="BX34" i="34" s="1"/>
  <c r="BW13" i="29"/>
  <c r="BT13" i="34" s="1"/>
  <c r="BT19" i="34" s="1"/>
  <c r="BT25" i="34" s="1"/>
  <c r="BT31" i="34" s="1"/>
  <c r="BT37" i="34" s="1"/>
  <c r="BW12" i="29"/>
  <c r="BT12" i="34" s="1"/>
  <c r="BT18" i="34" s="1"/>
  <c r="BT24" i="34" s="1"/>
  <c r="BT30" i="34" s="1"/>
  <c r="BT36" i="34" s="1"/>
  <c r="BW11" i="29"/>
  <c r="BT11" i="34" s="1"/>
  <c r="BT17" i="34" s="1"/>
  <c r="BT23" i="34" s="1"/>
  <c r="BT29" i="34" s="1"/>
  <c r="BT35" i="34" s="1"/>
  <c r="BW10" i="29"/>
  <c r="BT10" i="34" s="1"/>
  <c r="BT16" i="34" s="1"/>
  <c r="BT22" i="34" s="1"/>
  <c r="BT28" i="34" s="1"/>
  <c r="BT34" i="34" s="1"/>
  <c r="BS13" i="29"/>
  <c r="BP13" i="34" s="1"/>
  <c r="BP19" i="34" s="1"/>
  <c r="BP25" i="34" s="1"/>
  <c r="BP31" i="34" s="1"/>
  <c r="BP37" i="34" s="1"/>
  <c r="BS12" i="29"/>
  <c r="BP12" i="34" s="1"/>
  <c r="BP18" i="34" s="1"/>
  <c r="BP24" i="34" s="1"/>
  <c r="BP30" i="34" s="1"/>
  <c r="BP36" i="34" s="1"/>
  <c r="BS11" i="29"/>
  <c r="BP11" i="34" s="1"/>
  <c r="BP17" i="34" s="1"/>
  <c r="BP23" i="34" s="1"/>
  <c r="BP29" i="34" s="1"/>
  <c r="BP35" i="34" s="1"/>
  <c r="BS10" i="29"/>
  <c r="BP10" i="34" s="1"/>
  <c r="BP16" i="34" s="1"/>
  <c r="BP22" i="34" s="1"/>
  <c r="BP28" i="34" s="1"/>
  <c r="BP34" i="34" s="1"/>
  <c r="BO13" i="29"/>
  <c r="BL13" i="34" s="1"/>
  <c r="BL19" i="34" s="1"/>
  <c r="BL25" i="34" s="1"/>
  <c r="BL31" i="34" s="1"/>
  <c r="BL37" i="34" s="1"/>
  <c r="BO12" i="29"/>
  <c r="BL12" i="34" s="1"/>
  <c r="BL18" i="34" s="1"/>
  <c r="BL24" i="34" s="1"/>
  <c r="BL30" i="34" s="1"/>
  <c r="BL36" i="34" s="1"/>
  <c r="BO11" i="29"/>
  <c r="BL11" i="34" s="1"/>
  <c r="BL17" i="34" s="1"/>
  <c r="BL23" i="34" s="1"/>
  <c r="BL29" i="34" s="1"/>
  <c r="BL35" i="34" s="1"/>
  <c r="BO10" i="29"/>
  <c r="BL10" i="34" s="1"/>
  <c r="BL16" i="34" s="1"/>
  <c r="BL22" i="34" s="1"/>
  <c r="BL28" i="34" s="1"/>
  <c r="BL34" i="34" s="1"/>
  <c r="BK13" i="29"/>
  <c r="BH13" i="34" s="1"/>
  <c r="BK12" i="29"/>
  <c r="BH12" i="34" s="1"/>
  <c r="BK11" i="29"/>
  <c r="BH11" i="34" s="1"/>
  <c r="BK10" i="29"/>
  <c r="BH10" i="34" s="1"/>
  <c r="BG13" i="29"/>
  <c r="BD13" i="34" s="1"/>
  <c r="BG12" i="29"/>
  <c r="BD12" i="34" s="1"/>
  <c r="BG11" i="29"/>
  <c r="BD11" i="34" s="1"/>
  <c r="BG10" i="29"/>
  <c r="BD10" i="34" s="1"/>
  <c r="BC13" i="29"/>
  <c r="AZ13" i="34" s="1"/>
  <c r="BC12" i="29"/>
  <c r="AZ12" i="34" s="1"/>
  <c r="BC11" i="29"/>
  <c r="AZ11" i="34" s="1"/>
  <c r="AZ23" i="34" s="1"/>
  <c r="BC10" i="29"/>
  <c r="AZ10" i="34" s="1"/>
  <c r="AZ34" i="34" s="1"/>
  <c r="AY13" i="29"/>
  <c r="AV13" i="34" s="1"/>
  <c r="AY12" i="29"/>
  <c r="AV12" i="34" s="1"/>
  <c r="AY11" i="29"/>
  <c r="AV11" i="34"/>
  <c r="AV29" i="34" s="1"/>
  <c r="AY10" i="29"/>
  <c r="AV10" i="34" s="1"/>
  <c r="AV22" i="34" s="1"/>
  <c r="AU13" i="29"/>
  <c r="AR13" i="34" s="1"/>
  <c r="AU12" i="29"/>
  <c r="AR12" i="34" s="1"/>
  <c r="AU11" i="29"/>
  <c r="AR11" i="34" s="1"/>
  <c r="AR23" i="34" s="1"/>
  <c r="AU10" i="29"/>
  <c r="AR10" i="34" s="1"/>
  <c r="AQ13" i="29"/>
  <c r="AQ12" i="29"/>
  <c r="AN12" i="34" s="1"/>
  <c r="AQ11" i="29"/>
  <c r="AQ10" i="29"/>
  <c r="AN10" i="34" s="1"/>
  <c r="AM13" i="29"/>
  <c r="AJ13" i="34" s="1"/>
  <c r="AM12" i="29"/>
  <c r="AJ12" i="34" s="1"/>
  <c r="AM11" i="29"/>
  <c r="AJ11" i="34" s="1"/>
  <c r="AJ23" i="34" s="1"/>
  <c r="AM10" i="29"/>
  <c r="AJ10" i="34"/>
  <c r="AI13" i="29"/>
  <c r="AF13" i="34" s="1"/>
  <c r="AI12" i="29"/>
  <c r="AF12" i="34" s="1"/>
  <c r="AI11" i="29"/>
  <c r="AF11" i="34" s="1"/>
  <c r="AI10" i="29"/>
  <c r="AF10" i="34"/>
  <c r="AE13" i="29"/>
  <c r="AB13" i="34" s="1"/>
  <c r="AE12" i="29"/>
  <c r="AB12" i="34" s="1"/>
  <c r="AE11" i="29"/>
  <c r="AB11" i="34" s="1"/>
  <c r="AB29" i="34" s="1"/>
  <c r="AE10" i="29"/>
  <c r="AB10" i="34" s="1"/>
  <c r="AA13" i="29"/>
  <c r="X13" i="34" s="1"/>
  <c r="AA12" i="29"/>
  <c r="X12" i="34" s="1"/>
  <c r="AA11" i="29"/>
  <c r="X11" i="34" s="1"/>
  <c r="AA10" i="29"/>
  <c r="X10" i="34" s="1"/>
  <c r="W13" i="29"/>
  <c r="T13" i="34" s="1"/>
  <c r="T25" i="34" s="1"/>
  <c r="W12" i="29"/>
  <c r="T12" i="34" s="1"/>
  <c r="W11" i="29"/>
  <c r="T11" i="34" s="1"/>
  <c r="W10" i="29"/>
  <c r="T10" i="34"/>
  <c r="T16" i="34" s="1"/>
  <c r="S13" i="29"/>
  <c r="P13" i="34" s="1"/>
  <c r="P31" i="34" s="1"/>
  <c r="S12" i="29"/>
  <c r="P12" i="34" s="1"/>
  <c r="S11" i="29"/>
  <c r="P11" i="34" s="1"/>
  <c r="P17" i="34" s="1"/>
  <c r="S10" i="29"/>
  <c r="P10" i="34" s="1"/>
  <c r="O13" i="29"/>
  <c r="L13" i="34" s="1"/>
  <c r="O12" i="29"/>
  <c r="L12" i="34" s="1"/>
  <c r="O11" i="29"/>
  <c r="L11" i="34" s="1"/>
  <c r="O10" i="29"/>
  <c r="L10" i="34" s="1"/>
  <c r="L28" i="34" s="1"/>
  <c r="K13" i="29"/>
  <c r="H13" i="34" s="1"/>
  <c r="K12" i="29"/>
  <c r="H12" i="34" s="1"/>
  <c r="H24" i="34" s="1"/>
  <c r="K11" i="29"/>
  <c r="H11" i="34" s="1"/>
  <c r="K10" i="29"/>
  <c r="H10" i="34" s="1"/>
  <c r="H22" i="34" s="1"/>
  <c r="G13" i="29"/>
  <c r="G12" i="29"/>
  <c r="G11" i="29"/>
  <c r="G10" i="29"/>
  <c r="DB15" i="29"/>
  <c r="DC11" i="29"/>
  <c r="CZ11" i="34" s="1"/>
  <c r="CZ17" i="34" s="1"/>
  <c r="CZ23" i="34" s="1"/>
  <c r="CZ29" i="34" s="1"/>
  <c r="CZ35" i="34" s="1"/>
  <c r="DC10" i="29"/>
  <c r="CZ10" i="34" s="1"/>
  <c r="CZ16" i="34" s="1"/>
  <c r="CZ22" i="34" s="1"/>
  <c r="CZ28" i="34" s="1"/>
  <c r="CZ34" i="34" s="1"/>
  <c r="CD11" i="29"/>
  <c r="CI11" i="29"/>
  <c r="CF11" i="34" s="1"/>
  <c r="CF17" i="34" s="1"/>
  <c r="CF23" i="34" s="1"/>
  <c r="CF29" i="34" s="1"/>
  <c r="CF35" i="34" s="1"/>
  <c r="CD10" i="29"/>
  <c r="CH8" i="29"/>
  <c r="E8" i="29"/>
  <c r="AD6" i="29"/>
  <c r="AH6" i="29" s="1"/>
  <c r="AL6" i="29" s="1"/>
  <c r="AP6" i="29" s="1"/>
  <c r="AT6" i="29" s="1"/>
  <c r="AX6" i="29" s="1"/>
  <c r="A1" i="29"/>
  <c r="F169" i="97"/>
  <c r="AD69" i="9"/>
  <c r="AD67" i="9"/>
  <c r="DI76" i="28"/>
  <c r="DH76" i="28"/>
  <c r="DG76" i="28"/>
  <c r="DF76" i="28"/>
  <c r="BD79" i="28"/>
  <c r="BC79" i="28"/>
  <c r="BB79" i="28"/>
  <c r="BA79" i="28"/>
  <c r="BD78" i="28"/>
  <c r="BC78" i="28"/>
  <c r="BB78" i="28"/>
  <c r="BA78" i="28"/>
  <c r="BD77" i="28"/>
  <c r="BD76" i="28" s="1"/>
  <c r="BC77" i="28"/>
  <c r="BB77" i="28"/>
  <c r="BB76" i="28" s="1"/>
  <c r="BA77" i="28"/>
  <c r="AY79" i="28"/>
  <c r="AX79" i="28"/>
  <c r="AW79" i="28"/>
  <c r="AV79" i="28"/>
  <c r="AY78" i="28"/>
  <c r="AX78" i="28"/>
  <c r="AW78" i="28"/>
  <c r="AV78" i="28"/>
  <c r="AY77" i="28"/>
  <c r="AY76" i="28" s="1"/>
  <c r="AX77" i="28"/>
  <c r="AW77" i="28"/>
  <c r="AV77" i="28"/>
  <c r="AV76" i="28" s="1"/>
  <c r="AT79" i="28"/>
  <c r="AS79" i="28"/>
  <c r="AR79" i="28"/>
  <c r="AQ79" i="28"/>
  <c r="AT78" i="28"/>
  <c r="AS78" i="28"/>
  <c r="AR78" i="28"/>
  <c r="AQ78" i="28"/>
  <c r="AT77" i="28"/>
  <c r="AT76" i="28" s="1"/>
  <c r="AS77" i="28"/>
  <c r="AS76" i="28"/>
  <c r="AR77" i="28"/>
  <c r="AQ77" i="28"/>
  <c r="AQ76" i="28" s="1"/>
  <c r="AO79" i="28"/>
  <c r="AN79" i="28"/>
  <c r="AM79" i="28"/>
  <c r="AL79" i="28"/>
  <c r="AO78" i="28"/>
  <c r="AN78" i="28"/>
  <c r="AM78" i="28"/>
  <c r="AL78" i="28"/>
  <c r="AO77" i="28"/>
  <c r="AO76" i="28" s="1"/>
  <c r="AN77" i="28"/>
  <c r="AN76" i="28" s="1"/>
  <c r="AM77" i="28"/>
  <c r="AM76" i="28" s="1"/>
  <c r="AL77" i="28"/>
  <c r="AJ79" i="28"/>
  <c r="AI79" i="28"/>
  <c r="AH79" i="28"/>
  <c r="AG79" i="28"/>
  <c r="AJ78" i="28"/>
  <c r="AI78" i="28"/>
  <c r="AH78" i="28"/>
  <c r="AG78" i="28"/>
  <c r="AJ77" i="28"/>
  <c r="AI77" i="28"/>
  <c r="AI76" i="28" s="1"/>
  <c r="AH77" i="28"/>
  <c r="AH76" i="28" s="1"/>
  <c r="AG77" i="28"/>
  <c r="AG76" i="28" s="1"/>
  <c r="AE79" i="28"/>
  <c r="AD79" i="28"/>
  <c r="AC79" i="28"/>
  <c r="AB79" i="28"/>
  <c r="AE78" i="28"/>
  <c r="AD78" i="28"/>
  <c r="AC78" i="28"/>
  <c r="AB78" i="28"/>
  <c r="AE77" i="28"/>
  <c r="AE76" i="28" s="1"/>
  <c r="AD77" i="28"/>
  <c r="AC77" i="28"/>
  <c r="AC76" i="28" s="1"/>
  <c r="AB77" i="28"/>
  <c r="AB76" i="28" s="1"/>
  <c r="Z79" i="28"/>
  <c r="Y79" i="28"/>
  <c r="X79" i="28"/>
  <c r="W79" i="28"/>
  <c r="Z78" i="28"/>
  <c r="Y78" i="28"/>
  <c r="X78" i="28"/>
  <c r="W78" i="28"/>
  <c r="Z77" i="28"/>
  <c r="Z76" i="28" s="1"/>
  <c r="Y77" i="28"/>
  <c r="Y76" i="28" s="1"/>
  <c r="X77" i="28"/>
  <c r="W77" i="28"/>
  <c r="U79" i="28"/>
  <c r="T79" i="28"/>
  <c r="S79" i="28"/>
  <c r="R79" i="28"/>
  <c r="U78" i="28"/>
  <c r="T78" i="28"/>
  <c r="S78" i="28"/>
  <c r="R78" i="28"/>
  <c r="U77" i="28"/>
  <c r="T77" i="28"/>
  <c r="S77" i="28"/>
  <c r="S76" i="28"/>
  <c r="R77" i="28"/>
  <c r="P79" i="28"/>
  <c r="O79" i="28"/>
  <c r="N79" i="28"/>
  <c r="M79" i="28"/>
  <c r="P78" i="28"/>
  <c r="O78" i="28"/>
  <c r="N78" i="28"/>
  <c r="M78" i="28"/>
  <c r="P77" i="28"/>
  <c r="O77" i="28"/>
  <c r="O76" i="28" s="1"/>
  <c r="N77" i="28"/>
  <c r="N76" i="28" s="1"/>
  <c r="M77" i="28"/>
  <c r="M76" i="28" s="1"/>
  <c r="K79" i="28"/>
  <c r="J79" i="28"/>
  <c r="I79" i="28"/>
  <c r="H79" i="28"/>
  <c r="K78" i="28"/>
  <c r="J78" i="28"/>
  <c r="I78" i="28"/>
  <c r="H78" i="28"/>
  <c r="K77" i="28"/>
  <c r="K76" i="28" s="1"/>
  <c r="J77" i="28"/>
  <c r="I77" i="28"/>
  <c r="I76" i="28" s="1"/>
  <c r="H77" i="28"/>
  <c r="F79" i="28"/>
  <c r="E79" i="28"/>
  <c r="D79" i="28"/>
  <c r="C79" i="28"/>
  <c r="F78" i="28"/>
  <c r="E78" i="28"/>
  <c r="D78" i="28"/>
  <c r="C78" i="28"/>
  <c r="F77" i="28"/>
  <c r="F76" i="28" s="1"/>
  <c r="E77" i="28"/>
  <c r="D77" i="28"/>
  <c r="C77" i="28"/>
  <c r="DE75" i="28"/>
  <c r="DD75" i="28"/>
  <c r="DC75" i="28"/>
  <c r="DB75" i="28"/>
  <c r="DA75" i="28"/>
  <c r="CZ75" i="28"/>
  <c r="CY75" i="28"/>
  <c r="BK65" i="28"/>
  <c r="CM65" i="28"/>
  <c r="CL65" i="28"/>
  <c r="CK65" i="28"/>
  <c r="CJ65" i="28"/>
  <c r="CM62" i="28"/>
  <c r="CL62" i="28"/>
  <c r="CK62" i="28"/>
  <c r="CJ62" i="28"/>
  <c r="DS60" i="28"/>
  <c r="DR60" i="28"/>
  <c r="DQ60" i="28"/>
  <c r="DP60" i="28"/>
  <c r="DO60" i="28"/>
  <c r="DN60" i="28"/>
  <c r="DM60" i="28"/>
  <c r="DL60" i="28"/>
  <c r="DK60" i="28"/>
  <c r="DJ60" i="28"/>
  <c r="DI60" i="28"/>
  <c r="DH60" i="28"/>
  <c r="DG60" i="28"/>
  <c r="DF60" i="28"/>
  <c r="DE60" i="28"/>
  <c r="DD60" i="28"/>
  <c r="DC60" i="28"/>
  <c r="DB60" i="28"/>
  <c r="DA60" i="28"/>
  <c r="CZ60" i="28"/>
  <c r="CY60" i="28"/>
  <c r="Z47" i="28"/>
  <c r="F51" i="28"/>
  <c r="D51" i="28"/>
  <c r="CF47" i="28"/>
  <c r="CE47" i="28"/>
  <c r="CC47" i="28"/>
  <c r="CB47" i="28"/>
  <c r="CA47" i="28"/>
  <c r="BZ47" i="28"/>
  <c r="BX47" i="28"/>
  <c r="BW47" i="28"/>
  <c r="BV47" i="28"/>
  <c r="BU47" i="28"/>
  <c r="BS47" i="28"/>
  <c r="BR47" i="28"/>
  <c r="BQ47" i="28"/>
  <c r="BP47" i="28"/>
  <c r="BN47" i="28"/>
  <c r="BM47" i="28"/>
  <c r="BL47" i="28"/>
  <c r="BK47" i="28"/>
  <c r="BI47" i="28"/>
  <c r="BH47" i="28"/>
  <c r="BG47" i="28"/>
  <c r="BF47" i="28"/>
  <c r="BD47" i="28"/>
  <c r="BC47" i="28"/>
  <c r="BB47" i="28"/>
  <c r="BA47" i="28"/>
  <c r="AY47" i="28"/>
  <c r="AX47" i="28"/>
  <c r="AW47" i="28"/>
  <c r="AV47" i="28"/>
  <c r="AT47" i="28"/>
  <c r="AS47" i="28"/>
  <c r="AR47" i="28"/>
  <c r="AQ47" i="28"/>
  <c r="AO47" i="28"/>
  <c r="AN47" i="28"/>
  <c r="AM47" i="28"/>
  <c r="AL47" i="28"/>
  <c r="AJ47" i="28"/>
  <c r="AI47" i="28"/>
  <c r="AH47" i="28"/>
  <c r="AG47" i="28"/>
  <c r="AE47" i="28"/>
  <c r="AD47" i="28"/>
  <c r="AC47" i="28"/>
  <c r="AB47" i="28"/>
  <c r="Y47" i="28"/>
  <c r="X47" i="28"/>
  <c r="W47" i="28"/>
  <c r="U47" i="28"/>
  <c r="T47" i="28"/>
  <c r="S47" i="28"/>
  <c r="R47" i="28"/>
  <c r="P47" i="28"/>
  <c r="O47" i="28"/>
  <c r="N47" i="28"/>
  <c r="M47" i="28"/>
  <c r="K47" i="28"/>
  <c r="J47" i="28"/>
  <c r="I47" i="28"/>
  <c r="H47" i="28"/>
  <c r="F47" i="28"/>
  <c r="E47" i="28"/>
  <c r="D47" i="28"/>
  <c r="C47" i="28"/>
  <c r="E46" i="28"/>
  <c r="C46" i="28"/>
  <c r="DC32" i="28"/>
  <c r="DJ31" i="28"/>
  <c r="DI31" i="28"/>
  <c r="DH31" i="28"/>
  <c r="DG31" i="28"/>
  <c r="DF31" i="28"/>
  <c r="DC31" i="28"/>
  <c r="DB31" i="28"/>
  <c r="DB30" i="28"/>
  <c r="CG32" i="28"/>
  <c r="CF32" i="28"/>
  <c r="CE32" i="28"/>
  <c r="CE31" i="28"/>
  <c r="CF30" i="28"/>
  <c r="CE30" i="28"/>
  <c r="CC32" i="28"/>
  <c r="CB32" i="28"/>
  <c r="CA32" i="28"/>
  <c r="BZ32" i="28"/>
  <c r="CC31" i="28"/>
  <c r="CB31" i="28"/>
  <c r="CA31" i="28"/>
  <c r="BZ31" i="28"/>
  <c r="CC30" i="28"/>
  <c r="CB30" i="28"/>
  <c r="CA30" i="28"/>
  <c r="BZ30" i="28"/>
  <c r="BX32" i="28"/>
  <c r="BW32" i="28"/>
  <c r="BV32" i="28"/>
  <c r="BU32" i="28"/>
  <c r="BX31" i="28"/>
  <c r="BW31" i="28"/>
  <c r="BV31" i="28"/>
  <c r="BU31" i="28"/>
  <c r="BX30" i="28"/>
  <c r="BW30" i="28"/>
  <c r="BV30" i="28"/>
  <c r="BU30" i="28"/>
  <c r="BR32" i="28"/>
  <c r="BQ32" i="28"/>
  <c r="BP32" i="28"/>
  <c r="BS31" i="28"/>
  <c r="BR31" i="28"/>
  <c r="BQ31" i="28"/>
  <c r="BP31" i="28"/>
  <c r="BS30" i="28"/>
  <c r="BR30" i="28"/>
  <c r="BQ30" i="28"/>
  <c r="BP30" i="28"/>
  <c r="BN32" i="28"/>
  <c r="BM32" i="28"/>
  <c r="BL32" i="28"/>
  <c r="BK32" i="28"/>
  <c r="BN31" i="28"/>
  <c r="BM31" i="28"/>
  <c r="BL31" i="28"/>
  <c r="BK31" i="28"/>
  <c r="BN30" i="28"/>
  <c r="BM30" i="28"/>
  <c r="BL30" i="28"/>
  <c r="BK30" i="28"/>
  <c r="BI32" i="28"/>
  <c r="BH32" i="28"/>
  <c r="BG32" i="28"/>
  <c r="BF32" i="28"/>
  <c r="BI31" i="28"/>
  <c r="BH31" i="28"/>
  <c r="BG31" i="28"/>
  <c r="BF31" i="28"/>
  <c r="BI30" i="28"/>
  <c r="BH30" i="28"/>
  <c r="BG30" i="28"/>
  <c r="BF30" i="28"/>
  <c r="BD32" i="28"/>
  <c r="BC32" i="28"/>
  <c r="BB32" i="28"/>
  <c r="BA32" i="28"/>
  <c r="BD31" i="28"/>
  <c r="BC31" i="28"/>
  <c r="BB31" i="28"/>
  <c r="BA31" i="28"/>
  <c r="BD30" i="28"/>
  <c r="BC30" i="28"/>
  <c r="BB30" i="28"/>
  <c r="BA30" i="28"/>
  <c r="AY32" i="28"/>
  <c r="AX32" i="28"/>
  <c r="AW32" i="28"/>
  <c r="AV32" i="28"/>
  <c r="AY31" i="28"/>
  <c r="AX31" i="28"/>
  <c r="AW31" i="28"/>
  <c r="AV31" i="28"/>
  <c r="AY30" i="28"/>
  <c r="AX30" i="28"/>
  <c r="AW30" i="28"/>
  <c r="AV30" i="28"/>
  <c r="AT32" i="28"/>
  <c r="AS32" i="28"/>
  <c r="AR32" i="28"/>
  <c r="AQ32" i="28"/>
  <c r="AT31" i="28"/>
  <c r="AS31" i="28"/>
  <c r="AR31" i="28"/>
  <c r="AQ31" i="28"/>
  <c r="AT30" i="28"/>
  <c r="AS30" i="28"/>
  <c r="AR30" i="28"/>
  <c r="AQ30" i="28"/>
  <c r="AO32" i="28"/>
  <c r="AN32" i="28"/>
  <c r="AM32" i="28"/>
  <c r="AL32" i="28"/>
  <c r="AO31" i="28"/>
  <c r="AN31" i="28"/>
  <c r="AM31" i="28"/>
  <c r="AL31" i="28"/>
  <c r="AO30" i="28"/>
  <c r="AN30" i="28"/>
  <c r="AM30" i="28"/>
  <c r="AL30" i="28"/>
  <c r="AJ32" i="28"/>
  <c r="AI32" i="28"/>
  <c r="AH32" i="28"/>
  <c r="AG32" i="28"/>
  <c r="AH31" i="28"/>
  <c r="AJ30" i="28"/>
  <c r="AI30" i="28"/>
  <c r="AH30" i="28"/>
  <c r="AG30" i="28"/>
  <c r="AE32" i="28"/>
  <c r="AD32" i="28"/>
  <c r="AC32" i="28"/>
  <c r="AB32" i="28"/>
  <c r="AE31" i="28"/>
  <c r="AD31" i="28"/>
  <c r="AB31" i="28"/>
  <c r="Z32" i="28"/>
  <c r="Y32" i="28"/>
  <c r="X32" i="28"/>
  <c r="W32" i="28"/>
  <c r="Z31" i="28"/>
  <c r="Y31" i="28"/>
  <c r="X31" i="28"/>
  <c r="W31" i="28"/>
  <c r="Y30" i="28"/>
  <c r="W30" i="28"/>
  <c r="U32" i="28"/>
  <c r="T32" i="28"/>
  <c r="S32" i="28"/>
  <c r="R32" i="28"/>
  <c r="U31" i="28"/>
  <c r="T31" i="28"/>
  <c r="S31" i="28"/>
  <c r="R31" i="28"/>
  <c r="U30" i="28"/>
  <c r="T30" i="28"/>
  <c r="S30" i="28"/>
  <c r="R30" i="28"/>
  <c r="P32" i="28"/>
  <c r="O32" i="28"/>
  <c r="N32" i="28"/>
  <c r="M32" i="28"/>
  <c r="P31" i="28"/>
  <c r="O31" i="28"/>
  <c r="N31" i="28"/>
  <c r="M31" i="28"/>
  <c r="P30" i="28"/>
  <c r="O30" i="28"/>
  <c r="N30" i="28"/>
  <c r="M30" i="28"/>
  <c r="K32" i="28"/>
  <c r="J32" i="28"/>
  <c r="I32" i="28"/>
  <c r="H32" i="28"/>
  <c r="K31" i="28"/>
  <c r="J31" i="28"/>
  <c r="I31" i="28"/>
  <c r="H31" i="28"/>
  <c r="K30" i="28"/>
  <c r="J30" i="28"/>
  <c r="I30" i="28"/>
  <c r="H30" i="28"/>
  <c r="F30" i="28"/>
  <c r="E30" i="28"/>
  <c r="D30" i="28"/>
  <c r="C30" i="28"/>
  <c r="DG26" i="28"/>
  <c r="AQ26" i="28"/>
  <c r="AQ24" i="28"/>
  <c r="DD24" i="28"/>
  <c r="CC24" i="28"/>
  <c r="CB24" i="28"/>
  <c r="BZ24" i="28"/>
  <c r="BX24" i="28"/>
  <c r="BW24" i="28"/>
  <c r="BV24" i="28"/>
  <c r="BU24" i="28"/>
  <c r="BS24" i="28"/>
  <c r="BR24" i="28"/>
  <c r="BQ24" i="28"/>
  <c r="BP24" i="28"/>
  <c r="BN24" i="28"/>
  <c r="BM24" i="28"/>
  <c r="BL24" i="28"/>
  <c r="BK24" i="28"/>
  <c r="BI24" i="28"/>
  <c r="BH24" i="28"/>
  <c r="BG24" i="28"/>
  <c r="BF24" i="28"/>
  <c r="BD24" i="28"/>
  <c r="BC24" i="28"/>
  <c r="BB24" i="28"/>
  <c r="BA24" i="28"/>
  <c r="AY24" i="28"/>
  <c r="AX24" i="28"/>
  <c r="AW24" i="28"/>
  <c r="AV24" i="28"/>
  <c r="AT24" i="28"/>
  <c r="AS24" i="28"/>
  <c r="AO24" i="28"/>
  <c r="AN24" i="28"/>
  <c r="AM24" i="28"/>
  <c r="AL24" i="28"/>
  <c r="AJ24" i="28"/>
  <c r="AI24" i="28"/>
  <c r="AH24" i="28"/>
  <c r="AG24" i="28"/>
  <c r="AE24" i="28"/>
  <c r="AD24" i="28"/>
  <c r="AC24" i="28"/>
  <c r="AB24" i="28"/>
  <c r="Z24" i="28"/>
  <c r="Y24" i="28"/>
  <c r="X24" i="28"/>
  <c r="W24" i="28"/>
  <c r="U24" i="28"/>
  <c r="T24" i="28"/>
  <c r="S24" i="28"/>
  <c r="R24" i="28"/>
  <c r="P24" i="28"/>
  <c r="N24" i="28"/>
  <c r="M24" i="28"/>
  <c r="K24" i="28"/>
  <c r="J24" i="28"/>
  <c r="I24" i="28"/>
  <c r="H24" i="28"/>
  <c r="F24" i="28"/>
  <c r="E24" i="28"/>
  <c r="D24" i="28"/>
  <c r="C24" i="28"/>
  <c r="CH21" i="28"/>
  <c r="CG21" i="28"/>
  <c r="CF21" i="28"/>
  <c r="CE21" i="28"/>
  <c r="CC21" i="28"/>
  <c r="CB21" i="28"/>
  <c r="CA21" i="28"/>
  <c r="CA39" i="28" s="1"/>
  <c r="BZ21" i="28"/>
  <c r="BX21" i="28"/>
  <c r="BW21" i="28"/>
  <c r="BV21" i="28"/>
  <c r="BU21" i="28"/>
  <c r="BS21" i="28"/>
  <c r="BR21" i="28"/>
  <c r="BQ21" i="28"/>
  <c r="BP21" i="28"/>
  <c r="BN21" i="28"/>
  <c r="BM21" i="28"/>
  <c r="BL21" i="28"/>
  <c r="BK21" i="28"/>
  <c r="BI21" i="28"/>
  <c r="BH21" i="28"/>
  <c r="BG21" i="28"/>
  <c r="BF21" i="28"/>
  <c r="BD21" i="28"/>
  <c r="BC21" i="28"/>
  <c r="BB21" i="28"/>
  <c r="BA21" i="28"/>
  <c r="AY21" i="28"/>
  <c r="AX21" i="28"/>
  <c r="AW21" i="28"/>
  <c r="AV21" i="28"/>
  <c r="AT21" i="28"/>
  <c r="AR21" i="28"/>
  <c r="AN21" i="28"/>
  <c r="AL21" i="28"/>
  <c r="AJ21" i="28"/>
  <c r="AI21" i="28"/>
  <c r="AH21" i="28"/>
  <c r="AG21" i="28"/>
  <c r="AD21" i="28"/>
  <c r="AC21" i="28"/>
  <c r="AB21" i="28"/>
  <c r="U21" i="28"/>
  <c r="T21" i="28"/>
  <c r="S21" i="28"/>
  <c r="O21" i="28"/>
  <c r="N21" i="28"/>
  <c r="J21" i="28"/>
  <c r="H21" i="28"/>
  <c r="F21" i="28"/>
  <c r="E21" i="28"/>
  <c r="D21" i="28"/>
  <c r="C21" i="28"/>
  <c r="DH17" i="28"/>
  <c r="DB17" i="28"/>
  <c r="DA17" i="28"/>
  <c r="CZ17" i="28"/>
  <c r="CY17" i="28"/>
  <c r="CH17" i="28"/>
  <c r="CG17" i="28"/>
  <c r="CF17" i="28"/>
  <c r="CE17" i="28"/>
  <c r="CA17" i="28"/>
  <c r="BZ17" i="28"/>
  <c r="BV17" i="28"/>
  <c r="BU17" i="28"/>
  <c r="BQ17" i="28"/>
  <c r="BP17" i="28"/>
  <c r="BK17" i="28"/>
  <c r="AJ17" i="28"/>
  <c r="AI17" i="28"/>
  <c r="AH17" i="28"/>
  <c r="AG17" i="28"/>
  <c r="AE17" i="28"/>
  <c r="AD17" i="28"/>
  <c r="AC17" i="28"/>
  <c r="AB17" i="28"/>
  <c r="Z17" i="28"/>
  <c r="Y17" i="28"/>
  <c r="X17" i="28"/>
  <c r="W17" i="28"/>
  <c r="U17" i="28"/>
  <c r="T17" i="28"/>
  <c r="S17" i="28"/>
  <c r="R17" i="28"/>
  <c r="O17" i="28"/>
  <c r="M17" i="28"/>
  <c r="DS16" i="28"/>
  <c r="DR16" i="28"/>
  <c r="DQ16" i="28"/>
  <c r="DP16" i="28"/>
  <c r="CC15" i="28"/>
  <c r="CB15" i="28"/>
  <c r="CA15" i="28"/>
  <c r="BZ15" i="28"/>
  <c r="BX15" i="28"/>
  <c r="BW15" i="28"/>
  <c r="BV15" i="28"/>
  <c r="BU15" i="28"/>
  <c r="BS15" i="28"/>
  <c r="BR15" i="28"/>
  <c r="BQ15" i="28"/>
  <c r="BP15" i="28"/>
  <c r="BN15" i="28"/>
  <c r="BM15" i="28"/>
  <c r="BL15" i="28"/>
  <c r="BK15" i="28"/>
  <c r="BF17" i="28"/>
  <c r="BI15" i="28"/>
  <c r="BH15" i="28"/>
  <c r="BG15" i="28"/>
  <c r="BF15" i="28"/>
  <c r="BB17" i="28"/>
  <c r="BA17" i="28"/>
  <c r="BC16" i="28"/>
  <c r="BD15" i="28"/>
  <c r="BC15" i="28"/>
  <c r="BB15" i="28"/>
  <c r="BA15" i="28"/>
  <c r="AV17" i="28"/>
  <c r="AW16" i="28"/>
  <c r="AY15" i="28"/>
  <c r="AX15" i="28"/>
  <c r="AW15" i="28"/>
  <c r="AV15" i="28"/>
  <c r="AQ17" i="28"/>
  <c r="AT15" i="28"/>
  <c r="AR15" i="28"/>
  <c r="AQ15" i="28"/>
  <c r="AN17" i="28"/>
  <c r="AM17" i="28"/>
  <c r="AL17" i="28"/>
  <c r="AM16" i="28"/>
  <c r="AL16" i="28"/>
  <c r="AO15" i="28"/>
  <c r="AN15" i="28"/>
  <c r="AM15" i="28"/>
  <c r="AL15" i="28"/>
  <c r="AJ15" i="28"/>
  <c r="AI15" i="28"/>
  <c r="AN51" i="28" s="1"/>
  <c r="AH15" i="28"/>
  <c r="AM51" i="28" s="1"/>
  <c r="AG15" i="28"/>
  <c r="AE15" i="28"/>
  <c r="AD15" i="28"/>
  <c r="Z15" i="28"/>
  <c r="Y15" i="28"/>
  <c r="X15" i="28"/>
  <c r="W15" i="28"/>
  <c r="U15" i="28"/>
  <c r="T15" i="28"/>
  <c r="S15" i="28"/>
  <c r="R15" i="28"/>
  <c r="P15" i="28"/>
  <c r="O15" i="28"/>
  <c r="N15" i="28"/>
  <c r="M15" i="28"/>
  <c r="K15" i="28"/>
  <c r="J15" i="28"/>
  <c r="I15" i="28"/>
  <c r="H15" i="28"/>
  <c r="F15" i="28"/>
  <c r="E15" i="28"/>
  <c r="D15" i="28"/>
  <c r="C15" i="28"/>
  <c r="H51" i="28" s="1"/>
  <c r="CF12" i="28"/>
  <c r="CE12" i="28"/>
  <c r="CC12" i="28"/>
  <c r="CB12" i="28"/>
  <c r="CA12" i="28"/>
  <c r="BZ12" i="28"/>
  <c r="BX12" i="28"/>
  <c r="BW12" i="28"/>
  <c r="BV12" i="28"/>
  <c r="BU12" i="28"/>
  <c r="BS12" i="28"/>
  <c r="BR12" i="28"/>
  <c r="BQ12" i="28"/>
  <c r="BP12" i="28"/>
  <c r="BN12" i="28"/>
  <c r="BM12" i="28"/>
  <c r="BL12" i="28"/>
  <c r="BK12" i="28"/>
  <c r="BI12" i="28"/>
  <c r="BH12" i="28"/>
  <c r="BG12" i="28"/>
  <c r="BF12" i="28"/>
  <c r="BD12" i="28"/>
  <c r="BC12" i="28"/>
  <c r="BB12" i="28"/>
  <c r="BA12" i="28"/>
  <c r="AY12" i="28"/>
  <c r="AX12" i="28"/>
  <c r="AW12" i="28"/>
  <c r="AV12" i="28"/>
  <c r="AT12" i="28"/>
  <c r="AS12" i="28"/>
  <c r="AR12" i="28"/>
  <c r="AQ12" i="28"/>
  <c r="AO12" i="28"/>
  <c r="AN12" i="28"/>
  <c r="AM12" i="28"/>
  <c r="AL12" i="28"/>
  <c r="AJ12" i="28"/>
  <c r="AI12" i="28"/>
  <c r="AH12" i="28"/>
  <c r="AG12" i="28"/>
  <c r="AE12" i="28"/>
  <c r="AD12" i="28"/>
  <c r="AC12" i="28"/>
  <c r="AB12" i="28"/>
  <c r="Z12" i="28"/>
  <c r="Y12" i="28"/>
  <c r="X12" i="28"/>
  <c r="W12" i="28"/>
  <c r="U12" i="28"/>
  <c r="T12" i="28"/>
  <c r="S12" i="28"/>
  <c r="R12" i="28"/>
  <c r="P12" i="28"/>
  <c r="O12" i="28"/>
  <c r="N12" i="28"/>
  <c r="M12" i="28"/>
  <c r="K12" i="28"/>
  <c r="J12" i="28"/>
  <c r="I12" i="28"/>
  <c r="H12" i="28"/>
  <c r="F12" i="28"/>
  <c r="E12" i="28"/>
  <c r="D12" i="28"/>
  <c r="C12" i="28"/>
  <c r="CF10" i="28"/>
  <c r="CE10" i="28"/>
  <c r="CC10" i="28"/>
  <c r="CB10" i="28"/>
  <c r="BZ10" i="28"/>
  <c r="BX10" i="28"/>
  <c r="CC46" i="28" s="1"/>
  <c r="BW10" i="28"/>
  <c r="BV10" i="28"/>
  <c r="BU10" i="28"/>
  <c r="BS10" i="28"/>
  <c r="BR10" i="28"/>
  <c r="BQ10" i="28"/>
  <c r="BP10" i="28"/>
  <c r="BN10" i="28"/>
  <c r="BM10" i="28"/>
  <c r="BL10" i="28"/>
  <c r="BK10" i="28"/>
  <c r="BI10" i="28"/>
  <c r="BH10" i="28"/>
  <c r="BG10" i="28"/>
  <c r="BF10" i="28"/>
  <c r="BF39" i="28" s="1"/>
  <c r="BD10" i="28"/>
  <c r="BC10" i="28"/>
  <c r="BB10" i="28"/>
  <c r="BB39" i="28" s="1"/>
  <c r="AY10" i="28"/>
  <c r="AX10" i="28"/>
  <c r="AX14" i="28" s="1"/>
  <c r="AX36" i="28" s="1"/>
  <c r="AW10" i="28"/>
  <c r="AV10" i="28"/>
  <c r="AT10" i="28"/>
  <c r="AS10" i="28"/>
  <c r="AR10" i="28"/>
  <c r="AQ10" i="28"/>
  <c r="AQ37" i="28" s="1"/>
  <c r="AO10" i="28"/>
  <c r="AO14" i="28" s="1"/>
  <c r="AO19" i="28" s="1"/>
  <c r="AN10" i="28"/>
  <c r="AN14" i="28" s="1"/>
  <c r="AM10" i="28"/>
  <c r="AL10" i="28"/>
  <c r="AJ10" i="28"/>
  <c r="AJ14" i="28" s="1"/>
  <c r="AI10" i="28"/>
  <c r="AI39" i="28" s="1"/>
  <c r="AH10" i="28"/>
  <c r="AG10" i="28"/>
  <c r="AE10" i="28"/>
  <c r="AD10" i="28"/>
  <c r="AD14" i="28" s="1"/>
  <c r="AC10" i="28"/>
  <c r="AB10" i="28"/>
  <c r="Z10" i="28"/>
  <c r="Y10" i="28"/>
  <c r="X10" i="28"/>
  <c r="W10" i="28"/>
  <c r="U10" i="28"/>
  <c r="U14" i="28" s="1"/>
  <c r="T10" i="28"/>
  <c r="T14" i="28" s="1"/>
  <c r="S10" i="28"/>
  <c r="R10" i="28"/>
  <c r="P10" i="28"/>
  <c r="O10" i="28"/>
  <c r="T46" i="28" s="1"/>
  <c r="N10" i="28"/>
  <c r="M10" i="28"/>
  <c r="M14" i="28" s="1"/>
  <c r="K10" i="28"/>
  <c r="K14" i="28" s="1"/>
  <c r="J10" i="28"/>
  <c r="J14" i="28" s="1"/>
  <c r="J36" i="28" s="1"/>
  <c r="I10" i="28"/>
  <c r="H10" i="28"/>
  <c r="F10" i="28"/>
  <c r="E10" i="28"/>
  <c r="D10" i="28"/>
  <c r="C10" i="28"/>
  <c r="C14" i="28" s="1"/>
  <c r="DA8" i="28"/>
  <c r="DB8" i="28" s="1"/>
  <c r="DC8" i="28" s="1"/>
  <c r="DD8" i="28" s="1"/>
  <c r="DE8" i="28" s="1"/>
  <c r="DF8" i="28" s="1"/>
  <c r="DG8" i="28" s="1"/>
  <c r="DH8" i="28" s="1"/>
  <c r="DI8" i="28" s="1"/>
  <c r="DJ8" i="28" s="1"/>
  <c r="DK8" i="28" s="1"/>
  <c r="DL8" i="28" s="1"/>
  <c r="DM8" i="28" s="1"/>
  <c r="DN8" i="28" s="1"/>
  <c r="DO8" i="28" s="1"/>
  <c r="DP8" i="28" s="1"/>
  <c r="K8" i="28"/>
  <c r="P8" i="28" s="1"/>
  <c r="U8" i="28" s="1"/>
  <c r="Z8" i="28" s="1"/>
  <c r="AE8" i="28" s="1"/>
  <c r="J8" i="28"/>
  <c r="O8" i="28" s="1"/>
  <c r="T8" i="28" s="1"/>
  <c r="Y8" i="28" s="1"/>
  <c r="AD8" i="28" s="1"/>
  <c r="I8" i="28"/>
  <c r="N8" i="28" s="1"/>
  <c r="S8" i="28" s="1"/>
  <c r="X8" i="28" s="1"/>
  <c r="AC8" i="28" s="1"/>
  <c r="H8" i="28"/>
  <c r="M8" i="28"/>
  <c r="R8" i="28" s="1"/>
  <c r="W8" i="28" s="1"/>
  <c r="AB8" i="28" s="1"/>
  <c r="AV7" i="28"/>
  <c r="AQ7" i="28"/>
  <c r="AL7" i="28"/>
  <c r="AG7" i="28"/>
  <c r="AB7" i="28"/>
  <c r="R7" i="28"/>
  <c r="M7" i="28"/>
  <c r="AA150" i="97"/>
  <c r="R125" i="97"/>
  <c r="Q125" i="97"/>
  <c r="P125" i="97"/>
  <c r="O125" i="97"/>
  <c r="N125" i="97"/>
  <c r="M125" i="97"/>
  <c r="L125" i="97"/>
  <c r="K125" i="97"/>
  <c r="J125" i="97"/>
  <c r="I125" i="97"/>
  <c r="H125" i="97"/>
  <c r="G125" i="97"/>
  <c r="F125" i="97"/>
  <c r="E125" i="97"/>
  <c r="D125" i="97"/>
  <c r="C125" i="97"/>
  <c r="C124" i="97"/>
  <c r="D122" i="97"/>
  <c r="C122" i="97"/>
  <c r="D83" i="97"/>
  <c r="D81" i="97"/>
  <c r="C81" i="97"/>
  <c r="D42" i="97"/>
  <c r="E42" i="97" s="1"/>
  <c r="F42" i="97" s="1"/>
  <c r="G42" i="97" s="1"/>
  <c r="H42" i="97" s="1"/>
  <c r="I42" i="97" s="1"/>
  <c r="J42" i="97" s="1"/>
  <c r="K42" i="97" s="1"/>
  <c r="L42" i="97" s="1"/>
  <c r="M42" i="97" s="1"/>
  <c r="N42" i="97" s="1"/>
  <c r="Q42" i="97" s="1"/>
  <c r="R42" i="97" s="1"/>
  <c r="S42" i="97" s="1"/>
  <c r="T42" i="97" s="1"/>
  <c r="U42" i="97" s="1"/>
  <c r="C18" i="97"/>
  <c r="C98" i="97" s="1"/>
  <c r="D3" i="97"/>
  <c r="E3" i="97"/>
  <c r="F3" i="97" s="1"/>
  <c r="G3" i="97" s="1"/>
  <c r="H3" i="97" s="1"/>
  <c r="I3" i="97" s="1"/>
  <c r="J3" i="97" s="1"/>
  <c r="K3" i="97" s="1"/>
  <c r="L3" i="97" s="1"/>
  <c r="M3" i="97" s="1"/>
  <c r="Q3" i="97" s="1"/>
  <c r="R3" i="97" s="1"/>
  <c r="S3" i="97" s="1"/>
  <c r="T3" i="97" s="1"/>
  <c r="U3" i="97" s="1"/>
  <c r="DE21" i="28"/>
  <c r="AM25" i="34"/>
  <c r="AQ23" i="34"/>
  <c r="S16" i="34"/>
  <c r="AQ25" i="34"/>
  <c r="AE28" i="34"/>
  <c r="BB34" i="34"/>
  <c r="BC28" i="34"/>
  <c r="BG28" i="34"/>
  <c r="R37" i="34"/>
  <c r="S25" i="34"/>
  <c r="Z35" i="34"/>
  <c r="AA23" i="34"/>
  <c r="AH35" i="34"/>
  <c r="AI23" i="34"/>
  <c r="AH37" i="34"/>
  <c r="N34" i="34"/>
  <c r="Z34" i="34"/>
  <c r="AI29" i="34"/>
  <c r="AX34" i="34"/>
  <c r="AY28" i="34"/>
  <c r="BB43" i="34"/>
  <c r="BC37" i="34"/>
  <c r="BS28" i="34"/>
  <c r="BW29" i="34"/>
  <c r="CA29" i="34"/>
  <c r="CE29" i="34"/>
  <c r="CI28" i="34"/>
  <c r="BG35" i="34"/>
  <c r="CD37" i="34"/>
  <c r="CH37" i="34"/>
  <c r="AU28" i="34"/>
  <c r="AY31" i="34"/>
  <c r="BC31" i="34"/>
  <c r="CA28" i="34"/>
  <c r="CE28" i="34"/>
  <c r="BZ37" i="34"/>
  <c r="CP37" i="34"/>
  <c r="BZ42" i="34"/>
  <c r="CI29" i="34"/>
  <c r="CM28" i="34"/>
  <c r="G30" i="34"/>
  <c r="BS31" i="34"/>
  <c r="BG31" i="34"/>
  <c r="AT43" i="34"/>
  <c r="CH42" i="34"/>
  <c r="A70" i="9"/>
  <c r="P20" i="9"/>
  <c r="N48" i="9"/>
  <c r="B105" i="9"/>
  <c r="J11" i="9"/>
  <c r="B95" i="9"/>
  <c r="A40" i="9"/>
  <c r="J60" i="9"/>
  <c r="J83" i="9"/>
  <c r="N90" i="9"/>
  <c r="N83" i="9"/>
  <c r="N144" i="9"/>
  <c r="N166" i="9"/>
  <c r="Z51" i="36"/>
  <c r="X33" i="36"/>
  <c r="AB33" i="36"/>
  <c r="AB57" i="36" s="1"/>
  <c r="AV35" i="36"/>
  <c r="AZ35" i="36"/>
  <c r="Z54" i="36"/>
  <c r="AT36" i="36"/>
  <c r="AV36" i="36"/>
  <c r="F34" i="36"/>
  <c r="F58" i="36"/>
  <c r="L34" i="36"/>
  <c r="N34" i="36"/>
  <c r="P34" i="36"/>
  <c r="P58" i="36" s="1"/>
  <c r="X34" i="36"/>
  <c r="X58" i="36" s="1"/>
  <c r="AP34" i="36"/>
  <c r="AP58" i="36" s="1"/>
  <c r="P48" i="36"/>
  <c r="P54" i="36"/>
  <c r="AB48" i="36"/>
  <c r="AB54" i="36" s="1"/>
  <c r="AV48" i="36"/>
  <c r="AV54" i="36" s="1"/>
  <c r="AZ48" i="36"/>
  <c r="AN51" i="36"/>
  <c r="AX33" i="36"/>
  <c r="AX57" i="36" s="1"/>
  <c r="R35" i="36"/>
  <c r="V35" i="36"/>
  <c r="V59" i="36" s="1"/>
  <c r="AP35" i="36"/>
  <c r="AT35" i="36"/>
  <c r="V45" i="36"/>
  <c r="AH45" i="36"/>
  <c r="AL45" i="36"/>
  <c r="AL51" i="36" s="1"/>
  <c r="AP51" i="36"/>
  <c r="AT45" i="36"/>
  <c r="AT51" i="36" s="1"/>
  <c r="AX51" i="36"/>
  <c r="AZ46" i="36"/>
  <c r="AZ52" i="36" s="1"/>
  <c r="X79" i="22"/>
  <c r="AH78" i="22"/>
  <c r="AH79" i="22"/>
  <c r="BF79" i="22"/>
  <c r="AO48" i="17"/>
  <c r="AO50" i="17"/>
  <c r="BE10" i="17"/>
  <c r="K18" i="20"/>
  <c r="U26" i="20"/>
  <c r="J18" i="20"/>
  <c r="L18" i="97"/>
  <c r="CC13" i="29"/>
  <c r="S14" i="29"/>
  <c r="BO14" i="29"/>
  <c r="L15" i="29"/>
  <c r="L16" i="29" s="1"/>
  <c r="W16" i="29"/>
  <c r="AB15" i="29"/>
  <c r="AM16" i="29"/>
  <c r="AR15" i="29"/>
  <c r="AR16" i="29" s="1"/>
  <c r="AU16" i="29"/>
  <c r="BC16" i="29"/>
  <c r="BH15" i="29"/>
  <c r="BH16" i="29" s="1"/>
  <c r="BS16" i="29"/>
  <c r="BX15" i="29"/>
  <c r="O26" i="29"/>
  <c r="AA25" i="29"/>
  <c r="AE24" i="29"/>
  <c r="AM26" i="29"/>
  <c r="BG25" i="29"/>
  <c r="CQ24" i="29"/>
  <c r="AY25" i="29"/>
  <c r="BC25" i="29"/>
  <c r="BG26" i="29"/>
  <c r="CE20" i="29"/>
  <c r="BP30" i="29"/>
  <c r="BU31" i="29"/>
  <c r="DC31" i="29"/>
  <c r="AY36" i="29"/>
  <c r="BJ34" i="29"/>
  <c r="BN35" i="29"/>
  <c r="CA34" i="29"/>
  <c r="CX35" i="29"/>
  <c r="BX40" i="29"/>
  <c r="CD46" i="29"/>
  <c r="CF46" i="29" s="1"/>
  <c r="CD45" i="29"/>
  <c r="CN40" i="29"/>
  <c r="CQ40" i="29"/>
  <c r="W46" i="29"/>
  <c r="AI54" i="29"/>
  <c r="CD16" i="29"/>
  <c r="BN26" i="29"/>
  <c r="BO26" i="29"/>
  <c r="CE21" i="29"/>
  <c r="CE31" i="29"/>
  <c r="AB34" i="29"/>
  <c r="AM36" i="29"/>
  <c r="AV35" i="29"/>
  <c r="AZ36" i="29"/>
  <c r="BN34" i="29"/>
  <c r="CR34" i="29"/>
  <c r="CU34" i="29"/>
  <c r="CX34" i="29"/>
  <c r="CY34" i="29" s="1"/>
  <c r="BV35" i="29"/>
  <c r="BR46" i="29"/>
  <c r="BS46" i="29" s="1"/>
  <c r="CR40" i="29"/>
  <c r="S46" i="29"/>
  <c r="BR45" i="29"/>
  <c r="AM55" i="29"/>
  <c r="BG55" i="29"/>
  <c r="O56" i="29"/>
  <c r="CD60" i="29"/>
  <c r="CE77" i="29"/>
  <c r="CE50" i="29"/>
  <c r="CC11" i="29"/>
  <c r="CE11" i="29"/>
  <c r="CB11" i="34" s="1"/>
  <c r="CB17" i="34" s="1"/>
  <c r="CB23" i="34" s="1"/>
  <c r="CB29" i="34" s="1"/>
  <c r="CB35" i="34" s="1"/>
  <c r="W14" i="29"/>
  <c r="CA14" i="29"/>
  <c r="S16" i="29"/>
  <c r="AI16" i="29"/>
  <c r="AQ16" i="29"/>
  <c r="AY16" i="29"/>
  <c r="BW16" i="29"/>
  <c r="CD15" i="29"/>
  <c r="CM16" i="29"/>
  <c r="CB22" i="29"/>
  <c r="AI26" i="29"/>
  <c r="CA24" i="29"/>
  <c r="BS26" i="29"/>
  <c r="CQ26" i="29"/>
  <c r="BM30" i="29"/>
  <c r="CE30" i="29"/>
  <c r="AQ36" i="29"/>
  <c r="CL44" i="29"/>
  <c r="CM44" i="29" s="1"/>
  <c r="CL45" i="29"/>
  <c r="CM45" i="29" s="1"/>
  <c r="DB44" i="29"/>
  <c r="G44" i="29"/>
  <c r="K45" i="29"/>
  <c r="O46" i="29"/>
  <c r="AE46" i="29"/>
  <c r="CE78" i="29"/>
  <c r="CD61" i="29"/>
  <c r="BO54" i="29"/>
  <c r="CD14" i="29"/>
  <c r="AE54" i="29"/>
  <c r="AQ35" i="29"/>
  <c r="BC34" i="29"/>
  <c r="BN36" i="29"/>
  <c r="BO36" i="29" s="1"/>
  <c r="CX36" i="29"/>
  <c r="CZ36" i="29" s="1"/>
  <c r="BZ44" i="29"/>
  <c r="CE41" i="29"/>
  <c r="CP45" i="29"/>
  <c r="CP46" i="29"/>
  <c r="CR46" i="29" s="1"/>
  <c r="CP44" i="29"/>
  <c r="AV52" i="29"/>
  <c r="CM50" i="29"/>
  <c r="CP55" i="29"/>
  <c r="CV51" i="29"/>
  <c r="BC52" i="29"/>
  <c r="G61" i="29"/>
  <c r="G63" i="29"/>
  <c r="K60" i="29"/>
  <c r="L61" i="29"/>
  <c r="O62" i="29"/>
  <c r="R89" i="29"/>
  <c r="AL88" i="29"/>
  <c r="AR60" i="29"/>
  <c r="C52" i="28" s="1"/>
  <c r="AX87" i="29"/>
  <c r="AX107" i="29" s="1"/>
  <c r="BD60" i="29"/>
  <c r="BC61" i="29"/>
  <c r="BG62" i="29"/>
  <c r="BR89" i="29"/>
  <c r="CJ63" i="29"/>
  <c r="CX90" i="29"/>
  <c r="CX110" i="29" s="1"/>
  <c r="CX119" i="29" s="1"/>
  <c r="CZ90" i="29"/>
  <c r="CA81" i="29"/>
  <c r="G83" i="29"/>
  <c r="AE81" i="29"/>
  <c r="AI82" i="29"/>
  <c r="BO81" i="29"/>
  <c r="F64" i="29"/>
  <c r="J89" i="29"/>
  <c r="V88" i="29"/>
  <c r="AB61" i="29"/>
  <c r="AH65" i="29"/>
  <c r="AI100" i="29"/>
  <c r="AP108" i="29"/>
  <c r="AP127" i="29" s="1"/>
  <c r="AP66" i="29"/>
  <c r="BC63" i="29"/>
  <c r="BB65" i="29"/>
  <c r="CD89" i="29"/>
  <c r="CF62" i="29"/>
  <c r="CL51" i="29"/>
  <c r="BO55" i="29"/>
  <c r="G60" i="29"/>
  <c r="R110" i="29"/>
  <c r="R129" i="29" s="1"/>
  <c r="W61" i="29"/>
  <c r="AA98" i="29"/>
  <c r="AA88" i="29"/>
  <c r="AI63" i="29"/>
  <c r="AL87" i="29"/>
  <c r="AN61" i="29"/>
  <c r="AL90" i="29"/>
  <c r="AM63" i="29"/>
  <c r="AL65" i="29"/>
  <c r="AM65" i="29" s="1"/>
  <c r="AQ61" i="29"/>
  <c r="AU62" i="29"/>
  <c r="AZ60" i="29"/>
  <c r="BC60" i="29"/>
  <c r="BG60" i="29"/>
  <c r="BR87" i="29"/>
  <c r="BR107" i="29" s="1"/>
  <c r="BS107" i="29" s="1"/>
  <c r="BR65" i="29"/>
  <c r="BS65" i="29" s="1"/>
  <c r="CE62" i="29"/>
  <c r="AA82" i="29"/>
  <c r="BO83" i="29"/>
  <c r="F65" i="29"/>
  <c r="L62" i="29"/>
  <c r="J64" i="29"/>
  <c r="Z110" i="29"/>
  <c r="AJ60" i="29"/>
  <c r="AH89" i="29"/>
  <c r="AI99" i="29" s="1"/>
  <c r="AI62" i="29"/>
  <c r="AN63" i="29"/>
  <c r="AP89" i="29"/>
  <c r="AQ89" i="29" s="1"/>
  <c r="AU61" i="29"/>
  <c r="BH60" i="29"/>
  <c r="BW60" i="29"/>
  <c r="BX60" i="29"/>
  <c r="CM60" i="29"/>
  <c r="G82" i="29"/>
  <c r="CQ82" i="29"/>
  <c r="BW63" i="29"/>
  <c r="CI61" i="29"/>
  <c r="CJ62" i="29"/>
  <c r="CM62" i="29"/>
  <c r="CR60" i="29"/>
  <c r="CQ63" i="29"/>
  <c r="CU60" i="29"/>
  <c r="CZ62" i="29"/>
  <c r="CB60" i="29"/>
  <c r="CA62" i="29"/>
  <c r="BV82" i="29"/>
  <c r="BW82" i="29" s="1"/>
  <c r="AT82" i="29"/>
  <c r="AU82" i="29" s="1"/>
  <c r="CA89" i="29"/>
  <c r="CP87" i="29"/>
  <c r="CQ97" i="29" s="1"/>
  <c r="CT87" i="29"/>
  <c r="CT107" i="29" s="1"/>
  <c r="AI83" i="29"/>
  <c r="BO82" i="29"/>
  <c r="CI81" i="29"/>
  <c r="CL90" i="29"/>
  <c r="CM90" i="29" s="1"/>
  <c r="CT65" i="29"/>
  <c r="CX109" i="29"/>
  <c r="CY99" i="29"/>
  <c r="BZ65" i="29"/>
  <c r="CA60" i="29"/>
  <c r="AU78" i="29"/>
  <c r="AI81" i="29"/>
  <c r="AQ83" i="29"/>
  <c r="CY83" i="29"/>
  <c r="BZ88" i="29"/>
  <c r="CH88" i="29"/>
  <c r="CI62" i="29"/>
  <c r="CY62" i="29"/>
  <c r="BZ109" i="29"/>
  <c r="BZ128" i="29" s="1"/>
  <c r="CX102" i="29"/>
  <c r="CX103" i="29"/>
  <c r="CX101" i="29"/>
  <c r="Z42" i="20" s="1"/>
  <c r="DN24" i="28" s="1"/>
  <c r="AX101" i="29"/>
  <c r="M42" i="20" s="1"/>
  <c r="DA24" i="28" s="1"/>
  <c r="BV101" i="29"/>
  <c r="S42" i="20" s="1"/>
  <c r="DB102" i="29"/>
  <c r="BV160" i="29"/>
  <c r="Z150" i="29"/>
  <c r="AL149" i="29"/>
  <c r="J54" i="20" s="1"/>
  <c r="W82" i="17" s="1"/>
  <c r="AP150" i="29"/>
  <c r="AL150" i="29"/>
  <c r="BW90" i="29"/>
  <c r="CE89" i="29"/>
  <c r="W88" i="29"/>
  <c r="CY100" i="29"/>
  <c r="CJ20" i="29"/>
  <c r="CL110" i="29"/>
  <c r="CU87" i="29"/>
  <c r="AL107" i="29"/>
  <c r="AM87" i="29"/>
  <c r="CE15" i="29"/>
  <c r="AB16" i="29"/>
  <c r="AL110" i="29"/>
  <c r="AM100" i="29"/>
  <c r="BC100" i="29"/>
  <c r="CE81" i="29"/>
  <c r="CD87" i="29"/>
  <c r="CE97" i="29" s="1"/>
  <c r="CE60" i="29"/>
  <c r="CF60" i="29"/>
  <c r="CJ60" i="29"/>
  <c r="BX35" i="29"/>
  <c r="CI16" i="29"/>
  <c r="DC79" i="29"/>
  <c r="D188" i="9"/>
  <c r="DC52" i="29"/>
  <c r="DB16" i="29"/>
  <c r="DC12" i="29"/>
  <c r="CZ12" i="34" s="1"/>
  <c r="CZ18" i="34" s="1"/>
  <c r="CZ24" i="34" s="1"/>
  <c r="CZ30" i="34" s="1"/>
  <c r="CZ36" i="34" s="1"/>
  <c r="CG10" i="28"/>
  <c r="DC42" i="29"/>
  <c r="CG47" i="28"/>
  <c r="R55" i="20"/>
  <c r="B42" i="34"/>
  <c r="B77" i="9"/>
  <c r="DH40" i="29"/>
  <c r="DF44" i="29"/>
  <c r="DL44" i="29" s="1"/>
  <c r="DF46" i="29"/>
  <c r="DL46" i="29" s="1"/>
  <c r="A19" i="9"/>
  <c r="DB24" i="28"/>
  <c r="DD15" i="28"/>
  <c r="DK30" i="28"/>
  <c r="CG15" i="28"/>
  <c r="DD32" i="29"/>
  <c r="DC211" i="29"/>
  <c r="AD76" i="9"/>
  <c r="CG30" i="28"/>
  <c r="DB151" i="29"/>
  <c r="CG31" i="28"/>
  <c r="DC83" i="29"/>
  <c r="CG24" i="28"/>
  <c r="N36" i="36"/>
  <c r="AN48" i="36"/>
  <c r="AN54" i="36"/>
  <c r="AZ47" i="36"/>
  <c r="AD46" i="36"/>
  <c r="AT59" i="36"/>
  <c r="AT53" i="36"/>
  <c r="L36" i="36"/>
  <c r="AJ33" i="36"/>
  <c r="AJ57" i="36" s="1"/>
  <c r="Z46" i="36"/>
  <c r="AJ46" i="36"/>
  <c r="AV33" i="36"/>
  <c r="AV45" i="36"/>
  <c r="N48" i="36"/>
  <c r="N54" i="36" s="1"/>
  <c r="AP54" i="36"/>
  <c r="X52" i="36"/>
  <c r="AF33" i="36"/>
  <c r="AF45" i="36"/>
  <c r="AF51" i="36" s="1"/>
  <c r="Z33" i="36"/>
  <c r="Z57" i="36" s="1"/>
  <c r="BB46" i="36"/>
  <c r="BB52" i="36" s="1"/>
  <c r="BB34" i="36"/>
  <c r="BB58" i="36" s="1"/>
  <c r="AN35" i="36"/>
  <c r="AN47" i="36"/>
  <c r="AN53" i="36" s="1"/>
  <c r="AR33" i="36"/>
  <c r="AR57" i="36" s="1"/>
  <c r="J36" i="36"/>
  <c r="T34" i="36"/>
  <c r="F36" i="36"/>
  <c r="AH48" i="36"/>
  <c r="AH54" i="36" s="1"/>
  <c r="AX35" i="36"/>
  <c r="J35" i="36"/>
  <c r="AL48" i="36"/>
  <c r="U76" i="28"/>
  <c r="BJ79" i="22"/>
  <c r="BJ78" i="22"/>
  <c r="N181" i="97"/>
  <c r="BB75" i="22"/>
  <c r="BB73" i="22" s="1"/>
  <c r="BB76" i="22" s="1"/>
  <c r="AJ52" i="36"/>
  <c r="F33" i="36"/>
  <c r="F45" i="36"/>
  <c r="V36" i="36"/>
  <c r="V60" i="36" s="1"/>
  <c r="V54" i="36"/>
  <c r="CR12" i="34"/>
  <c r="CR18" i="34" s="1"/>
  <c r="CR24" i="34" s="1"/>
  <c r="CR30" i="34" s="1"/>
  <c r="CR36" i="34" s="1"/>
  <c r="Z21" i="20"/>
  <c r="CY36" i="29"/>
  <c r="Q21" i="20"/>
  <c r="BT34" i="29"/>
  <c r="BO34" i="29"/>
  <c r="AZ35" i="29"/>
  <c r="CU40" i="29"/>
  <c r="CT44" i="29"/>
  <c r="AR52" i="29"/>
  <c r="AN52" i="29"/>
  <c r="AU53" i="29"/>
  <c r="J153" i="9"/>
  <c r="N159" i="9"/>
  <c r="AY87" i="29"/>
  <c r="BD14" i="22"/>
  <c r="BH14" i="22" s="1"/>
  <c r="BJ14" i="22" s="1"/>
  <c r="BL14" i="22" s="1"/>
  <c r="BN14" i="22" s="1"/>
  <c r="BP14" i="22" s="1"/>
  <c r="X76" i="9"/>
  <c r="AU56" i="29"/>
  <c r="AU36" i="29"/>
  <c r="BX16" i="29"/>
  <c r="CR23" i="29"/>
  <c r="CV23" i="29"/>
  <c r="BS87" i="29"/>
  <c r="BS97" i="29"/>
  <c r="CY90" i="29"/>
  <c r="CQ46" i="29"/>
  <c r="CI88" i="29"/>
  <c r="CP107" i="29"/>
  <c r="CQ87" i="29"/>
  <c r="BB83" i="29"/>
  <c r="BC83" i="29" s="1"/>
  <c r="J48" i="36"/>
  <c r="P10" i="20"/>
  <c r="X10" i="20"/>
  <c r="W36" i="29"/>
  <c r="CX44" i="29"/>
  <c r="CY44" i="29" s="1"/>
  <c r="AT89" i="29"/>
  <c r="BB88" i="29"/>
  <c r="AM90" i="29"/>
  <c r="CZ89" i="29"/>
  <c r="BO15" i="29"/>
  <c r="BO25" i="29"/>
  <c r="CU100" i="29"/>
  <c r="CT110" i="29"/>
  <c r="CT129" i="29" s="1"/>
  <c r="CU90" i="29"/>
  <c r="CV87" i="29"/>
  <c r="CU97" i="29"/>
  <c r="CR51" i="29"/>
  <c r="N40" i="34"/>
  <c r="O34" i="34"/>
  <c r="BC34" i="34"/>
  <c r="BG34" i="34"/>
  <c r="BF40" i="34"/>
  <c r="BS34" i="34"/>
  <c r="CA31" i="34"/>
  <c r="V51" i="36"/>
  <c r="W22" i="34"/>
  <c r="AA22" i="34"/>
  <c r="CA25" i="34"/>
  <c r="BW25" i="34"/>
  <c r="U7" i="20"/>
  <c r="U19" i="20" s="1"/>
  <c r="D148" i="9"/>
  <c r="BT22" i="29"/>
  <c r="V151" i="29"/>
  <c r="AD33" i="9"/>
  <c r="J33" i="9"/>
  <c r="X33" i="9"/>
  <c r="W62" i="29"/>
  <c r="V89" i="29"/>
  <c r="AE60" i="29"/>
  <c r="AD87" i="29"/>
  <c r="BD61" i="29"/>
  <c r="AX88" i="29"/>
  <c r="AX108" i="29" s="1"/>
  <c r="AZ61" i="29"/>
  <c r="AY61" i="29"/>
  <c r="CD107" i="29"/>
  <c r="CD126" i="29" s="1"/>
  <c r="CV10" i="34"/>
  <c r="CV16" i="34" s="1"/>
  <c r="CV22" i="34" s="1"/>
  <c r="CV28" i="34" s="1"/>
  <c r="CV34" i="34" s="1"/>
  <c r="I7" i="20"/>
  <c r="S66" i="17"/>
  <c r="S72" i="17" s="1"/>
  <c r="AI34" i="29"/>
  <c r="H21" i="20"/>
  <c r="AN35" i="29"/>
  <c r="AR35" i="29"/>
  <c r="AM35" i="29"/>
  <c r="AD12" i="9"/>
  <c r="I66" i="17"/>
  <c r="O34" i="29"/>
  <c r="D7" i="20"/>
  <c r="O14" i="29"/>
  <c r="D141" i="9"/>
  <c r="T7" i="20"/>
  <c r="CC10" i="29"/>
  <c r="CA54" i="29"/>
  <c r="CC12" i="29"/>
  <c r="CI31" i="34"/>
  <c r="CE31" i="34"/>
  <c r="D183" i="9"/>
  <c r="CY24" i="29"/>
  <c r="BD35" i="29"/>
  <c r="CN62" i="29"/>
  <c r="CH89" i="29"/>
  <c r="CH109" i="29" s="1"/>
  <c r="CH128" i="29" s="1"/>
  <c r="CB63" i="29"/>
  <c r="CA63" i="29"/>
  <c r="CA67" i="29" s="1"/>
  <c r="BZ90" i="29"/>
  <c r="BA10" i="28"/>
  <c r="CE10" i="29"/>
  <c r="CB10" i="34" s="1"/>
  <c r="CB16" i="34" s="1"/>
  <c r="CB22" i="34" s="1"/>
  <c r="CB28" i="34" s="1"/>
  <c r="CB34" i="34" s="1"/>
  <c r="D144" i="9"/>
  <c r="CI10" i="29"/>
  <c r="CF10" i="34" s="1"/>
  <c r="CF16" i="34" s="1"/>
  <c r="CF22" i="34" s="1"/>
  <c r="CF28" i="34" s="1"/>
  <c r="CF34" i="34" s="1"/>
  <c r="W52" i="29"/>
  <c r="AB52" i="29"/>
  <c r="AM53" i="29"/>
  <c r="N17" i="28"/>
  <c r="AZ51" i="29"/>
  <c r="N89" i="29"/>
  <c r="T62" i="29"/>
  <c r="N66" i="29"/>
  <c r="R33" i="36"/>
  <c r="R45" i="36"/>
  <c r="R51" i="36" s="1"/>
  <c r="CN12" i="34"/>
  <c r="CN18" i="34" s="1"/>
  <c r="CN24" i="34" s="1"/>
  <c r="CN30" i="34" s="1"/>
  <c r="CN36" i="34" s="1"/>
  <c r="CL46" i="29"/>
  <c r="CM40" i="29"/>
  <c r="AE30" i="28"/>
  <c r="O66" i="17"/>
  <c r="G7" i="20"/>
  <c r="BD15" i="29"/>
  <c r="BC55" i="29"/>
  <c r="BP56" i="29"/>
  <c r="L88" i="20"/>
  <c r="N45" i="36"/>
  <c r="N33" i="36"/>
  <c r="BJ40" i="34"/>
  <c r="AU15" i="29"/>
  <c r="CM35" i="29"/>
  <c r="BP23" i="29"/>
  <c r="CR36" i="29"/>
  <c r="CQ36" i="29"/>
  <c r="AQ16" i="28"/>
  <c r="BV46" i="29"/>
  <c r="AT16" i="28"/>
  <c r="AR16" i="28"/>
  <c r="CF40" i="29"/>
  <c r="BA16" i="28"/>
  <c r="CD44" i="29"/>
  <c r="CE44" i="29" s="1"/>
  <c r="BD16" i="28"/>
  <c r="CE40" i="29"/>
  <c r="BB16" i="28"/>
  <c r="BC62" i="29"/>
  <c r="BI62" i="29" s="1"/>
  <c r="BB89" i="29"/>
  <c r="BB109" i="29" s="1"/>
  <c r="BB172" i="29" s="1"/>
  <c r="BH62" i="29"/>
  <c r="BL63" i="29"/>
  <c r="BK63" i="29"/>
  <c r="AR25" i="28"/>
  <c r="DF17" i="28"/>
  <c r="X57" i="36"/>
  <c r="AL57" i="36"/>
  <c r="AT46" i="36"/>
  <c r="AT52" i="36" s="1"/>
  <c r="S25" i="29"/>
  <c r="AA15" i="29"/>
  <c r="BG35" i="29"/>
  <c r="CH55" i="29"/>
  <c r="CH52" i="29"/>
  <c r="BG17" i="28"/>
  <c r="G55" i="29"/>
  <c r="AH66" i="29"/>
  <c r="AI66" i="29" s="1"/>
  <c r="AY60" i="29"/>
  <c r="BG77" i="29"/>
  <c r="BK145" i="29"/>
  <c r="DC210" i="29"/>
  <c r="J12" i="9"/>
  <c r="X60" i="9"/>
  <c r="CV11" i="34"/>
  <c r="CV17" i="34" s="1"/>
  <c r="CV23" i="34" s="1"/>
  <c r="CV29" i="34" s="1"/>
  <c r="CV35" i="34" s="1"/>
  <c r="AU36" i="34"/>
  <c r="AT42" i="34"/>
  <c r="X118" i="9"/>
  <c r="BW24" i="29"/>
  <c r="CQ35" i="29"/>
  <c r="G15" i="29"/>
  <c r="BK56" i="29"/>
  <c r="AV23" i="29"/>
  <c r="BL31" i="29"/>
  <c r="BT53" i="29"/>
  <c r="AO17" i="28"/>
  <c r="R36" i="36"/>
  <c r="AP33" i="36"/>
  <c r="AP57" i="36"/>
  <c r="AX47" i="36"/>
  <c r="AX53" i="36" s="1"/>
  <c r="R48" i="36"/>
  <c r="R54" i="36" s="1"/>
  <c r="S30" i="34"/>
  <c r="N36" i="34"/>
  <c r="X15" i="29"/>
  <c r="W15" i="29"/>
  <c r="C21" i="20"/>
  <c r="K34" i="29"/>
  <c r="G68" i="17"/>
  <c r="G76" i="17" s="1"/>
  <c r="AC68" i="17"/>
  <c r="AC76" i="17" s="1"/>
  <c r="N21" i="20"/>
  <c r="AZ52" i="29"/>
  <c r="AY63" i="29"/>
  <c r="AX90" i="29"/>
  <c r="CZ60" i="29"/>
  <c r="CY60" i="29"/>
  <c r="CX87" i="29"/>
  <c r="BG80" i="29"/>
  <c r="Z21" i="28"/>
  <c r="AX36" i="36"/>
  <c r="AX48" i="36"/>
  <c r="AX54" i="36" s="1"/>
  <c r="CL42" i="34"/>
  <c r="Q7" i="20"/>
  <c r="AA67" i="17"/>
  <c r="M10" i="20"/>
  <c r="M11" i="20" s="1"/>
  <c r="BJ60" i="29"/>
  <c r="BD62" i="29"/>
  <c r="BW80" i="29"/>
  <c r="F36" i="20"/>
  <c r="I10" i="20"/>
  <c r="U21" i="20"/>
  <c r="AC66" i="17"/>
  <c r="P52" i="36"/>
  <c r="AE31" i="34"/>
  <c r="CM31" i="34"/>
  <c r="M66" i="17"/>
  <c r="F7" i="20"/>
  <c r="W7" i="20"/>
  <c r="O12" i="20"/>
  <c r="CX61" i="29"/>
  <c r="CY61" i="29" s="1"/>
  <c r="G35" i="29"/>
  <c r="S36" i="29"/>
  <c r="AP90" i="29"/>
  <c r="AV63" i="29"/>
  <c r="CV63" i="29"/>
  <c r="BK79" i="29"/>
  <c r="BJ83" i="29"/>
  <c r="BK83" i="29" s="1"/>
  <c r="W101" i="29"/>
  <c r="F42" i="20"/>
  <c r="X27" i="9"/>
  <c r="BS30" i="34"/>
  <c r="BR36" i="34"/>
  <c r="U66" i="17"/>
  <c r="U74" i="17" s="1"/>
  <c r="CN21" i="29"/>
  <c r="F12" i="20"/>
  <c r="F16" i="20" s="1"/>
  <c r="W21" i="20"/>
  <c r="DK15" i="28" s="1"/>
  <c r="CN34" i="29"/>
  <c r="AF53" i="29"/>
  <c r="CU51" i="29"/>
  <c r="AA61" i="29"/>
  <c r="AJ62" i="29"/>
  <c r="AD89" i="29"/>
  <c r="AQ63" i="29"/>
  <c r="CU63" i="29"/>
  <c r="H12" i="20"/>
  <c r="H16" i="20" s="1"/>
  <c r="AH33" i="36"/>
  <c r="AH57" i="36" s="1"/>
  <c r="AJ51" i="36"/>
  <c r="CE30" i="34"/>
  <c r="H7" i="20"/>
  <c r="P7" i="20"/>
  <c r="CV21" i="29"/>
  <c r="AA54" i="29"/>
  <c r="K68" i="17"/>
  <c r="K76" i="17" s="1"/>
  <c r="AF34" i="29"/>
  <c r="AJ34" i="29"/>
  <c r="K21" i="20"/>
  <c r="W68" i="17"/>
  <c r="W76" i="17" s="1"/>
  <c r="BR81" i="29"/>
  <c r="C42" i="20"/>
  <c r="K101" i="29"/>
  <c r="F10" i="20"/>
  <c r="K66" i="17"/>
  <c r="D162" i="9"/>
  <c r="L169" i="9" s="1"/>
  <c r="AM30" i="34"/>
  <c r="AI30" i="34"/>
  <c r="CQ51" i="29"/>
  <c r="O60" i="29"/>
  <c r="S63" i="29"/>
  <c r="C12" i="20"/>
  <c r="D42" i="20"/>
  <c r="W87" i="20"/>
  <c r="DK32" i="28" s="1"/>
  <c r="X54" i="9"/>
  <c r="AR62" i="29"/>
  <c r="E52" i="28" s="1"/>
  <c r="CH65" i="29"/>
  <c r="BZ82" i="29"/>
  <c r="CA82" i="29" s="1"/>
  <c r="O10" i="20"/>
  <c r="G67" i="17"/>
  <c r="V10" i="20"/>
  <c r="I8" i="97" s="1"/>
  <c r="BB63" i="36"/>
  <c r="BB66" i="36" s="1"/>
  <c r="BB73" i="36" s="1"/>
  <c r="Y67" i="17"/>
  <c r="S54" i="29"/>
  <c r="W99" i="29"/>
  <c r="W89" i="29"/>
  <c r="CI89" i="29"/>
  <c r="CJ89" i="29"/>
  <c r="CI99" i="29"/>
  <c r="DA10" i="28"/>
  <c r="BR42" i="34"/>
  <c r="BS36" i="34"/>
  <c r="BW36" i="34"/>
  <c r="CP126" i="29"/>
  <c r="CX88" i="29"/>
  <c r="CY98" i="29" s="1"/>
  <c r="N109" i="29"/>
  <c r="N128" i="29" s="1"/>
  <c r="O89" i="29"/>
  <c r="O99" i="29"/>
  <c r="BH17" i="28"/>
  <c r="CI52" i="29"/>
  <c r="CH53" i="29"/>
  <c r="CH56" i="29"/>
  <c r="AE87" i="29"/>
  <c r="AU99" i="29"/>
  <c r="AV89" i="29"/>
  <c r="BW46" i="29"/>
  <c r="BZ43" i="34"/>
  <c r="CZ44" i="29"/>
  <c r="AA18" i="20"/>
  <c r="BK60" i="29"/>
  <c r="BP60" i="29"/>
  <c r="C24" i="20"/>
  <c r="F13" i="20"/>
  <c r="CI55" i="29"/>
  <c r="CV44" i="29"/>
  <c r="AI68" i="17"/>
  <c r="AI76" i="17" s="1"/>
  <c r="DE15" i="28"/>
  <c r="DE51" i="28" s="1"/>
  <c r="W24" i="20"/>
  <c r="AP110" i="29"/>
  <c r="AQ100" i="29"/>
  <c r="AQ90" i="29"/>
  <c r="CZ87" i="29"/>
  <c r="CX107" i="29"/>
  <c r="CX116" i="29" s="1"/>
  <c r="BC99" i="29"/>
  <c r="CF44" i="29"/>
  <c r="BC98" i="29"/>
  <c r="AE89" i="29"/>
  <c r="AI66" i="17"/>
  <c r="D6" i="97"/>
  <c r="Q23" i="20"/>
  <c r="BD16" i="29"/>
  <c r="BZ110" i="29"/>
  <c r="BZ129" i="29" s="1"/>
  <c r="CB90" i="29"/>
  <c r="CA100" i="29"/>
  <c r="CA90" i="29"/>
  <c r="AY88" i="29"/>
  <c r="AR90" i="29"/>
  <c r="CX92" i="29"/>
  <c r="CH30" i="28"/>
  <c r="AA54" i="20"/>
  <c r="CX91" i="29"/>
  <c r="CY101" i="29" s="1"/>
  <c r="AP129" i="29"/>
  <c r="BI17" i="28"/>
  <c r="J46" i="9"/>
  <c r="AD25" i="9"/>
  <c r="N186" i="9"/>
  <c r="X47" i="9"/>
  <c r="P47" i="9"/>
  <c r="J90" i="9"/>
  <c r="N97" i="9"/>
  <c r="N104" i="9"/>
  <c r="J20" i="9"/>
  <c r="N19" i="9"/>
  <c r="J42" i="9"/>
  <c r="N111" i="9"/>
  <c r="AD20" i="9"/>
  <c r="P60" i="9"/>
  <c r="B110" i="9"/>
  <c r="J160" i="9"/>
  <c r="P33" i="9"/>
  <c r="DC53" i="29"/>
  <c r="DC13" i="29"/>
  <c r="CZ13" i="34" s="1"/>
  <c r="CZ19" i="34" s="1"/>
  <c r="CZ25" i="34" s="1"/>
  <c r="CZ31" i="34" s="1"/>
  <c r="CZ37" i="34" s="1"/>
  <c r="D189" i="9"/>
  <c r="DC43" i="29"/>
  <c r="DC80" i="29"/>
  <c r="CH10" i="28"/>
  <c r="DD33" i="29"/>
  <c r="CH15" i="28"/>
  <c r="CH47" i="28"/>
  <c r="BG146" i="29"/>
  <c r="BW172" i="29"/>
  <c r="CU107" i="29"/>
  <c r="BJ188" i="29"/>
  <c r="BO147" i="29"/>
  <c r="BK148" i="29"/>
  <c r="CL129" i="29"/>
  <c r="BJ151" i="29"/>
  <c r="BO146" i="29"/>
  <c r="AC30" i="28"/>
  <c r="BK147" i="29"/>
  <c r="AD30" i="28"/>
  <c r="CT126" i="29"/>
  <c r="CG39" i="28"/>
  <c r="DC16" i="29"/>
  <c r="DC56" i="29"/>
  <c r="DD15" i="29"/>
  <c r="DD16" i="29" s="1"/>
  <c r="R172" i="97"/>
  <c r="Q172" i="97"/>
  <c r="X172" i="9"/>
  <c r="AD147" i="9"/>
  <c r="DF74" i="28"/>
  <c r="X97" i="9"/>
  <c r="AD159" i="9"/>
  <c r="DH23" i="29"/>
  <c r="DD23" i="29"/>
  <c r="BF78" i="22"/>
  <c r="CH32" i="28"/>
  <c r="DB202" i="29"/>
  <c r="DC212" i="29"/>
  <c r="AA37" i="20"/>
  <c r="DC81" i="29"/>
  <c r="D190" i="9"/>
  <c r="L190" i="9" s="1"/>
  <c r="DC54" i="29"/>
  <c r="F189" i="9"/>
  <c r="CH12" i="28"/>
  <c r="DB24" i="29"/>
  <c r="AA10" i="20" s="1"/>
  <c r="BC95" i="17"/>
  <c r="H189" i="9"/>
  <c r="DB41" i="34"/>
  <c r="AB74" i="22"/>
  <c r="AB79" i="22"/>
  <c r="AD79" i="22"/>
  <c r="BC39" i="17"/>
  <c r="BI31" i="17"/>
  <c r="DB101" i="29"/>
  <c r="AA42" i="20" s="1"/>
  <c r="G8" i="20"/>
  <c r="K8" i="97"/>
  <c r="K88" i="97" s="1"/>
  <c r="AI74" i="17"/>
  <c r="W15" i="20"/>
  <c r="M15" i="20"/>
  <c r="H24" i="20"/>
  <c r="AJ22" i="34"/>
  <c r="E24" i="97"/>
  <c r="E104" i="97" s="1"/>
  <c r="A26" i="9"/>
  <c r="CE24" i="28"/>
  <c r="DC30" i="29"/>
  <c r="CE15" i="28"/>
  <c r="DD30" i="29"/>
  <c r="Q15" i="97"/>
  <c r="Q54" i="97" s="1"/>
  <c r="DQ21" i="28"/>
  <c r="P15" i="97"/>
  <c r="DH20" i="29"/>
  <c r="O181" i="97"/>
  <c r="CH31" i="28"/>
  <c r="AC14" i="28"/>
  <c r="AC36" i="28" s="1"/>
  <c r="AC39" i="28"/>
  <c r="AW76" i="28"/>
  <c r="AL14" i="28"/>
  <c r="AL19" i="28" s="1"/>
  <c r="BB14" i="28"/>
  <c r="BB36" i="28" s="1"/>
  <c r="C76" i="28"/>
  <c r="AJ76" i="28"/>
  <c r="A1" i="22"/>
  <c r="DH56" i="29"/>
  <c r="G41" i="17"/>
  <c r="G52" i="17" s="1"/>
  <c r="BG10" i="17"/>
  <c r="AY41" i="17"/>
  <c r="AY52" i="17" s="1"/>
  <c r="CK63" i="28" s="1"/>
  <c r="U22" i="17"/>
  <c r="BD28" i="22"/>
  <c r="X76" i="22"/>
  <c r="AD78" i="22"/>
  <c r="AN79" i="22"/>
  <c r="AN53" i="22"/>
  <c r="AN81" i="22" s="1"/>
  <c r="N133" i="9"/>
  <c r="S22" i="17"/>
  <c r="Q22" i="17"/>
  <c r="AD186" i="9"/>
  <c r="CZ73" i="28"/>
  <c r="AD160" i="9"/>
  <c r="X104" i="9"/>
  <c r="AD104" i="9"/>
  <c r="E63" i="97"/>
  <c r="BH78" i="22"/>
  <c r="BE39" i="17"/>
  <c r="AX127" i="29"/>
  <c r="L64" i="29"/>
  <c r="K64" i="29"/>
  <c r="BS17" i="28"/>
  <c r="BC65" i="29"/>
  <c r="AN65" i="29"/>
  <c r="AI65" i="29"/>
  <c r="AX110" i="29"/>
  <c r="AY100" i="29"/>
  <c r="CX129" i="29"/>
  <c r="AX126" i="29"/>
  <c r="AX112" i="29"/>
  <c r="X111" i="9"/>
  <c r="AR46" i="29"/>
  <c r="AQ46" i="29"/>
  <c r="H42" i="20"/>
  <c r="AN44" i="29"/>
  <c r="AM44" i="29"/>
  <c r="J108" i="29"/>
  <c r="K98" i="29"/>
  <c r="K88" i="29"/>
  <c r="T63" i="29"/>
  <c r="O63" i="29"/>
  <c r="N90" i="29"/>
  <c r="N64" i="29"/>
  <c r="G24" i="29"/>
  <c r="G64" i="29"/>
  <c r="B7" i="20"/>
  <c r="G14" i="29"/>
  <c r="G34" i="29"/>
  <c r="BG78" i="29"/>
  <c r="X21" i="28"/>
  <c r="BF82" i="29"/>
  <c r="BG82" i="29" s="1"/>
  <c r="BF83" i="29"/>
  <c r="BG83" i="29"/>
  <c r="CB24" i="29"/>
  <c r="BF81" i="29"/>
  <c r="AY34" i="29"/>
  <c r="AA68" i="17"/>
  <c r="AA76" i="17" s="1"/>
  <c r="M21" i="20"/>
  <c r="BD34" i="29"/>
  <c r="AZ34" i="29"/>
  <c r="AE44" i="29"/>
  <c r="AJ44" i="29"/>
  <c r="BN180" i="29"/>
  <c r="BN183" i="29"/>
  <c r="BN182" i="29" s="1"/>
  <c r="CX36" i="34"/>
  <c r="DC36" i="34" s="1"/>
  <c r="CY30" i="34"/>
  <c r="CY102" i="29"/>
  <c r="AR60" i="36"/>
  <c r="AR54" i="36"/>
  <c r="O24" i="29"/>
  <c r="O44" i="29"/>
  <c r="D10" i="20"/>
  <c r="D11" i="20" s="1"/>
  <c r="D12" i="20"/>
  <c r="O54" i="29"/>
  <c r="I67" i="17"/>
  <c r="W55" i="29"/>
  <c r="W45" i="29"/>
  <c r="W25" i="29"/>
  <c r="BS24" i="29"/>
  <c r="R10" i="20"/>
  <c r="E8" i="97" s="1"/>
  <c r="E88" i="97" s="1"/>
  <c r="Y10" i="20"/>
  <c r="L8" i="97" s="1"/>
  <c r="CU24" i="29"/>
  <c r="F176" i="9"/>
  <c r="AF46" i="36"/>
  <c r="AF52" i="36" s="1"/>
  <c r="AF34" i="36"/>
  <c r="J56" i="9"/>
  <c r="P56" i="9"/>
  <c r="X55" i="9"/>
  <c r="N77" i="9"/>
  <c r="J119" i="9"/>
  <c r="P123" i="9"/>
  <c r="S22" i="34"/>
  <c r="R34" i="34"/>
  <c r="V37" i="34"/>
  <c r="W25" i="34"/>
  <c r="AA25" i="34"/>
  <c r="AX35" i="34"/>
  <c r="AY29" i="34"/>
  <c r="DO24" i="28"/>
  <c r="N18" i="97"/>
  <c r="N57" i="97" s="1"/>
  <c r="CQ55" i="29"/>
  <c r="R46" i="36"/>
  <c r="R52" i="36" s="1"/>
  <c r="R34" i="36"/>
  <c r="AB52" i="36"/>
  <c r="AF36" i="36"/>
  <c r="AF48" i="36"/>
  <c r="AF54" i="36" s="1"/>
  <c r="AR53" i="36"/>
  <c r="AR59" i="36"/>
  <c r="AV34" i="36"/>
  <c r="AV58" i="36" s="1"/>
  <c r="AV52" i="36"/>
  <c r="AZ33" i="36"/>
  <c r="AZ45" i="36"/>
  <c r="AZ51" i="36" s="1"/>
  <c r="CD64" i="29"/>
  <c r="CE61" i="29"/>
  <c r="CD65" i="29"/>
  <c r="CF65" i="29" s="1"/>
  <c r="CJ61" i="29"/>
  <c r="CD66" i="29"/>
  <c r="CD88" i="29"/>
  <c r="CF61" i="29"/>
  <c r="AF31" i="34"/>
  <c r="AF37" i="34"/>
  <c r="AF25" i="34"/>
  <c r="AF19" i="34"/>
  <c r="AB36" i="29"/>
  <c r="AA36" i="29"/>
  <c r="AF36" i="29"/>
  <c r="AA46" i="29"/>
  <c r="AF46" i="29"/>
  <c r="AB46" i="29"/>
  <c r="CE63" i="29"/>
  <c r="CF63" i="29"/>
  <c r="CD90" i="29"/>
  <c r="BB82" i="29"/>
  <c r="BC82" i="29"/>
  <c r="R21" i="28"/>
  <c r="BB87" i="29"/>
  <c r="BB81" i="29"/>
  <c r="BC81" i="29" s="1"/>
  <c r="X51" i="36"/>
  <c r="Z129" i="29"/>
  <c r="CT43" i="34"/>
  <c r="CH43" i="34"/>
  <c r="CI37" i="34"/>
  <c r="C16" i="20"/>
  <c r="J6" i="97"/>
  <c r="J86" i="97" s="1"/>
  <c r="W25" i="20"/>
  <c r="CD43" i="34"/>
  <c r="CE37" i="34"/>
  <c r="W66" i="17"/>
  <c r="AU14" i="29"/>
  <c r="AQ24" i="29"/>
  <c r="AQ34" i="29"/>
  <c r="AQ54" i="29"/>
  <c r="AQ14" i="29"/>
  <c r="K7" i="20"/>
  <c r="BG14" i="29"/>
  <c r="BK14" i="29"/>
  <c r="BG54" i="29"/>
  <c r="AE66" i="17"/>
  <c r="CU16" i="29"/>
  <c r="CU36" i="29"/>
  <c r="CU26" i="29"/>
  <c r="CY16" i="29"/>
  <c r="CU83" i="29"/>
  <c r="R36" i="20"/>
  <c r="R66" i="20" s="1"/>
  <c r="BS81" i="29"/>
  <c r="H15" i="20"/>
  <c r="BX23" i="29"/>
  <c r="CB23" i="29"/>
  <c r="AJ35" i="36"/>
  <c r="F47" i="36"/>
  <c r="F53" i="36" s="1"/>
  <c r="F35" i="36"/>
  <c r="AD45" i="36"/>
  <c r="AD51" i="36"/>
  <c r="AD33" i="36"/>
  <c r="AD57" i="36" s="1"/>
  <c r="H47" i="36"/>
  <c r="H35" i="36"/>
  <c r="H59" i="36" s="1"/>
  <c r="H53" i="36"/>
  <c r="AZ59" i="36"/>
  <c r="AZ53" i="36"/>
  <c r="CF15" i="29"/>
  <c r="CE25" i="29"/>
  <c r="CI15" i="29"/>
  <c r="CE45" i="29"/>
  <c r="CE82" i="29"/>
  <c r="AJ37" i="34"/>
  <c r="CJ22" i="29"/>
  <c r="CN22" i="29"/>
  <c r="CN27" i="29" s="1"/>
  <c r="BC30" i="34"/>
  <c r="BB36" i="34"/>
  <c r="BG30" i="34"/>
  <c r="CE34" i="34"/>
  <c r="CD40" i="34"/>
  <c r="CI56" i="29"/>
  <c r="AY98" i="29"/>
  <c r="AX92" i="29"/>
  <c r="BD88" i="29"/>
  <c r="BC88" i="29"/>
  <c r="BB108" i="29"/>
  <c r="BC108" i="29"/>
  <c r="CN20" i="29"/>
  <c r="CR20" i="29"/>
  <c r="AI31" i="28"/>
  <c r="BN213" i="29"/>
  <c r="BV40" i="34"/>
  <c r="BW34" i="34"/>
  <c r="J37" i="34"/>
  <c r="K31" i="34"/>
  <c r="CI53" i="29"/>
  <c r="CH54" i="29"/>
  <c r="CA88" i="29"/>
  <c r="BZ108" i="29"/>
  <c r="CA98" i="29"/>
  <c r="CE99" i="29"/>
  <c r="CE96" i="29" s="1"/>
  <c r="CF89" i="29"/>
  <c r="CD109" i="29"/>
  <c r="AQ66" i="29"/>
  <c r="CA44" i="29"/>
  <c r="Q66" i="17"/>
  <c r="AE34" i="29"/>
  <c r="AI14" i="29"/>
  <c r="AE14" i="29"/>
  <c r="AY14" i="29"/>
  <c r="AY24" i="29"/>
  <c r="BC14" i="29"/>
  <c r="AY54" i="29"/>
  <c r="AA66" i="17"/>
  <c r="CI63" i="29"/>
  <c r="CH90" i="29"/>
  <c r="CN63" i="29"/>
  <c r="CH64" i="29"/>
  <c r="C36" i="20"/>
  <c r="K81" i="29"/>
  <c r="AH151" i="29"/>
  <c r="AH150" i="29"/>
  <c r="J174" i="9"/>
  <c r="S29" i="34"/>
  <c r="R35" i="34"/>
  <c r="AE97" i="29"/>
  <c r="AD107" i="29"/>
  <c r="AA35" i="29"/>
  <c r="AF35" i="29"/>
  <c r="AB35" i="29"/>
  <c r="AN34" i="29"/>
  <c r="AM34" i="29"/>
  <c r="U68" i="17"/>
  <c r="U76" i="17" s="1"/>
  <c r="J21" i="20"/>
  <c r="BL34" i="29"/>
  <c r="AE68" i="17"/>
  <c r="AE76" i="17" s="1"/>
  <c r="BG34" i="29"/>
  <c r="BH34" i="29"/>
  <c r="CD52" i="29"/>
  <c r="CD53" i="29" s="1"/>
  <c r="CD55" i="29"/>
  <c r="CF51" i="29"/>
  <c r="CE51" i="29"/>
  <c r="CJ51" i="29"/>
  <c r="AZ53" i="29"/>
  <c r="S90" i="29"/>
  <c r="S100" i="29"/>
  <c r="AE63" i="29"/>
  <c r="AJ63" i="29"/>
  <c r="AD90" i="29"/>
  <c r="AF63" i="29"/>
  <c r="CM64" i="29"/>
  <c r="BV81" i="29"/>
  <c r="AS21" i="28"/>
  <c r="BW79" i="29"/>
  <c r="BR82" i="29"/>
  <c r="BS82" i="29" s="1"/>
  <c r="AM21" i="28"/>
  <c r="AM39" i="28" s="1"/>
  <c r="BR83" i="29"/>
  <c r="BS83" i="29"/>
  <c r="BS78" i="29"/>
  <c r="K36" i="20"/>
  <c r="CY21" i="28" s="1"/>
  <c r="AQ81" i="29"/>
  <c r="R150" i="29"/>
  <c r="R151" i="29"/>
  <c r="BV110" i="29"/>
  <c r="BW100" i="29"/>
  <c r="CA104" i="29"/>
  <c r="AY97" i="29"/>
  <c r="CF21" i="29"/>
  <c r="CJ21" i="29"/>
  <c r="DC55" i="29"/>
  <c r="DC15" i="29"/>
  <c r="O45" i="29"/>
  <c r="O55" i="29"/>
  <c r="U10" i="20"/>
  <c r="H8" i="97" s="1"/>
  <c r="CE24" i="29"/>
  <c r="CF24" i="29" s="1"/>
  <c r="F148" i="9"/>
  <c r="BR17" i="28"/>
  <c r="CQ52" i="29"/>
  <c r="CP54" i="29"/>
  <c r="CL89" i="29"/>
  <c r="BF89" i="29"/>
  <c r="BG79" i="29"/>
  <c r="Y21" i="28"/>
  <c r="BZ40" i="34"/>
  <c r="CA34" i="34"/>
  <c r="CP34" i="34"/>
  <c r="CQ28" i="34"/>
  <c r="CU28" i="34"/>
  <c r="CU29" i="34"/>
  <c r="CY29" i="34"/>
  <c r="BI30" i="17"/>
  <c r="BJ34" i="22" s="1"/>
  <c r="AF57" i="36"/>
  <c r="CE87" i="29"/>
  <c r="AI89" i="29"/>
  <c r="AH109" i="29"/>
  <c r="AH128" i="29" s="1"/>
  <c r="BB40" i="34"/>
  <c r="C57" i="97"/>
  <c r="C139" i="97"/>
  <c r="K15" i="29"/>
  <c r="H15" i="29"/>
  <c r="H16" i="29" s="1"/>
  <c r="G25" i="29"/>
  <c r="G65" i="29"/>
  <c r="AB63" i="29"/>
  <c r="V90" i="29"/>
  <c r="W63" i="29"/>
  <c r="X63" i="29"/>
  <c r="AZ62" i="29"/>
  <c r="AY62" i="29"/>
  <c r="AX89" i="29"/>
  <c r="AX91" i="29" s="1"/>
  <c r="AX66" i="29"/>
  <c r="AX64" i="29"/>
  <c r="BS61" i="29"/>
  <c r="BR88" i="29"/>
  <c r="BR66" i="29"/>
  <c r="BR64" i="29"/>
  <c r="BO148" i="29"/>
  <c r="J24" i="97"/>
  <c r="J63" i="97" s="1"/>
  <c r="N51" i="36"/>
  <c r="P51" i="36"/>
  <c r="P33" i="36"/>
  <c r="P57" i="36"/>
  <c r="AD52" i="36"/>
  <c r="CT109" i="29"/>
  <c r="CT128" i="29" s="1"/>
  <c r="CU99" i="29"/>
  <c r="D176" i="9"/>
  <c r="L176" i="9" s="1"/>
  <c r="CA25" i="29"/>
  <c r="CA15" i="29"/>
  <c r="CB15" i="29"/>
  <c r="CB16" i="29" s="1"/>
  <c r="CA35" i="29"/>
  <c r="BL23" i="29"/>
  <c r="BH23" i="29"/>
  <c r="AF52" i="29"/>
  <c r="F110" i="29"/>
  <c r="G100" i="29"/>
  <c r="G90" i="29"/>
  <c r="Z87" i="29"/>
  <c r="AA60" i="29"/>
  <c r="Z64" i="29"/>
  <c r="AB60" i="29"/>
  <c r="Z65" i="29"/>
  <c r="Z66" i="29"/>
  <c r="AD64" i="29"/>
  <c r="AD66" i="29"/>
  <c r="AD88" i="29"/>
  <c r="AE61" i="29"/>
  <c r="AJ61" i="29"/>
  <c r="AD65" i="29"/>
  <c r="AH110" i="29"/>
  <c r="AI90" i="29"/>
  <c r="AN90" i="29"/>
  <c r="BF90" i="29"/>
  <c r="BG63" i="29"/>
  <c r="AX83" i="29"/>
  <c r="AY83" i="29" s="1"/>
  <c r="M21" i="28"/>
  <c r="AY77" i="29"/>
  <c r="AX82" i="29"/>
  <c r="AY82" i="29" s="1"/>
  <c r="AX81" i="29"/>
  <c r="AU33" i="17"/>
  <c r="AU41" i="17" s="1"/>
  <c r="AU52" i="17" s="1"/>
  <c r="AD48" i="36"/>
  <c r="AD54" i="36" s="1"/>
  <c r="H33" i="36"/>
  <c r="H45" i="36"/>
  <c r="H51" i="36" s="1"/>
  <c r="AJ36" i="36"/>
  <c r="AJ48" i="36"/>
  <c r="AJ54" i="36"/>
  <c r="AP47" i="36"/>
  <c r="AP53" i="36" s="1"/>
  <c r="AT57" i="36"/>
  <c r="P111" i="9"/>
  <c r="AX43" i="34"/>
  <c r="AY37" i="34"/>
  <c r="CI36" i="34"/>
  <c r="CE36" i="34"/>
  <c r="CD42" i="34"/>
  <c r="L16" i="34"/>
  <c r="D155" i="9"/>
  <c r="CI34" i="29"/>
  <c r="V7" i="20"/>
  <c r="DJ10" i="28" s="1"/>
  <c r="CI24" i="29"/>
  <c r="CJ24" i="29"/>
  <c r="CI14" i="29"/>
  <c r="CM14" i="29"/>
  <c r="CV15" i="29"/>
  <c r="CV16" i="29" s="1"/>
  <c r="CY15" i="29"/>
  <c r="CU15" i="29"/>
  <c r="CU25" i="29"/>
  <c r="CU35" i="29"/>
  <c r="CU82" i="29"/>
  <c r="BO56" i="29"/>
  <c r="BO16" i="29"/>
  <c r="CB51" i="29"/>
  <c r="BZ52" i="29"/>
  <c r="BZ56" i="29" s="1"/>
  <c r="CA56" i="29" s="1"/>
  <c r="CA51" i="29"/>
  <c r="AF61" i="29"/>
  <c r="CT66" i="29"/>
  <c r="CV62" i="29"/>
  <c r="CU62" i="29"/>
  <c r="DI21" i="28"/>
  <c r="Y36" i="20"/>
  <c r="CU81" i="29"/>
  <c r="DC82" i="29"/>
  <c r="BV161" i="29"/>
  <c r="P24" i="20"/>
  <c r="C11" i="97"/>
  <c r="AG68" i="17"/>
  <c r="AG76" i="17" s="1"/>
  <c r="F52" i="36"/>
  <c r="X36" i="36"/>
  <c r="X60" i="36" s="1"/>
  <c r="X48" i="36"/>
  <c r="X54" i="36" s="1"/>
  <c r="AL126" i="29"/>
  <c r="CU65" i="29"/>
  <c r="Z127" i="29"/>
  <c r="CF20" i="29"/>
  <c r="AL43" i="34"/>
  <c r="AN11" i="34"/>
  <c r="D46" i="28"/>
  <c r="CQ14" i="29"/>
  <c r="CQ34" i="29"/>
  <c r="CQ81" i="29"/>
  <c r="BD20" i="29"/>
  <c r="BH20" i="29"/>
  <c r="BN62" i="29"/>
  <c r="BN24" i="29"/>
  <c r="F118" i="9"/>
  <c r="AM117" i="9" s="1"/>
  <c r="E10" i="20"/>
  <c r="K67" i="17"/>
  <c r="E12" i="20"/>
  <c r="E16" i="20" s="1"/>
  <c r="S24" i="29"/>
  <c r="U67" i="17"/>
  <c r="J12" i="20"/>
  <c r="AM24" i="29"/>
  <c r="AC67" i="17"/>
  <c r="AR34" i="29"/>
  <c r="CV34" i="29"/>
  <c r="AQ98" i="29"/>
  <c r="AQ88" i="29"/>
  <c r="BT60" i="29"/>
  <c r="BN87" i="29"/>
  <c r="BO60" i="29"/>
  <c r="AL78" i="22"/>
  <c r="J47" i="36"/>
  <c r="J53" i="36" s="1"/>
  <c r="B190" i="9"/>
  <c r="B50" i="9"/>
  <c r="AA28" i="34"/>
  <c r="AX59" i="36"/>
  <c r="CM51" i="29"/>
  <c r="CL52" i="29"/>
  <c r="CQ44" i="29"/>
  <c r="AV15" i="29"/>
  <c r="AU35" i="29"/>
  <c r="CA36" i="29"/>
  <c r="CA16" i="29"/>
  <c r="CA26" i="29"/>
  <c r="BT35" i="29"/>
  <c r="CE35" i="29"/>
  <c r="AY16" i="28"/>
  <c r="BZ45" i="29"/>
  <c r="CF45" i="29" s="1"/>
  <c r="AX16" i="28"/>
  <c r="CA40" i="29"/>
  <c r="BZ46" i="29"/>
  <c r="CA46" i="29" s="1"/>
  <c r="AV16" i="28"/>
  <c r="K46" i="29"/>
  <c r="CP56" i="29"/>
  <c r="K56" i="29"/>
  <c r="G88" i="29"/>
  <c r="CR62" i="29"/>
  <c r="CP89" i="29"/>
  <c r="CP64" i="29"/>
  <c r="J10" i="20"/>
  <c r="Y21" i="20"/>
  <c r="AH47" i="36"/>
  <c r="AH53" i="36" s="1"/>
  <c r="AH35" i="36"/>
  <c r="AH59" i="36" s="1"/>
  <c r="AD34" i="34"/>
  <c r="AE34" i="34" s="1"/>
  <c r="AE22" i="34"/>
  <c r="AI22" i="34"/>
  <c r="AP109" i="29"/>
  <c r="AP128" i="29" s="1"/>
  <c r="AQ99" i="29"/>
  <c r="CE83" i="29"/>
  <c r="CF16" i="29"/>
  <c r="CE26" i="29"/>
  <c r="CE16" i="29"/>
  <c r="AD76" i="28"/>
  <c r="X19" i="34"/>
  <c r="O25" i="29"/>
  <c r="O15" i="29"/>
  <c r="BL21" i="29"/>
  <c r="BP21" i="29"/>
  <c r="I68" i="17"/>
  <c r="I76" i="17" s="1"/>
  <c r="D21" i="20"/>
  <c r="CF36" i="29"/>
  <c r="CJ36" i="29"/>
  <c r="AM51" i="29"/>
  <c r="AN51" i="29"/>
  <c r="CL87" i="29"/>
  <c r="CL65" i="29"/>
  <c r="CN65" i="29" s="1"/>
  <c r="BX99" i="29"/>
  <c r="AR24" i="28"/>
  <c r="BV103" i="29"/>
  <c r="W42" i="20"/>
  <c r="N10" i="20"/>
  <c r="N179" i="9"/>
  <c r="V35" i="34"/>
  <c r="W23" i="34"/>
  <c r="AD35" i="34"/>
  <c r="AH41" i="34" s="1"/>
  <c r="AE23" i="34"/>
  <c r="AP43" i="34"/>
  <c r="AQ37" i="34"/>
  <c r="AU37" i="34"/>
  <c r="CR45" i="29"/>
  <c r="CQ45" i="29"/>
  <c r="CN10" i="34"/>
  <c r="CN16" i="34" s="1"/>
  <c r="CN22" i="34" s="1"/>
  <c r="CN28" i="34" s="1"/>
  <c r="CN34" i="34" s="1"/>
  <c r="BG56" i="29"/>
  <c r="BK16" i="29"/>
  <c r="BG16" i="29"/>
  <c r="W67" i="17"/>
  <c r="K10" i="20"/>
  <c r="BL25" i="29"/>
  <c r="BW32" i="29"/>
  <c r="BV36" i="29"/>
  <c r="BY32" i="29"/>
  <c r="BX32" i="29"/>
  <c r="BV62" i="29"/>
  <c r="AS15" i="28"/>
  <c r="BV34" i="29"/>
  <c r="AN36" i="29"/>
  <c r="AI36" i="29"/>
  <c r="AJ36" i="29"/>
  <c r="BC36" i="29"/>
  <c r="BH36" i="29"/>
  <c r="BD36" i="29"/>
  <c r="BD53" i="29"/>
  <c r="L63" i="29"/>
  <c r="K63" i="29"/>
  <c r="P63" i="29"/>
  <c r="J90" i="29"/>
  <c r="BF88" i="29"/>
  <c r="BH61" i="29"/>
  <c r="BG61" i="29"/>
  <c r="BI61" i="29" s="1"/>
  <c r="BF64" i="29"/>
  <c r="BF65" i="29"/>
  <c r="BH65" i="29" s="1"/>
  <c r="BG65" i="29"/>
  <c r="BF66" i="29"/>
  <c r="AU80" i="29"/>
  <c r="AT90" i="29"/>
  <c r="K21" i="28"/>
  <c r="S82" i="29"/>
  <c r="J36" i="20"/>
  <c r="AM81" i="29"/>
  <c r="F150" i="29"/>
  <c r="F151" i="29"/>
  <c r="L48" i="36"/>
  <c r="L54" i="36" s="1"/>
  <c r="T47" i="36"/>
  <c r="T53" i="36" s="1"/>
  <c r="T35" i="36"/>
  <c r="P28" i="9"/>
  <c r="P32" i="9"/>
  <c r="J32" i="9"/>
  <c r="N37" i="34"/>
  <c r="S37" i="34" s="1"/>
  <c r="S19" i="34"/>
  <c r="O19" i="34"/>
  <c r="S31" i="34"/>
  <c r="O31" i="34"/>
  <c r="AT41" i="34"/>
  <c r="AU35" i="34"/>
  <c r="BB53" i="22"/>
  <c r="AZ20" i="29"/>
  <c r="BD22" i="29"/>
  <c r="BX20" i="29"/>
  <c r="BJ62" i="29"/>
  <c r="G54" i="29"/>
  <c r="BJ90" i="29"/>
  <c r="CN61" i="29"/>
  <c r="CM61" i="29"/>
  <c r="CL88" i="29"/>
  <c r="AP209" i="29"/>
  <c r="AP213" i="29" s="1"/>
  <c r="BJ213" i="29"/>
  <c r="AD76" i="22"/>
  <c r="AD74" i="22"/>
  <c r="CZ22" i="29"/>
  <c r="X21" i="20"/>
  <c r="DL15" i="28" s="1"/>
  <c r="CN50" i="29"/>
  <c r="CR50" i="29"/>
  <c r="CI60" i="29"/>
  <c r="CH87" i="29"/>
  <c r="U41" i="17"/>
  <c r="U52" i="17" s="1"/>
  <c r="BK15" i="29"/>
  <c r="BL15" i="29"/>
  <c r="BL16" i="29" s="1"/>
  <c r="AV36" i="29"/>
  <c r="AR36" i="29"/>
  <c r="BH63" i="29"/>
  <c r="G101" i="29"/>
  <c r="CD161" i="29"/>
  <c r="U85" i="20" s="1"/>
  <c r="W41" i="17"/>
  <c r="W52" i="17" s="1"/>
  <c r="CU31" i="34"/>
  <c r="K26" i="29"/>
  <c r="CF23" i="29"/>
  <c r="BO32" i="29"/>
  <c r="AV34" i="29"/>
  <c r="L21" i="20"/>
  <c r="L24" i="20" s="1"/>
  <c r="CJ35" i="29"/>
  <c r="BV55" i="29"/>
  <c r="BV52" i="29"/>
  <c r="CB52" i="29" s="1"/>
  <c r="CT52" i="29"/>
  <c r="CT55" i="29"/>
  <c r="AU51" i="29"/>
  <c r="M41" i="17"/>
  <c r="M52" i="17"/>
  <c r="Y41" i="17"/>
  <c r="Y52" i="17" s="1"/>
  <c r="H35" i="22"/>
  <c r="I39" i="17"/>
  <c r="I41" i="17" s="1"/>
  <c r="I52" i="17" s="1"/>
  <c r="AJ79" i="22"/>
  <c r="AJ78" i="22"/>
  <c r="V53" i="36"/>
  <c r="Z36" i="34"/>
  <c r="AA24" i="34"/>
  <c r="AE24" i="34"/>
  <c r="BC29" i="34"/>
  <c r="Z10" i="20"/>
  <c r="CY37" i="34"/>
  <c r="DB63" i="29"/>
  <c r="DD31" i="29"/>
  <c r="DB35" i="29"/>
  <c r="DB61" i="29"/>
  <c r="DB88" i="29" s="1"/>
  <c r="AY55" i="29"/>
  <c r="K54" i="29"/>
  <c r="BN61" i="29"/>
  <c r="BT61" i="29" s="1"/>
  <c r="S61" i="29"/>
  <c r="BZ83" i="29"/>
  <c r="CA83" i="29" s="1"/>
  <c r="Z36" i="36"/>
  <c r="Z60" i="36" s="1"/>
  <c r="DH55" i="29"/>
  <c r="DD51" i="29"/>
  <c r="AA31" i="34"/>
  <c r="BF37" i="34"/>
  <c r="CY31" i="34"/>
  <c r="K30" i="34"/>
  <c r="BH34" i="22"/>
  <c r="BF28" i="22"/>
  <c r="BI10" i="17"/>
  <c r="BG94" i="17"/>
  <c r="X188" i="9"/>
  <c r="AF88" i="29"/>
  <c r="AE88" i="29"/>
  <c r="AE98" i="29"/>
  <c r="AD108" i="29"/>
  <c r="AD112" i="29" s="1"/>
  <c r="AE112" i="29" s="1"/>
  <c r="AD92" i="29"/>
  <c r="AD93" i="29"/>
  <c r="BL62" i="29"/>
  <c r="BJ89" i="29"/>
  <c r="BK62" i="29"/>
  <c r="BX34" i="29"/>
  <c r="BW34" i="29"/>
  <c r="S21" i="20"/>
  <c r="CB34" i="29"/>
  <c r="BS64" i="29"/>
  <c r="CT56" i="29"/>
  <c r="CU52" i="29"/>
  <c r="CV52" i="29"/>
  <c r="CT53" i="29"/>
  <c r="CT54" i="29" s="1"/>
  <c r="BW17" i="28"/>
  <c r="W74" i="17"/>
  <c r="W73" i="17"/>
  <c r="AE100" i="29"/>
  <c r="CM65" i="29"/>
  <c r="AA87" i="29"/>
  <c r="AF87" i="29"/>
  <c r="Z107" i="29"/>
  <c r="AA97" i="29"/>
  <c r="Z92" i="29"/>
  <c r="CB46" i="29"/>
  <c r="N36" i="20"/>
  <c r="CY36" i="34"/>
  <c r="CX42" i="34"/>
  <c r="DB42" i="34"/>
  <c r="CM88" i="29"/>
  <c r="CM98" i="29"/>
  <c r="CL108" i="29"/>
  <c r="CN88" i="29"/>
  <c r="R32" i="9"/>
  <c r="CB62" i="29"/>
  <c r="BV89" i="29"/>
  <c r="BW89" i="29" s="1"/>
  <c r="BX62" i="29"/>
  <c r="BW62" i="29"/>
  <c r="DC61" i="29"/>
  <c r="AT110" i="29"/>
  <c r="AU100" i="29"/>
  <c r="AU90" i="29"/>
  <c r="AV90" i="29"/>
  <c r="AZ90" i="29"/>
  <c r="K100" i="29"/>
  <c r="K90" i="29"/>
  <c r="J110" i="29"/>
  <c r="CA45" i="29"/>
  <c r="AV16" i="29"/>
  <c r="CA52" i="29"/>
  <c r="AX17" i="28"/>
  <c r="BH90" i="29"/>
  <c r="BG90" i="29"/>
  <c r="BF110" i="29"/>
  <c r="BG100" i="29"/>
  <c r="AA66" i="29"/>
  <c r="AF66" i="29"/>
  <c r="F129" i="29"/>
  <c r="BR92" i="29"/>
  <c r="CU34" i="34"/>
  <c r="CT40" i="34"/>
  <c r="BG89" i="29"/>
  <c r="BF109" i="29"/>
  <c r="BG99" i="29"/>
  <c r="BH89" i="29"/>
  <c r="X179" i="9"/>
  <c r="BV129" i="29"/>
  <c r="AE74" i="17"/>
  <c r="AZ57" i="36"/>
  <c r="AF60" i="36"/>
  <c r="J59" i="36"/>
  <c r="BB91" i="29"/>
  <c r="BD87" i="29"/>
  <c r="BB92" i="29"/>
  <c r="BD92" i="29" s="1"/>
  <c r="BB93" i="29"/>
  <c r="BC87" i="29"/>
  <c r="BB107" i="29"/>
  <c r="BC97" i="29"/>
  <c r="V23" i="20"/>
  <c r="V43" i="34"/>
  <c r="W37" i="34"/>
  <c r="AA37" i="34"/>
  <c r="DC35" i="29"/>
  <c r="CZ15" i="28"/>
  <c r="N43" i="34"/>
  <c r="R43" i="34"/>
  <c r="O37" i="34"/>
  <c r="AD41" i="34"/>
  <c r="AE35" i="34"/>
  <c r="AI34" i="34"/>
  <c r="AH40" i="34"/>
  <c r="AD40" i="34"/>
  <c r="BN89" i="29"/>
  <c r="BP62" i="29"/>
  <c r="BO62" i="29"/>
  <c r="BT62" i="29"/>
  <c r="AM110" i="29"/>
  <c r="AH129" i="29"/>
  <c r="AA65" i="29"/>
  <c r="AF65" i="29"/>
  <c r="V110" i="29"/>
  <c r="W100" i="29"/>
  <c r="AB90" i="29"/>
  <c r="W90" i="29"/>
  <c r="AR24" i="29"/>
  <c r="CD110" i="29"/>
  <c r="CF90" i="29"/>
  <c r="CE100" i="29"/>
  <c r="CE90" i="29"/>
  <c r="J127" i="29"/>
  <c r="AX131" i="29"/>
  <c r="BG37" i="34"/>
  <c r="BJ43" i="34"/>
  <c r="BK37" i="34"/>
  <c r="BF43" i="34"/>
  <c r="BG88" i="29"/>
  <c r="BF108" i="29"/>
  <c r="BG98" i="29"/>
  <c r="AE64" i="29"/>
  <c r="BN88" i="29"/>
  <c r="BN65" i="29"/>
  <c r="BO61" i="29"/>
  <c r="BJ110" i="29"/>
  <c r="BK100" i="29"/>
  <c r="BK90" i="29"/>
  <c r="BL90" i="29"/>
  <c r="BW36" i="29"/>
  <c r="CB36" i="29"/>
  <c r="BX36" i="29"/>
  <c r="CQ56" i="29"/>
  <c r="AJ60" i="36"/>
  <c r="M36" i="20"/>
  <c r="AY81" i="29"/>
  <c r="AJ65" i="29"/>
  <c r="AE65" i="29"/>
  <c r="AY64" i="29"/>
  <c r="CN64" i="29"/>
  <c r="R41" i="34"/>
  <c r="S35" i="34"/>
  <c r="CY73" i="28"/>
  <c r="CV24" i="29"/>
  <c r="CZ24" i="29"/>
  <c r="O100" i="29"/>
  <c r="O90" i="29"/>
  <c r="N110" i="29"/>
  <c r="AX129" i="29"/>
  <c r="BC129" i="29" s="1"/>
  <c r="BC110" i="29"/>
  <c r="BS66" i="29"/>
  <c r="AD126" i="29"/>
  <c r="BG108" i="29"/>
  <c r="BB127" i="29"/>
  <c r="BB171" i="29"/>
  <c r="CH107" i="29"/>
  <c r="CH126" i="29" s="1"/>
  <c r="CI97" i="29"/>
  <c r="CH91" i="29"/>
  <c r="CJ87" i="29"/>
  <c r="CI87" i="29"/>
  <c r="CH93" i="29"/>
  <c r="CH92" i="29"/>
  <c r="BN107" i="29"/>
  <c r="BO87" i="29"/>
  <c r="BT87" i="29"/>
  <c r="BO97" i="29"/>
  <c r="S36" i="20"/>
  <c r="BW81" i="29"/>
  <c r="BH88" i="29"/>
  <c r="DB90" i="29"/>
  <c r="DB110" i="29" s="1"/>
  <c r="DB119" i="29" s="1"/>
  <c r="DB138" i="29" s="1"/>
  <c r="DD63" i="29"/>
  <c r="DC63" i="29"/>
  <c r="BB81" i="22"/>
  <c r="W35" i="34"/>
  <c r="AA35" i="34"/>
  <c r="V41" i="34"/>
  <c r="Z41" i="34"/>
  <c r="CQ64" i="29"/>
  <c r="CR64" i="29"/>
  <c r="BM17" i="28"/>
  <c r="CL53" i="29"/>
  <c r="CL54" i="29" s="1"/>
  <c r="CL56" i="29"/>
  <c r="CN52" i="29"/>
  <c r="CM52" i="29"/>
  <c r="S85" i="20"/>
  <c r="Y85" i="20"/>
  <c r="CU66" i="29"/>
  <c r="AA64" i="29"/>
  <c r="AF64" i="29"/>
  <c r="AY66" i="29"/>
  <c r="CR52" i="29"/>
  <c r="CE55" i="29"/>
  <c r="CJ55" i="29"/>
  <c r="Z43" i="34"/>
  <c r="CH110" i="29"/>
  <c r="CH129" i="29" s="1"/>
  <c r="CM129" i="29" s="1"/>
  <c r="CN90" i="29"/>
  <c r="CJ90" i="29"/>
  <c r="CI90" i="29"/>
  <c r="CI100" i="29"/>
  <c r="BZ127" i="29"/>
  <c r="V30" i="20"/>
  <c r="I12" i="97" s="1"/>
  <c r="I133" i="97" s="1"/>
  <c r="CI54" i="29"/>
  <c r="AY92" i="29"/>
  <c r="AY102" i="29"/>
  <c r="CD108" i="29"/>
  <c r="CD91" i="29"/>
  <c r="CD93" i="29"/>
  <c r="CF88" i="29"/>
  <c r="CE98" i="29"/>
  <c r="CF98" i="29"/>
  <c r="CJ88" i="29"/>
  <c r="CE88" i="29"/>
  <c r="CD92" i="29"/>
  <c r="R58" i="36"/>
  <c r="BX24" i="29"/>
  <c r="BW52" i="29"/>
  <c r="BV53" i="29"/>
  <c r="BX52" i="29"/>
  <c r="AS17" i="28"/>
  <c r="BV56" i="29"/>
  <c r="CB56" i="29" s="1"/>
  <c r="BV54" i="29"/>
  <c r="CM97" i="29"/>
  <c r="CM87" i="29"/>
  <c r="CN87" i="29"/>
  <c r="CR87" i="29"/>
  <c r="CL107" i="29"/>
  <c r="CL92" i="29"/>
  <c r="CN92" i="29" s="1"/>
  <c r="AE66" i="29"/>
  <c r="AJ66" i="29"/>
  <c r="Q71" i="17"/>
  <c r="CI109" i="29"/>
  <c r="CE109" i="29"/>
  <c r="CD128" i="29"/>
  <c r="CI128" i="29" s="1"/>
  <c r="CE65" i="29"/>
  <c r="BX55" i="29"/>
  <c r="BW55" i="29"/>
  <c r="BI63" i="29"/>
  <c r="M8" i="97"/>
  <c r="CU55" i="29"/>
  <c r="CV55" i="29"/>
  <c r="T59" i="36"/>
  <c r="BG64" i="29"/>
  <c r="CQ99" i="29"/>
  <c r="CQ89" i="29"/>
  <c r="CV89" i="29"/>
  <c r="CP109" i="29"/>
  <c r="CP128" i="29" s="1"/>
  <c r="CU128" i="29" s="1"/>
  <c r="AN23" i="34"/>
  <c r="CY109" i="29"/>
  <c r="AX109" i="29"/>
  <c r="AY89" i="29"/>
  <c r="AZ89" i="29"/>
  <c r="BD89" i="29"/>
  <c r="CQ54" i="29"/>
  <c r="X30" i="20"/>
  <c r="CE52" i="29"/>
  <c r="BC17" i="28"/>
  <c r="CF52" i="29"/>
  <c r="CJ52" i="29"/>
  <c r="CD56" i="29"/>
  <c r="Q88" i="20"/>
  <c r="DE31" i="28"/>
  <c r="F59" i="36"/>
  <c r="CE66" i="29"/>
  <c r="AY35" i="34"/>
  <c r="AX41" i="34"/>
  <c r="BB41" i="34"/>
  <c r="BC35" i="34"/>
  <c r="AF58" i="36"/>
  <c r="D16" i="20"/>
  <c r="BG81" i="29"/>
  <c r="O36" i="20"/>
  <c r="BK10" i="17"/>
  <c r="BH28" i="22"/>
  <c r="BH49" i="22"/>
  <c r="BI94" i="17" s="1"/>
  <c r="BK44" i="17"/>
  <c r="X186" i="9"/>
  <c r="DF150" i="29"/>
  <c r="DF151" i="29"/>
  <c r="CJ30" i="28" a="1"/>
  <c r="AB54" i="20"/>
  <c r="CJ31" i="28" a="1"/>
  <c r="CM31" i="28" s="1"/>
  <c r="N129" i="29"/>
  <c r="S129" i="29" s="1"/>
  <c r="S110" i="29"/>
  <c r="BS102" i="29"/>
  <c r="BS92" i="29"/>
  <c r="BX56" i="29"/>
  <c r="BW56" i="29"/>
  <c r="BN169" i="29"/>
  <c r="BN126" i="29"/>
  <c r="CI103" i="29"/>
  <c r="CI93" i="29"/>
  <c r="BC101" i="29"/>
  <c r="BC91" i="29"/>
  <c r="AB88" i="20"/>
  <c r="AU110" i="29"/>
  <c r="AY110" i="29"/>
  <c r="AT129" i="29"/>
  <c r="CV56" i="29"/>
  <c r="CU56" i="29"/>
  <c r="BW54" i="29"/>
  <c r="CL126" i="29"/>
  <c r="CQ107" i="29"/>
  <c r="CL112" i="29"/>
  <c r="CE93" i="29"/>
  <c r="CF93" i="29"/>
  <c r="CE103" i="29"/>
  <c r="CM110" i="29"/>
  <c r="BF175" i="29"/>
  <c r="BK110" i="29"/>
  <c r="CM54" i="29"/>
  <c r="BO65" i="29"/>
  <c r="BT65" i="29"/>
  <c r="BP89" i="29"/>
  <c r="BT89" i="29"/>
  <c r="BN109" i="29"/>
  <c r="BO89" i="29"/>
  <c r="BO99" i="29"/>
  <c r="BC93" i="29"/>
  <c r="BC103" i="29"/>
  <c r="AM68" i="17"/>
  <c r="AM76" i="17" s="1"/>
  <c r="CN53" i="29"/>
  <c r="CM53" i="29"/>
  <c r="BN17" i="28"/>
  <c r="CR53" i="29"/>
  <c r="BO88" i="29"/>
  <c r="BO98" i="29"/>
  <c r="BN108" i="29"/>
  <c r="Z126" i="29"/>
  <c r="AE107" i="29"/>
  <c r="Z112" i="29"/>
  <c r="CM92" i="29"/>
  <c r="J129" i="29"/>
  <c r="K129" i="29"/>
  <c r="O110" i="29"/>
  <c r="AD127" i="29"/>
  <c r="AE108" i="29"/>
  <c r="CE101" i="29"/>
  <c r="CE91" i="29"/>
  <c r="BC127" i="29"/>
  <c r="BN93" i="29"/>
  <c r="BF193" i="29"/>
  <c r="BF129" i="29"/>
  <c r="BF171" i="29"/>
  <c r="BB112" i="29"/>
  <c r="BB126" i="29"/>
  <c r="BB113" i="29"/>
  <c r="BC107" i="29"/>
  <c r="BF173" i="29"/>
  <c r="BF172" i="29"/>
  <c r="BG109" i="29"/>
  <c r="DB21" i="28"/>
  <c r="BX17" i="28"/>
  <c r="CU53" i="29"/>
  <c r="CV53" i="29"/>
  <c r="E47" i="97"/>
  <c r="V129" i="29"/>
  <c r="AA110" i="29"/>
  <c r="W110" i="29"/>
  <c r="AE92" i="29"/>
  <c r="AE102" i="29"/>
  <c r="CF56" i="29"/>
  <c r="CE56" i="29"/>
  <c r="CJ56" i="29"/>
  <c r="BX89" i="29"/>
  <c r="CU109" i="29"/>
  <c r="AT17" i="28"/>
  <c r="BX53" i="29"/>
  <c r="BW53" i="29"/>
  <c r="CD112" i="29"/>
  <c r="CD127" i="29"/>
  <c r="CD113" i="29"/>
  <c r="CE108" i="29"/>
  <c r="DG212" i="29"/>
  <c r="BN92" i="29"/>
  <c r="BT92" i="29" s="1"/>
  <c r="CJ91" i="29"/>
  <c r="CI101" i="29"/>
  <c r="CI91" i="29"/>
  <c r="BM129" i="29"/>
  <c r="BJ175" i="29"/>
  <c r="BV138" i="29"/>
  <c r="CA129" i="29"/>
  <c r="CL127" i="29"/>
  <c r="AE103" i="29"/>
  <c r="AE93" i="29"/>
  <c r="BC92" i="29"/>
  <c r="BC102" i="29"/>
  <c r="BK99" i="29"/>
  <c r="BK89" i="29"/>
  <c r="BL89" i="29"/>
  <c r="BJ109" i="29"/>
  <c r="BK109" i="29" s="1"/>
  <c r="CI92" i="29"/>
  <c r="CI102" i="29"/>
  <c r="DL17" i="28"/>
  <c r="K12" i="97"/>
  <c r="CE102" i="29"/>
  <c r="CF92" i="29"/>
  <c r="CE92" i="29"/>
  <c r="CM56" i="29"/>
  <c r="K110" i="29"/>
  <c r="AF92" i="29"/>
  <c r="AA102" i="29"/>
  <c r="AA92" i="29"/>
  <c r="AY129" i="29"/>
  <c r="AU129" i="29"/>
  <c r="BN127" i="29"/>
  <c r="BN113" i="29"/>
  <c r="BN112" i="29"/>
  <c r="AE127" i="29"/>
  <c r="BJ129" i="29"/>
  <c r="BF128" i="29"/>
  <c r="BN128" i="29"/>
  <c r="BN172" i="29"/>
  <c r="BN168" i="29"/>
  <c r="AE126" i="29"/>
  <c r="Z131" i="29"/>
  <c r="BJ174" i="29"/>
  <c r="BL129" i="29" s="1"/>
  <c r="BO102" i="29"/>
  <c r="BO92" i="29"/>
  <c r="BB131" i="29"/>
  <c r="BC126" i="29"/>
  <c r="BF170" i="29"/>
  <c r="BG170" i="29" s="1"/>
  <c r="BI127" i="29" s="1"/>
  <c r="BF174" i="29"/>
  <c r="BG174" i="29" s="1"/>
  <c r="BI129" i="29" s="1"/>
  <c r="BH128" i="29"/>
  <c r="BG172" i="29"/>
  <c r="BI128" i="29" s="1"/>
  <c r="CQ126" i="29"/>
  <c r="CL131" i="29"/>
  <c r="BJ172" i="29"/>
  <c r="BL128" i="29" s="1"/>
  <c r="BJ173" i="29"/>
  <c r="BO109" i="29"/>
  <c r="BM128" i="29"/>
  <c r="BJ128" i="29"/>
  <c r="BO128" i="29" s="1"/>
  <c r="AD131" i="29"/>
  <c r="BC112" i="29"/>
  <c r="BO93" i="29"/>
  <c r="BO103" i="29"/>
  <c r="AA129" i="29"/>
  <c r="W129" i="29"/>
  <c r="O129" i="29"/>
  <c r="BC131" i="29"/>
  <c r="BN131" i="29"/>
  <c r="BN132" i="29"/>
  <c r="BC50" i="17"/>
  <c r="D193" i="9"/>
  <c r="DG50" i="29"/>
  <c r="DG10" i="29"/>
  <c r="DD10" i="34" s="1"/>
  <c r="DD16" i="34" s="1"/>
  <c r="DD22" i="34" s="1"/>
  <c r="DD28" i="34" s="1"/>
  <c r="DD34" i="34" s="1"/>
  <c r="DG40" i="29"/>
  <c r="DG77" i="29"/>
  <c r="F193" i="9"/>
  <c r="DG11" i="29"/>
  <c r="DD11" i="34" s="1"/>
  <c r="DD17" i="34" s="1"/>
  <c r="DD23" i="34" s="1"/>
  <c r="DD29" i="34" s="1"/>
  <c r="DD35" i="34" s="1"/>
  <c r="DG78" i="29"/>
  <c r="D194" i="9"/>
  <c r="DG41" i="29"/>
  <c r="DG51" i="29"/>
  <c r="DF15" i="29"/>
  <c r="CJ47" i="28"/>
  <c r="DH31" i="29"/>
  <c r="DF35" i="29"/>
  <c r="F194" i="9"/>
  <c r="DF25" i="29"/>
  <c r="DG25" i="29"/>
  <c r="DG55" i="29"/>
  <c r="CK47" i="28"/>
  <c r="DH15" i="29"/>
  <c r="N193" i="9"/>
  <c r="DF102" i="29"/>
  <c r="BB36" i="22"/>
  <c r="BB38" i="22" s="1"/>
  <c r="BC33" i="17"/>
  <c r="BC41" i="17" s="1"/>
  <c r="BC52" i="17" s="1"/>
  <c r="BK129" i="29"/>
  <c r="CU54" i="29"/>
  <c r="Y30" i="20"/>
  <c r="DM17" i="28" s="1"/>
  <c r="CV54" i="29"/>
  <c r="AY91" i="29"/>
  <c r="AY101" i="29"/>
  <c r="BD91" i="29"/>
  <c r="DN194" i="29"/>
  <c r="AX93" i="29"/>
  <c r="N75" i="97"/>
  <c r="N170" i="97" s="1"/>
  <c r="BN66" i="29"/>
  <c r="BG66" i="29"/>
  <c r="AV17" i="34"/>
  <c r="AV35" i="34"/>
  <c r="AV23" i="34"/>
  <c r="BD35" i="34"/>
  <c r="BD23" i="34"/>
  <c r="L29" i="34"/>
  <c r="L23" i="34"/>
  <c r="T22" i="34"/>
  <c r="T28" i="34"/>
  <c r="T34" i="34"/>
  <c r="T19" i="34"/>
  <c r="T37" i="34"/>
  <c r="T29" i="34"/>
  <c r="AZ17" i="34"/>
  <c r="AZ35" i="34"/>
  <c r="D145" i="9"/>
  <c r="AM54" i="29"/>
  <c r="N7" i="20"/>
  <c r="N23" i="20" s="1"/>
  <c r="AQ25" i="29"/>
  <c r="BH21" i="29"/>
  <c r="S34" i="29"/>
  <c r="AU24" i="29"/>
  <c r="AV24" i="29" s="1"/>
  <c r="AZ23" i="29"/>
  <c r="CY14" i="29"/>
  <c r="R7" i="20"/>
  <c r="R37" i="20" s="1"/>
  <c r="CR15" i="29"/>
  <c r="CR16" i="29" s="1"/>
  <c r="CI82" i="29"/>
  <c r="CI25" i="29"/>
  <c r="AV20" i="29"/>
  <c r="AV22" i="29"/>
  <c r="AZ21" i="29"/>
  <c r="BL22" i="29"/>
  <c r="AU54" i="29"/>
  <c r="CY82" i="29"/>
  <c r="BK55" i="29"/>
  <c r="CJ15" i="29"/>
  <c r="CJ16" i="29" s="1"/>
  <c r="BL20" i="29"/>
  <c r="BX21" i="29"/>
  <c r="C10" i="20"/>
  <c r="S55" i="29"/>
  <c r="F21" i="20"/>
  <c r="V21" i="20"/>
  <c r="I11" i="97" s="1"/>
  <c r="BX51" i="29"/>
  <c r="BD51" i="29"/>
  <c r="BD52" i="29"/>
  <c r="K61" i="29"/>
  <c r="AA63" i="29"/>
  <c r="BZ87" i="29"/>
  <c r="N151" i="29"/>
  <c r="CM202" i="29"/>
  <c r="E42" i="20"/>
  <c r="CJ23" i="29"/>
  <c r="AV61" i="29"/>
  <c r="CY202" i="29"/>
  <c r="DD21" i="29"/>
  <c r="BT31" i="29"/>
  <c r="BT32" i="29"/>
  <c r="AT87" i="29"/>
  <c r="CP65" i="29"/>
  <c r="CR65" i="29" s="1"/>
  <c r="T10" i="20"/>
  <c r="B12" i="20"/>
  <c r="B33" i="20" s="1"/>
  <c r="B34" i="20" s="1"/>
  <c r="E15" i="97"/>
  <c r="E136" i="97" s="1"/>
  <c r="DF21" i="28"/>
  <c r="DM21" i="28"/>
  <c r="L15" i="97"/>
  <c r="L136" i="97" s="1"/>
  <c r="B31" i="20"/>
  <c r="AA74" i="17"/>
  <c r="N12" i="97"/>
  <c r="BO66" i="29"/>
  <c r="BT66" i="29"/>
  <c r="AY93" i="29"/>
  <c r="BD93" i="29"/>
  <c r="W26" i="20"/>
  <c r="AZ24" i="29"/>
  <c r="AT107" i="29"/>
  <c r="AU97" i="29"/>
  <c r="AU87" i="29"/>
  <c r="AZ87" i="29"/>
  <c r="CA97" i="29"/>
  <c r="BZ107" i="29"/>
  <c r="BZ113" i="29" s="1"/>
  <c r="CE113" i="29" s="1"/>
  <c r="CA87" i="29"/>
  <c r="BZ93" i="29"/>
  <c r="CB93" i="29" s="1"/>
  <c r="BZ91" i="29"/>
  <c r="CF91" i="29" s="1"/>
  <c r="BZ92" i="29"/>
  <c r="CA92" i="29" s="1"/>
  <c r="CF87" i="29"/>
  <c r="R62" i="20"/>
  <c r="R63" i="20" s="1"/>
  <c r="R68" i="20" s="1"/>
  <c r="R23" i="20"/>
  <c r="E6" i="97"/>
  <c r="E30" i="97" s="1"/>
  <c r="CA91" i="29"/>
  <c r="CA103" i="29"/>
  <c r="CF97" i="29"/>
  <c r="AT126" i="29"/>
  <c r="AY107" i="29"/>
  <c r="CA102" i="29"/>
  <c r="AY126" i="29"/>
  <c r="D195" i="9"/>
  <c r="DG12" i="29"/>
  <c r="DD12" i="34" s="1"/>
  <c r="DD18" i="34" s="1"/>
  <c r="DD24" i="34" s="1"/>
  <c r="DD30" i="34" s="1"/>
  <c r="DD36" i="34" s="1"/>
  <c r="DF16" i="29"/>
  <c r="DG56" i="29" s="1"/>
  <c r="DG52" i="29"/>
  <c r="DG79" i="29"/>
  <c r="DG42" i="29"/>
  <c r="F195" i="9"/>
  <c r="DF26" i="29"/>
  <c r="DG16" i="29"/>
  <c r="DF36" i="29"/>
  <c r="BD64" i="36" l="1"/>
  <c r="CJ32" i="28" a="1"/>
  <c r="CJ32" i="28" s="1"/>
  <c r="BI49" i="17"/>
  <c r="BK49" i="17" s="1"/>
  <c r="BM49" i="17" s="1"/>
  <c r="BO49" i="17" s="1"/>
  <c r="BQ49" i="17" s="1"/>
  <c r="AI160" i="9"/>
  <c r="BF131" i="118"/>
  <c r="BF134" i="118" s="1"/>
  <c r="BG131" i="118" s="1"/>
  <c r="BG134" i="118" s="1"/>
  <c r="BH131" i="118" s="1"/>
  <c r="BH134" i="118" s="1"/>
  <c r="BI131" i="118" s="1"/>
  <c r="BI134" i="118" s="1"/>
  <c r="P136" i="97"/>
  <c r="P54" i="97"/>
  <c r="P95" i="97"/>
  <c r="R90" i="9"/>
  <c r="Z37" i="118"/>
  <c r="AT105" i="118"/>
  <c r="AT37" i="118" s="1"/>
  <c r="AT36" i="118"/>
  <c r="AP105" i="118"/>
  <c r="AP37" i="118" s="1"/>
  <c r="AP36" i="118"/>
  <c r="AL105" i="118"/>
  <c r="AL37" i="118" s="1"/>
  <c r="AL36" i="118"/>
  <c r="AH105" i="118"/>
  <c r="AH37" i="118" s="1"/>
  <c r="AH36" i="118"/>
  <c r="AD105" i="118"/>
  <c r="AD37" i="118" s="1"/>
  <c r="AD36" i="118"/>
  <c r="Z32" i="118"/>
  <c r="AT83" i="118"/>
  <c r="AT32" i="118" s="1"/>
  <c r="AT31" i="118"/>
  <c r="AP83" i="118"/>
  <c r="AP32" i="118" s="1"/>
  <c r="AP31" i="118"/>
  <c r="AL83" i="118"/>
  <c r="AL32" i="118" s="1"/>
  <c r="AL31" i="118"/>
  <c r="AH83" i="118"/>
  <c r="AH31" i="118"/>
  <c r="AD83" i="118"/>
  <c r="AD31" i="118"/>
  <c r="AW26" i="118"/>
  <c r="AS50" i="118"/>
  <c r="AS27" i="118" s="1"/>
  <c r="AS26" i="118"/>
  <c r="AO50" i="118"/>
  <c r="AO27" i="118" s="1"/>
  <c r="AO26" i="118"/>
  <c r="AK50" i="118"/>
  <c r="AK27" i="118" s="1"/>
  <c r="AK26" i="118"/>
  <c r="AG50" i="118"/>
  <c r="AG27" i="118" s="1"/>
  <c r="AG26" i="118"/>
  <c r="AC50" i="118"/>
  <c r="AC27" i="118" s="1"/>
  <c r="AC26" i="118"/>
  <c r="AX50" i="118"/>
  <c r="AX27" i="118" s="1"/>
  <c r="AX26" i="118"/>
  <c r="AA9" i="118"/>
  <c r="AA17" i="118" s="1"/>
  <c r="AA25" i="118"/>
  <c r="AE9" i="118"/>
  <c r="AE17" i="118" s="1"/>
  <c r="AE25" i="118"/>
  <c r="AI9" i="118"/>
  <c r="AI17" i="118" s="1"/>
  <c r="AI25" i="118"/>
  <c r="AM9" i="118"/>
  <c r="AM17" i="118" s="1"/>
  <c r="AM25" i="118"/>
  <c r="AQ9" i="118"/>
  <c r="AQ17" i="118" s="1"/>
  <c r="AQ25" i="118"/>
  <c r="AU9" i="118"/>
  <c r="AU17" i="118" s="1"/>
  <c r="AU25" i="118"/>
  <c r="AW105" i="118"/>
  <c r="AW37" i="118" s="1"/>
  <c r="AW36" i="118"/>
  <c r="AS105" i="118"/>
  <c r="AS37" i="118" s="1"/>
  <c r="AS36" i="118"/>
  <c r="AK105" i="118"/>
  <c r="AK37" i="118" s="1"/>
  <c r="AK36" i="118"/>
  <c r="AG105" i="118"/>
  <c r="AG37" i="118" s="1"/>
  <c r="AG36" i="118"/>
  <c r="AW83" i="118"/>
  <c r="AW32" i="118" s="1"/>
  <c r="AW31" i="118"/>
  <c r="AS83" i="118"/>
  <c r="AS32" i="118" s="1"/>
  <c r="AS31" i="118"/>
  <c r="AO83" i="118"/>
  <c r="AO32" i="118" s="1"/>
  <c r="AO31" i="118"/>
  <c r="AK83" i="118"/>
  <c r="AK32" i="118" s="1"/>
  <c r="AK31" i="118"/>
  <c r="AG83" i="118"/>
  <c r="AG32" i="118" s="1"/>
  <c r="AG31" i="118"/>
  <c r="AC83" i="118"/>
  <c r="AC32" i="118" s="1"/>
  <c r="AC31" i="118"/>
  <c r="AV50" i="118"/>
  <c r="AV27" i="118" s="1"/>
  <c r="AV26" i="118"/>
  <c r="AR50" i="118"/>
  <c r="AR27" i="118" s="1"/>
  <c r="AR26" i="118"/>
  <c r="AN50" i="118"/>
  <c r="AN27" i="118" s="1"/>
  <c r="AN26" i="118"/>
  <c r="AJ50" i="118"/>
  <c r="AJ27" i="118" s="1"/>
  <c r="AJ26" i="118"/>
  <c r="AF50" i="118"/>
  <c r="AF27" i="118" s="1"/>
  <c r="AF26" i="118"/>
  <c r="AB50" i="118"/>
  <c r="AB26" i="118"/>
  <c r="AX105" i="118"/>
  <c r="AX37" i="118" s="1"/>
  <c r="AX36" i="118"/>
  <c r="AB9" i="118"/>
  <c r="AB17" i="118" s="1"/>
  <c r="AB25" i="118"/>
  <c r="AF9" i="118"/>
  <c r="AF17" i="118" s="1"/>
  <c r="AF25" i="118"/>
  <c r="AJ9" i="118"/>
  <c r="AJ17" i="118" s="1"/>
  <c r="AJ25" i="118"/>
  <c r="AN9" i="118"/>
  <c r="AN17" i="118" s="1"/>
  <c r="AN25" i="118"/>
  <c r="AR9" i="118"/>
  <c r="AR17" i="118" s="1"/>
  <c r="AR25" i="118"/>
  <c r="AV9" i="118"/>
  <c r="AV17" i="118" s="1"/>
  <c r="AV25" i="118"/>
  <c r="AV105" i="118"/>
  <c r="AV37" i="118" s="1"/>
  <c r="AV36" i="118"/>
  <c r="AR105" i="118"/>
  <c r="AR37" i="118" s="1"/>
  <c r="AR36" i="118"/>
  <c r="AN105" i="118"/>
  <c r="AN37" i="118" s="1"/>
  <c r="AN36" i="118"/>
  <c r="AJ105" i="118"/>
  <c r="AJ37" i="118" s="1"/>
  <c r="AJ36" i="118"/>
  <c r="AF36" i="118"/>
  <c r="AB105" i="118"/>
  <c r="AB37" i="118" s="1"/>
  <c r="AB36" i="118"/>
  <c r="AV83" i="118"/>
  <c r="AV32" i="118" s="1"/>
  <c r="AV31" i="118"/>
  <c r="AR83" i="118"/>
  <c r="AR31" i="118"/>
  <c r="AN83" i="118"/>
  <c r="AN32" i="118" s="1"/>
  <c r="AN31" i="118"/>
  <c r="AJ83" i="118"/>
  <c r="AJ32" i="118" s="1"/>
  <c r="AJ31" i="118"/>
  <c r="AF83" i="118"/>
  <c r="AF32" i="118" s="1"/>
  <c r="AF31" i="118"/>
  <c r="AB83" i="118"/>
  <c r="AB32" i="118" s="1"/>
  <c r="AB31" i="118"/>
  <c r="AU50" i="118"/>
  <c r="AU26" i="118"/>
  <c r="AQ50" i="118"/>
  <c r="AQ26" i="118"/>
  <c r="AM50" i="118"/>
  <c r="AM26" i="118"/>
  <c r="AI50" i="118"/>
  <c r="AI27" i="118" s="1"/>
  <c r="AI26" i="118"/>
  <c r="AE50" i="118"/>
  <c r="AE26" i="118"/>
  <c r="AA50" i="118"/>
  <c r="AA27" i="118" s="1"/>
  <c r="AA26" i="118"/>
  <c r="V48" i="129"/>
  <c r="W47" i="129"/>
  <c r="X47" i="129"/>
  <c r="Y47" i="129"/>
  <c r="Z47" i="129"/>
  <c r="W48" i="129"/>
  <c r="X48" i="129"/>
  <c r="Y48" i="129"/>
  <c r="Z48" i="129"/>
  <c r="AA48" i="129"/>
  <c r="AC9" i="118"/>
  <c r="AC17" i="118" s="1"/>
  <c r="AC25" i="118"/>
  <c r="AG9" i="118"/>
  <c r="AG17" i="118" s="1"/>
  <c r="AG25" i="118"/>
  <c r="AK9" i="118"/>
  <c r="AK17" i="118" s="1"/>
  <c r="AK25" i="118"/>
  <c r="AO9" i="118"/>
  <c r="AO17" i="118" s="1"/>
  <c r="AO25" i="118"/>
  <c r="AS9" i="118"/>
  <c r="AS17" i="118" s="1"/>
  <c r="AS25" i="118"/>
  <c r="AW9" i="118"/>
  <c r="AW17" i="118" s="1"/>
  <c r="AW25" i="118"/>
  <c r="Z13" i="118"/>
  <c r="J139" i="127" s="1"/>
  <c r="L139" i="127" s="1"/>
  <c r="W139" i="127" s="1"/>
  <c r="Y139" i="127" s="1"/>
  <c r="AU105" i="118"/>
  <c r="AU37" i="118" s="1"/>
  <c r="AU36" i="118"/>
  <c r="AQ105" i="118"/>
  <c r="AQ37" i="118" s="1"/>
  <c r="AQ36" i="118"/>
  <c r="AM105" i="118"/>
  <c r="AM37" i="118" s="1"/>
  <c r="AM36" i="118"/>
  <c r="AI105" i="118"/>
  <c r="AI37" i="118" s="1"/>
  <c r="AI36" i="118"/>
  <c r="AE105" i="118"/>
  <c r="AE37" i="118" s="1"/>
  <c r="AE36" i="118"/>
  <c r="AA105" i="118"/>
  <c r="AA37" i="118" s="1"/>
  <c r="AA36" i="118"/>
  <c r="AU32" i="118"/>
  <c r="AU31" i="118"/>
  <c r="AQ83" i="118"/>
  <c r="AQ32" i="118" s="1"/>
  <c r="AQ31" i="118"/>
  <c r="AM83" i="118"/>
  <c r="AM32" i="118" s="1"/>
  <c r="AM31" i="118"/>
  <c r="AI83" i="118"/>
  <c r="AI32" i="118" s="1"/>
  <c r="AI31" i="118"/>
  <c r="AE83" i="118"/>
  <c r="AE32" i="118" s="1"/>
  <c r="AE31" i="118"/>
  <c r="AA83" i="118"/>
  <c r="AA32" i="118" s="1"/>
  <c r="AA31" i="118"/>
  <c r="Z27" i="118"/>
  <c r="AT50" i="118"/>
  <c r="AT26" i="118"/>
  <c r="AP50" i="118"/>
  <c r="AP27" i="118" s="1"/>
  <c r="AP26" i="118"/>
  <c r="AL50" i="118"/>
  <c r="AL27" i="118" s="1"/>
  <c r="AL26" i="118"/>
  <c r="AH50" i="118"/>
  <c r="AH27" i="118" s="1"/>
  <c r="AH26" i="118"/>
  <c r="AD50" i="118"/>
  <c r="AD27" i="118" s="1"/>
  <c r="AD26" i="118"/>
  <c r="AX83" i="118"/>
  <c r="AX32" i="118" s="1"/>
  <c r="AX31" i="118"/>
  <c r="Z9" i="118"/>
  <c r="Z17" i="118" s="1"/>
  <c r="Z25" i="118"/>
  <c r="AD9" i="118"/>
  <c r="AD17" i="118" s="1"/>
  <c r="AD25" i="118"/>
  <c r="AH9" i="118"/>
  <c r="AH17" i="118" s="1"/>
  <c r="AH25" i="118"/>
  <c r="AL9" i="118"/>
  <c r="AL17" i="118" s="1"/>
  <c r="AL25" i="118"/>
  <c r="AP9" i="118"/>
  <c r="AP17" i="118" s="1"/>
  <c r="AP25" i="118"/>
  <c r="AT9" i="118"/>
  <c r="AT17" i="118" s="1"/>
  <c r="AT25" i="118"/>
  <c r="AX9" i="118"/>
  <c r="AX17" i="118" s="1"/>
  <c r="AX25" i="118"/>
  <c r="AA90" i="118"/>
  <c r="AB87" i="118" s="1"/>
  <c r="AB90" i="118" s="1"/>
  <c r="AC87" i="118" s="1"/>
  <c r="AC90" i="118" s="1"/>
  <c r="AD87" i="118" s="1"/>
  <c r="AD90" i="118" s="1"/>
  <c r="AE87" i="118" s="1"/>
  <c r="AE90" i="118" s="1"/>
  <c r="AF87" i="118" s="1"/>
  <c r="AF90" i="118" s="1"/>
  <c r="AG87" i="118" s="1"/>
  <c r="AG90" i="118" s="1"/>
  <c r="AH87" i="118" s="1"/>
  <c r="AH90" i="118" s="1"/>
  <c r="AI87" i="118" s="1"/>
  <c r="AI90" i="118" s="1"/>
  <c r="AJ87" i="118" s="1"/>
  <c r="AJ90" i="118" s="1"/>
  <c r="AK87" i="118" s="1"/>
  <c r="AK90" i="118" s="1"/>
  <c r="AL87" i="118" s="1"/>
  <c r="AL90" i="118" s="1"/>
  <c r="AM87" i="118" s="1"/>
  <c r="AM90" i="118" s="1"/>
  <c r="AN87" i="118" s="1"/>
  <c r="AN90" i="118" s="1"/>
  <c r="AO87" i="118" s="1"/>
  <c r="AO90" i="118" s="1"/>
  <c r="AP87" i="118" s="1"/>
  <c r="AP90" i="118" s="1"/>
  <c r="AQ87" i="118" s="1"/>
  <c r="AQ90" i="118" s="1"/>
  <c r="AR87" i="118" s="1"/>
  <c r="AR90" i="118" s="1"/>
  <c r="AS87" i="118" s="1"/>
  <c r="AS90" i="118" s="1"/>
  <c r="AT87" i="118" s="1"/>
  <c r="AT90" i="118" s="1"/>
  <c r="AU87" i="118" s="1"/>
  <c r="AU90" i="118" s="1"/>
  <c r="AV87" i="118" s="1"/>
  <c r="AV90" i="118" s="1"/>
  <c r="AW87" i="118" s="1"/>
  <c r="AW90" i="118" s="1"/>
  <c r="AX87" i="118" s="1"/>
  <c r="AX90" i="118" s="1"/>
  <c r="AY87" i="118" s="1"/>
  <c r="AY90" i="118" s="1"/>
  <c r="AZ87" i="118" s="1"/>
  <c r="AZ90" i="118" s="1"/>
  <c r="BA87" i="118" s="1"/>
  <c r="BA90" i="118" s="1"/>
  <c r="BB87" i="118" s="1"/>
  <c r="BB90" i="118" s="1"/>
  <c r="BC87" i="118" s="1"/>
  <c r="BC90" i="118" s="1"/>
  <c r="BD87" i="118" s="1"/>
  <c r="BD90" i="118" s="1"/>
  <c r="AA10" i="118"/>
  <c r="AA13" i="118" s="1"/>
  <c r="J140" i="127" s="1"/>
  <c r="L140" i="127" s="1"/>
  <c r="AX187" i="118"/>
  <c r="AA68" i="118"/>
  <c r="AB65" i="118" s="1"/>
  <c r="AG187" i="118"/>
  <c r="BA153" i="118"/>
  <c r="BA156" i="118" s="1"/>
  <c r="BB153" i="118" s="1"/>
  <c r="BB156" i="118" s="1"/>
  <c r="BC153" i="118" s="1"/>
  <c r="BC156" i="118" s="1"/>
  <c r="BD153" i="118" s="1"/>
  <c r="BD156" i="118" s="1"/>
  <c r="BE153" i="118" s="1"/>
  <c r="BE156" i="118" s="1"/>
  <c r="BF153" i="118" s="1"/>
  <c r="BF156" i="118" s="1"/>
  <c r="BG153" i="118" s="1"/>
  <c r="BG156" i="118" s="1"/>
  <c r="BH153" i="118" s="1"/>
  <c r="BH156" i="118" s="1"/>
  <c r="BI153" i="118" s="1"/>
  <c r="BI156" i="118" s="1"/>
  <c r="AS187" i="118"/>
  <c r="AD133" i="9"/>
  <c r="AD140" i="9"/>
  <c r="AF147" i="9" s="1"/>
  <c r="AD91" i="9"/>
  <c r="X105" i="9"/>
  <c r="AO76" i="127"/>
  <c r="AO77" i="127"/>
  <c r="BU46" i="28"/>
  <c r="AE37" i="28"/>
  <c r="BH14" i="28"/>
  <c r="BH36" i="28" s="1"/>
  <c r="BM14" i="28"/>
  <c r="BM19" i="28" s="1"/>
  <c r="BR14" i="28"/>
  <c r="BR36" i="28" s="1"/>
  <c r="CC14" i="28"/>
  <c r="AE51" i="28"/>
  <c r="BL14" i="28"/>
  <c r="AQ51" i="28"/>
  <c r="BB51" i="28"/>
  <c r="BK46" i="28"/>
  <c r="I51" i="28"/>
  <c r="S51" i="28"/>
  <c r="AT37" i="28"/>
  <c r="AT51" i="28"/>
  <c r="BS14" i="28"/>
  <c r="BS36" i="28" s="1"/>
  <c r="BF51" i="28"/>
  <c r="BS37" i="28"/>
  <c r="CL31" i="28"/>
  <c r="AO46" i="28"/>
  <c r="BB74" i="22"/>
  <c r="AJ36" i="22"/>
  <c r="I37" i="28"/>
  <c r="CL32" i="28"/>
  <c r="AT39" i="28"/>
  <c r="CH39" i="28"/>
  <c r="U39" i="28"/>
  <c r="L144" i="9"/>
  <c r="AD19" i="28"/>
  <c r="AD38" i="28" s="1"/>
  <c r="AD36" i="28"/>
  <c r="K133" i="97"/>
  <c r="K51" i="97"/>
  <c r="K92" i="97" s="1"/>
  <c r="DG15" i="28"/>
  <c r="S24" i="20"/>
  <c r="M25" i="20"/>
  <c r="M24" i="20"/>
  <c r="DA15" i="28"/>
  <c r="DA37" i="28" s="1"/>
  <c r="K71" i="17"/>
  <c r="K72" i="17"/>
  <c r="K73" i="17"/>
  <c r="K74" i="17"/>
  <c r="J46" i="28"/>
  <c r="E14" i="28"/>
  <c r="E36" i="28" s="1"/>
  <c r="R51" i="28"/>
  <c r="AN37" i="28"/>
  <c r="J39" i="28"/>
  <c r="AD39" i="28"/>
  <c r="BI39" i="28"/>
  <c r="D75" i="97"/>
  <c r="L36" i="34"/>
  <c r="L24" i="34"/>
  <c r="T17" i="34"/>
  <c r="T23" i="34"/>
  <c r="X35" i="34"/>
  <c r="X23" i="34"/>
  <c r="AJ25" i="34"/>
  <c r="AJ19" i="34"/>
  <c r="AV30" i="34"/>
  <c r="AV24" i="34"/>
  <c r="J23" i="20"/>
  <c r="J31" i="20"/>
  <c r="J15" i="20"/>
  <c r="J19" i="20"/>
  <c r="E50" i="97"/>
  <c r="E91" i="97"/>
  <c r="DK21" i="28"/>
  <c r="W37" i="20"/>
  <c r="J15" i="97"/>
  <c r="DJ24" i="28"/>
  <c r="I18" i="97"/>
  <c r="I98" i="97" s="1"/>
  <c r="A74" i="9"/>
  <c r="A60" i="9"/>
  <c r="A32" i="9"/>
  <c r="B48" i="9"/>
  <c r="B174" i="9"/>
  <c r="B181" i="9"/>
  <c r="B118" i="9"/>
  <c r="B167" i="9"/>
  <c r="A31" i="34"/>
  <c r="A19" i="34"/>
  <c r="CJ17" i="28"/>
  <c r="CK17" i="28"/>
  <c r="CM17" i="28"/>
  <c r="T35" i="34"/>
  <c r="AV11" i="22"/>
  <c r="AW17" i="17" s="1"/>
  <c r="AW16" i="17" s="1"/>
  <c r="X12" i="20"/>
  <c r="DL12" i="28" s="1"/>
  <c r="N98" i="97"/>
  <c r="E132" i="97"/>
  <c r="L133" i="9"/>
  <c r="CL17" i="28"/>
  <c r="BF37" i="28"/>
  <c r="B111" i="9"/>
  <c r="A10" i="36"/>
  <c r="A16" i="36" s="1"/>
  <c r="A22" i="36" s="1"/>
  <c r="A28" i="36" s="1"/>
  <c r="A34" i="36" s="1"/>
  <c r="A40" i="36" s="1"/>
  <c r="A46" i="36" s="1"/>
  <c r="A52" i="36" s="1"/>
  <c r="A58" i="36" s="1"/>
  <c r="U46" i="28"/>
  <c r="P46" i="28"/>
  <c r="P14" i="28"/>
  <c r="P36" i="28" s="1"/>
  <c r="Z37" i="28"/>
  <c r="Z14" i="28"/>
  <c r="Z36" i="28" s="1"/>
  <c r="AE14" i="28"/>
  <c r="AE46" i="28"/>
  <c r="AJ46" i="28"/>
  <c r="AT46" i="28"/>
  <c r="BP37" i="28"/>
  <c r="BP46" i="28"/>
  <c r="BZ46" i="28"/>
  <c r="N37" i="28"/>
  <c r="N51" i="28"/>
  <c r="AO51" i="28"/>
  <c r="AJ51" i="28"/>
  <c r="AO37" i="28"/>
  <c r="AX37" i="28"/>
  <c r="BU37" i="28"/>
  <c r="BU51" i="28"/>
  <c r="BZ51" i="28"/>
  <c r="BU39" i="28"/>
  <c r="BZ39" i="28"/>
  <c r="AF23" i="34"/>
  <c r="AF29" i="34"/>
  <c r="AF17" i="34"/>
  <c r="A33" i="9"/>
  <c r="A54" i="9"/>
  <c r="A61" i="9"/>
  <c r="A68" i="9"/>
  <c r="A75" i="9"/>
  <c r="A47" i="9"/>
  <c r="A145" i="9" s="1"/>
  <c r="B98" i="9"/>
  <c r="B63" i="9"/>
  <c r="L20" i="9"/>
  <c r="B25" i="34"/>
  <c r="B31" i="34"/>
  <c r="R25" i="20"/>
  <c r="AF35" i="34"/>
  <c r="F11" i="97"/>
  <c r="F37" i="97" s="1"/>
  <c r="L18" i="34"/>
  <c r="A53" i="9"/>
  <c r="AN17" i="34"/>
  <c r="AN35" i="34"/>
  <c r="Q73" i="17"/>
  <c r="Q74" i="17"/>
  <c r="AB35" i="34"/>
  <c r="AX19" i="28"/>
  <c r="AX38" i="28" s="1"/>
  <c r="AI71" i="17"/>
  <c r="AI72" i="17"/>
  <c r="K24" i="20"/>
  <c r="CY15" i="28"/>
  <c r="CZ51" i="28" s="1"/>
  <c r="H25" i="20"/>
  <c r="H31" i="20"/>
  <c r="I8" i="20"/>
  <c r="H33" i="20"/>
  <c r="H23" i="20"/>
  <c r="W23" i="20"/>
  <c r="DK10" i="28"/>
  <c r="AU66" i="17"/>
  <c r="AU71" i="17" s="1"/>
  <c r="AC72" i="17"/>
  <c r="AC71" i="17"/>
  <c r="AC73" i="17"/>
  <c r="Q62" i="20"/>
  <c r="Q63" i="20" s="1"/>
  <c r="Q68" i="20" s="1"/>
  <c r="Q15" i="20"/>
  <c r="DE10" i="28"/>
  <c r="Q25" i="20"/>
  <c r="Q37" i="20"/>
  <c r="B125" i="9"/>
  <c r="P19" i="34"/>
  <c r="L137" i="9"/>
  <c r="CJ30" i="28"/>
  <c r="CL30" i="28"/>
  <c r="AN29" i="34"/>
  <c r="Q72" i="17"/>
  <c r="K39" i="28"/>
  <c r="L30" i="34"/>
  <c r="DM15" i="28"/>
  <c r="DM51" i="28" s="1"/>
  <c r="Y24" i="20"/>
  <c r="P37" i="28"/>
  <c r="AJ31" i="34"/>
  <c r="W71" i="17"/>
  <c r="W72" i="17"/>
  <c r="B11" i="20"/>
  <c r="B25" i="20"/>
  <c r="AJ37" i="28"/>
  <c r="Z46" i="28"/>
  <c r="AI73" i="17"/>
  <c r="F23" i="20"/>
  <c r="F31" i="20"/>
  <c r="Z39" i="28"/>
  <c r="DN15" i="28"/>
  <c r="Z25" i="20"/>
  <c r="B55" i="9"/>
  <c r="F33" i="20"/>
  <c r="J11" i="20"/>
  <c r="AK160" i="9"/>
  <c r="C19" i="28"/>
  <c r="C22" i="28" s="1"/>
  <c r="C27" i="28" s="1"/>
  <c r="C29" i="28" s="1"/>
  <c r="M19" i="28"/>
  <c r="M33" i="28" s="1"/>
  <c r="M43" i="28" s="1"/>
  <c r="AL39" i="28"/>
  <c r="X31" i="34"/>
  <c r="X25" i="34"/>
  <c r="N12" i="20"/>
  <c r="DB12" i="28" s="1"/>
  <c r="D104" i="97"/>
  <c r="D63" i="97"/>
  <c r="B85" i="9"/>
  <c r="B148" i="9"/>
  <c r="T145" i="9"/>
  <c r="R15" i="20"/>
  <c r="L183" i="9"/>
  <c r="J37" i="20"/>
  <c r="AX51" i="28"/>
  <c r="X37" i="34"/>
  <c r="B197" i="9"/>
  <c r="Y39" i="28"/>
  <c r="AK119" i="9"/>
  <c r="D145" i="97"/>
  <c r="AI90" i="9"/>
  <c r="AG66" i="17"/>
  <c r="Q24" i="20"/>
  <c r="D11" i="97"/>
  <c r="D37" i="97" s="1"/>
  <c r="A42" i="34"/>
  <c r="D25" i="20"/>
  <c r="J25" i="20"/>
  <c r="F11" i="20"/>
  <c r="L26" i="9"/>
  <c r="L35" i="9"/>
  <c r="L49" i="9"/>
  <c r="L54" i="9"/>
  <c r="AW51" i="28"/>
  <c r="BD51" i="28"/>
  <c r="CC37" i="28"/>
  <c r="AJ39" i="28"/>
  <c r="AY39" i="28"/>
  <c r="CC39" i="28"/>
  <c r="B76" i="9"/>
  <c r="B209" i="9"/>
  <c r="L83" i="9"/>
  <c r="A201" i="9"/>
  <c r="A208" i="9"/>
  <c r="D33" i="20"/>
  <c r="D91" i="20" s="1"/>
  <c r="D92" i="20" s="1"/>
  <c r="I37" i="20"/>
  <c r="Q19" i="20"/>
  <c r="M31" i="20"/>
  <c r="B203" i="9"/>
  <c r="B210" i="9"/>
  <c r="H17" i="20"/>
  <c r="AG46" i="28"/>
  <c r="BF14" i="28"/>
  <c r="BF36" i="28" s="1"/>
  <c r="BK14" i="28"/>
  <c r="BK36" i="28" s="1"/>
  <c r="BP14" i="28"/>
  <c r="BP36" i="28" s="1"/>
  <c r="BU14" i="28"/>
  <c r="BU36" i="28" s="1"/>
  <c r="J51" i="28"/>
  <c r="AY37" i="28"/>
  <c r="BH37" i="28"/>
  <c r="BQ37" i="28"/>
  <c r="CA51" i="28"/>
  <c r="AH39" i="28"/>
  <c r="BQ39" i="28"/>
  <c r="B186" i="9"/>
  <c r="B207" i="9"/>
  <c r="B204" i="9"/>
  <c r="B211" i="9"/>
  <c r="D37" i="28"/>
  <c r="CF14" i="28"/>
  <c r="CF36" i="28" s="1"/>
  <c r="CB37" i="28"/>
  <c r="S39" i="28"/>
  <c r="AX39" i="28"/>
  <c r="BH39" i="28"/>
  <c r="BR39" i="28"/>
  <c r="CB39" i="28"/>
  <c r="B82" i="9"/>
  <c r="B208" i="9"/>
  <c r="L33" i="9"/>
  <c r="T75" i="9"/>
  <c r="X62" i="9"/>
  <c r="C169" i="97"/>
  <c r="AD102" i="9"/>
  <c r="AD96" i="9"/>
  <c r="AD118" i="9"/>
  <c r="AD81" i="9"/>
  <c r="X89" i="9"/>
  <c r="AG71" i="17"/>
  <c r="AG72" i="17"/>
  <c r="AG74" i="17"/>
  <c r="M18" i="97"/>
  <c r="M98" i="97" s="1"/>
  <c r="E129" i="97"/>
  <c r="D13" i="20"/>
  <c r="N16" i="20"/>
  <c r="P25" i="20"/>
  <c r="D31" i="20"/>
  <c r="H37" i="20"/>
  <c r="D17" i="20"/>
  <c r="J127" i="97"/>
  <c r="DL51" i="28"/>
  <c r="P15" i="20"/>
  <c r="DD10" i="28"/>
  <c r="DD37" i="28" s="1"/>
  <c r="R11" i="20"/>
  <c r="T11" i="20"/>
  <c r="P62" i="20"/>
  <c r="P63" i="20" s="1"/>
  <c r="E145" i="97"/>
  <c r="E18" i="97"/>
  <c r="E98" i="97" s="1"/>
  <c r="AD105" i="9"/>
  <c r="AD63" i="9"/>
  <c r="AD77" i="9"/>
  <c r="AA19" i="20"/>
  <c r="AD84" i="9"/>
  <c r="DA73" i="28"/>
  <c r="AL36" i="22"/>
  <c r="AL38" i="22" s="1"/>
  <c r="AT38" i="22"/>
  <c r="A117" i="9"/>
  <c r="P158" i="9"/>
  <c r="AD75" i="9"/>
  <c r="AD13" i="9"/>
  <c r="AF20" i="9" s="1"/>
  <c r="L21" i="9"/>
  <c r="AD48" i="9"/>
  <c r="AF55" i="9" s="1"/>
  <c r="N126" i="9"/>
  <c r="J130" i="9"/>
  <c r="AK130" i="9" s="1"/>
  <c r="P137" i="9"/>
  <c r="P160" i="9"/>
  <c r="J173" i="9"/>
  <c r="AK173" i="9" s="1"/>
  <c r="T172" i="9"/>
  <c r="L162" i="9"/>
  <c r="A131" i="9"/>
  <c r="A187" i="9"/>
  <c r="AD166" i="9"/>
  <c r="AF166" i="9" s="1"/>
  <c r="P90" i="9"/>
  <c r="J97" i="9"/>
  <c r="AK97" i="9" s="1"/>
  <c r="J104" i="9"/>
  <c r="AK104" i="9" s="1"/>
  <c r="P118" i="9"/>
  <c r="T140" i="9"/>
  <c r="J151" i="9"/>
  <c r="R151" i="9" s="1"/>
  <c r="AM158" i="9"/>
  <c r="J166" i="9"/>
  <c r="A138" i="9"/>
  <c r="A180" i="9"/>
  <c r="A96" i="9"/>
  <c r="T179" i="9"/>
  <c r="Z54" i="9"/>
  <c r="AF19" i="9"/>
  <c r="Z40" i="9"/>
  <c r="L56" i="9"/>
  <c r="J81" i="9"/>
  <c r="N109" i="9"/>
  <c r="J132" i="9"/>
  <c r="AK132" i="9" s="1"/>
  <c r="T160" i="9"/>
  <c r="N174" i="9"/>
  <c r="AM173" i="9"/>
  <c r="J187" i="9"/>
  <c r="AI187" i="9" s="1"/>
  <c r="T18" i="9"/>
  <c r="J188" i="9"/>
  <c r="N131" i="9"/>
  <c r="B96" i="9"/>
  <c r="B103" i="9"/>
  <c r="N67" i="9"/>
  <c r="AM83" i="9"/>
  <c r="AM104" i="9"/>
  <c r="N95" i="9"/>
  <c r="L145" i="9"/>
  <c r="AD116" i="9"/>
  <c r="B131" i="9"/>
  <c r="P110" i="9"/>
  <c r="P187" i="9"/>
  <c r="T63" i="9"/>
  <c r="AD40" i="9"/>
  <c r="AF40" i="9" s="1"/>
  <c r="AM145" i="9"/>
  <c r="N138" i="9"/>
  <c r="AD109" i="9"/>
  <c r="B26" i="9"/>
  <c r="B54" i="9"/>
  <c r="N54" i="9"/>
  <c r="R187" i="9"/>
  <c r="X187" i="9"/>
  <c r="P188" i="9"/>
  <c r="J55" i="9"/>
  <c r="N168" i="9"/>
  <c r="B89" i="9"/>
  <c r="B47" i="9"/>
  <c r="B40" i="9"/>
  <c r="B68" i="9"/>
  <c r="J172" i="9"/>
  <c r="J103" i="9"/>
  <c r="R103" i="9" s="1"/>
  <c r="N47" i="9"/>
  <c r="J139" i="9"/>
  <c r="R139" i="9" s="1"/>
  <c r="X75" i="9"/>
  <c r="J18" i="9"/>
  <c r="R18" i="9" s="1"/>
  <c r="L155" i="9"/>
  <c r="AD88" i="9"/>
  <c r="P41" i="9"/>
  <c r="B166" i="9"/>
  <c r="A63" i="9"/>
  <c r="P21" i="9"/>
  <c r="P40" i="9"/>
  <c r="F43" i="9"/>
  <c r="R46" i="9"/>
  <c r="R55" i="9"/>
  <c r="J75" i="9"/>
  <c r="AI75" i="9" s="1"/>
  <c r="J88" i="9"/>
  <c r="R88" i="9" s="1"/>
  <c r="N91" i="9"/>
  <c r="P102" i="9"/>
  <c r="P116" i="9"/>
  <c r="L112" i="9"/>
  <c r="AD123" i="9"/>
  <c r="T119" i="9"/>
  <c r="AI130" i="9"/>
  <c r="J145" i="9"/>
  <c r="R145" i="9" s="1"/>
  <c r="J154" i="9"/>
  <c r="AI154" i="9" s="1"/>
  <c r="R160" i="9"/>
  <c r="J168" i="9"/>
  <c r="N187" i="9"/>
  <c r="P193" i="9"/>
  <c r="X194" i="9"/>
  <c r="J165" i="9"/>
  <c r="R165" i="9" s="1"/>
  <c r="P95" i="9"/>
  <c r="P55" i="9"/>
  <c r="N161" i="9"/>
  <c r="B145" i="9"/>
  <c r="AD131" i="9"/>
  <c r="AD138" i="9"/>
  <c r="N145" i="9"/>
  <c r="N40" i="9"/>
  <c r="B124" i="9"/>
  <c r="B117" i="9"/>
  <c r="B187" i="9"/>
  <c r="B19" i="9"/>
  <c r="J76" i="9"/>
  <c r="AI76" i="9" s="1"/>
  <c r="R42" i="9"/>
  <c r="Z47" i="9"/>
  <c r="N63" i="9"/>
  <c r="N154" i="9"/>
  <c r="A56" i="9"/>
  <c r="L19" i="9"/>
  <c r="J41" i="9"/>
  <c r="AD60" i="9"/>
  <c r="AF67" i="9" s="1"/>
  <c r="J82" i="9"/>
  <c r="AK82" i="9" s="1"/>
  <c r="J110" i="9"/>
  <c r="R110" i="9" s="1"/>
  <c r="AM109" i="9"/>
  <c r="P125" i="9"/>
  <c r="P132" i="9"/>
  <c r="X189" i="9"/>
  <c r="X124" i="9"/>
  <c r="AD95" i="9"/>
  <c r="AD124" i="9"/>
  <c r="B75" i="9"/>
  <c r="T116" i="9"/>
  <c r="B173" i="9"/>
  <c r="B180" i="9"/>
  <c r="B33" i="9"/>
  <c r="N116" i="9"/>
  <c r="AM102" i="9"/>
  <c r="R33" i="9"/>
  <c r="T102" i="9"/>
  <c r="AD154" i="9"/>
  <c r="AF154" i="9" s="1"/>
  <c r="L47" i="9"/>
  <c r="P81" i="9"/>
  <c r="AD193" i="9"/>
  <c r="AF193" i="9" s="1"/>
  <c r="X34" i="9"/>
  <c r="Z34" i="9" s="1"/>
  <c r="P161" i="9"/>
  <c r="P144" i="9"/>
  <c r="B123" i="9"/>
  <c r="B120" i="9"/>
  <c r="B183" i="9"/>
  <c r="B36" i="9"/>
  <c r="N173" i="9"/>
  <c r="P131" i="9"/>
  <c r="J124" i="9"/>
  <c r="N130" i="9"/>
  <c r="N119" i="9"/>
  <c r="N62" i="9"/>
  <c r="X98" i="9"/>
  <c r="J68" i="9"/>
  <c r="R68" i="9" s="1"/>
  <c r="J116" i="9"/>
  <c r="AK116" i="9" s="1"/>
  <c r="B67" i="9"/>
  <c r="T62" i="9"/>
  <c r="P167" i="9"/>
  <c r="AM167" i="9"/>
  <c r="P84" i="9"/>
  <c r="P91" i="9"/>
  <c r="J26" i="9"/>
  <c r="R26" i="9" s="1"/>
  <c r="P63" i="9"/>
  <c r="N46" i="9"/>
  <c r="B43" i="9"/>
  <c r="N28" i="9"/>
  <c r="AD39" i="9"/>
  <c r="AF46" i="9" s="1"/>
  <c r="J138" i="9"/>
  <c r="AI138" i="9" s="1"/>
  <c r="AM159" i="9"/>
  <c r="X48" i="9"/>
  <c r="Z55" i="9" s="1"/>
  <c r="B92" i="9"/>
  <c r="B116" i="9"/>
  <c r="N21" i="9"/>
  <c r="J193" i="9"/>
  <c r="AK193" i="9" s="1"/>
  <c r="X193" i="9"/>
  <c r="Z193" i="9" s="1"/>
  <c r="AI165" i="9"/>
  <c r="X74" i="9"/>
  <c r="AD173" i="9"/>
  <c r="N160" i="9"/>
  <c r="P145" i="9"/>
  <c r="P180" i="9"/>
  <c r="B155" i="9"/>
  <c r="B99" i="9"/>
  <c r="B134" i="9"/>
  <c r="N180" i="9"/>
  <c r="N123" i="9"/>
  <c r="J123" i="9"/>
  <c r="AK123" i="9" s="1"/>
  <c r="B57" i="9"/>
  <c r="J167" i="9"/>
  <c r="R167" i="9" s="1"/>
  <c r="P68" i="9"/>
  <c r="J98" i="9"/>
  <c r="AI98" i="9" s="1"/>
  <c r="B102" i="9"/>
  <c r="N167" i="9"/>
  <c r="N98" i="9"/>
  <c r="J63" i="9"/>
  <c r="R63" i="9" s="1"/>
  <c r="AD62" i="9"/>
  <c r="AF62" i="9" s="1"/>
  <c r="T173" i="9"/>
  <c r="B29" i="9"/>
  <c r="J13" i="9"/>
  <c r="P173" i="9"/>
  <c r="P112" i="9"/>
  <c r="J131" i="9"/>
  <c r="R131" i="9" s="1"/>
  <c r="N81" i="9"/>
  <c r="B169" i="9"/>
  <c r="AD153" i="9"/>
  <c r="AF160" i="9" s="1"/>
  <c r="L27" i="9"/>
  <c r="D36" i="9"/>
  <c r="D43" i="9"/>
  <c r="N153" i="9"/>
  <c r="AI166" i="9"/>
  <c r="X173" i="9"/>
  <c r="X67" i="9"/>
  <c r="Z67" i="9" s="1"/>
  <c r="B78" i="9"/>
  <c r="B106" i="9"/>
  <c r="B176" i="9"/>
  <c r="J95" i="9"/>
  <c r="AI95" i="9" s="1"/>
  <c r="P174" i="9"/>
  <c r="AD130" i="9"/>
  <c r="AF130" i="9" s="1"/>
  <c r="J67" i="9"/>
  <c r="AI67" i="9" s="1"/>
  <c r="P98" i="9"/>
  <c r="B22" i="9"/>
  <c r="B141" i="9"/>
  <c r="J91" i="9"/>
  <c r="R91" i="9" s="1"/>
  <c r="J137" i="9"/>
  <c r="L25" i="9"/>
  <c r="F50" i="9"/>
  <c r="F57" i="9"/>
  <c r="T60" i="9"/>
  <c r="D71" i="9"/>
  <c r="T70" i="9"/>
  <c r="F85" i="9"/>
  <c r="T81" i="9" s="1"/>
  <c r="D92" i="9"/>
  <c r="AM91" i="9"/>
  <c r="F106" i="9"/>
  <c r="AI116" i="9"/>
  <c r="F127" i="9"/>
  <c r="AM138" i="9"/>
  <c r="T166" i="9"/>
  <c r="L174" i="9"/>
  <c r="AM180" i="9"/>
  <c r="N194" i="9"/>
  <c r="L117" i="9"/>
  <c r="N139" i="9"/>
  <c r="L175" i="9"/>
  <c r="T181" i="9"/>
  <c r="L18" i="9"/>
  <c r="AD54" i="9"/>
  <c r="J61" i="9"/>
  <c r="R61" i="9" s="1"/>
  <c r="N70" i="9"/>
  <c r="T69" i="9"/>
  <c r="L118" i="9"/>
  <c r="T158" i="9"/>
  <c r="L179" i="9"/>
  <c r="D76" i="28"/>
  <c r="T153" i="9"/>
  <c r="O71" i="17"/>
  <c r="O72" i="17"/>
  <c r="CA46" i="28"/>
  <c r="BV14" i="28"/>
  <c r="BV19" i="28" s="1"/>
  <c r="BV22" i="28" s="1"/>
  <c r="BG51" i="28"/>
  <c r="BB37" i="28"/>
  <c r="L172" i="9"/>
  <c r="L165" i="9"/>
  <c r="X37" i="28"/>
  <c r="AC46" i="28"/>
  <c r="BW14" i="28"/>
  <c r="BW36" i="28" s="1"/>
  <c r="BW39" i="28"/>
  <c r="Z51" i="28"/>
  <c r="U37" i="28"/>
  <c r="BC51" i="28"/>
  <c r="BC37" i="28"/>
  <c r="AB31" i="34"/>
  <c r="AB25" i="34"/>
  <c r="AB37" i="34"/>
  <c r="AB19" i="34"/>
  <c r="AR17" i="34"/>
  <c r="AR29" i="34"/>
  <c r="AR35" i="34"/>
  <c r="X37" i="20"/>
  <c r="CC36" i="28"/>
  <c r="CC19" i="28"/>
  <c r="CC38" i="28" s="1"/>
  <c r="O51" i="28"/>
  <c r="Y14" i="28"/>
  <c r="Y36" i="28" s="1"/>
  <c r="AD46" i="28"/>
  <c r="BN14" i="28"/>
  <c r="BN46" i="28"/>
  <c r="W51" i="28"/>
  <c r="W37" i="28"/>
  <c r="DC24" i="28"/>
  <c r="DL24" i="28"/>
  <c r="K18" i="97"/>
  <c r="J169" i="97"/>
  <c r="AN11" i="22"/>
  <c r="AN75" i="22" s="1"/>
  <c r="AN73" i="22" s="1"/>
  <c r="AN76" i="22" s="1"/>
  <c r="T31" i="20"/>
  <c r="G12" i="97"/>
  <c r="T12" i="20"/>
  <c r="BM51" i="28"/>
  <c r="K31" i="20"/>
  <c r="AM153" i="9"/>
  <c r="X39" i="28"/>
  <c r="BV51" i="28"/>
  <c r="I46" i="28"/>
  <c r="BW46" i="28"/>
  <c r="L95" i="9"/>
  <c r="U72" i="17"/>
  <c r="U71" i="17"/>
  <c r="BA37" i="28"/>
  <c r="BA39" i="28"/>
  <c r="BF46" i="28"/>
  <c r="BA46" i="28"/>
  <c r="DC21" i="28"/>
  <c r="O66" i="20"/>
  <c r="T124" i="9"/>
  <c r="AK125" i="9"/>
  <c r="AM124" i="9"/>
  <c r="C39" i="28"/>
  <c r="F15" i="97"/>
  <c r="F54" i="97" s="1"/>
  <c r="N46" i="28"/>
  <c r="S46" i="28"/>
  <c r="BM37" i="28"/>
  <c r="BR46" i="28"/>
  <c r="C37" i="28"/>
  <c r="Y26" i="20"/>
  <c r="M36" i="28"/>
  <c r="N39" i="28"/>
  <c r="BV46" i="28"/>
  <c r="AI46" i="28"/>
  <c r="AI14" i="28"/>
  <c r="AI36" i="28" s="1"/>
  <c r="AN46" i="28"/>
  <c r="D39" i="28"/>
  <c r="AS66" i="17"/>
  <c r="V8" i="20"/>
  <c r="W8" i="20"/>
  <c r="I6" i="97"/>
  <c r="J35" i="97" s="1"/>
  <c r="V15" i="20"/>
  <c r="U73" i="17"/>
  <c r="BV37" i="28"/>
  <c r="Y37" i="28"/>
  <c r="AL33" i="28"/>
  <c r="AL43" i="28" s="1"/>
  <c r="H37" i="28"/>
  <c r="H14" i="28"/>
  <c r="H36" i="28" s="1"/>
  <c r="R14" i="28"/>
  <c r="R37" i="28"/>
  <c r="R46" i="28"/>
  <c r="AB14" i="28"/>
  <c r="AB36" i="28" s="1"/>
  <c r="AB46" i="28"/>
  <c r="AV39" i="28"/>
  <c r="AV14" i="28"/>
  <c r="AV36" i="28" s="1"/>
  <c r="BG46" i="28"/>
  <c r="BQ46" i="28"/>
  <c r="CB46" i="28"/>
  <c r="CB14" i="28"/>
  <c r="E37" i="28"/>
  <c r="O37" i="28"/>
  <c r="Y51" i="28"/>
  <c r="AD51" i="28"/>
  <c r="AL37" i="28"/>
  <c r="AL51" i="28"/>
  <c r="BL51" i="28"/>
  <c r="BL37" i="28"/>
  <c r="BV39" i="28"/>
  <c r="V37" i="20"/>
  <c r="C104" i="97"/>
  <c r="C145" i="97"/>
  <c r="M47" i="97"/>
  <c r="M88" i="97"/>
  <c r="M37" i="20"/>
  <c r="DA21" i="28"/>
  <c r="AU72" i="17"/>
  <c r="AU73" i="17"/>
  <c r="M74" i="17"/>
  <c r="M71" i="17"/>
  <c r="F91" i="97"/>
  <c r="F117" i="97" s="1"/>
  <c r="F50" i="97"/>
  <c r="R124" i="9"/>
  <c r="T109" i="9"/>
  <c r="AR14" i="28"/>
  <c r="AR36" i="28" s="1"/>
  <c r="AR46" i="28"/>
  <c r="AR39" i="28"/>
  <c r="BW51" i="28"/>
  <c r="BR37" i="28"/>
  <c r="BR51" i="28"/>
  <c r="T31" i="34"/>
  <c r="BD46" i="28"/>
  <c r="BI46" i="28"/>
  <c r="BD39" i="28"/>
  <c r="M51" i="28"/>
  <c r="M37" i="28"/>
  <c r="AR11" i="22"/>
  <c r="AR75" i="22" s="1"/>
  <c r="AR73" i="22" s="1"/>
  <c r="AR76" i="22" s="1"/>
  <c r="V31" i="20"/>
  <c r="V12" i="20"/>
  <c r="AS67" i="17" s="1"/>
  <c r="AJ54" i="20"/>
  <c r="BF81" i="17" s="1"/>
  <c r="AB55" i="20"/>
  <c r="V11" i="20"/>
  <c r="L40" i="9"/>
  <c r="BR19" i="28"/>
  <c r="BR52" i="28" s="1"/>
  <c r="G31" i="20"/>
  <c r="H8" i="20"/>
  <c r="G23" i="20"/>
  <c r="G15" i="20"/>
  <c r="AQ66" i="17"/>
  <c r="AQ72" i="17" s="1"/>
  <c r="H6" i="97"/>
  <c r="U23" i="20"/>
  <c r="DI10" i="28"/>
  <c r="U8" i="20"/>
  <c r="U15" i="20"/>
  <c r="U11" i="20"/>
  <c r="AM123" i="9"/>
  <c r="T123" i="9"/>
  <c r="T137" i="9"/>
  <c r="AM137" i="9"/>
  <c r="AW68" i="17"/>
  <c r="AW76" i="17" s="1"/>
  <c r="I72" i="17"/>
  <c r="I74" i="17"/>
  <c r="S73" i="17"/>
  <c r="S71" i="17"/>
  <c r="S74" i="17"/>
  <c r="W14" i="28"/>
  <c r="W46" i="28"/>
  <c r="G15" i="97"/>
  <c r="G136" i="97" s="1"/>
  <c r="T37" i="20"/>
  <c r="X56" i="20"/>
  <c r="DL30" i="28"/>
  <c r="Q31" i="20"/>
  <c r="D12" i="97"/>
  <c r="B9" i="36"/>
  <c r="B15" i="36" s="1"/>
  <c r="B21" i="36" s="1"/>
  <c r="B27" i="36" s="1"/>
  <c r="B33" i="36" s="1"/>
  <c r="B39" i="36" s="1"/>
  <c r="B45" i="36" s="1"/>
  <c r="B51" i="36" s="1"/>
  <c r="B57" i="36" s="1"/>
  <c r="B16" i="34"/>
  <c r="F132" i="97"/>
  <c r="F173" i="97" s="1"/>
  <c r="AM46" i="28"/>
  <c r="AH46" i="28"/>
  <c r="BC46" i="28"/>
  <c r="BC39" i="28"/>
  <c r="P51" i="28"/>
  <c r="K51" i="28"/>
  <c r="BA51" i="28"/>
  <c r="AV51" i="28"/>
  <c r="BN51" i="28"/>
  <c r="BI51" i="28"/>
  <c r="AJ35" i="34"/>
  <c r="AJ29" i="34"/>
  <c r="AJ17" i="34"/>
  <c r="H15" i="97"/>
  <c r="L11" i="97"/>
  <c r="AY68" i="17"/>
  <c r="AY76" i="17" s="1"/>
  <c r="AA71" i="17"/>
  <c r="AA73" i="17"/>
  <c r="AA72" i="17"/>
  <c r="U37" i="20"/>
  <c r="AS14" i="28"/>
  <c r="AX46" i="28"/>
  <c r="BX14" i="28"/>
  <c r="BX39" i="28"/>
  <c r="BX37" i="28"/>
  <c r="BX46" i="28"/>
  <c r="AF34" i="34"/>
  <c r="AF16" i="34"/>
  <c r="BH29" i="34"/>
  <c r="BH23" i="34"/>
  <c r="BH35" i="34"/>
  <c r="L34" i="9"/>
  <c r="BH17" i="34"/>
  <c r="DJ17" i="28"/>
  <c r="N133" i="97"/>
  <c r="N51" i="97"/>
  <c r="N92" i="97" s="1"/>
  <c r="AX68" i="17"/>
  <c r="AX76" i="17" s="1"/>
  <c r="AZ29" i="34"/>
  <c r="J145" i="97"/>
  <c r="CY12" i="28"/>
  <c r="J45" i="97"/>
  <c r="J24" i="20"/>
  <c r="DK24" i="28"/>
  <c r="J18" i="97"/>
  <c r="K24" i="97"/>
  <c r="AI37" i="28"/>
  <c r="X46" i="28"/>
  <c r="D15" i="9"/>
  <c r="BW37" i="28"/>
  <c r="G37" i="20"/>
  <c r="BC66" i="17"/>
  <c r="AA15" i="20"/>
  <c r="R20" i="9"/>
  <c r="H34" i="34"/>
  <c r="B200" i="9"/>
  <c r="B60" i="9"/>
  <c r="B25" i="9"/>
  <c r="B32" i="9"/>
  <c r="B151" i="9"/>
  <c r="B46" i="9"/>
  <c r="B39" i="9"/>
  <c r="B53" i="9"/>
  <c r="B179" i="9"/>
  <c r="B88" i="9"/>
  <c r="B109" i="9"/>
  <c r="B18" i="9"/>
  <c r="B172" i="9"/>
  <c r="B193" i="9"/>
  <c r="A29" i="34"/>
  <c r="A23" i="34"/>
  <c r="A17" i="34"/>
  <c r="L152" i="9"/>
  <c r="F120" i="9"/>
  <c r="B130" i="9"/>
  <c r="R102" i="9"/>
  <c r="D116" i="97"/>
  <c r="A18" i="9"/>
  <c r="B165" i="9"/>
  <c r="A36" i="34"/>
  <c r="B132" i="9"/>
  <c r="B97" i="9"/>
  <c r="B139" i="9"/>
  <c r="B27" i="9"/>
  <c r="B188" i="9"/>
  <c r="B146" i="9"/>
  <c r="B20" i="9"/>
  <c r="B41" i="9"/>
  <c r="B34" i="9"/>
  <c r="B69" i="9"/>
  <c r="B90" i="9"/>
  <c r="B153" i="9"/>
  <c r="A11" i="36"/>
  <c r="A17" i="36" s="1"/>
  <c r="A23" i="36" s="1"/>
  <c r="A29" i="36" s="1"/>
  <c r="A35" i="36" s="1"/>
  <c r="A41" i="36" s="1"/>
  <c r="A47" i="36" s="1"/>
  <c r="A53" i="36" s="1"/>
  <c r="A59" i="36" s="1"/>
  <c r="A30" i="34"/>
  <c r="B137" i="9"/>
  <c r="M39" i="28"/>
  <c r="K13" i="20"/>
  <c r="B144" i="9"/>
  <c r="B62" i="9"/>
  <c r="H24" i="97"/>
  <c r="H145" i="97" s="1"/>
  <c r="V56" i="20"/>
  <c r="T84" i="9"/>
  <c r="AV75" i="22"/>
  <c r="AV73" i="22" s="1"/>
  <c r="AV76" i="22" s="1"/>
  <c r="B158" i="9"/>
  <c r="B160" i="9"/>
  <c r="A81" i="9"/>
  <c r="A67" i="9"/>
  <c r="F134" i="9"/>
  <c r="T130" i="9"/>
  <c r="L181" i="9"/>
  <c r="A25" i="9"/>
  <c r="F64" i="9"/>
  <c r="B74" i="9"/>
  <c r="DO30" i="28"/>
  <c r="AA55" i="20"/>
  <c r="N24" i="97"/>
  <c r="N104" i="97" s="1"/>
  <c r="N148" i="97" s="1"/>
  <c r="B83" i="9"/>
  <c r="A35" i="34"/>
  <c r="B104" i="9"/>
  <c r="T26" i="9"/>
  <c r="R172" i="9"/>
  <c r="U51" i="28"/>
  <c r="T28" i="9"/>
  <c r="L76" i="9"/>
  <c r="AI83" i="9"/>
  <c r="J37" i="28"/>
  <c r="AM166" i="9"/>
  <c r="R125" i="9"/>
  <c r="BT55" i="29"/>
  <c r="R82" i="9"/>
  <c r="P194" i="9"/>
  <c r="X151" i="9"/>
  <c r="X182" i="9"/>
  <c r="N165" i="9"/>
  <c r="P53" i="9"/>
  <c r="X61" i="9"/>
  <c r="Z61" i="9" s="1"/>
  <c r="AM132" i="9"/>
  <c r="P70" i="9"/>
  <c r="J70" i="9"/>
  <c r="AK90" i="9"/>
  <c r="J126" i="9"/>
  <c r="R126" i="9" s="1"/>
  <c r="P34" i="9"/>
  <c r="P166" i="9"/>
  <c r="N117" i="9"/>
  <c r="P35" i="9"/>
  <c r="N124" i="9"/>
  <c r="P61" i="9"/>
  <c r="P104" i="9"/>
  <c r="T77" i="9"/>
  <c r="P48" i="9"/>
  <c r="N132" i="9"/>
  <c r="P139" i="9"/>
  <c r="N125" i="9"/>
  <c r="AD18" i="9"/>
  <c r="AF25" i="9" s="1"/>
  <c r="N96" i="9"/>
  <c r="X82" i="9"/>
  <c r="J34" i="9"/>
  <c r="R34" i="9" s="1"/>
  <c r="T34" i="9"/>
  <c r="T48" i="9"/>
  <c r="P186" i="9"/>
  <c r="N158" i="9"/>
  <c r="N89" i="9"/>
  <c r="P49" i="9"/>
  <c r="AD34" i="9"/>
  <c r="AF41" i="9" s="1"/>
  <c r="J77" i="9"/>
  <c r="R77" i="9" s="1"/>
  <c r="J194" i="9"/>
  <c r="AK194" i="9" s="1"/>
  <c r="J169" i="9"/>
  <c r="AI169" i="9" s="1"/>
  <c r="X158" i="9"/>
  <c r="N39" i="9"/>
  <c r="AD53" i="9"/>
  <c r="AF53" i="9" s="1"/>
  <c r="J111" i="9"/>
  <c r="P74" i="9"/>
  <c r="J74" i="9"/>
  <c r="AD151" i="9"/>
  <c r="J133" i="9"/>
  <c r="P133" i="9"/>
  <c r="AM110" i="9"/>
  <c r="P54" i="9"/>
  <c r="P117" i="9"/>
  <c r="N151" i="9"/>
  <c r="N55" i="9"/>
  <c r="J19" i="9"/>
  <c r="R19" i="9" s="1"/>
  <c r="N146" i="9"/>
  <c r="AD61" i="9"/>
  <c r="P83" i="9"/>
  <c r="J14" i="9"/>
  <c r="N110" i="9"/>
  <c r="J186" i="9"/>
  <c r="T139" i="9"/>
  <c r="P126" i="9"/>
  <c r="N53" i="9"/>
  <c r="J182" i="9"/>
  <c r="AI182" i="9" s="1"/>
  <c r="AM165" i="9"/>
  <c r="J39" i="9"/>
  <c r="R39" i="9" s="1"/>
  <c r="AM151" i="9"/>
  <c r="P151" i="9"/>
  <c r="P103" i="9"/>
  <c r="P77" i="9"/>
  <c r="AI88" i="9"/>
  <c r="N152" i="9"/>
  <c r="T194" i="9"/>
  <c r="AD194" i="9"/>
  <c r="X139" i="9"/>
  <c r="P179" i="9"/>
  <c r="N60" i="9"/>
  <c r="J62" i="9"/>
  <c r="R62" i="9" s="1"/>
  <c r="J96" i="9"/>
  <c r="AD117" i="9"/>
  <c r="AF124" i="9" s="1"/>
  <c r="N33" i="9"/>
  <c r="J118" i="9"/>
  <c r="T82" i="9"/>
  <c r="P62" i="9"/>
  <c r="J40" i="9"/>
  <c r="R40" i="9" s="1"/>
  <c r="J48" i="9"/>
  <c r="N25" i="9"/>
  <c r="P18" i="9"/>
  <c r="X53" i="9"/>
  <c r="Z60" i="9" s="1"/>
  <c r="AF76" i="9"/>
  <c r="AD82" i="9"/>
  <c r="T39" i="9"/>
  <c r="AD47" i="9"/>
  <c r="X144" i="9"/>
  <c r="X117" i="9"/>
  <c r="X103" i="9"/>
  <c r="X112" i="9"/>
  <c r="X88" i="9"/>
  <c r="AD103" i="9"/>
  <c r="AD110" i="9"/>
  <c r="AD132" i="9"/>
  <c r="AD161" i="9"/>
  <c r="AF161" i="9" s="1"/>
  <c r="BV118" i="29"/>
  <c r="BV109" i="29"/>
  <c r="CB89" i="29"/>
  <c r="BW99" i="29"/>
  <c r="AR44" i="29"/>
  <c r="CE46" i="29"/>
  <c r="AB44" i="29"/>
  <c r="AJ45" i="29"/>
  <c r="DG45" i="29"/>
  <c r="CR44" i="29"/>
  <c r="G45" i="29"/>
  <c r="F190" i="9"/>
  <c r="AI119" i="9"/>
  <c r="BB64" i="36"/>
  <c r="BB65" i="36" s="1"/>
  <c r="N6" i="36"/>
  <c r="Z7" i="34"/>
  <c r="AD42" i="34"/>
  <c r="AE36" i="34"/>
  <c r="BW35" i="34"/>
  <c r="BV41" i="34"/>
  <c r="CX41" i="34"/>
  <c r="CT41" i="34"/>
  <c r="CU35" i="34"/>
  <c r="CY35" i="34"/>
  <c r="CM35" i="34"/>
  <c r="CL41" i="34"/>
  <c r="CP41" i="34"/>
  <c r="CQ35" i="34"/>
  <c r="AD175" i="9"/>
  <c r="H31" i="34"/>
  <c r="H25" i="34"/>
  <c r="H37" i="34"/>
  <c r="H19" i="34"/>
  <c r="L31" i="34"/>
  <c r="L25" i="34"/>
  <c r="L37" i="34"/>
  <c r="L19" i="34"/>
  <c r="AN16" i="34"/>
  <c r="AN22" i="34"/>
  <c r="F47" i="97"/>
  <c r="F88" i="97"/>
  <c r="G18" i="97"/>
  <c r="DH24" i="28"/>
  <c r="AI172" i="9"/>
  <c r="AI174" i="9"/>
  <c r="M60" i="17"/>
  <c r="M79" i="17"/>
  <c r="AV53" i="36"/>
  <c r="AV59" i="36"/>
  <c r="AY34" i="34"/>
  <c r="AX40" i="34"/>
  <c r="CE35" i="34"/>
  <c r="CD41" i="34"/>
  <c r="V19" i="20"/>
  <c r="AF76" i="22"/>
  <c r="AF74" i="22"/>
  <c r="Z47" i="36"/>
  <c r="Z53" i="36" s="1"/>
  <c r="Z35" i="36"/>
  <c r="AH52" i="36"/>
  <c r="AH58" i="36"/>
  <c r="BB42" i="34"/>
  <c r="AX42" i="34"/>
  <c r="BC36" i="34"/>
  <c r="BG36" i="34"/>
  <c r="BF42" i="34"/>
  <c r="CH41" i="34"/>
  <c r="CI35" i="34"/>
  <c r="BD57" i="36"/>
  <c r="AH76" i="22"/>
  <c r="AH74" i="22"/>
  <c r="L33" i="36"/>
  <c r="L45" i="36"/>
  <c r="L51" i="36" s="1"/>
  <c r="R53" i="36"/>
  <c r="R59" i="36"/>
  <c r="BZ41" i="34"/>
  <c r="CA35" i="34"/>
  <c r="CM34" i="34"/>
  <c r="CL40" i="34"/>
  <c r="CP40" i="34"/>
  <c r="CQ34" i="34"/>
  <c r="CI110" i="29"/>
  <c r="L60" i="36"/>
  <c r="AI35" i="34"/>
  <c r="BZ53" i="29"/>
  <c r="AP59" i="36"/>
  <c r="BN170" i="29"/>
  <c r="CI65" i="29"/>
  <c r="CJ65" i="29"/>
  <c r="R57" i="36"/>
  <c r="AN59" i="36"/>
  <c r="CA65" i="29"/>
  <c r="CM100" i="29"/>
  <c r="N58" i="36"/>
  <c r="AV60" i="36"/>
  <c r="T76" i="28"/>
  <c r="BG15" i="29"/>
  <c r="AQ41" i="17"/>
  <c r="AQ52" i="17" s="1"/>
  <c r="N38" i="22"/>
  <c r="AJ38" i="22"/>
  <c r="AH36" i="22"/>
  <c r="AH38" i="22" s="1"/>
  <c r="AN60" i="36"/>
  <c r="AD36" i="36"/>
  <c r="AD60" i="36" s="1"/>
  <c r="X35" i="36"/>
  <c r="X59" i="36" s="1"/>
  <c r="AF47" i="36"/>
  <c r="AF53" i="36" s="1"/>
  <c r="AT48" i="36"/>
  <c r="AT54" i="36" s="1"/>
  <c r="X32" i="9"/>
  <c r="AP34" i="34"/>
  <c r="AT40" i="34" s="1"/>
  <c r="AU22" i="34"/>
  <c r="AY30" i="34"/>
  <c r="G29" i="34"/>
  <c r="F37" i="34"/>
  <c r="J36" i="34"/>
  <c r="DB103" i="29"/>
  <c r="BD47" i="36"/>
  <c r="BD53" i="36" s="1"/>
  <c r="DC35" i="34"/>
  <c r="CE107" i="29"/>
  <c r="CJ92" i="29"/>
  <c r="BF53" i="22"/>
  <c r="CU126" i="29"/>
  <c r="DD35" i="29"/>
  <c r="AT60" i="36"/>
  <c r="CF34" i="29"/>
  <c r="CN36" i="29"/>
  <c r="AB51" i="29"/>
  <c r="BP55" i="29"/>
  <c r="CV60" i="29"/>
  <c r="CP161" i="29"/>
  <c r="BB170" i="29"/>
  <c r="P38" i="22"/>
  <c r="AD34" i="36"/>
  <c r="AD58" i="36" s="1"/>
  <c r="AJ34" i="36"/>
  <c r="AJ58" i="36" s="1"/>
  <c r="J43" i="9"/>
  <c r="R43" i="9" s="1"/>
  <c r="T47" i="9"/>
  <c r="T83" i="9"/>
  <c r="AL34" i="34"/>
  <c r="AL36" i="34"/>
  <c r="CX37" i="34"/>
  <c r="DC37" i="34" s="1"/>
  <c r="DC31" i="34"/>
  <c r="BD36" i="36"/>
  <c r="BD54" i="36"/>
  <c r="BD48" i="36"/>
  <c r="AX188" i="118"/>
  <c r="DG21" i="29"/>
  <c r="DF61" i="29"/>
  <c r="BJ28" i="22"/>
  <c r="BM10" i="17"/>
  <c r="CJ93" i="29"/>
  <c r="I60" i="17"/>
  <c r="CX135" i="29"/>
  <c r="CX128" i="29"/>
  <c r="CX137" i="29" s="1"/>
  <c r="CX118" i="29"/>
  <c r="E76" i="28"/>
  <c r="R76" i="28"/>
  <c r="W76" i="28"/>
  <c r="AL76" i="28"/>
  <c r="DD20" i="29"/>
  <c r="V150" i="29"/>
  <c r="AD151" i="29"/>
  <c r="AL151" i="29"/>
  <c r="O41" i="17"/>
  <c r="O52" i="17" s="1"/>
  <c r="AS41" i="17"/>
  <c r="AS52" i="17" s="1"/>
  <c r="BK63" i="28" s="1"/>
  <c r="BA41" i="17"/>
  <c r="BA52" i="17" s="1"/>
  <c r="CL63" i="28" s="1"/>
  <c r="AL59" i="36"/>
  <c r="R36" i="34"/>
  <c r="S36" i="34" s="1"/>
  <c r="BK30" i="34"/>
  <c r="AY36" i="34"/>
  <c r="BB48" i="36"/>
  <c r="BB54" i="36"/>
  <c r="Z6" i="118"/>
  <c r="L511" i="127" s="1"/>
  <c r="CB92" i="29"/>
  <c r="BK172" i="29"/>
  <c r="BJ49" i="22"/>
  <c r="BK94" i="17" s="1"/>
  <c r="BM44" i="17"/>
  <c r="CM126" i="29"/>
  <c r="R60" i="36"/>
  <c r="N60" i="36"/>
  <c r="CV65" i="29"/>
  <c r="J76" i="28"/>
  <c r="X76" i="28"/>
  <c r="E7" i="20"/>
  <c r="E11" i="20" s="1"/>
  <c r="AM15" i="29"/>
  <c r="DH21" i="29"/>
  <c r="BV61" i="29"/>
  <c r="CV35" i="29"/>
  <c r="Z151" i="29"/>
  <c r="O22" i="17"/>
  <c r="T36" i="22"/>
  <c r="T38" i="22" s="1"/>
  <c r="H53" i="22"/>
  <c r="AF59" i="36"/>
  <c r="T54" i="9"/>
  <c r="T159" i="9"/>
  <c r="AM37" i="34"/>
  <c r="CA37" i="34"/>
  <c r="BV42" i="34"/>
  <c r="CH40" i="34"/>
  <c r="BN40" i="34"/>
  <c r="BB36" i="36"/>
  <c r="DC29" i="34"/>
  <c r="CH46" i="28"/>
  <c r="M11" i="97"/>
  <c r="M50" i="97" s="1"/>
  <c r="Z26" i="20"/>
  <c r="Z24" i="20"/>
  <c r="BA68" i="17"/>
  <c r="BA76" i="17" s="1"/>
  <c r="DN51" i="28"/>
  <c r="CY91" i="29"/>
  <c r="CY92" i="29"/>
  <c r="CX64" i="29"/>
  <c r="CY64" i="29" s="1"/>
  <c r="CZ35" i="29"/>
  <c r="CY35" i="29"/>
  <c r="CX108" i="29"/>
  <c r="CX66" i="29"/>
  <c r="CY88" i="29"/>
  <c r="CZ61" i="29"/>
  <c r="CI126" i="29"/>
  <c r="CD132" i="29"/>
  <c r="BK174" i="29"/>
  <c r="CM107" i="29"/>
  <c r="CI107" i="29"/>
  <c r="CE127" i="29"/>
  <c r="CY128" i="29"/>
  <c r="BF127" i="29"/>
  <c r="BG127" i="29" s="1"/>
  <c r="CD131" i="29"/>
  <c r="BO168" i="29"/>
  <c r="CD129" i="29"/>
  <c r="BN185" i="29"/>
  <c r="BJ150" i="29"/>
  <c r="AB30" i="28"/>
  <c r="BH127" i="29"/>
  <c r="BN171" i="29"/>
  <c r="BO170" i="29" s="1"/>
  <c r="CE110" i="29"/>
  <c r="CD111" i="29"/>
  <c r="CD130" i="29" s="1"/>
  <c r="BF151" i="29"/>
  <c r="CY110" i="29"/>
  <c r="CY129" i="29"/>
  <c r="CX138" i="29"/>
  <c r="BK146" i="29"/>
  <c r="CE128" i="29"/>
  <c r="AI137" i="9"/>
  <c r="AE52" i="29"/>
  <c r="P17" i="28"/>
  <c r="AR51" i="29"/>
  <c r="AJ53" i="29"/>
  <c r="AV51" i="29"/>
  <c r="DS23" i="29"/>
  <c r="DR23" i="29"/>
  <c r="L195" i="9"/>
  <c r="X41" i="9"/>
  <c r="L194" i="9"/>
  <c r="L193" i="9"/>
  <c r="L61" i="9"/>
  <c r="T61" i="9"/>
  <c r="T68" i="9"/>
  <c r="L125" i="9"/>
  <c r="AM125" i="9"/>
  <c r="B159" i="9"/>
  <c r="B201" i="9"/>
  <c r="AD26" i="9"/>
  <c r="AD32" i="9"/>
  <c r="X39" i="9"/>
  <c r="L53" i="9"/>
  <c r="T42" i="9"/>
  <c r="P119" i="9"/>
  <c r="R154" i="9"/>
  <c r="AD125" i="9"/>
  <c r="B195" i="9"/>
  <c r="B202" i="9"/>
  <c r="L63" i="9"/>
  <c r="T76" i="9"/>
  <c r="L90" i="9"/>
  <c r="L89" i="9"/>
  <c r="L103" i="9"/>
  <c r="T98" i="9"/>
  <c r="AM139" i="9"/>
  <c r="AK151" i="9"/>
  <c r="T154" i="9"/>
  <c r="J180" i="9"/>
  <c r="R180" i="9" s="1"/>
  <c r="P76" i="28"/>
  <c r="AX76" i="28"/>
  <c r="BC76" i="28"/>
  <c r="BA76" i="28"/>
  <c r="H76" i="28"/>
  <c r="AR76" i="28"/>
  <c r="S145" i="97"/>
  <c r="T145" i="97"/>
  <c r="H13" i="20"/>
  <c r="L91" i="9"/>
  <c r="L126" i="9"/>
  <c r="L153" i="9"/>
  <c r="L168" i="9"/>
  <c r="CE14" i="28"/>
  <c r="CE36" i="28" s="1"/>
  <c r="AE22" i="20"/>
  <c r="AF22" i="20" s="1"/>
  <c r="AG22" i="20" s="1"/>
  <c r="R95" i="97"/>
  <c r="R54" i="97"/>
  <c r="Q95" i="97"/>
  <c r="Q136" i="97"/>
  <c r="DR21" i="28"/>
  <c r="DS21" i="28"/>
  <c r="AF36" i="20"/>
  <c r="S15" i="97" s="1"/>
  <c r="CD54" i="29"/>
  <c r="CJ53" i="29"/>
  <c r="CE53" i="29"/>
  <c r="BD17" i="28"/>
  <c r="CF53" i="29"/>
  <c r="BM33" i="28"/>
  <c r="BM43" i="28" s="1"/>
  <c r="BM38" i="28"/>
  <c r="BM22" i="28"/>
  <c r="BM41" i="28" s="1"/>
  <c r="H10" i="97"/>
  <c r="H29" i="97" s="1"/>
  <c r="H129" i="97"/>
  <c r="H47" i="97"/>
  <c r="H88" i="97"/>
  <c r="E45" i="97"/>
  <c r="E49" i="97" s="1"/>
  <c r="E52" i="97" s="1"/>
  <c r="E70" i="97" s="1"/>
  <c r="N17" i="20"/>
  <c r="D24" i="20"/>
  <c r="K37" i="20"/>
  <c r="K15" i="20"/>
  <c r="AA23" i="20"/>
  <c r="F24" i="20"/>
  <c r="DG21" i="28"/>
  <c r="AY73" i="17"/>
  <c r="BM36" i="28"/>
  <c r="K47" i="97"/>
  <c r="F113" i="9"/>
  <c r="AM172" i="9"/>
  <c r="G8" i="97"/>
  <c r="G129" i="97" s="1"/>
  <c r="CM30" i="28"/>
  <c r="Y19" i="20"/>
  <c r="N6" i="97"/>
  <c r="N86" i="97" s="1"/>
  <c r="DO10" i="28"/>
  <c r="CM32" i="28"/>
  <c r="BH51" i="28"/>
  <c r="A1" i="36"/>
  <c r="A1" i="9"/>
  <c r="BQ51" i="28"/>
  <c r="CK32" i="28"/>
  <c r="CK31" i="28"/>
  <c r="CK30" i="28"/>
  <c r="CJ31" i="28"/>
  <c r="DK46" i="28"/>
  <c r="CG46" i="28"/>
  <c r="V36" i="22"/>
  <c r="V38" i="22" s="1"/>
  <c r="P53" i="22"/>
  <c r="Z36" i="22"/>
  <c r="Z38" i="22" s="1"/>
  <c r="H36" i="22"/>
  <c r="H38" i="22" s="1"/>
  <c r="X36" i="22"/>
  <c r="X38" i="22" s="1"/>
  <c r="AB36" i="22"/>
  <c r="AB38" i="22" s="1"/>
  <c r="AR38" i="22"/>
  <c r="BG39" i="17"/>
  <c r="BI36" i="17"/>
  <c r="BK36" i="17" s="1"/>
  <c r="BM36" i="17" s="1"/>
  <c r="AP38" i="22"/>
  <c r="AU74" i="17"/>
  <c r="AK165" i="9"/>
  <c r="AD126" i="9"/>
  <c r="I71" i="17"/>
  <c r="F36" i="22"/>
  <c r="F38" i="22" s="1"/>
  <c r="L53" i="22"/>
  <c r="J53" i="22"/>
  <c r="R38" i="22"/>
  <c r="F53" i="22"/>
  <c r="R130" i="9"/>
  <c r="R161" i="9"/>
  <c r="T161" i="9"/>
  <c r="BD53" i="22"/>
  <c r="AN36" i="22"/>
  <c r="AN38" i="22" s="1"/>
  <c r="F91" i="20"/>
  <c r="F92" i="20" s="1"/>
  <c r="F39" i="20"/>
  <c r="F40" i="20" s="1"/>
  <c r="AI125" i="9"/>
  <c r="E35" i="97"/>
  <c r="L95" i="97"/>
  <c r="L12" i="97"/>
  <c r="L133" i="97" s="1"/>
  <c r="N25" i="20"/>
  <c r="F25" i="20"/>
  <c r="AO67" i="17"/>
  <c r="I51" i="97"/>
  <c r="I92" i="97" s="1"/>
  <c r="X16" i="20"/>
  <c r="CA93" i="29"/>
  <c r="E86" i="97"/>
  <c r="BZ111" i="29"/>
  <c r="BZ130" i="29" s="1"/>
  <c r="CE130" i="29" s="1"/>
  <c r="DF202" i="29"/>
  <c r="AB87" i="20" s="1"/>
  <c r="DP32" i="28" s="1"/>
  <c r="DG82" i="29"/>
  <c r="DG15" i="29"/>
  <c r="H23" i="34"/>
  <c r="H17" i="34"/>
  <c r="H29" i="34"/>
  <c r="H35" i="34"/>
  <c r="P35" i="34"/>
  <c r="P29" i="34"/>
  <c r="P23" i="34"/>
  <c r="T24" i="34"/>
  <c r="T18" i="34"/>
  <c r="AB36" i="34"/>
  <c r="AB24" i="34"/>
  <c r="AB30" i="34"/>
  <c r="AB18" i="34"/>
  <c r="AJ18" i="34"/>
  <c r="AJ36" i="34"/>
  <c r="AJ30" i="34"/>
  <c r="AJ24" i="34"/>
  <c r="AR36" i="34"/>
  <c r="AR24" i="34"/>
  <c r="AR30" i="34"/>
  <c r="AR18" i="34"/>
  <c r="AV25" i="34"/>
  <c r="AV31" i="34"/>
  <c r="AV37" i="34"/>
  <c r="AV19" i="34"/>
  <c r="AZ37" i="34"/>
  <c r="AZ31" i="34"/>
  <c r="AZ25" i="34"/>
  <c r="AZ19" i="34"/>
  <c r="BD29" i="34"/>
  <c r="BD17" i="34"/>
  <c r="BD25" i="34"/>
  <c r="BD37" i="34"/>
  <c r="BD31" i="34"/>
  <c r="BD19" i="34"/>
  <c r="BH37" i="34"/>
  <c r="BH19" i="34"/>
  <c r="BH31" i="34"/>
  <c r="BH25" i="34"/>
  <c r="CY31" i="28"/>
  <c r="K88" i="20"/>
  <c r="L35" i="34"/>
  <c r="L17" i="34"/>
  <c r="X36" i="34"/>
  <c r="X30" i="34"/>
  <c r="AF36" i="34"/>
  <c r="AF18" i="34"/>
  <c r="AF30" i="34"/>
  <c r="AF24" i="34"/>
  <c r="AN30" i="34"/>
  <c r="AN24" i="34"/>
  <c r="AN36" i="34"/>
  <c r="AN18" i="34"/>
  <c r="AR31" i="34"/>
  <c r="AR25" i="34"/>
  <c r="AZ18" i="34"/>
  <c r="AZ36" i="34"/>
  <c r="BD16" i="34"/>
  <c r="BD34" i="34"/>
  <c r="BD24" i="34"/>
  <c r="BD30" i="34"/>
  <c r="BH34" i="34"/>
  <c r="BH22" i="34"/>
  <c r="BH16" i="34"/>
  <c r="BH28" i="34"/>
  <c r="BH30" i="34"/>
  <c r="BH36" i="34"/>
  <c r="AE131" i="29"/>
  <c r="BH129" i="29"/>
  <c r="AW67" i="17"/>
  <c r="BC170" i="29"/>
  <c r="BH19" i="28"/>
  <c r="BM52" i="28" s="1"/>
  <c r="AY51" i="28"/>
  <c r="AM82" i="29"/>
  <c r="CM15" i="29"/>
  <c r="BP22" i="29"/>
  <c r="BX22" i="29"/>
  <c r="CZ20" i="29"/>
  <c r="AR21" i="29"/>
  <c r="K25" i="29"/>
  <c r="AA26" i="29"/>
  <c r="BG36" i="29"/>
  <c r="CI36" i="29"/>
  <c r="G46" i="29"/>
  <c r="AA45" i="29"/>
  <c r="AM46" i="29"/>
  <c r="AN53" i="29"/>
  <c r="AX65" i="29"/>
  <c r="BX63" i="29"/>
  <c r="CH66" i="29"/>
  <c r="CJ66" i="29" s="1"/>
  <c r="CM63" i="29"/>
  <c r="K82" i="29"/>
  <c r="O82" i="29"/>
  <c r="W82" i="29"/>
  <c r="AM83" i="29"/>
  <c r="M12" i="20"/>
  <c r="M33" i="20" s="1"/>
  <c r="M39" i="20" s="1"/>
  <c r="AM14" i="29"/>
  <c r="BT21" i="29"/>
  <c r="AM25" i="29"/>
  <c r="BC24" i="29"/>
  <c r="BD24" i="29" s="1"/>
  <c r="BK24" i="29"/>
  <c r="AU26" i="29"/>
  <c r="CQ25" i="29"/>
  <c r="BK26" i="29"/>
  <c r="CB35" i="29"/>
  <c r="CZ34" i="29"/>
  <c r="S44" i="29"/>
  <c r="AB53" i="29"/>
  <c r="K55" i="29"/>
  <c r="O83" i="29"/>
  <c r="W83" i="29"/>
  <c r="AA83" i="29"/>
  <c r="CI83" i="29"/>
  <c r="CQ83" i="29"/>
  <c r="Z36" i="20"/>
  <c r="Z37" i="20" s="1"/>
  <c r="BF150" i="29"/>
  <c r="L12" i="20"/>
  <c r="L16" i="20" s="1"/>
  <c r="L62" i="9"/>
  <c r="Z62" i="9"/>
  <c r="Z111" i="9"/>
  <c r="Z118" i="9"/>
  <c r="Z104" i="9"/>
  <c r="AD152" i="9"/>
  <c r="AF159" i="9" s="1"/>
  <c r="AD28" i="9"/>
  <c r="X96" i="9"/>
  <c r="X160" i="9"/>
  <c r="AD145" i="9"/>
  <c r="X56" i="9"/>
  <c r="E10" i="97"/>
  <c r="E127" i="97"/>
  <c r="E157" i="97" s="1"/>
  <c r="N11" i="20"/>
  <c r="DB10" i="28"/>
  <c r="AK66" i="17"/>
  <c r="AK72" i="17" s="1"/>
  <c r="R31" i="20"/>
  <c r="R8" i="20"/>
  <c r="DF10" i="28"/>
  <c r="R19" i="20"/>
  <c r="BB19" i="28"/>
  <c r="AL36" i="28"/>
  <c r="J19" i="28"/>
  <c r="J33" i="28" s="1"/>
  <c r="J43" i="28" s="1"/>
  <c r="I88" i="97"/>
  <c r="I10" i="97"/>
  <c r="I29" i="97" s="1"/>
  <c r="AA56" i="20"/>
  <c r="D22" i="9"/>
  <c r="L186" i="9"/>
  <c r="AT14" i="28"/>
  <c r="AT19" i="28" s="1"/>
  <c r="BQ14" i="28"/>
  <c r="E39" i="28"/>
  <c r="BK39" i="28"/>
  <c r="T193" i="9"/>
  <c r="AM193" i="9"/>
  <c r="AC88" i="20"/>
  <c r="DQ31" i="28" s="1"/>
  <c r="DP31" i="28"/>
  <c r="AB56" i="20"/>
  <c r="DP30" i="28"/>
  <c r="O24" i="97"/>
  <c r="AC56" i="20"/>
  <c r="F136" i="97"/>
  <c r="F95" i="97"/>
  <c r="C132" i="97"/>
  <c r="C50" i="97"/>
  <c r="K104" i="97"/>
  <c r="K148" i="97" s="1"/>
  <c r="K147" i="97"/>
  <c r="K145" i="97" s="1"/>
  <c r="K63" i="97"/>
  <c r="K146" i="97" s="1"/>
  <c r="AE71" i="17"/>
  <c r="AE73" i="17"/>
  <c r="K23" i="20"/>
  <c r="K8" i="20"/>
  <c r="K19" i="20"/>
  <c r="CY10" i="28"/>
  <c r="K25" i="20"/>
  <c r="R39" i="28"/>
  <c r="M38" i="28"/>
  <c r="AN36" i="28"/>
  <c r="AN19" i="28"/>
  <c r="H91" i="20"/>
  <c r="H92" i="20" s="1"/>
  <c r="H39" i="20"/>
  <c r="H34" i="20"/>
  <c r="N8" i="97"/>
  <c r="AA12" i="20"/>
  <c r="BC67" i="17" s="1"/>
  <c r="AA11" i="20"/>
  <c r="CG37" i="28"/>
  <c r="L98" i="97"/>
  <c r="L57" i="97"/>
  <c r="AQ14" i="28"/>
  <c r="AQ46" i="28"/>
  <c r="AV46" i="28"/>
  <c r="BH46" i="28"/>
  <c r="BC14" i="28"/>
  <c r="BG39" i="28"/>
  <c r="BG37" i="28"/>
  <c r="BI14" i="28"/>
  <c r="BI37" i="28"/>
  <c r="L22" i="34"/>
  <c r="L34" i="34"/>
  <c r="X28" i="34"/>
  <c r="X16" i="34"/>
  <c r="AB34" i="34"/>
  <c r="AB16" i="34"/>
  <c r="AB22" i="34"/>
  <c r="AB28" i="34"/>
  <c r="AB23" i="34"/>
  <c r="AB17" i="34"/>
  <c r="AF28" i="34"/>
  <c r="AF22" i="34"/>
  <c r="AJ16" i="34"/>
  <c r="AJ28" i="34"/>
  <c r="AJ34" i="34"/>
  <c r="AN34" i="34"/>
  <c r="AN28" i="34"/>
  <c r="AR22" i="34"/>
  <c r="AR34" i="34"/>
  <c r="T24" i="20"/>
  <c r="AO68" i="17"/>
  <c r="AO76" i="17" s="1"/>
  <c r="DH15" i="28"/>
  <c r="G11" i="97"/>
  <c r="T25" i="20"/>
  <c r="DD17" i="28"/>
  <c r="C12" i="97"/>
  <c r="P12" i="20"/>
  <c r="P31" i="20"/>
  <c r="E12" i="97"/>
  <c r="AJ11" i="22"/>
  <c r="AJ75" i="22" s="1"/>
  <c r="AJ73" i="22" s="1"/>
  <c r="AJ76" i="22" s="1"/>
  <c r="R12" i="20"/>
  <c r="F24" i="97"/>
  <c r="S55" i="20"/>
  <c r="DG30" i="28" s="1"/>
  <c r="V55" i="20"/>
  <c r="DJ30" i="28" s="1"/>
  <c r="I24" i="97"/>
  <c r="I104" i="97" s="1"/>
  <c r="L28" i="9"/>
  <c r="L41" i="9"/>
  <c r="T40" i="9"/>
  <c r="R41" i="9"/>
  <c r="R56" i="9"/>
  <c r="T55" i="9"/>
  <c r="T56" i="9"/>
  <c r="R60" i="9"/>
  <c r="L67" i="9"/>
  <c r="F71" i="9"/>
  <c r="L74" i="9"/>
  <c r="L77" i="9"/>
  <c r="L84" i="9"/>
  <c r="T74" i="9"/>
  <c r="R75" i="9"/>
  <c r="L81" i="9"/>
  <c r="R81" i="9"/>
  <c r="AI81" i="9"/>
  <c r="R83" i="9"/>
  <c r="AM82" i="9"/>
  <c r="AM88" i="9"/>
  <c r="F92" i="9"/>
  <c r="AM90" i="9"/>
  <c r="T90" i="9"/>
  <c r="L98" i="9"/>
  <c r="T95" i="9"/>
  <c r="AI96" i="9"/>
  <c r="T97" i="9"/>
  <c r="AM97" i="9"/>
  <c r="D113" i="9"/>
  <c r="L109" i="9"/>
  <c r="L116" i="9"/>
  <c r="L123" i="9"/>
  <c r="T112" i="9"/>
  <c r="T118" i="9"/>
  <c r="AM118" i="9"/>
  <c r="R119" i="9"/>
  <c r="L124" i="9"/>
  <c r="D127" i="9"/>
  <c r="AK124" i="9"/>
  <c r="AI124" i="9"/>
  <c r="D134" i="9"/>
  <c r="L130" i="9"/>
  <c r="AM131" i="9"/>
  <c r="T131" i="9"/>
  <c r="T144" i="9"/>
  <c r="AM144" i="9"/>
  <c r="AI145" i="9"/>
  <c r="T152" i="9"/>
  <c r="R153" i="9"/>
  <c r="AK153" i="9"/>
  <c r="AI153" i="9"/>
  <c r="T174" i="9"/>
  <c r="AM174" i="9"/>
  <c r="L180" i="9"/>
  <c r="AK182" i="9"/>
  <c r="R182" i="9"/>
  <c r="T186" i="9"/>
  <c r="AM186" i="9"/>
  <c r="AK187" i="9"/>
  <c r="B23" i="34"/>
  <c r="B10" i="36"/>
  <c r="B16" i="36" s="1"/>
  <c r="B22" i="36" s="1"/>
  <c r="B28" i="36" s="1"/>
  <c r="B34" i="36" s="1"/>
  <c r="B40" i="36" s="1"/>
  <c r="B46" i="36" s="1"/>
  <c r="B52" i="36" s="1"/>
  <c r="B58" i="36" s="1"/>
  <c r="B17" i="34"/>
  <c r="B18" i="34"/>
  <c r="B36" i="34"/>
  <c r="B30" i="34"/>
  <c r="B11" i="36"/>
  <c r="B17" i="36" s="1"/>
  <c r="B23" i="36" s="1"/>
  <c r="B29" i="36" s="1"/>
  <c r="B35" i="36" s="1"/>
  <c r="B41" i="36" s="1"/>
  <c r="B47" i="36" s="1"/>
  <c r="B53" i="36" s="1"/>
  <c r="B59" i="36" s="1"/>
  <c r="B24" i="34"/>
  <c r="B43" i="34"/>
  <c r="B37" i="34"/>
  <c r="B12" i="36"/>
  <c r="B18" i="36" s="1"/>
  <c r="B24" i="36" s="1"/>
  <c r="B30" i="36" s="1"/>
  <c r="B36" i="36" s="1"/>
  <c r="B42" i="36" s="1"/>
  <c r="B48" i="36" s="1"/>
  <c r="B54" i="36" s="1"/>
  <c r="B60" i="36" s="1"/>
  <c r="B19" i="34"/>
  <c r="CK21" i="28"/>
  <c r="CL21" i="28"/>
  <c r="CM21" i="28"/>
  <c r="R194" i="9"/>
  <c r="AS71" i="17"/>
  <c r="AG73" i="17"/>
  <c r="AN74" i="22"/>
  <c r="J104" i="97"/>
  <c r="M22" i="28"/>
  <c r="C91" i="97"/>
  <c r="AE72" i="17"/>
  <c r="K33" i="20"/>
  <c r="K11" i="20"/>
  <c r="AS51" i="28"/>
  <c r="AS37" i="28"/>
  <c r="AK118" i="9"/>
  <c r="T117" i="9"/>
  <c r="N63" i="97"/>
  <c r="N146" i="97" s="1"/>
  <c r="AX33" i="28"/>
  <c r="T19" i="28"/>
  <c r="T22" i="28" s="1"/>
  <c r="T36" i="28"/>
  <c r="CE37" i="28"/>
  <c r="CE51" i="28"/>
  <c r="A103" i="9"/>
  <c r="A89" i="9"/>
  <c r="A152" i="9"/>
  <c r="A166" i="9"/>
  <c r="A173" i="9"/>
  <c r="A110" i="9"/>
  <c r="A124" i="9"/>
  <c r="A159" i="9"/>
  <c r="A194" i="9"/>
  <c r="A82" i="9"/>
  <c r="J54" i="97"/>
  <c r="J95" i="97"/>
  <c r="J136" i="97"/>
  <c r="M91" i="97"/>
  <c r="D91" i="97"/>
  <c r="D132" i="97"/>
  <c r="D30" i="97"/>
  <c r="H11" i="97"/>
  <c r="I37" i="97" s="1"/>
  <c r="AQ68" i="17"/>
  <c r="AQ76" i="17" s="1"/>
  <c r="DI15" i="28"/>
  <c r="U25" i="20"/>
  <c r="U24" i="20"/>
  <c r="N24" i="20"/>
  <c r="DB15" i="28"/>
  <c r="DB51" i="28" s="1"/>
  <c r="DH10" i="28"/>
  <c r="G6" i="97"/>
  <c r="T23" i="20"/>
  <c r="AO66" i="17"/>
  <c r="T15" i="20"/>
  <c r="T19" i="20"/>
  <c r="I23" i="20"/>
  <c r="I15" i="20"/>
  <c r="J8" i="20"/>
  <c r="J75" i="97"/>
  <c r="J116" i="97"/>
  <c r="K17" i="20"/>
  <c r="AS39" i="28"/>
  <c r="L189" i="9"/>
  <c r="R48" i="9"/>
  <c r="AU68" i="17"/>
  <c r="AU76" i="17" s="1"/>
  <c r="J11" i="97"/>
  <c r="C8" i="97"/>
  <c r="P11" i="20"/>
  <c r="F17" i="20"/>
  <c r="L151" i="9"/>
  <c r="F76" i="97"/>
  <c r="AK102" i="9"/>
  <c r="D14" i="28"/>
  <c r="D36" i="28" s="1"/>
  <c r="I14" i="28"/>
  <c r="N14" i="28"/>
  <c r="S14" i="28"/>
  <c r="S36" i="28" s="1"/>
  <c r="AH14" i="28"/>
  <c r="AM14" i="28"/>
  <c r="AM36" i="28" s="1"/>
  <c r="BM39" i="28"/>
  <c r="BP39" i="28"/>
  <c r="DJ21" i="28"/>
  <c r="I15" i="97"/>
  <c r="DL21" i="28"/>
  <c r="K15" i="97"/>
  <c r="A42" i="9"/>
  <c r="A77" i="9"/>
  <c r="A49" i="9"/>
  <c r="A35" i="9"/>
  <c r="A28" i="9"/>
  <c r="B161" i="9"/>
  <c r="B42" i="9"/>
  <c r="AK83" i="9"/>
  <c r="AW14" i="28"/>
  <c r="BM46" i="28"/>
  <c r="AI102" i="9"/>
  <c r="T110" i="9"/>
  <c r="L132" i="9"/>
  <c r="DG74" i="28"/>
  <c r="Z19" i="20"/>
  <c r="F116" i="97"/>
  <c r="F75" i="97"/>
  <c r="DH74" i="28"/>
  <c r="BD35" i="36"/>
  <c r="R136" i="97"/>
  <c r="AO38" i="28"/>
  <c r="AO33" i="28"/>
  <c r="AO43" i="28" s="1"/>
  <c r="AO36" i="28"/>
  <c r="BA14" i="28"/>
  <c r="BA19" i="28" s="1"/>
  <c r="I73" i="17"/>
  <c r="X51" i="28"/>
  <c r="G24" i="97"/>
  <c r="T55" i="20"/>
  <c r="DH30" i="28" s="1"/>
  <c r="DK37" i="28"/>
  <c r="BS46" i="28"/>
  <c r="BS39" i="28"/>
  <c r="H104" i="97"/>
  <c r="L148" i="9"/>
  <c r="L182" i="9"/>
  <c r="BG14" i="28"/>
  <c r="F37" i="28"/>
  <c r="K37" i="28"/>
  <c r="AH37" i="28"/>
  <c r="H18" i="97"/>
  <c r="H98" i="97" s="1"/>
  <c r="F36" i="9"/>
  <c r="L88" i="9"/>
  <c r="L111" i="9"/>
  <c r="T126" i="9"/>
  <c r="L147" i="9"/>
  <c r="AM160" i="9"/>
  <c r="AS46" i="28"/>
  <c r="AD37" i="28"/>
  <c r="BN39" i="28"/>
  <c r="L68" i="9"/>
  <c r="F78" i="9"/>
  <c r="D85" i="9"/>
  <c r="L188" i="9"/>
  <c r="L187" i="9"/>
  <c r="S37" i="28"/>
  <c r="T51" i="28"/>
  <c r="BN37" i="28"/>
  <c r="AN39" i="28"/>
  <c r="CF39" i="28"/>
  <c r="L42" i="9"/>
  <c r="D50" i="9"/>
  <c r="L104" i="9"/>
  <c r="L110" i="9"/>
  <c r="A24" i="34"/>
  <c r="AM194" i="9"/>
  <c r="DB129" i="29"/>
  <c r="DC110" i="29"/>
  <c r="DC88" i="29"/>
  <c r="DB108" i="29"/>
  <c r="DB117" i="29" s="1"/>
  <c r="DB136" i="29" s="1"/>
  <c r="DD88" i="29"/>
  <c r="DC98" i="29"/>
  <c r="DD61" i="29"/>
  <c r="DH61" i="29"/>
  <c r="DG62" i="29"/>
  <c r="DF89" i="29"/>
  <c r="DG99" i="29" s="1"/>
  <c r="AY145" i="118"/>
  <c r="AZ142" i="118" s="1"/>
  <c r="AZ145" i="118" s="1"/>
  <c r="BA142" i="118" s="1"/>
  <c r="BA145" i="118" s="1"/>
  <c r="BB142" i="118" s="1"/>
  <c r="BB145" i="118" s="1"/>
  <c r="BC142" i="118" s="1"/>
  <c r="BC145" i="118" s="1"/>
  <c r="BD142" i="118" s="1"/>
  <c r="BD145" i="118" s="1"/>
  <c r="CM63" i="28"/>
  <c r="I50" i="97"/>
  <c r="I91" i="97"/>
  <c r="J37" i="97"/>
  <c r="I132" i="97"/>
  <c r="DG36" i="29"/>
  <c r="DF103" i="29"/>
  <c r="DG83" i="29"/>
  <c r="DG26" i="29"/>
  <c r="F34" i="20"/>
  <c r="L51" i="97"/>
  <c r="L92" i="97" s="1"/>
  <c r="BZ126" i="29"/>
  <c r="CA101" i="29"/>
  <c r="AK74" i="17"/>
  <c r="E54" i="97"/>
  <c r="Y12" i="20"/>
  <c r="N19" i="20"/>
  <c r="N8" i="20"/>
  <c r="N171" i="97"/>
  <c r="N169" i="97" s="1"/>
  <c r="N116" i="97"/>
  <c r="N172" i="97" s="1"/>
  <c r="CQ65" i="29"/>
  <c r="AS68" i="17"/>
  <c r="AS76" i="17" s="1"/>
  <c r="DG46" i="29"/>
  <c r="BZ112" i="29"/>
  <c r="CE112" i="29" s="1"/>
  <c r="E95" i="97"/>
  <c r="L54" i="97"/>
  <c r="N33" i="20"/>
  <c r="N15" i="20"/>
  <c r="V24" i="20"/>
  <c r="DJ15" i="28"/>
  <c r="DG35" i="29"/>
  <c r="DH35" i="29"/>
  <c r="DH16" i="29"/>
  <c r="AX11" i="22"/>
  <c r="N37" i="20"/>
  <c r="N13" i="20"/>
  <c r="N31" i="20"/>
  <c r="V25" i="20"/>
  <c r="V26" i="20"/>
  <c r="DG60" i="29"/>
  <c r="DF87" i="29"/>
  <c r="BK128" i="29"/>
  <c r="L88" i="97"/>
  <c r="L47" i="97"/>
  <c r="DD90" i="29"/>
  <c r="DC90" i="29"/>
  <c r="Z179" i="9"/>
  <c r="Z186" i="9"/>
  <c r="CM99" i="29"/>
  <c r="CN89" i="29"/>
  <c r="CM89" i="29"/>
  <c r="CL109" i="29"/>
  <c r="CL91" i="29"/>
  <c r="CL93" i="29"/>
  <c r="CN93" i="29" s="1"/>
  <c r="CR89" i="29"/>
  <c r="X126" i="9"/>
  <c r="S30" i="20"/>
  <c r="BX54" i="29"/>
  <c r="CB54" i="29"/>
  <c r="CN56" i="29"/>
  <c r="CR56" i="29"/>
  <c r="DD31" i="28"/>
  <c r="P88" i="20"/>
  <c r="T188" i="9"/>
  <c r="AM188" i="9"/>
  <c r="BC109" i="29"/>
  <c r="AX113" i="29"/>
  <c r="BC113" i="29" s="1"/>
  <c r="AX128" i="29"/>
  <c r="AX111" i="29"/>
  <c r="CR54" i="29"/>
  <c r="W30" i="20"/>
  <c r="CN54" i="29"/>
  <c r="X145" i="9"/>
  <c r="AD174" i="9"/>
  <c r="D34" i="20"/>
  <c r="D39" i="20"/>
  <c r="CM102" i="29"/>
  <c r="CE64" i="29"/>
  <c r="Z23" i="20"/>
  <c r="AA8" i="20"/>
  <c r="BA66" i="17"/>
  <c r="Z15" i="20"/>
  <c r="Z11" i="20"/>
  <c r="DN10" i="28"/>
  <c r="M6" i="97"/>
  <c r="AD70" i="9"/>
  <c r="BR93" i="29"/>
  <c r="BR108" i="29"/>
  <c r="BS88" i="29"/>
  <c r="BT88" i="29"/>
  <c r="BS98" i="29"/>
  <c r="J33" i="20"/>
  <c r="J16" i="20"/>
  <c r="J17" i="20" s="1"/>
  <c r="J13" i="20"/>
  <c r="Q12" i="20"/>
  <c r="BO24" i="29"/>
  <c r="BN64" i="29"/>
  <c r="Q10" i="20"/>
  <c r="CJ64" i="29"/>
  <c r="CI64" i="29"/>
  <c r="U60" i="17"/>
  <c r="U79" i="17"/>
  <c r="X24" i="20"/>
  <c r="X26" i="20"/>
  <c r="K11" i="97"/>
  <c r="H57" i="36"/>
  <c r="BV119" i="29"/>
  <c r="CA110" i="29"/>
  <c r="P64" i="29"/>
  <c r="O64" i="29"/>
  <c r="X181" i="9"/>
  <c r="DQ8" i="28"/>
  <c r="AK174" i="9"/>
  <c r="R174" i="9"/>
  <c r="R173" i="9"/>
  <c r="S34" i="34"/>
  <c r="R40" i="34"/>
  <c r="K19" i="28"/>
  <c r="K36" i="28"/>
  <c r="BK31" i="17"/>
  <c r="BM31" i="17" s="1"/>
  <c r="BO31" i="17" s="1"/>
  <c r="BQ31" i="17" s="1"/>
  <c r="BI35" i="17"/>
  <c r="X154" i="9"/>
  <c r="AD110" i="29"/>
  <c r="AD91" i="29"/>
  <c r="AJ90" i="29"/>
  <c r="AF90" i="29"/>
  <c r="AE90" i="29"/>
  <c r="AI161" i="9"/>
  <c r="AK161" i="9"/>
  <c r="P189" i="9"/>
  <c r="N189" i="9"/>
  <c r="J189" i="9"/>
  <c r="AL22" i="28"/>
  <c r="AL38" i="28"/>
  <c r="BF19" i="28"/>
  <c r="U36" i="28"/>
  <c r="U19" i="28"/>
  <c r="BX36" i="28"/>
  <c r="BX19" i="28"/>
  <c r="BC73" i="17"/>
  <c r="BC72" i="17"/>
  <c r="BC71" i="17"/>
  <c r="BL19" i="28"/>
  <c r="BL36" i="28"/>
  <c r="AJ36" i="28"/>
  <c r="AJ19" i="28"/>
  <c r="I116" i="97"/>
  <c r="I75" i="97"/>
  <c r="CH14" i="28"/>
  <c r="Z33" i="9"/>
  <c r="AK172" i="9"/>
  <c r="AK103" i="9"/>
  <c r="CX113" i="29"/>
  <c r="D86" i="97"/>
  <c r="D45" i="97"/>
  <c r="D127" i="97"/>
  <c r="D50" i="97"/>
  <c r="E76" i="97" s="1"/>
  <c r="E37" i="97"/>
  <c r="I129" i="97"/>
  <c r="I47" i="97"/>
  <c r="M73" i="17"/>
  <c r="M72" i="17"/>
  <c r="BJ87" i="29"/>
  <c r="BL60" i="29"/>
  <c r="AX60" i="36"/>
  <c r="CY97" i="29"/>
  <c r="CX93" i="29"/>
  <c r="CY87" i="29"/>
  <c r="N57" i="36"/>
  <c r="O73" i="17"/>
  <c r="O74" i="17"/>
  <c r="BI47" i="17"/>
  <c r="BK47" i="17" s="1"/>
  <c r="BM47" i="17" s="1"/>
  <c r="BO47" i="17" s="1"/>
  <c r="BQ47" i="17" s="1"/>
  <c r="K89" i="29"/>
  <c r="J109" i="29"/>
  <c r="BS89" i="29"/>
  <c r="BR109" i="29"/>
  <c r="BS99" i="29"/>
  <c r="F14" i="28"/>
  <c r="K46" i="28"/>
  <c r="Y46" i="28"/>
  <c r="T39" i="28"/>
  <c r="AV37" i="28"/>
  <c r="C36" i="28"/>
  <c r="AA13" i="20"/>
  <c r="AD172" i="9"/>
  <c r="J91" i="97"/>
  <c r="C6" i="97"/>
  <c r="P19" i="20"/>
  <c r="P23" i="20"/>
  <c r="F37" i="20"/>
  <c r="BX46" i="29"/>
  <c r="I31" i="20"/>
  <c r="I11" i="20"/>
  <c r="V109" i="29"/>
  <c r="AT109" i="29"/>
  <c r="AU89" i="29"/>
  <c r="F51" i="36"/>
  <c r="F57" i="36"/>
  <c r="DG24" i="28"/>
  <c r="F18" i="97"/>
  <c r="BI60" i="29"/>
  <c r="V108" i="29"/>
  <c r="W98" i="29"/>
  <c r="AB88" i="29"/>
  <c r="BK34" i="29"/>
  <c r="BP34" i="29"/>
  <c r="R138" i="9"/>
  <c r="AK138" i="9"/>
  <c r="E83" i="97"/>
  <c r="D124" i="97"/>
  <c r="H39" i="28"/>
  <c r="M46" i="28"/>
  <c r="H46" i="28"/>
  <c r="AI51" i="28"/>
  <c r="AR37" i="28"/>
  <c r="AR51" i="28"/>
  <c r="AK168" i="9"/>
  <c r="R168" i="9"/>
  <c r="BB173" i="29"/>
  <c r="BC172" i="29" s="1"/>
  <c r="BB128" i="29"/>
  <c r="O66" i="29"/>
  <c r="I145" i="97"/>
  <c r="CH108" i="29"/>
  <c r="CI98" i="29"/>
  <c r="BL17" i="28"/>
  <c r="CL55" i="29"/>
  <c r="CN51" i="29"/>
  <c r="AR88" i="29"/>
  <c r="AM88" i="29"/>
  <c r="AM98" i="29"/>
  <c r="I57" i="97"/>
  <c r="I139" i="97"/>
  <c r="AL46" i="28"/>
  <c r="AG14" i="28"/>
  <c r="AG37" i="28"/>
  <c r="AY46" i="28"/>
  <c r="AY14" i="28"/>
  <c r="BD14" i="28"/>
  <c r="BD37" i="28"/>
  <c r="BL46" i="28"/>
  <c r="BL39" i="28"/>
  <c r="BZ14" i="28"/>
  <c r="BZ37" i="28"/>
  <c r="CB51" i="28"/>
  <c r="CG51" i="28"/>
  <c r="AG39" i="28"/>
  <c r="AH60" i="36"/>
  <c r="Z19" i="28"/>
  <c r="CH37" i="28"/>
  <c r="AA16" i="20"/>
  <c r="AA17" i="20" s="1"/>
  <c r="DO12" i="28"/>
  <c r="I169" i="97"/>
  <c r="CX126" i="29"/>
  <c r="AK166" i="9"/>
  <c r="R166" i="9"/>
  <c r="BC89" i="29"/>
  <c r="X83" i="9"/>
  <c r="Z83" i="9" s="1"/>
  <c r="AD109" i="29"/>
  <c r="AJ89" i="29"/>
  <c r="AE99" i="29"/>
  <c r="DC12" i="28"/>
  <c r="O16" i="20"/>
  <c r="F15" i="20"/>
  <c r="AC74" i="17"/>
  <c r="AY90" i="29"/>
  <c r="BD90" i="29"/>
  <c r="BA36" i="28"/>
  <c r="D23" i="20"/>
  <c r="D37" i="20"/>
  <c r="AQ74" i="17"/>
  <c r="AQ73" i="17"/>
  <c r="J60" i="36"/>
  <c r="J54" i="36"/>
  <c r="AV51" i="36"/>
  <c r="AV57" i="36"/>
  <c r="F129" i="97"/>
  <c r="AL129" i="29"/>
  <c r="AQ129" i="29" s="1"/>
  <c r="F53" i="28" s="1"/>
  <c r="AQ110" i="29"/>
  <c r="AL108" i="29"/>
  <c r="CY107" i="29"/>
  <c r="BR218" i="29"/>
  <c r="BR126" i="29"/>
  <c r="K99" i="29"/>
  <c r="DH44" i="29"/>
  <c r="DD44" i="29"/>
  <c r="DC44" i="29"/>
  <c r="O14" i="28"/>
  <c r="O46" i="28"/>
  <c r="O39" i="28"/>
  <c r="T37" i="28"/>
  <c r="X14" i="28"/>
  <c r="BB46" i="28"/>
  <c r="AW39" i="28"/>
  <c r="AW46" i="28"/>
  <c r="AW37" i="28"/>
  <c r="CA14" i="28"/>
  <c r="CF46" i="28"/>
  <c r="CA37" i="28"/>
  <c r="CE39" i="28"/>
  <c r="CE46" i="28"/>
  <c r="BP51" i="28"/>
  <c r="BK51" i="28"/>
  <c r="BK37" i="28"/>
  <c r="BP69" i="28" s="1"/>
  <c r="BS51" i="28"/>
  <c r="BX51" i="28"/>
  <c r="CC51" i="28"/>
  <c r="CH51" i="28"/>
  <c r="F39" i="28"/>
  <c r="AB39" i="28"/>
  <c r="H36" i="34"/>
  <c r="H30" i="34"/>
  <c r="H18" i="34"/>
  <c r="X29" i="34"/>
  <c r="X17" i="34"/>
  <c r="AI25" i="29"/>
  <c r="BT15" i="29"/>
  <c r="BT16" i="29" s="1"/>
  <c r="BS15" i="29"/>
  <c r="BS35" i="29"/>
  <c r="BS55" i="29"/>
  <c r="W54" i="29"/>
  <c r="W44" i="29"/>
  <c r="F15" i="9"/>
  <c r="M67" i="17"/>
  <c r="AA56" i="29"/>
  <c r="F162" i="9"/>
  <c r="W10" i="20"/>
  <c r="BK32" i="29"/>
  <c r="BL32" i="29"/>
  <c r="BP32" i="29"/>
  <c r="BM32" i="29"/>
  <c r="BW51" i="29"/>
  <c r="AR17" i="28"/>
  <c r="BG148" i="29"/>
  <c r="Z30" i="28"/>
  <c r="BS32" i="28"/>
  <c r="CU198" i="29"/>
  <c r="CX194" i="29"/>
  <c r="CP202" i="29"/>
  <c r="K39" i="17"/>
  <c r="K41" i="17" s="1"/>
  <c r="K52" i="17" s="1"/>
  <c r="K60" i="17" s="1"/>
  <c r="L35" i="22"/>
  <c r="L36" i="22" s="1"/>
  <c r="L38" i="22" s="1"/>
  <c r="E52" i="17"/>
  <c r="AW52" i="17"/>
  <c r="AK94" i="17"/>
  <c r="AJ53" i="22"/>
  <c r="AD47" i="36"/>
  <c r="AD59" i="36" s="1"/>
  <c r="T52" i="36"/>
  <c r="T58" i="36"/>
  <c r="T48" i="36"/>
  <c r="T54" i="36" s="1"/>
  <c r="V34" i="36"/>
  <c r="AN46" i="36"/>
  <c r="AN34" i="36"/>
  <c r="AN58" i="36" s="1"/>
  <c r="AN52" i="36"/>
  <c r="AZ36" i="36"/>
  <c r="AZ60" i="36" s="1"/>
  <c r="AZ54" i="36"/>
  <c r="B196" i="9"/>
  <c r="B119" i="9"/>
  <c r="B56" i="9"/>
  <c r="B35" i="9"/>
  <c r="B49" i="9"/>
  <c r="B168" i="9"/>
  <c r="B126" i="9"/>
  <c r="B154" i="9"/>
  <c r="B112" i="9"/>
  <c r="B70" i="9"/>
  <c r="B189" i="9"/>
  <c r="B182" i="9"/>
  <c r="B133" i="9"/>
  <c r="B28" i="9"/>
  <c r="B21" i="9"/>
  <c r="B147" i="9"/>
  <c r="B84" i="9"/>
  <c r="B175" i="9"/>
  <c r="B91" i="9"/>
  <c r="B140" i="9"/>
  <c r="N20" i="9"/>
  <c r="T20" i="9"/>
  <c r="J21" i="9"/>
  <c r="X20" i="9"/>
  <c r="Z27" i="9" s="1"/>
  <c r="AD35" i="9"/>
  <c r="P39" i="9"/>
  <c r="N35" i="9"/>
  <c r="AF32" i="9"/>
  <c r="T35" i="9"/>
  <c r="X46" i="9"/>
  <c r="P46" i="9"/>
  <c r="J47" i="9"/>
  <c r="L48" i="9"/>
  <c r="L55" i="9"/>
  <c r="AD89" i="9"/>
  <c r="P89" i="9"/>
  <c r="AM89" i="9"/>
  <c r="T89" i="9"/>
  <c r="AM95" i="9"/>
  <c r="N102" i="9"/>
  <c r="L102" i="9"/>
  <c r="D99" i="9"/>
  <c r="T91" i="9"/>
  <c r="F99" i="9"/>
  <c r="N112" i="9"/>
  <c r="T105" i="9"/>
  <c r="P105" i="9"/>
  <c r="N105" i="9"/>
  <c r="J105" i="9"/>
  <c r="J109" i="9"/>
  <c r="P109" i="9"/>
  <c r="D106" i="9"/>
  <c r="L105" i="9"/>
  <c r="AM103" i="9"/>
  <c r="T103" i="9"/>
  <c r="R104" i="9"/>
  <c r="AM111" i="9"/>
  <c r="T111" i="9"/>
  <c r="AD111" i="9"/>
  <c r="N118" i="9"/>
  <c r="J112" i="9"/>
  <c r="T125" i="9"/>
  <c r="AK137" i="9"/>
  <c r="R137" i="9"/>
  <c r="X165" i="9"/>
  <c r="N172" i="9"/>
  <c r="P168" i="9"/>
  <c r="AD168" i="9"/>
  <c r="CQ36" i="34"/>
  <c r="CM36" i="34"/>
  <c r="O15" i="97"/>
  <c r="DP21" i="28"/>
  <c r="CX43" i="34"/>
  <c r="AO105" i="118"/>
  <c r="AO37" i="118" s="1"/>
  <c r="AO187" i="118"/>
  <c r="AR94" i="118"/>
  <c r="AR188" i="118" s="1"/>
  <c r="AR187" i="118"/>
  <c r="H16" i="34"/>
  <c r="H28" i="34"/>
  <c r="P34" i="34"/>
  <c r="P28" i="34"/>
  <c r="P22" i="34"/>
  <c r="P16" i="34"/>
  <c r="P30" i="34"/>
  <c r="P36" i="34"/>
  <c r="P18" i="34"/>
  <c r="P24" i="34"/>
  <c r="X18" i="34"/>
  <c r="X24" i="34"/>
  <c r="AR37" i="34"/>
  <c r="AR19" i="34"/>
  <c r="AZ28" i="34"/>
  <c r="AZ22" i="34"/>
  <c r="AZ16" i="34"/>
  <c r="AZ24" i="34"/>
  <c r="AZ30" i="34"/>
  <c r="BD28" i="34"/>
  <c r="BD22" i="34"/>
  <c r="BD36" i="34"/>
  <c r="BD18" i="34"/>
  <c r="BH18" i="34"/>
  <c r="BH24" i="34"/>
  <c r="O16" i="29"/>
  <c r="K16" i="29"/>
  <c r="AI15" i="29"/>
  <c r="AI35" i="29"/>
  <c r="AI55" i="29"/>
  <c r="AJ15" i="29"/>
  <c r="AY15" i="29"/>
  <c r="AZ15" i="29"/>
  <c r="AY35" i="29"/>
  <c r="BC15" i="29"/>
  <c r="BH22" i="29"/>
  <c r="AA44" i="29"/>
  <c r="G10" i="20"/>
  <c r="G11" i="20" s="1"/>
  <c r="AA24" i="29"/>
  <c r="G12" i="20"/>
  <c r="BM31" i="29"/>
  <c r="AC15" i="28"/>
  <c r="BK31" i="29"/>
  <c r="BJ61" i="29"/>
  <c r="BP31" i="29"/>
  <c r="S68" i="17"/>
  <c r="S76" i="17" s="1"/>
  <c r="I21" i="20"/>
  <c r="CN35" i="29"/>
  <c r="CR35" i="29"/>
  <c r="CI40" i="29"/>
  <c r="CH44" i="29"/>
  <c r="CH45" i="29"/>
  <c r="CH46" i="29"/>
  <c r="CJ40" i="29"/>
  <c r="DC40" i="29"/>
  <c r="DB45" i="29"/>
  <c r="DB46" i="29"/>
  <c r="DD40" i="29"/>
  <c r="AF45" i="29"/>
  <c r="R66" i="29"/>
  <c r="T66" i="29" s="1"/>
  <c r="X60" i="29"/>
  <c r="R64" i="29"/>
  <c r="R65" i="29"/>
  <c r="S60" i="29"/>
  <c r="R87" i="29"/>
  <c r="AA62" i="29"/>
  <c r="Z89" i="29"/>
  <c r="AB62" i="29"/>
  <c r="AF62" i="29"/>
  <c r="AI61" i="29"/>
  <c r="AH88" i="29"/>
  <c r="AM62" i="29"/>
  <c r="AL89" i="29"/>
  <c r="AN62" i="29"/>
  <c r="AL64" i="29"/>
  <c r="AL66" i="29"/>
  <c r="AQ62" i="29"/>
  <c r="AT66" i="29"/>
  <c r="AT88" i="29"/>
  <c r="CP90" i="29"/>
  <c r="CR63" i="29"/>
  <c r="CA61" i="29"/>
  <c r="BZ66" i="29"/>
  <c r="CF66" i="29" s="1"/>
  <c r="BZ64" i="29"/>
  <c r="CF64" i="29" s="1"/>
  <c r="AQ25" i="28"/>
  <c r="DG25" i="28" s="1"/>
  <c r="BV73" i="29"/>
  <c r="AT83" i="29"/>
  <c r="AU83" i="29" s="1"/>
  <c r="I21" i="28"/>
  <c r="AT81" i="29"/>
  <c r="BK82" i="29"/>
  <c r="O24" i="28"/>
  <c r="AX103" i="29"/>
  <c r="AY103" i="29" s="1"/>
  <c r="DM30" i="28"/>
  <c r="L24" i="97"/>
  <c r="Y55" i="20"/>
  <c r="Y56" i="20"/>
  <c r="D15" i="20"/>
  <c r="M19" i="20"/>
  <c r="W22" i="17"/>
  <c r="AG39" i="17"/>
  <c r="AG41" i="17" s="1"/>
  <c r="AG52" i="17" s="1"/>
  <c r="AI35" i="17"/>
  <c r="N53" i="22"/>
  <c r="H34" i="36"/>
  <c r="H46" i="36"/>
  <c r="H52" i="36" s="1"/>
  <c r="J34" i="36"/>
  <c r="J46" i="36"/>
  <c r="J52" i="36" s="1"/>
  <c r="L47" i="36"/>
  <c r="L53" i="36" s="1"/>
  <c r="L35" i="36"/>
  <c r="AL54" i="36"/>
  <c r="AL36" i="36"/>
  <c r="AL60" i="36" s="1"/>
  <c r="J25" i="9"/>
  <c r="T25" i="9"/>
  <c r="X25" i="9"/>
  <c r="P25" i="9"/>
  <c r="P26" i="9"/>
  <c r="J28" i="9"/>
  <c r="R28" i="9" s="1"/>
  <c r="N27" i="9"/>
  <c r="P27" i="9"/>
  <c r="AD27" i="9"/>
  <c r="J27" i="9"/>
  <c r="R27" i="9" s="1"/>
  <c r="N34" i="9"/>
  <c r="L32" i="9"/>
  <c r="D29" i="9"/>
  <c r="T21" i="9"/>
  <c r="F29" i="9"/>
  <c r="J35" i="9"/>
  <c r="T49" i="9"/>
  <c r="R53" i="9"/>
  <c r="J69" i="9"/>
  <c r="AD68" i="9"/>
  <c r="AF68" i="9" s="1"/>
  <c r="X68" i="9"/>
  <c r="N68" i="9"/>
  <c r="T67" i="9"/>
  <c r="N75" i="9"/>
  <c r="P75" i="9"/>
  <c r="N82" i="9"/>
  <c r="P76" i="9"/>
  <c r="D78" i="9"/>
  <c r="L75" i="9"/>
  <c r="L82" i="9"/>
  <c r="P88" i="9"/>
  <c r="AM84" i="9"/>
  <c r="J84" i="9"/>
  <c r="N84" i="9"/>
  <c r="T88" i="9"/>
  <c r="AM96" i="9"/>
  <c r="P97" i="9"/>
  <c r="T96" i="9"/>
  <c r="P96" i="9"/>
  <c r="N103" i="9"/>
  <c r="L96" i="9"/>
  <c r="L119" i="9"/>
  <c r="D120" i="9"/>
  <c r="P124" i="9"/>
  <c r="P130" i="9"/>
  <c r="L146" i="9"/>
  <c r="L139" i="9"/>
  <c r="T138" i="9"/>
  <c r="AK139" i="9"/>
  <c r="P146" i="9"/>
  <c r="T146" i="9"/>
  <c r="AD146" i="9"/>
  <c r="J146" i="9"/>
  <c r="J147" i="9"/>
  <c r="AI147" i="9" s="1"/>
  <c r="AM146" i="9"/>
  <c r="P147" i="9"/>
  <c r="L154" i="9"/>
  <c r="L161" i="9"/>
  <c r="P165" i="9"/>
  <c r="L167" i="9"/>
  <c r="L160" i="9"/>
  <c r="CU30" i="34"/>
  <c r="CP36" i="34"/>
  <c r="BN37" i="34"/>
  <c r="BO31" i="34"/>
  <c r="BO34" i="34"/>
  <c r="K34" i="34"/>
  <c r="J40" i="34"/>
  <c r="AD165" i="9"/>
  <c r="AB30" i="20"/>
  <c r="DH54" i="29"/>
  <c r="AD97" i="9"/>
  <c r="AF104" i="9" s="1"/>
  <c r="AV18" i="34"/>
  <c r="AV36" i="34"/>
  <c r="K24" i="29"/>
  <c r="C7" i="20"/>
  <c r="C37" i="20" s="1"/>
  <c r="K14" i="29"/>
  <c r="G66" i="17"/>
  <c r="Y66" i="17"/>
  <c r="AU34" i="29"/>
  <c r="L7" i="20"/>
  <c r="BG24" i="29"/>
  <c r="BL24" i="29" s="1"/>
  <c r="O7" i="20"/>
  <c r="O23" i="20" s="1"/>
  <c r="CY25" i="29"/>
  <c r="CZ15" i="29"/>
  <c r="CZ16" i="29" s="1"/>
  <c r="G16" i="29"/>
  <c r="G26" i="29"/>
  <c r="G36" i="29"/>
  <c r="P15" i="29"/>
  <c r="O35" i="29"/>
  <c r="S15" i="29"/>
  <c r="T15" i="29"/>
  <c r="W26" i="29"/>
  <c r="AA16" i="29"/>
  <c r="X16" i="29"/>
  <c r="AF15" i="29"/>
  <c r="AE15" i="29"/>
  <c r="G24" i="20"/>
  <c r="G25" i="20"/>
  <c r="BC35" i="29"/>
  <c r="BH35" i="29"/>
  <c r="BT36" i="29"/>
  <c r="BS36" i="29"/>
  <c r="CF35" i="29"/>
  <c r="CI35" i="29"/>
  <c r="CX45" i="29"/>
  <c r="CX46" i="29"/>
  <c r="CZ40" i="29"/>
  <c r="CY40" i="29"/>
  <c r="S45" i="29"/>
  <c r="AI46" i="29"/>
  <c r="AJ46" i="29"/>
  <c r="AQ53" i="29"/>
  <c r="AR53" i="29"/>
  <c r="BT56" i="29"/>
  <c r="BS56" i="29"/>
  <c r="F108" i="29"/>
  <c r="G98" i="29"/>
  <c r="P61" i="29"/>
  <c r="N88" i="29"/>
  <c r="T61" i="29"/>
  <c r="O61" i="29"/>
  <c r="X61" i="29"/>
  <c r="R88" i="29"/>
  <c r="V65" i="29"/>
  <c r="V87" i="29"/>
  <c r="V64" i="29"/>
  <c r="V66" i="29"/>
  <c r="W60" i="29"/>
  <c r="AA100" i="29"/>
  <c r="AA90" i="29"/>
  <c r="AP87" i="29"/>
  <c r="AP65" i="29"/>
  <c r="AQ60" i="29"/>
  <c r="AP64" i="29"/>
  <c r="BN90" i="29"/>
  <c r="BO63" i="29"/>
  <c r="BP63" i="29"/>
  <c r="BT63" i="29"/>
  <c r="CQ61" i="29"/>
  <c r="CP66" i="29"/>
  <c r="CP88" i="29"/>
  <c r="CR61" i="29"/>
  <c r="CV61" i="29"/>
  <c r="DH21" i="28"/>
  <c r="B36" i="20"/>
  <c r="G81" i="29"/>
  <c r="AE82" i="29"/>
  <c r="CM83" i="29"/>
  <c r="N15" i="97"/>
  <c r="DO21" i="28"/>
  <c r="M88" i="20"/>
  <c r="DA31" i="28"/>
  <c r="Q79" i="17"/>
  <c r="Q60" i="17"/>
  <c r="AC39" i="17"/>
  <c r="AC41" i="17" s="1"/>
  <c r="AC52" i="17" s="1"/>
  <c r="J35" i="22"/>
  <c r="J36" i="22" s="1"/>
  <c r="J38" i="22" s="1"/>
  <c r="D53" i="22"/>
  <c r="F60" i="36"/>
  <c r="F54" i="36"/>
  <c r="AB35" i="36"/>
  <c r="AB59" i="36" s="1"/>
  <c r="AB53" i="36"/>
  <c r="AB47" i="36"/>
  <c r="AL34" i="36"/>
  <c r="AL46" i="36"/>
  <c r="AL52" i="36" s="1"/>
  <c r="T53" i="9"/>
  <c r="J54" i="9"/>
  <c r="X69" i="9"/>
  <c r="Z69" i="9" s="1"/>
  <c r="N69" i="9"/>
  <c r="N76" i="9"/>
  <c r="P69" i="9"/>
  <c r="L69" i="9"/>
  <c r="P140" i="9"/>
  <c r="N147" i="9"/>
  <c r="J144" i="9"/>
  <c r="N140" i="9"/>
  <c r="J140" i="9"/>
  <c r="A34" i="34"/>
  <c r="A9" i="36"/>
  <c r="A15" i="36" s="1"/>
  <c r="A21" i="36" s="1"/>
  <c r="A27" i="36" s="1"/>
  <c r="A33" i="36" s="1"/>
  <c r="A39" i="36" s="1"/>
  <c r="A45" i="36" s="1"/>
  <c r="A51" i="36" s="1"/>
  <c r="A57" i="36" s="1"/>
  <c r="A28" i="34"/>
  <c r="A16" i="34"/>
  <c r="A22" i="34"/>
  <c r="AM24" i="34"/>
  <c r="AH36" i="34"/>
  <c r="W30" i="34"/>
  <c r="V36" i="34"/>
  <c r="AA30" i="34"/>
  <c r="AE29" i="34"/>
  <c r="AA29" i="34"/>
  <c r="BJ36" i="34"/>
  <c r="BB47" i="36"/>
  <c r="BB53" i="36" s="1"/>
  <c r="BB35" i="36"/>
  <c r="DB25" i="29"/>
  <c r="DC25" i="29" s="1"/>
  <c r="DB26" i="29"/>
  <c r="DC26" i="29" s="1"/>
  <c r="DB60" i="29"/>
  <c r="F186" i="9"/>
  <c r="AT72" i="118"/>
  <c r="AT187" i="118"/>
  <c r="AQ72" i="118"/>
  <c r="AQ187" i="118"/>
  <c r="AD74" i="9"/>
  <c r="AD83" i="9"/>
  <c r="AF83" i="9" s="1"/>
  <c r="AD90" i="9"/>
  <c r="AD144" i="9"/>
  <c r="M23" i="20"/>
  <c r="M28" i="20"/>
  <c r="BS34" i="29"/>
  <c r="BS14" i="29"/>
  <c r="CU14" i="29"/>
  <c r="CU44" i="29"/>
  <c r="BS25" i="29"/>
  <c r="CM36" i="29"/>
  <c r="CM26" i="29"/>
  <c r="CQ16" i="29"/>
  <c r="CM46" i="29"/>
  <c r="CR21" i="29"/>
  <c r="BU32" i="29"/>
  <c r="CB32" i="29"/>
  <c r="K36" i="29"/>
  <c r="S81" i="29"/>
  <c r="E21" i="20"/>
  <c r="W34" i="29"/>
  <c r="W81" i="29"/>
  <c r="AA34" i="29"/>
  <c r="O68" i="17"/>
  <c r="O76" i="17" s="1"/>
  <c r="AJ35" i="29"/>
  <c r="AE35" i="29"/>
  <c r="CY51" i="29"/>
  <c r="CZ51" i="29"/>
  <c r="CX52" i="29"/>
  <c r="CX56" i="29" s="1"/>
  <c r="CX55" i="29"/>
  <c r="BZ55" i="29"/>
  <c r="AW17" i="28"/>
  <c r="DO17" i="28"/>
  <c r="AA31" i="20"/>
  <c r="K97" i="29"/>
  <c r="K87" i="29"/>
  <c r="J92" i="29"/>
  <c r="K92" i="29" s="1"/>
  <c r="J107" i="29"/>
  <c r="J93" i="29"/>
  <c r="K93" i="29" s="1"/>
  <c r="P62" i="29"/>
  <c r="K62" i="29"/>
  <c r="H57" i="97"/>
  <c r="J151" i="29"/>
  <c r="J150" i="29"/>
  <c r="Y87" i="20"/>
  <c r="DM32" i="28" s="1"/>
  <c r="CU202" i="29"/>
  <c r="W56" i="20"/>
  <c r="W55" i="20"/>
  <c r="Z74" i="22"/>
  <c r="Z76" i="22"/>
  <c r="Z78" i="22"/>
  <c r="Z79" i="22"/>
  <c r="BB33" i="36"/>
  <c r="BB45" i="36"/>
  <c r="BB51" i="36" s="1"/>
  <c r="P47" i="36"/>
  <c r="P53" i="36" s="1"/>
  <c r="P35" i="36"/>
  <c r="T45" i="36"/>
  <c r="T51" i="36"/>
  <c r="T33" i="36"/>
  <c r="T36" i="36"/>
  <c r="T60" i="36" s="1"/>
  <c r="V46" i="36"/>
  <c r="V52" i="36" s="1"/>
  <c r="AB60" i="36"/>
  <c r="AH51" i="36"/>
  <c r="AJ47" i="36"/>
  <c r="AJ59" i="36" s="1"/>
  <c r="AJ53" i="36"/>
  <c r="A20" i="9"/>
  <c r="A55" i="9"/>
  <c r="A48" i="9"/>
  <c r="A62" i="9"/>
  <c r="A27" i="9"/>
  <c r="A76" i="9"/>
  <c r="A69" i="9"/>
  <c r="A41" i="9"/>
  <c r="N26" i="9"/>
  <c r="P19" i="9"/>
  <c r="X19" i="9"/>
  <c r="Z26" i="9" s="1"/>
  <c r="P42" i="9"/>
  <c r="L39" i="9"/>
  <c r="L46" i="9"/>
  <c r="J49" i="9"/>
  <c r="R49" i="9" s="1"/>
  <c r="L131" i="9"/>
  <c r="L138" i="9"/>
  <c r="AI131" i="9"/>
  <c r="AM130" i="9"/>
  <c r="L166" i="9"/>
  <c r="L173" i="9"/>
  <c r="N182" i="9"/>
  <c r="J175" i="9"/>
  <c r="N175" i="9"/>
  <c r="P175" i="9"/>
  <c r="J179" i="9"/>
  <c r="P181" i="9"/>
  <c r="N181" i="9"/>
  <c r="J181" i="9"/>
  <c r="AK181" i="9" s="1"/>
  <c r="AM181" i="9"/>
  <c r="T180" i="9"/>
  <c r="B28" i="34"/>
  <c r="B40" i="34"/>
  <c r="B22" i="34"/>
  <c r="B34" i="34"/>
  <c r="A43" i="34"/>
  <c r="A37" i="34"/>
  <c r="A12" i="36"/>
  <c r="A18" i="36" s="1"/>
  <c r="A24" i="36" s="1"/>
  <c r="A30" i="36" s="1"/>
  <c r="A36" i="36" s="1"/>
  <c r="A42" i="36" s="1"/>
  <c r="A48" i="36" s="1"/>
  <c r="A54" i="36" s="1"/>
  <c r="A60" i="36" s="1"/>
  <c r="A25" i="34"/>
  <c r="AE25" i="34"/>
  <c r="AD37" i="34"/>
  <c r="AI25" i="34"/>
  <c r="AM23" i="34"/>
  <c r="AL35" i="34"/>
  <c r="AQ34" i="34"/>
  <c r="AU34" i="34"/>
  <c r="AP40" i="34"/>
  <c r="W28" i="34"/>
  <c r="V34" i="34"/>
  <c r="CA36" i="34"/>
  <c r="J35" i="34"/>
  <c r="K29" i="34"/>
  <c r="BF41" i="34"/>
  <c r="BK35" i="34"/>
  <c r="CF15" i="28"/>
  <c r="CF19" i="28" s="1"/>
  <c r="DB36" i="29"/>
  <c r="DB34" i="29"/>
  <c r="DC24" i="29"/>
  <c r="DD24" i="29" s="1"/>
  <c r="DB62" i="29"/>
  <c r="F188" i="9"/>
  <c r="CG12" i="28"/>
  <c r="EU54" i="29"/>
  <c r="DC14" i="29"/>
  <c r="AR65" i="29"/>
  <c r="CE34" i="29"/>
  <c r="CE14" i="29"/>
  <c r="X22" i="34"/>
  <c r="X34" i="34"/>
  <c r="AN13" i="34"/>
  <c r="F46" i="28"/>
  <c r="AV16" i="34"/>
  <c r="AV28" i="34"/>
  <c r="AV34" i="34"/>
  <c r="AA14" i="29"/>
  <c r="AA81" i="29"/>
  <c r="S7" i="20"/>
  <c r="S19" i="20" s="1"/>
  <c r="BW14" i="29"/>
  <c r="CM24" i="29"/>
  <c r="CM81" i="29"/>
  <c r="AQ15" i="29"/>
  <c r="AQ82" i="29"/>
  <c r="AQ55" i="29"/>
  <c r="BP15" i="29"/>
  <c r="BP16" i="29" s="1"/>
  <c r="BO35" i="29"/>
  <c r="AR20" i="29"/>
  <c r="BP20" i="29"/>
  <c r="BT20" i="29"/>
  <c r="Q67" i="17"/>
  <c r="H10" i="20"/>
  <c r="H11" i="20" s="1"/>
  <c r="AK68" i="17"/>
  <c r="AK76" i="17" s="1"/>
  <c r="R24" i="20"/>
  <c r="DF15" i="28"/>
  <c r="CE36" i="29"/>
  <c r="CT45" i="29"/>
  <c r="CT46" i="29"/>
  <c r="K44" i="29"/>
  <c r="F89" i="29"/>
  <c r="G62" i="29"/>
  <c r="J65" i="29"/>
  <c r="J66" i="29"/>
  <c r="P60" i="29"/>
  <c r="S62" i="29"/>
  <c r="X62" i="29"/>
  <c r="AU63" i="29"/>
  <c r="AZ63" i="29"/>
  <c r="BC90" i="29"/>
  <c r="BB110" i="29"/>
  <c r="CL66" i="29"/>
  <c r="CN66" i="29" s="1"/>
  <c r="CN60" i="29"/>
  <c r="AY80" i="29"/>
  <c r="P21" i="28"/>
  <c r="W39" i="28"/>
  <c r="BS80" i="29"/>
  <c r="BR90" i="29"/>
  <c r="BR91" i="29" s="1"/>
  <c r="AO21" i="28"/>
  <c r="K83" i="29"/>
  <c r="D15" i="97"/>
  <c r="D18" i="97"/>
  <c r="DE24" i="28"/>
  <c r="AP151" i="29"/>
  <c r="AP149" i="29"/>
  <c r="K54" i="20" s="1"/>
  <c r="Z56" i="20"/>
  <c r="Z88" i="20"/>
  <c r="DN30" i="28"/>
  <c r="M24" i="97"/>
  <c r="BE48" i="17"/>
  <c r="BG48" i="17" s="1"/>
  <c r="BI48" i="17" s="1"/>
  <c r="BK48" i="17" s="1"/>
  <c r="BM48" i="17" s="1"/>
  <c r="BO48" i="17" s="1"/>
  <c r="V78" i="22"/>
  <c r="V79" i="22"/>
  <c r="Z52" i="36"/>
  <c r="Z34" i="36"/>
  <c r="Z58" i="36" s="1"/>
  <c r="H36" i="36"/>
  <c r="H48" i="36"/>
  <c r="H54" i="36" s="1"/>
  <c r="AB34" i="36"/>
  <c r="AB58" i="36" s="1"/>
  <c r="AX34" i="36"/>
  <c r="AX46" i="36"/>
  <c r="AX52" i="36" s="1"/>
  <c r="A39" i="9"/>
  <c r="A46" i="9"/>
  <c r="B194" i="9"/>
  <c r="B152" i="9"/>
  <c r="B61" i="9"/>
  <c r="B138" i="9"/>
  <c r="B127" i="9"/>
  <c r="B64" i="9"/>
  <c r="B162" i="9"/>
  <c r="B113" i="9"/>
  <c r="B71" i="9"/>
  <c r="T19" i="9"/>
  <c r="F22" i="9"/>
  <c r="P82" i="9"/>
  <c r="N88" i="9"/>
  <c r="J117" i="9"/>
  <c r="AI151" i="9"/>
  <c r="T147" i="9"/>
  <c r="P159" i="9"/>
  <c r="J158" i="9"/>
  <c r="J159" i="9"/>
  <c r="AK159" i="9" s="1"/>
  <c r="P182" i="9"/>
  <c r="BR40" i="34"/>
  <c r="BG29" i="34"/>
  <c r="CM29" i="34"/>
  <c r="CQ29" i="34"/>
  <c r="CL37" i="34"/>
  <c r="CQ31" i="34"/>
  <c r="BO35" i="34"/>
  <c r="BJ41" i="34"/>
  <c r="BN41" i="34"/>
  <c r="DC22" i="29"/>
  <c r="DH22" i="29" s="1"/>
  <c r="BD34" i="36"/>
  <c r="BD46" i="36"/>
  <c r="BD52" i="36" s="1"/>
  <c r="AL187" i="118"/>
  <c r="AN188" i="118"/>
  <c r="AT188" i="118"/>
  <c r="AN187" i="118"/>
  <c r="AJ187" i="118"/>
  <c r="Q8" i="20"/>
  <c r="CX65" i="29"/>
  <c r="CZ65" i="29" s="1"/>
  <c r="L65" i="29"/>
  <c r="AL93" i="29"/>
  <c r="AM97" i="29"/>
  <c r="AL92" i="29"/>
  <c r="S99" i="29"/>
  <c r="R109" i="29"/>
  <c r="S89" i="29"/>
  <c r="BS45" i="29"/>
  <c r="AM37" i="28"/>
  <c r="P25" i="34"/>
  <c r="P37" i="34"/>
  <c r="T36" i="34"/>
  <c r="T30" i="34"/>
  <c r="AR28" i="34"/>
  <c r="AR16" i="34"/>
  <c r="AE16" i="29"/>
  <c r="AE26" i="29"/>
  <c r="AE36" i="29"/>
  <c r="AN16" i="29"/>
  <c r="BC26" i="29"/>
  <c r="BH26" i="29" s="1"/>
  <c r="BC56" i="29"/>
  <c r="BW15" i="29"/>
  <c r="BW25" i="29"/>
  <c r="BW35" i="29"/>
  <c r="CN15" i="29"/>
  <c r="CN16" i="29" s="1"/>
  <c r="CM25" i="29"/>
  <c r="CM82" i="29"/>
  <c r="I12" i="20"/>
  <c r="I13" i="20" s="1"/>
  <c r="AI24" i="29"/>
  <c r="AI44" i="29"/>
  <c r="AB15" i="28"/>
  <c r="BL30" i="29"/>
  <c r="BJ36" i="29"/>
  <c r="BJ35" i="29"/>
  <c r="BK30" i="29"/>
  <c r="BS40" i="29"/>
  <c r="AO16" i="28"/>
  <c r="AN16" i="28"/>
  <c r="BR44" i="29"/>
  <c r="BV45" i="29"/>
  <c r="AS16" i="28"/>
  <c r="BV44" i="29"/>
  <c r="CB40" i="29"/>
  <c r="AN45" i="29"/>
  <c r="AR45" i="29"/>
  <c r="AE51" i="29"/>
  <c r="AF51" i="29"/>
  <c r="AJ51" i="29"/>
  <c r="AV53" i="29"/>
  <c r="F87" i="29"/>
  <c r="F66" i="29"/>
  <c r="L60" i="29"/>
  <c r="N87" i="29"/>
  <c r="T60" i="29"/>
  <c r="N65" i="29"/>
  <c r="AH87" i="29"/>
  <c r="AN60" i="29"/>
  <c r="AI60" i="29"/>
  <c r="AH64" i="29"/>
  <c r="AU60" i="29"/>
  <c r="AT65" i="29"/>
  <c r="AT64" i="29"/>
  <c r="BB66" i="29"/>
  <c r="BB64" i="29"/>
  <c r="BF87" i="29"/>
  <c r="CU61" i="29"/>
  <c r="CT88" i="29"/>
  <c r="CT64" i="29"/>
  <c r="CZ63" i="29"/>
  <c r="CY63" i="29"/>
  <c r="AQ21" i="28"/>
  <c r="BV87" i="29"/>
  <c r="BV83" i="29"/>
  <c r="BW83" i="29" s="1"/>
  <c r="BK80" i="29"/>
  <c r="AE21" i="28"/>
  <c r="BJ81" i="29"/>
  <c r="AM103" i="29"/>
  <c r="N150" i="29"/>
  <c r="DC15" i="28"/>
  <c r="DD51" i="28" s="1"/>
  <c r="O24" i="20"/>
  <c r="S52" i="17"/>
  <c r="AB78" i="22"/>
  <c r="AX38" i="22"/>
  <c r="J45" i="36"/>
  <c r="J51" i="36" s="1"/>
  <c r="J33" i="36"/>
  <c r="L46" i="36"/>
  <c r="L58" i="36" s="1"/>
  <c r="N53" i="36"/>
  <c r="N35" i="36"/>
  <c r="N59" i="36" s="1"/>
  <c r="AR52" i="36"/>
  <c r="AD11" i="9"/>
  <c r="N18" i="9"/>
  <c r="N56" i="9"/>
  <c r="D57" i="9"/>
  <c r="L60" i="9"/>
  <c r="D64" i="9"/>
  <c r="N74" i="9"/>
  <c r="J89" i="9"/>
  <c r="R89" i="9" s="1"/>
  <c r="N137" i="9"/>
  <c r="P138" i="9"/>
  <c r="AD137" i="9"/>
  <c r="P153" i="9"/>
  <c r="AM152" i="9"/>
  <c r="J152" i="9"/>
  <c r="P152" i="9"/>
  <c r="AI168" i="9"/>
  <c r="T167" i="9"/>
  <c r="B29" i="34"/>
  <c r="B35" i="34"/>
  <c r="B41" i="34"/>
  <c r="O28" i="34"/>
  <c r="S28" i="34"/>
  <c r="DC28" i="34"/>
  <c r="CY28" i="34"/>
  <c r="CX34" i="34"/>
  <c r="DB40" i="34" s="1"/>
  <c r="BR37" i="34"/>
  <c r="BW31" i="34"/>
  <c r="AP41" i="34"/>
  <c r="AE187" i="118"/>
  <c r="AE61" i="118"/>
  <c r="AE188" i="118" s="1"/>
  <c r="AB61" i="118"/>
  <c r="AB187" i="118"/>
  <c r="AW50" i="118"/>
  <c r="AW187" i="118"/>
  <c r="AV188" i="118"/>
  <c r="AS188" i="118"/>
  <c r="AQ188" i="118"/>
  <c r="AO188" i="118"/>
  <c r="AK188" i="118"/>
  <c r="AI188" i="118"/>
  <c r="Z21" i="118"/>
  <c r="L346" i="127" s="1"/>
  <c r="BY31" i="29"/>
  <c r="BY34" i="29" s="1"/>
  <c r="AK187" i="118"/>
  <c r="AI187" i="118"/>
  <c r="AA46" i="118"/>
  <c r="AA3" i="118"/>
  <c r="AA6" i="118" s="1"/>
  <c r="J512" i="127" s="1"/>
  <c r="AV187" i="118"/>
  <c r="AB10" i="118"/>
  <c r="AB13" i="118" s="1"/>
  <c r="J141" i="127" s="1"/>
  <c r="AB79" i="118"/>
  <c r="AC76" i="118" s="1"/>
  <c r="Z184" i="118"/>
  <c r="AA175" i="118"/>
  <c r="AA178" i="118" s="1"/>
  <c r="AB175" i="118" s="1"/>
  <c r="AB178" i="118" s="1"/>
  <c r="AC175" i="118" s="1"/>
  <c r="AC178" i="118" s="1"/>
  <c r="AD175" i="118" s="1"/>
  <c r="AD178" i="118" s="1"/>
  <c r="AE175" i="118" s="1"/>
  <c r="AE178" i="118" s="1"/>
  <c r="AF175" i="118" s="1"/>
  <c r="AF178" i="118" s="1"/>
  <c r="AG175" i="118" s="1"/>
  <c r="AG178" i="118" s="1"/>
  <c r="AH175" i="118" s="1"/>
  <c r="AH178" i="118" s="1"/>
  <c r="AI175" i="118" s="1"/>
  <c r="AI178" i="118" s="1"/>
  <c r="AJ175" i="118" s="1"/>
  <c r="AJ178" i="118" s="1"/>
  <c r="AK175" i="118" s="1"/>
  <c r="AK178" i="118" s="1"/>
  <c r="AL175" i="118" s="1"/>
  <c r="AL178" i="118" s="1"/>
  <c r="AM175" i="118" s="1"/>
  <c r="AM178" i="118" s="1"/>
  <c r="AN175" i="118" s="1"/>
  <c r="AN178" i="118" s="1"/>
  <c r="AO175" i="118" s="1"/>
  <c r="AO178" i="118" s="1"/>
  <c r="AP175" i="118" s="1"/>
  <c r="AP178" i="118" s="1"/>
  <c r="AQ175" i="118" s="1"/>
  <c r="AQ178" i="118" s="1"/>
  <c r="AR175" i="118" s="1"/>
  <c r="AR178" i="118" s="1"/>
  <c r="AS175" i="118" s="1"/>
  <c r="AS178" i="118" s="1"/>
  <c r="AT175" i="118" s="1"/>
  <c r="AT178" i="118" s="1"/>
  <c r="AU175" i="118" s="1"/>
  <c r="AU178" i="118" s="1"/>
  <c r="AV175" i="118" s="1"/>
  <c r="AV178" i="118" s="1"/>
  <c r="AW175" i="118" s="1"/>
  <c r="AW178" i="118" s="1"/>
  <c r="AX175" i="118" s="1"/>
  <c r="AX178" i="118" s="1"/>
  <c r="AY175" i="118" s="1"/>
  <c r="AY178" i="118" s="1"/>
  <c r="AZ175" i="118" s="1"/>
  <c r="AZ178" i="118" s="1"/>
  <c r="BA175" i="118" s="1"/>
  <c r="BA178" i="118" s="1"/>
  <c r="BB175" i="118" s="1"/>
  <c r="BB178" i="118" s="1"/>
  <c r="BC175" i="118" s="1"/>
  <c r="BC178" i="118" s="1"/>
  <c r="AP138" i="118"/>
  <c r="AP188" i="118" s="1"/>
  <c r="AP187" i="118"/>
  <c r="AB188" i="118"/>
  <c r="AF105" i="118"/>
  <c r="AF187" i="118"/>
  <c r="AC105" i="118"/>
  <c r="AC187" i="118"/>
  <c r="AA101" i="118"/>
  <c r="AB98" i="118" s="1"/>
  <c r="AA18" i="118"/>
  <c r="AA21" i="118" s="1"/>
  <c r="J347" i="127" s="1"/>
  <c r="L347" i="127" s="1"/>
  <c r="AL188" i="118"/>
  <c r="AH94" i="118"/>
  <c r="AH188" i="118" s="1"/>
  <c r="AH187" i="118"/>
  <c r="AD94" i="118"/>
  <c r="AD188" i="118" s="1"/>
  <c r="AD187" i="118"/>
  <c r="AG188" i="118"/>
  <c r="AU72" i="118"/>
  <c r="AU188" i="118" s="1"/>
  <c r="AU187" i="118"/>
  <c r="AM72" i="118"/>
  <c r="AM188" i="118" s="1"/>
  <c r="AM187" i="118"/>
  <c r="AJ188" i="118"/>
  <c r="AA149" i="118"/>
  <c r="AA188" i="118" s="1"/>
  <c r="AA187" i="118"/>
  <c r="AL22" i="20" l="1"/>
  <c r="AH22" i="20"/>
  <c r="BE184" i="118"/>
  <c r="BO36" i="17"/>
  <c r="BQ36" i="17" s="1"/>
  <c r="AF140" i="9"/>
  <c r="AI97" i="9"/>
  <c r="R116" i="9"/>
  <c r="R97" i="9"/>
  <c r="AK98" i="9"/>
  <c r="R123" i="9"/>
  <c r="N139" i="127"/>
  <c r="P139" i="127" s="1"/>
  <c r="V139" i="127"/>
  <c r="X139" i="127" s="1"/>
  <c r="AQ27" i="118"/>
  <c r="AR32" i="118"/>
  <c r="AW188" i="118"/>
  <c r="AW27" i="118"/>
  <c r="AH32" i="118"/>
  <c r="AF188" i="118"/>
  <c r="AF37" i="118"/>
  <c r="AC188" i="118"/>
  <c r="AC37" i="118"/>
  <c r="AT27" i="118"/>
  <c r="AE27" i="118"/>
  <c r="AM27" i="118"/>
  <c r="AU27" i="118"/>
  <c r="AB27" i="118"/>
  <c r="AD32" i="118"/>
  <c r="L512" i="127"/>
  <c r="W512" i="127" s="1"/>
  <c r="Y512" i="127" s="1"/>
  <c r="AV74" i="22"/>
  <c r="BD175" i="118"/>
  <c r="BD178" i="118" s="1"/>
  <c r="W346" i="127"/>
  <c r="Y346" i="127" s="1"/>
  <c r="N346" i="127"/>
  <c r="P346" i="127" s="1"/>
  <c r="V346" i="127"/>
  <c r="X346" i="127" s="1"/>
  <c r="W511" i="127"/>
  <c r="Y511" i="127" s="1"/>
  <c r="V511" i="127"/>
  <c r="X511" i="127" s="1"/>
  <c r="N511" i="127"/>
  <c r="P511" i="127" s="1"/>
  <c r="AB68" i="118"/>
  <c r="AC65" i="118" s="1"/>
  <c r="AA181" i="118"/>
  <c r="V140" i="127"/>
  <c r="X140" i="127" s="1"/>
  <c r="N140" i="127"/>
  <c r="P140" i="127" s="1"/>
  <c r="W140" i="127"/>
  <c r="Y140" i="127" s="1"/>
  <c r="W347" i="127"/>
  <c r="Y347" i="127" s="1"/>
  <c r="V347" i="127"/>
  <c r="X347" i="127" s="1"/>
  <c r="N347" i="127"/>
  <c r="P347" i="127" s="1"/>
  <c r="L141" i="127"/>
  <c r="Z124" i="9"/>
  <c r="Z82" i="9"/>
  <c r="D169" i="97"/>
  <c r="AO104" i="127"/>
  <c r="AO83" i="127"/>
  <c r="AO84" i="127"/>
  <c r="T16" i="29"/>
  <c r="BQ69" i="28"/>
  <c r="H19" i="28"/>
  <c r="AB19" i="28"/>
  <c r="AB22" i="28" s="1"/>
  <c r="E19" i="28"/>
  <c r="BS69" i="28"/>
  <c r="BW19" i="28"/>
  <c r="BW38" i="28" s="1"/>
  <c r="BR68" i="28"/>
  <c r="C42" i="28"/>
  <c r="BR38" i="28"/>
  <c r="AD33" i="28"/>
  <c r="AD43" i="28" s="1"/>
  <c r="BS19" i="28"/>
  <c r="BS33" i="28" s="1"/>
  <c r="BS43" i="28" s="1"/>
  <c r="DA51" i="28"/>
  <c r="BP68" i="28"/>
  <c r="DE37" i="28"/>
  <c r="AX22" i="28"/>
  <c r="BK19" i="28"/>
  <c r="BK38" i="28" s="1"/>
  <c r="AD22" i="28"/>
  <c r="AD40" i="28" s="1"/>
  <c r="AR19" i="28"/>
  <c r="C41" i="28"/>
  <c r="DH51" i="28"/>
  <c r="CG69" i="28"/>
  <c r="P19" i="28"/>
  <c r="DB14" i="28"/>
  <c r="BM27" i="28"/>
  <c r="BM29" i="28" s="1"/>
  <c r="C33" i="28"/>
  <c r="C43" i="28" s="1"/>
  <c r="C40" i="28"/>
  <c r="CY51" i="28"/>
  <c r="C38" i="28"/>
  <c r="DK39" i="28"/>
  <c r="BV36" i="28"/>
  <c r="DH37" i="28"/>
  <c r="BR70" i="28"/>
  <c r="BU19" i="28"/>
  <c r="BU33" i="28" s="1"/>
  <c r="BU43" i="28" s="1"/>
  <c r="D19" i="28"/>
  <c r="AE19" i="28"/>
  <c r="AE36" i="28"/>
  <c r="BH33" i="28"/>
  <c r="BH43" i="28" s="1"/>
  <c r="Y19" i="28"/>
  <c r="BV38" i="28"/>
  <c r="J22" i="28"/>
  <c r="J27" i="28" s="1"/>
  <c r="S19" i="28"/>
  <c r="S38" i="28" s="1"/>
  <c r="A200" i="9"/>
  <c r="A207" i="9"/>
  <c r="BH38" i="28"/>
  <c r="E168" i="97"/>
  <c r="BV33" i="28"/>
  <c r="BV43" i="28" s="1"/>
  <c r="A203" i="9"/>
  <c r="A210" i="9"/>
  <c r="G10" i="97"/>
  <c r="A202" i="9"/>
  <c r="A209" i="9"/>
  <c r="AQ71" i="17"/>
  <c r="I63" i="97"/>
  <c r="BH22" i="28"/>
  <c r="BH27" i="28" s="1"/>
  <c r="AM19" i="28"/>
  <c r="AM33" i="28" s="1"/>
  <c r="J38" i="28"/>
  <c r="M57" i="97"/>
  <c r="AR74" i="22"/>
  <c r="C75" i="97"/>
  <c r="AY71" i="17"/>
  <c r="BP19" i="28"/>
  <c r="BP33" i="28" s="1"/>
  <c r="BP43" i="28" s="1"/>
  <c r="BM40" i="28"/>
  <c r="C116" i="97"/>
  <c r="AF173" i="9"/>
  <c r="X110" i="9"/>
  <c r="Z110" i="9" s="1"/>
  <c r="Z39" i="9"/>
  <c r="Z112" i="9"/>
  <c r="AF125" i="9"/>
  <c r="Z194" i="9"/>
  <c r="AF88" i="9"/>
  <c r="AF82" i="9"/>
  <c r="AF54" i="9"/>
  <c r="AF116" i="9"/>
  <c r="AF61" i="9"/>
  <c r="AF103" i="9"/>
  <c r="AF48" i="9"/>
  <c r="AF123" i="9"/>
  <c r="G47" i="97"/>
  <c r="I13" i="97"/>
  <c r="I31" i="97" s="1"/>
  <c r="E57" i="97"/>
  <c r="CZ12" i="28"/>
  <c r="Y23" i="20"/>
  <c r="E139" i="97"/>
  <c r="DE46" i="28"/>
  <c r="E68" i="97"/>
  <c r="E177" i="97"/>
  <c r="E178" i="97" s="1"/>
  <c r="X8" i="20"/>
  <c r="K6" i="97"/>
  <c r="AF84" i="9"/>
  <c r="AD14" i="9"/>
  <c r="AD42" i="9"/>
  <c r="AF42" i="9" s="1"/>
  <c r="Y31" i="20"/>
  <c r="L6" i="97"/>
  <c r="L10" i="97" s="1"/>
  <c r="L29" i="97" s="1"/>
  <c r="L155" i="97" s="1"/>
  <c r="L153" i="97" s="1"/>
  <c r="Z8" i="20"/>
  <c r="AJ74" i="22"/>
  <c r="R98" i="9"/>
  <c r="AK91" i="9"/>
  <c r="Z41" i="9"/>
  <c r="J15" i="9"/>
  <c r="AI68" i="9"/>
  <c r="AI132" i="9"/>
  <c r="AI104" i="9"/>
  <c r="AI194" i="9"/>
  <c r="AI173" i="9"/>
  <c r="R132" i="9"/>
  <c r="R67" i="9"/>
  <c r="J134" i="9"/>
  <c r="Z158" i="9"/>
  <c r="AF109" i="9"/>
  <c r="AI110" i="9"/>
  <c r="AK131" i="9"/>
  <c r="AI123" i="9"/>
  <c r="AK110" i="9"/>
  <c r="Z189" i="9"/>
  <c r="AI139" i="9"/>
  <c r="AF137" i="9"/>
  <c r="AI167" i="9"/>
  <c r="J57" i="9"/>
  <c r="R57" i="9" s="1"/>
  <c r="R169" i="9"/>
  <c r="CJ61" i="28" s="1"/>
  <c r="AI126" i="9"/>
  <c r="AK167" i="9"/>
  <c r="AI82" i="9"/>
  <c r="AK154" i="9"/>
  <c r="AF95" i="9"/>
  <c r="AF138" i="9"/>
  <c r="Z105" i="9"/>
  <c r="L22" i="9"/>
  <c r="AF47" i="9"/>
  <c r="AI91" i="9"/>
  <c r="AF131" i="9"/>
  <c r="R193" i="9"/>
  <c r="AK95" i="9"/>
  <c r="AK145" i="9"/>
  <c r="R76" i="9"/>
  <c r="L50" i="9"/>
  <c r="AF39" i="9"/>
  <c r="AF60" i="9"/>
  <c r="AK88" i="9"/>
  <c r="AI103" i="9"/>
  <c r="AF102" i="9"/>
  <c r="AF91" i="9"/>
  <c r="Z48" i="9"/>
  <c r="AF35" i="9"/>
  <c r="Z74" i="9"/>
  <c r="R95" i="9"/>
  <c r="L43" i="9"/>
  <c r="L57" i="9"/>
  <c r="AF69" i="9"/>
  <c r="AI193" i="9"/>
  <c r="AI180" i="9"/>
  <c r="AF117" i="9"/>
  <c r="AQ152" i="9"/>
  <c r="AR152" i="9" s="1"/>
  <c r="L92" i="9"/>
  <c r="J64" i="9"/>
  <c r="R64" i="9" s="1"/>
  <c r="Z165" i="9"/>
  <c r="L99" i="9"/>
  <c r="AO152" i="9"/>
  <c r="AP152" i="9" s="1"/>
  <c r="Z151" i="9"/>
  <c r="AW66" i="17"/>
  <c r="AW74" i="17" s="1"/>
  <c r="E131" i="97"/>
  <c r="X23" i="20"/>
  <c r="X15" i="20"/>
  <c r="X11" i="20"/>
  <c r="I35" i="97"/>
  <c r="I177" i="97" s="1"/>
  <c r="I178" i="97" s="1"/>
  <c r="X17" i="20"/>
  <c r="CC22" i="28"/>
  <c r="L91" i="97"/>
  <c r="L50" i="97"/>
  <c r="H45" i="97"/>
  <c r="H49" i="97" s="1"/>
  <c r="H127" i="97"/>
  <c r="H131" i="97" s="1"/>
  <c r="H86" i="97"/>
  <c r="R19" i="28"/>
  <c r="R36" i="28"/>
  <c r="DI39" i="28"/>
  <c r="G51" i="97"/>
  <c r="G92" i="97" s="1"/>
  <c r="G133" i="97"/>
  <c r="DN21" i="28"/>
  <c r="DN39" i="28" s="1"/>
  <c r="G95" i="97"/>
  <c r="BW22" i="28"/>
  <c r="BW40" i="28" s="1"/>
  <c r="DL10" i="28"/>
  <c r="DL46" i="28" s="1"/>
  <c r="F45" i="20"/>
  <c r="F48" i="20" s="1"/>
  <c r="I30" i="97"/>
  <c r="H63" i="97"/>
  <c r="T33" i="28"/>
  <c r="T43" i="28" s="1"/>
  <c r="E37" i="20"/>
  <c r="D133" i="97"/>
  <c r="D51" i="97"/>
  <c r="D92" i="97" s="1"/>
  <c r="AS72" i="17"/>
  <c r="AS73" i="17"/>
  <c r="AS74" i="17"/>
  <c r="W36" i="28"/>
  <c r="W19" i="28"/>
  <c r="I86" i="97"/>
  <c r="I115" i="97" s="1"/>
  <c r="X19" i="20"/>
  <c r="M15" i="97"/>
  <c r="G54" i="97"/>
  <c r="T38" i="28"/>
  <c r="F43" i="20"/>
  <c r="DO14" i="28"/>
  <c r="DO36" i="28" s="1"/>
  <c r="Y8" i="20"/>
  <c r="CE19" i="28"/>
  <c r="CE38" i="28" s="1"/>
  <c r="N45" i="97"/>
  <c r="BR69" i="28"/>
  <c r="BN19" i="28"/>
  <c r="BN36" i="28"/>
  <c r="BS68" i="28" s="1"/>
  <c r="DO39" i="28"/>
  <c r="DJ12" i="28"/>
  <c r="DJ14" i="28" s="1"/>
  <c r="DJ36" i="28" s="1"/>
  <c r="V16" i="20"/>
  <c r="V17" i="20" s="1"/>
  <c r="K57" i="97"/>
  <c r="K98" i="97"/>
  <c r="BU38" i="28"/>
  <c r="BU22" i="28"/>
  <c r="H136" i="97"/>
  <c r="H95" i="97"/>
  <c r="H54" i="97"/>
  <c r="F8" i="20"/>
  <c r="X25" i="20"/>
  <c r="V33" i="20"/>
  <c r="V39" i="20" s="1"/>
  <c r="X31" i="20"/>
  <c r="M117" i="97"/>
  <c r="N10" i="97"/>
  <c r="N29" i="97" s="1"/>
  <c r="N155" i="97" s="1"/>
  <c r="N153" i="97" s="1"/>
  <c r="N147" i="97"/>
  <c r="N145" i="97" s="1"/>
  <c r="CB19" i="28"/>
  <c r="CB36" i="28"/>
  <c r="I45" i="97"/>
  <c r="I127" i="97"/>
  <c r="AS36" i="28"/>
  <c r="AS19" i="28"/>
  <c r="AS52" i="28" s="1"/>
  <c r="T16" i="20"/>
  <c r="T17" i="20" s="1"/>
  <c r="DH12" i="28"/>
  <c r="DH14" i="28" s="1"/>
  <c r="T33" i="20"/>
  <c r="T13" i="20"/>
  <c r="AI19" i="28"/>
  <c r="AI38" i="28" s="1"/>
  <c r="H50" i="97"/>
  <c r="I76" i="97" s="1"/>
  <c r="AV19" i="28"/>
  <c r="BA52" i="28" s="1"/>
  <c r="X13" i="20"/>
  <c r="X33" i="20"/>
  <c r="X34" i="20" s="1"/>
  <c r="M76" i="97"/>
  <c r="V13" i="20"/>
  <c r="DJ46" i="28"/>
  <c r="M37" i="97"/>
  <c r="J57" i="97"/>
  <c r="J139" i="97"/>
  <c r="J98" i="97"/>
  <c r="BR22" i="28"/>
  <c r="BR33" i="28"/>
  <c r="AI134" i="9"/>
  <c r="R134" i="9"/>
  <c r="AF110" i="9"/>
  <c r="AI74" i="9"/>
  <c r="R74" i="9"/>
  <c r="J78" i="9"/>
  <c r="J127" i="9"/>
  <c r="AK126" i="9"/>
  <c r="AF18" i="9"/>
  <c r="AF132" i="9"/>
  <c r="AK111" i="9"/>
  <c r="AI111" i="9"/>
  <c r="R111" i="9"/>
  <c r="R70" i="9"/>
  <c r="AI70" i="9"/>
  <c r="AI133" i="9"/>
  <c r="R133" i="9"/>
  <c r="AK133" i="9"/>
  <c r="AI77" i="9"/>
  <c r="AK180" i="9"/>
  <c r="Z103" i="9"/>
  <c r="AI118" i="9"/>
  <c r="R118" i="9"/>
  <c r="J99" i="9"/>
  <c r="R99" i="9" s="1"/>
  <c r="AK96" i="9"/>
  <c r="R96" i="9"/>
  <c r="X147" i="9"/>
  <c r="Z154" i="9" s="1"/>
  <c r="AD167" i="9"/>
  <c r="AF167" i="9" s="1"/>
  <c r="X90" i="9"/>
  <c r="Z97" i="9" s="1"/>
  <c r="X95" i="9"/>
  <c r="Z95" i="9" s="1"/>
  <c r="CA109" i="29"/>
  <c r="BV128" i="29"/>
  <c r="L52" i="36"/>
  <c r="E17" i="20"/>
  <c r="DF64" i="29"/>
  <c r="DG61" i="29"/>
  <c r="DF88" i="29"/>
  <c r="DF65" i="29"/>
  <c r="DG65" i="29" s="1"/>
  <c r="DF66" i="29"/>
  <c r="DG66" i="29" s="1"/>
  <c r="AL40" i="34"/>
  <c r="AM34" i="34"/>
  <c r="CA53" i="29"/>
  <c r="CB53" i="29"/>
  <c r="AY17" i="28"/>
  <c r="L57" i="36"/>
  <c r="DM74" i="28"/>
  <c r="Z59" i="36"/>
  <c r="X174" i="9"/>
  <c r="Z181" i="9" s="1"/>
  <c r="AD7" i="34"/>
  <c r="P6" i="36"/>
  <c r="V58" i="36"/>
  <c r="O79" i="17"/>
  <c r="O60" i="17"/>
  <c r="BO10" i="17"/>
  <c r="BN28" i="22" s="1"/>
  <c r="BL28" i="22"/>
  <c r="R42" i="34"/>
  <c r="K36" i="34"/>
  <c r="O36" i="34"/>
  <c r="J42" i="34"/>
  <c r="N42" i="34"/>
  <c r="AD187" i="9"/>
  <c r="AD179" i="9"/>
  <c r="AF186" i="9" s="1"/>
  <c r="AD53" i="36"/>
  <c r="BD65" i="36"/>
  <c r="BD59" i="36"/>
  <c r="CX127" i="29"/>
  <c r="CX117" i="29"/>
  <c r="E31" i="20"/>
  <c r="E15" i="20"/>
  <c r="E13" i="20"/>
  <c r="E23" i="20"/>
  <c r="BO44" i="17"/>
  <c r="BL49" i="22"/>
  <c r="BM94" i="17" s="1"/>
  <c r="J43" i="34"/>
  <c r="K37" i="34"/>
  <c r="X146" i="9"/>
  <c r="Z146" i="9" s="1"/>
  <c r="AX58" i="36"/>
  <c r="BB57" i="36"/>
  <c r="AF90" i="9"/>
  <c r="BB59" i="36"/>
  <c r="CR66" i="29"/>
  <c r="S136" i="97"/>
  <c r="S95" i="97"/>
  <c r="S54" i="97"/>
  <c r="BB75" i="36"/>
  <c r="BB76" i="36" s="1"/>
  <c r="BB60" i="36"/>
  <c r="BV88" i="29"/>
  <c r="BW61" i="29"/>
  <c r="BV65" i="29"/>
  <c r="BV64" i="29"/>
  <c r="BX61" i="29"/>
  <c r="CB61" i="29"/>
  <c r="BV66" i="29"/>
  <c r="CB66" i="29" s="1"/>
  <c r="BD60" i="36"/>
  <c r="AQ36" i="34"/>
  <c r="AP42" i="34"/>
  <c r="E8" i="20"/>
  <c r="CV66" i="29"/>
  <c r="AD180" i="9"/>
  <c r="AF180" i="9" s="1"/>
  <c r="G139" i="97"/>
  <c r="G98" i="97"/>
  <c r="G57" i="97"/>
  <c r="AJ30" i="20"/>
  <c r="CH69" i="28"/>
  <c r="O54" i="97"/>
  <c r="O95" i="97"/>
  <c r="CE69" i="28"/>
  <c r="O63" i="97"/>
  <c r="O146" i="97" s="1"/>
  <c r="O104" i="97"/>
  <c r="CX111" i="29"/>
  <c r="CX130" i="29" s="1"/>
  <c r="CX112" i="29"/>
  <c r="CZ66" i="29"/>
  <c r="CY66" i="29"/>
  <c r="CY103" i="29"/>
  <c r="CI129" i="29"/>
  <c r="CE129" i="29"/>
  <c r="BN184" i="29"/>
  <c r="BN173" i="29"/>
  <c r="BO172" i="29" s="1"/>
  <c r="BN187" i="29"/>
  <c r="CE111" i="29"/>
  <c r="M34" i="20"/>
  <c r="R159" i="9"/>
  <c r="R181" i="9"/>
  <c r="R163" i="9"/>
  <c r="AI181" i="9"/>
  <c r="AF26" i="9"/>
  <c r="AF33" i="9"/>
  <c r="D157" i="97"/>
  <c r="H132" i="97"/>
  <c r="D173" i="97"/>
  <c r="E55" i="97"/>
  <c r="G88" i="97"/>
  <c r="H91" i="97"/>
  <c r="I117" i="97" s="1"/>
  <c r="E69" i="97"/>
  <c r="L106" i="9"/>
  <c r="M91" i="20"/>
  <c r="M92" i="20" s="1"/>
  <c r="DT21" i="28"/>
  <c r="AG36" i="20"/>
  <c r="AH36" i="20" s="1"/>
  <c r="CJ54" i="29"/>
  <c r="CF54" i="29"/>
  <c r="U30" i="20"/>
  <c r="CE54" i="29"/>
  <c r="DB19" i="28"/>
  <c r="BS38" i="28"/>
  <c r="BS22" i="28"/>
  <c r="P38" i="28"/>
  <c r="P33" i="28"/>
  <c r="P43" i="28" s="1"/>
  <c r="Y25" i="20"/>
  <c r="Y11" i="20"/>
  <c r="Y37" i="20"/>
  <c r="Y15" i="20"/>
  <c r="DM10" i="28"/>
  <c r="AX66" i="17"/>
  <c r="AY74" i="17"/>
  <c r="AY72" i="17"/>
  <c r="AT36" i="28"/>
  <c r="DB36" i="28"/>
  <c r="DB37" i="28"/>
  <c r="DB46" i="28"/>
  <c r="AC87" i="20"/>
  <c r="DQ32" i="28" s="1"/>
  <c r="X14" i="9"/>
  <c r="DR30" i="28"/>
  <c r="AD56" i="20"/>
  <c r="Q24" i="97"/>
  <c r="Q63" i="97" s="1"/>
  <c r="Q146" i="97" s="1"/>
  <c r="AD55" i="20"/>
  <c r="AD88" i="20"/>
  <c r="DR31" i="28" s="1"/>
  <c r="DC129" i="29"/>
  <c r="M16" i="20"/>
  <c r="M17" i="20" s="1"/>
  <c r="DA12" i="28"/>
  <c r="DA14" i="28" s="1"/>
  <c r="M13" i="20"/>
  <c r="E110" i="97"/>
  <c r="E90" i="97"/>
  <c r="AC55" i="20"/>
  <c r="DQ30" i="28"/>
  <c r="P24" i="97"/>
  <c r="CI66" i="29"/>
  <c r="BD65" i="29"/>
  <c r="AY65" i="29"/>
  <c r="BK33" i="28"/>
  <c r="AF75" i="9"/>
  <c r="Z76" i="9"/>
  <c r="AF152" i="9"/>
  <c r="AF145" i="9"/>
  <c r="AQ159" i="9"/>
  <c r="AR159" i="9" s="1"/>
  <c r="AK73" i="17"/>
  <c r="AK71" i="17"/>
  <c r="DF39" i="28"/>
  <c r="DF46" i="28"/>
  <c r="E29" i="97"/>
  <c r="E13" i="97"/>
  <c r="E26" i="97" s="1"/>
  <c r="BB38" i="28"/>
  <c r="BB22" i="28"/>
  <c r="BB33" i="28"/>
  <c r="BB43" i="28" s="1"/>
  <c r="BQ36" i="28"/>
  <c r="BQ68" i="28" s="1"/>
  <c r="BQ19" i="28"/>
  <c r="BQ52" i="28" s="1"/>
  <c r="K54" i="97"/>
  <c r="K95" i="97"/>
  <c r="K136" i="97"/>
  <c r="I95" i="97"/>
  <c r="I136" i="97"/>
  <c r="I54" i="97"/>
  <c r="DJ39" i="28"/>
  <c r="I36" i="28"/>
  <c r="I19" i="28"/>
  <c r="I52" i="28" s="1"/>
  <c r="C88" i="97"/>
  <c r="C47" i="97"/>
  <c r="C129" i="97"/>
  <c r="AO71" i="17"/>
  <c r="AO72" i="17"/>
  <c r="AO73" i="17"/>
  <c r="AO74" i="17"/>
  <c r="G127" i="97"/>
  <c r="G86" i="97"/>
  <c r="G45" i="97"/>
  <c r="H74" i="97" s="1"/>
  <c r="H35" i="97"/>
  <c r="E117" i="97"/>
  <c r="D117" i="97"/>
  <c r="AX41" i="28"/>
  <c r="AX40" i="28"/>
  <c r="AX27" i="28"/>
  <c r="I90" i="97"/>
  <c r="I109" i="97" s="1"/>
  <c r="L141" i="9"/>
  <c r="L134" i="9"/>
  <c r="F145" i="97"/>
  <c r="F104" i="97"/>
  <c r="F63" i="97"/>
  <c r="E51" i="97"/>
  <c r="E133" i="97"/>
  <c r="C133" i="97"/>
  <c r="C51" i="97"/>
  <c r="C92" i="97" s="1"/>
  <c r="G30" i="97"/>
  <c r="G50" i="97"/>
  <c r="H76" i="97" s="1"/>
  <c r="G91" i="97"/>
  <c r="G132" i="97"/>
  <c r="G37" i="97"/>
  <c r="BC19" i="28"/>
  <c r="BC36" i="28"/>
  <c r="AQ19" i="28"/>
  <c r="AQ22" i="28" s="1"/>
  <c r="AQ36" i="28"/>
  <c r="N88" i="97"/>
  <c r="N90" i="97" s="1"/>
  <c r="N109" i="97" s="1"/>
  <c r="N156" i="97" s="1"/>
  <c r="N47" i="97"/>
  <c r="H40" i="20"/>
  <c r="H45" i="20"/>
  <c r="AN22" i="28"/>
  <c r="AN33" i="28"/>
  <c r="AN43" i="28" s="1"/>
  <c r="AN38" i="28"/>
  <c r="H43" i="20"/>
  <c r="O148" i="97"/>
  <c r="O147" i="97"/>
  <c r="O145" i="97" s="1"/>
  <c r="AW36" i="28"/>
  <c r="AW19" i="28"/>
  <c r="AW52" i="28" s="1"/>
  <c r="A161" i="9"/>
  <c r="A147" i="9"/>
  <c r="A182" i="9"/>
  <c r="A196" i="9"/>
  <c r="A133" i="9"/>
  <c r="A189" i="9"/>
  <c r="A105" i="9"/>
  <c r="A84" i="9"/>
  <c r="A140" i="9"/>
  <c r="A175" i="9"/>
  <c r="A98" i="9"/>
  <c r="A168" i="9"/>
  <c r="A126" i="9"/>
  <c r="A112" i="9"/>
  <c r="A154" i="9"/>
  <c r="A91" i="9"/>
  <c r="A119" i="9"/>
  <c r="AH19" i="28"/>
  <c r="AM52" i="28" s="1"/>
  <c r="AH36" i="28"/>
  <c r="N19" i="28"/>
  <c r="N36" i="28"/>
  <c r="J50" i="97"/>
  <c r="J69" i="97" s="1"/>
  <c r="J132" i="97"/>
  <c r="J157" i="97" s="1"/>
  <c r="J30" i="97"/>
  <c r="DI46" i="28"/>
  <c r="DI37" i="28"/>
  <c r="DI51" i="28"/>
  <c r="H37" i="97"/>
  <c r="H30" i="97"/>
  <c r="H13" i="97"/>
  <c r="AX43" i="28"/>
  <c r="E173" i="97"/>
  <c r="K39" i="20"/>
  <c r="K91" i="20"/>
  <c r="K92" i="20" s="1"/>
  <c r="K34" i="20"/>
  <c r="M27" i="28"/>
  <c r="M40" i="28"/>
  <c r="M41" i="28"/>
  <c r="I121" i="97"/>
  <c r="I122" i="97" s="1"/>
  <c r="I80" i="97"/>
  <c r="I81" i="97" s="1"/>
  <c r="J177" i="97"/>
  <c r="J178" i="97" s="1"/>
  <c r="J121" i="97"/>
  <c r="J122" i="97" s="1"/>
  <c r="J80" i="97"/>
  <c r="J81" i="97" s="1"/>
  <c r="AK67" i="17"/>
  <c r="R16" i="20"/>
  <c r="R17" i="20" s="1"/>
  <c r="R33" i="20"/>
  <c r="DF12" i="28"/>
  <c r="DF14" i="28" s="1"/>
  <c r="DF36" i="28" s="1"/>
  <c r="R13" i="20"/>
  <c r="AG67" i="17"/>
  <c r="P16" i="20"/>
  <c r="P17" i="20" s="1"/>
  <c r="DD12" i="28"/>
  <c r="DD14" i="28" s="1"/>
  <c r="P13" i="20"/>
  <c r="P33" i="20"/>
  <c r="BI19" i="28"/>
  <c r="BI36" i="28"/>
  <c r="CY14" i="28"/>
  <c r="CY37" i="28"/>
  <c r="CY46" i="28"/>
  <c r="X39" i="20"/>
  <c r="CG14" i="28"/>
  <c r="CG36" i="28" s="1"/>
  <c r="R78" i="9"/>
  <c r="AI78" i="9"/>
  <c r="S52" i="28"/>
  <c r="T40" i="28"/>
  <c r="T41" i="28"/>
  <c r="T27" i="28"/>
  <c r="BW52" i="28"/>
  <c r="BW33" i="28"/>
  <c r="P8" i="20"/>
  <c r="H139" i="97"/>
  <c r="BG36" i="28"/>
  <c r="BG19" i="28"/>
  <c r="BL52" i="28" s="1"/>
  <c r="G145" i="97"/>
  <c r="G104" i="97"/>
  <c r="G63" i="97"/>
  <c r="DG89" i="29"/>
  <c r="DC108" i="29"/>
  <c r="DB127" i="29"/>
  <c r="DC127" i="29" s="1"/>
  <c r="DF109" i="29"/>
  <c r="AF74" i="9"/>
  <c r="AF81" i="9"/>
  <c r="BS91" i="29"/>
  <c r="BS101" i="29"/>
  <c r="BV107" i="29"/>
  <c r="BW97" i="29"/>
  <c r="CB97" i="29" s="1"/>
  <c r="BX87" i="29"/>
  <c r="BV116" i="29"/>
  <c r="BW87" i="29"/>
  <c r="BV92" i="29"/>
  <c r="BV93" i="29"/>
  <c r="BV91" i="29"/>
  <c r="CB87" i="29"/>
  <c r="CV45" i="29"/>
  <c r="CU45" i="29"/>
  <c r="AI37" i="34"/>
  <c r="AD43" i="34"/>
  <c r="AE37" i="34"/>
  <c r="DD56" i="29"/>
  <c r="CY56" i="29"/>
  <c r="CZ56" i="29"/>
  <c r="AD139" i="9"/>
  <c r="AF139" i="9" s="1"/>
  <c r="AI140" i="9"/>
  <c r="AK140" i="9"/>
  <c r="R140" i="9"/>
  <c r="CP92" i="29"/>
  <c r="CR92" i="29" s="1"/>
  <c r="CQ98" i="29"/>
  <c r="CQ88" i="29"/>
  <c r="CP108" i="29"/>
  <c r="CR88" i="29"/>
  <c r="CP93" i="29"/>
  <c r="CR93" i="29" s="1"/>
  <c r="CP91" i="29"/>
  <c r="CY46" i="29"/>
  <c r="CZ46" i="29"/>
  <c r="P16" i="29"/>
  <c r="BN43" i="34"/>
  <c r="BO37" i="34"/>
  <c r="R146" i="9"/>
  <c r="AI146" i="9"/>
  <c r="AK146" i="9"/>
  <c r="L120" i="9"/>
  <c r="L127" i="9"/>
  <c r="Z68" i="9"/>
  <c r="Z75" i="9"/>
  <c r="AF27" i="9"/>
  <c r="AF34" i="9"/>
  <c r="CQ100" i="29"/>
  <c r="CV90" i="29"/>
  <c r="CQ90" i="29"/>
  <c r="CR90" i="29"/>
  <c r="CP110" i="29"/>
  <c r="CX131" i="29"/>
  <c r="CY126" i="29"/>
  <c r="CX132" i="29"/>
  <c r="BB132" i="29"/>
  <c r="BG128" i="29"/>
  <c r="F139" i="97"/>
  <c r="F98" i="97"/>
  <c r="F57" i="97"/>
  <c r="AL27" i="28"/>
  <c r="AL41" i="28"/>
  <c r="AL40" i="28"/>
  <c r="AK189" i="9"/>
  <c r="J190" i="9"/>
  <c r="E38" i="28"/>
  <c r="E33" i="28"/>
  <c r="E22" i="28"/>
  <c r="J52" i="28"/>
  <c r="BA71" i="17"/>
  <c r="BA73" i="17"/>
  <c r="BA74" i="17"/>
  <c r="BA72" i="17"/>
  <c r="CM93" i="29"/>
  <c r="CM103" i="29"/>
  <c r="E121" i="97"/>
  <c r="E122" i="97" s="1"/>
  <c r="I26" i="97"/>
  <c r="I16" i="97"/>
  <c r="I69" i="97"/>
  <c r="S60" i="17"/>
  <c r="S79" i="17"/>
  <c r="AE39" i="28"/>
  <c r="AE22" i="28"/>
  <c r="AQ39" i="28"/>
  <c r="CT108" i="29"/>
  <c r="CU98" i="29"/>
  <c r="CT92" i="29"/>
  <c r="CU88" i="29"/>
  <c r="CZ88" i="29"/>
  <c r="CT93" i="29"/>
  <c r="CV93" i="29" s="1"/>
  <c r="CV88" i="29"/>
  <c r="BH66" i="29"/>
  <c r="BC66" i="29"/>
  <c r="BD66" i="29"/>
  <c r="AN64" i="29"/>
  <c r="AI64" i="29"/>
  <c r="AJ64" i="29"/>
  <c r="O65" i="29"/>
  <c r="T65" i="29"/>
  <c r="G66" i="29"/>
  <c r="L66" i="29"/>
  <c r="BS44" i="29"/>
  <c r="R27" i="20"/>
  <c r="AB37" i="28"/>
  <c r="AG51" i="28"/>
  <c r="AB51" i="28"/>
  <c r="R128" i="29"/>
  <c r="W109" i="29"/>
  <c r="AM93" i="29"/>
  <c r="A186" i="9"/>
  <c r="A179" i="9"/>
  <c r="A144" i="9"/>
  <c r="A109" i="9"/>
  <c r="A130" i="9"/>
  <c r="A151" i="9"/>
  <c r="A193" i="9"/>
  <c r="A158" i="9"/>
  <c r="A102" i="9"/>
  <c r="A116" i="9"/>
  <c r="A172" i="9"/>
  <c r="A137" i="9"/>
  <c r="A95" i="9"/>
  <c r="A123" i="9"/>
  <c r="A165" i="9"/>
  <c r="A88" i="9"/>
  <c r="D95" i="97"/>
  <c r="D54" i="97"/>
  <c r="D136" i="97"/>
  <c r="F109" i="29"/>
  <c r="G99" i="29"/>
  <c r="G89" i="29"/>
  <c r="CN24" i="29"/>
  <c r="T187" i="9"/>
  <c r="AM187" i="9"/>
  <c r="AI188" i="9"/>
  <c r="AK188" i="9"/>
  <c r="R188" i="9"/>
  <c r="CF37" i="28"/>
  <c r="CF69" i="28" s="1"/>
  <c r="CF51" i="28"/>
  <c r="X91" i="9"/>
  <c r="AM35" i="34"/>
  <c r="AQ35" i="34"/>
  <c r="AL41" i="34"/>
  <c r="AK175" i="9"/>
  <c r="R175" i="9"/>
  <c r="AI175" i="9"/>
  <c r="J176" i="9"/>
  <c r="A188" i="9"/>
  <c r="A97" i="9"/>
  <c r="A83" i="9"/>
  <c r="A146" i="9"/>
  <c r="A90" i="9"/>
  <c r="A125" i="9"/>
  <c r="A118" i="9"/>
  <c r="A167" i="9"/>
  <c r="A111" i="9"/>
  <c r="A160" i="9"/>
  <c r="A174" i="9"/>
  <c r="A195" i="9"/>
  <c r="A104" i="9"/>
  <c r="A139" i="9"/>
  <c r="A181" i="9"/>
  <c r="A153" i="9"/>
  <c r="A132" i="9"/>
  <c r="CY52" i="29"/>
  <c r="CB17" i="28"/>
  <c r="CX53" i="29"/>
  <c r="CX54" i="29" s="1"/>
  <c r="DD52" i="29"/>
  <c r="CZ52" i="29"/>
  <c r="AF151" i="9"/>
  <c r="AF144" i="9"/>
  <c r="AO158" i="9"/>
  <c r="AQ151" i="9"/>
  <c r="AR151" i="9" s="1"/>
  <c r="AO151" i="9"/>
  <c r="AP151" i="9" s="1"/>
  <c r="AQ158" i="9"/>
  <c r="AL42" i="34"/>
  <c r="AM36" i="34"/>
  <c r="AH42" i="34"/>
  <c r="AI36" i="34"/>
  <c r="N136" i="97"/>
  <c r="N54" i="97"/>
  <c r="N95" i="97"/>
  <c r="DH39" i="28"/>
  <c r="CQ66" i="29"/>
  <c r="W87" i="29"/>
  <c r="V92" i="29"/>
  <c r="V107" i="29"/>
  <c r="V93" i="29"/>
  <c r="W97" i="29"/>
  <c r="AB87" i="29"/>
  <c r="V91" i="29"/>
  <c r="CZ45" i="29"/>
  <c r="CY45" i="29"/>
  <c r="L17" i="20"/>
  <c r="CZ10" i="28"/>
  <c r="L19" i="20"/>
  <c r="M8" i="20"/>
  <c r="L15" i="20"/>
  <c r="L13" i="20"/>
  <c r="L8" i="20"/>
  <c r="L25" i="20"/>
  <c r="L31" i="20"/>
  <c r="L23" i="20"/>
  <c r="L11" i="20"/>
  <c r="L33" i="20"/>
  <c r="AF97" i="9"/>
  <c r="BD75" i="22"/>
  <c r="DP17" i="28"/>
  <c r="O12" i="97"/>
  <c r="O51" i="97" s="1"/>
  <c r="O92" i="97" s="1"/>
  <c r="CT42" i="34"/>
  <c r="CP42" i="34"/>
  <c r="CU36" i="34"/>
  <c r="AF153" i="9"/>
  <c r="AO153" i="9"/>
  <c r="AP153" i="9" s="1"/>
  <c r="R35" i="9"/>
  <c r="J36" i="9"/>
  <c r="R36" i="9" s="1"/>
  <c r="W60" i="17"/>
  <c r="W61" i="17" s="1"/>
  <c r="W79" i="17"/>
  <c r="L63" i="97"/>
  <c r="L146" i="97" s="1"/>
  <c r="L104" i="97"/>
  <c r="L148" i="97" s="1"/>
  <c r="L147" i="97"/>
  <c r="L145" i="97" s="1"/>
  <c r="CA66" i="29"/>
  <c r="AU98" i="29"/>
  <c r="AU88" i="29"/>
  <c r="AZ88" i="29"/>
  <c r="AT108" i="29"/>
  <c r="AV88" i="29"/>
  <c r="AT93" i="29"/>
  <c r="AT92" i="29"/>
  <c r="AT91" i="29"/>
  <c r="AR64" i="29"/>
  <c r="AM64" i="29"/>
  <c r="AH108" i="29"/>
  <c r="AI88" i="29"/>
  <c r="AI98" i="29"/>
  <c r="AN88" i="29"/>
  <c r="AJ88" i="29"/>
  <c r="AA99" i="29"/>
  <c r="AA89" i="29"/>
  <c r="Z109" i="29"/>
  <c r="AF89" i="29"/>
  <c r="Z93" i="29"/>
  <c r="Z91" i="29"/>
  <c r="S65" i="29"/>
  <c r="X65" i="29"/>
  <c r="CN44" i="29"/>
  <c r="CJ44" i="29"/>
  <c r="CI44" i="29"/>
  <c r="I25" i="20"/>
  <c r="I24" i="20"/>
  <c r="AI159" i="9"/>
  <c r="AF111" i="9"/>
  <c r="AF118" i="9"/>
  <c r="R47" i="9"/>
  <c r="J50" i="9"/>
  <c r="R50" i="9" s="1"/>
  <c r="X87" i="20"/>
  <c r="DL32" i="28" s="1"/>
  <c r="CQ202" i="29"/>
  <c r="AT33" i="28"/>
  <c r="AT22" i="28"/>
  <c r="AT38" i="28"/>
  <c r="AT52" i="28"/>
  <c r="L113" i="9"/>
  <c r="BA33" i="28"/>
  <c r="BA38" i="28"/>
  <c r="BA22" i="28"/>
  <c r="K10" i="97"/>
  <c r="K86" i="97"/>
  <c r="K35" i="97"/>
  <c r="K45" i="97"/>
  <c r="L35" i="97"/>
  <c r="D33" i="28"/>
  <c r="D22" i="28"/>
  <c r="D38" i="28"/>
  <c r="X153" i="9"/>
  <c r="V127" i="29"/>
  <c r="AA127" i="29" s="1"/>
  <c r="AA108" i="29"/>
  <c r="BR128" i="29"/>
  <c r="BR220" i="29"/>
  <c r="BR227" i="29" s="1"/>
  <c r="BS109" i="29"/>
  <c r="BW109" i="29"/>
  <c r="BH40" i="28"/>
  <c r="BH41" i="28"/>
  <c r="BX22" i="28"/>
  <c r="BX38" i="28"/>
  <c r="BX52" i="28"/>
  <c r="BX33" i="28"/>
  <c r="CC52" i="28"/>
  <c r="BF33" i="28"/>
  <c r="BK52" i="28"/>
  <c r="BF52" i="28"/>
  <c r="BF38" i="28"/>
  <c r="BF22" i="28"/>
  <c r="X125" i="9"/>
  <c r="Z125" i="9" s="1"/>
  <c r="Q11" i="20"/>
  <c r="D8" i="97"/>
  <c r="AF70" i="9"/>
  <c r="AF77" i="9"/>
  <c r="DN37" i="28"/>
  <c r="DO46" i="28"/>
  <c r="AF133" i="9"/>
  <c r="AQ161" i="9"/>
  <c r="AR161" i="9" s="1"/>
  <c r="CM91" i="29"/>
  <c r="CM101" i="29"/>
  <c r="CN91" i="29"/>
  <c r="DJ37" i="28"/>
  <c r="DK51" i="28"/>
  <c r="DJ51" i="28"/>
  <c r="BK81" i="29"/>
  <c r="P36" i="20"/>
  <c r="BC64" i="29"/>
  <c r="BI64" i="29" s="1"/>
  <c r="BD64" i="29"/>
  <c r="BH64" i="29"/>
  <c r="BW45" i="29"/>
  <c r="BX45" i="29"/>
  <c r="CB45" i="29"/>
  <c r="AD49" i="9"/>
  <c r="CY30" i="28"/>
  <c r="W81" i="17"/>
  <c r="DD36" i="29"/>
  <c r="DC36" i="29"/>
  <c r="DH36" i="29"/>
  <c r="AA34" i="34"/>
  <c r="V40" i="34"/>
  <c r="Z40" i="34"/>
  <c r="W34" i="34"/>
  <c r="DC60" i="29"/>
  <c r="DB87" i="29"/>
  <c r="DH87" i="29" s="1"/>
  <c r="DD60" i="29"/>
  <c r="DB66" i="29"/>
  <c r="DB64" i="29"/>
  <c r="DB65" i="29"/>
  <c r="W64" i="29"/>
  <c r="AB64" i="29"/>
  <c r="G73" i="17"/>
  <c r="G74" i="17"/>
  <c r="G71" i="17"/>
  <c r="G72" i="17"/>
  <c r="L29" i="9"/>
  <c r="L36" i="9"/>
  <c r="R25" i="9"/>
  <c r="J29" i="9"/>
  <c r="R29" i="9" s="1"/>
  <c r="CA64" i="29"/>
  <c r="CB64" i="29"/>
  <c r="DD45" i="29"/>
  <c r="DC45" i="29"/>
  <c r="BK61" i="29"/>
  <c r="BL61" i="29"/>
  <c r="BJ66" i="29"/>
  <c r="BJ64" i="29"/>
  <c r="BJ65" i="29"/>
  <c r="BP61" i="29"/>
  <c r="BJ88" i="29"/>
  <c r="BS126" i="29"/>
  <c r="AD112" i="9"/>
  <c r="AF112" i="9" s="1"/>
  <c r="BZ19" i="28"/>
  <c r="BZ36" i="28"/>
  <c r="CE68" i="28" s="1"/>
  <c r="AB33" i="28"/>
  <c r="CH127" i="29"/>
  <c r="CH112" i="29"/>
  <c r="CI108" i="29"/>
  <c r="CM108" i="29"/>
  <c r="CH113" i="29"/>
  <c r="CH111" i="29"/>
  <c r="E75" i="97"/>
  <c r="E116" i="97"/>
  <c r="E169" i="97"/>
  <c r="E124" i="97"/>
  <c r="F83" i="97"/>
  <c r="DC73" i="28"/>
  <c r="CH19" i="28"/>
  <c r="CH36" i="28"/>
  <c r="AJ22" i="28"/>
  <c r="AJ33" i="28"/>
  <c r="AJ38" i="28"/>
  <c r="AO52" i="28"/>
  <c r="AJ52" i="28"/>
  <c r="BL22" i="28"/>
  <c r="BL38" i="28"/>
  <c r="BL33" i="28"/>
  <c r="DE12" i="28"/>
  <c r="DE14" i="28" s="1"/>
  <c r="Q13" i="20"/>
  <c r="Q16" i="20"/>
  <c r="Q17" i="20" s="1"/>
  <c r="AI67" i="17"/>
  <c r="Q33" i="20"/>
  <c r="AM129" i="29"/>
  <c r="W31" i="20"/>
  <c r="J12" i="97"/>
  <c r="DK17" i="28"/>
  <c r="AT11" i="22"/>
  <c r="AT75" i="22" s="1"/>
  <c r="E153" i="97"/>
  <c r="E134" i="97"/>
  <c r="BZ131" i="29"/>
  <c r="CE131" i="29" s="1"/>
  <c r="BZ132" i="29"/>
  <c r="CE132" i="29" s="1"/>
  <c r="CE126" i="29"/>
  <c r="L64" i="9"/>
  <c r="L71" i="9"/>
  <c r="AD56" i="9"/>
  <c r="AU64" i="29"/>
  <c r="AZ64" i="29"/>
  <c r="G97" i="29"/>
  <c r="G87" i="29"/>
  <c r="F107" i="29"/>
  <c r="F92" i="29"/>
  <c r="G92" i="29" s="1"/>
  <c r="F93" i="29"/>
  <c r="G93" i="29" s="1"/>
  <c r="F91" i="29"/>
  <c r="G91" i="29" s="1"/>
  <c r="BW44" i="29"/>
  <c r="S27" i="20"/>
  <c r="BX44" i="29"/>
  <c r="CB44" i="29"/>
  <c r="BL35" i="29"/>
  <c r="BK35" i="29"/>
  <c r="BP35" i="29"/>
  <c r="BD58" i="36"/>
  <c r="CU37" i="34"/>
  <c r="CQ37" i="34"/>
  <c r="CM37" i="34"/>
  <c r="CL43" i="34"/>
  <c r="CP43" i="34"/>
  <c r="DC34" i="34"/>
  <c r="Z87" i="20"/>
  <c r="DN32" i="28" s="1"/>
  <c r="AA88" i="20"/>
  <c r="DN31" i="28"/>
  <c r="CM66" i="29"/>
  <c r="K66" i="29"/>
  <c r="P66" i="29"/>
  <c r="DF51" i="28"/>
  <c r="DG51" i="28"/>
  <c r="DF37" i="28"/>
  <c r="AN37" i="34"/>
  <c r="AN19" i="34"/>
  <c r="AN25" i="34"/>
  <c r="AN31" i="34"/>
  <c r="DB89" i="29"/>
  <c r="DC62" i="29"/>
  <c r="DD62" i="29"/>
  <c r="DH62" i="29"/>
  <c r="DH45" i="29"/>
  <c r="J41" i="34"/>
  <c r="N41" i="34"/>
  <c r="O35" i="34"/>
  <c r="K35" i="34"/>
  <c r="J183" i="9"/>
  <c r="AK179" i="9"/>
  <c r="R179" i="9"/>
  <c r="AD21" i="9"/>
  <c r="CA55" i="29"/>
  <c r="CF55" i="29"/>
  <c r="CB55" i="29"/>
  <c r="E24" i="20"/>
  <c r="E25" i="20"/>
  <c r="E33" i="20"/>
  <c r="R144" i="9"/>
  <c r="AI144" i="9"/>
  <c r="AK144" i="9"/>
  <c r="J148" i="9"/>
  <c r="R54" i="9"/>
  <c r="AL58" i="36"/>
  <c r="AI179" i="9"/>
  <c r="AV65" i="29"/>
  <c r="AQ65" i="29"/>
  <c r="W65" i="29"/>
  <c r="AB65" i="29"/>
  <c r="F127" i="29"/>
  <c r="K127" i="29" s="1"/>
  <c r="K108" i="29"/>
  <c r="AF16" i="29"/>
  <c r="C25" i="20"/>
  <c r="C13" i="20"/>
  <c r="C31" i="20"/>
  <c r="C33" i="20"/>
  <c r="C15" i="20"/>
  <c r="C23" i="20"/>
  <c r="C17" i="20"/>
  <c r="C8" i="20"/>
  <c r="C11" i="20"/>
  <c r="AI69" i="9"/>
  <c r="R69" i="9"/>
  <c r="J71" i="9"/>
  <c r="Z25" i="9"/>
  <c r="Z32" i="9"/>
  <c r="H58" i="36"/>
  <c r="AU81" i="29"/>
  <c r="L36" i="20"/>
  <c r="AU66" i="29"/>
  <c r="AV66" i="29"/>
  <c r="AZ66" i="29"/>
  <c r="X64" i="29"/>
  <c r="S64" i="29"/>
  <c r="T64" i="29"/>
  <c r="BH16" i="28"/>
  <c r="BI16" i="28"/>
  <c r="BG16" i="28"/>
  <c r="BF16" i="28"/>
  <c r="AH51" i="28"/>
  <c r="AC37" i="28"/>
  <c r="AC19" i="28"/>
  <c r="AC51" i="28"/>
  <c r="AZ16" i="29"/>
  <c r="AJ16" i="29"/>
  <c r="O136" i="97"/>
  <c r="X116" i="9"/>
  <c r="R109" i="9"/>
  <c r="AK109" i="9"/>
  <c r="AI109" i="9"/>
  <c r="J113" i="9"/>
  <c r="Z89" i="9"/>
  <c r="Z96" i="9"/>
  <c r="AF89" i="9"/>
  <c r="AO159" i="9"/>
  <c r="AP159" i="9" s="1"/>
  <c r="CJ63" i="28"/>
  <c r="CA36" i="28"/>
  <c r="CF68" i="28" s="1"/>
  <c r="CA19" i="28"/>
  <c r="CF52" i="28" s="1"/>
  <c r="X36" i="28"/>
  <c r="X19" i="28"/>
  <c r="O36" i="28"/>
  <c r="O19" i="28"/>
  <c r="BR225" i="29"/>
  <c r="AL127" i="29"/>
  <c r="AQ108" i="29"/>
  <c r="AL112" i="29"/>
  <c r="DD73" i="28"/>
  <c r="AD128" i="29"/>
  <c r="AI109" i="29"/>
  <c r="AD111" i="29"/>
  <c r="AD113" i="29"/>
  <c r="Z22" i="28"/>
  <c r="Z38" i="28"/>
  <c r="Z52" i="28"/>
  <c r="Z33" i="28"/>
  <c r="AE52" i="28"/>
  <c r="BW27" i="28"/>
  <c r="BD36" i="28"/>
  <c r="BD19" i="28"/>
  <c r="AG36" i="28"/>
  <c r="AG19" i="28"/>
  <c r="X175" i="9"/>
  <c r="AT128" i="29"/>
  <c r="AU109" i="29"/>
  <c r="AY109" i="29"/>
  <c r="AB89" i="29"/>
  <c r="AF172" i="9"/>
  <c r="F36" i="28"/>
  <c r="F19" i="28"/>
  <c r="K52" i="28" s="1"/>
  <c r="E74" i="97"/>
  <c r="S109" i="29"/>
  <c r="Z172" i="9"/>
  <c r="BV41" i="28"/>
  <c r="BV40" i="28"/>
  <c r="BV27" i="28"/>
  <c r="AE91" i="29"/>
  <c r="AE101" i="29"/>
  <c r="BH46" i="22"/>
  <c r="BH53" i="22" s="1"/>
  <c r="BK35" i="17"/>
  <c r="BI39" i="17"/>
  <c r="K38" i="28"/>
  <c r="K33" i="28"/>
  <c r="P52" i="28"/>
  <c r="K22" i="28"/>
  <c r="BO64" i="29"/>
  <c r="BP64" i="29"/>
  <c r="BT64" i="29"/>
  <c r="BN91" i="29"/>
  <c r="BT91" i="29" s="1"/>
  <c r="BS93" i="29"/>
  <c r="BT93" i="29"/>
  <c r="BS103" i="29"/>
  <c r="AI189" i="9"/>
  <c r="AF96" i="9"/>
  <c r="CQ109" i="29"/>
  <c r="CL128" i="29"/>
  <c r="CL111" i="29"/>
  <c r="CM109" i="29"/>
  <c r="CL113" i="29"/>
  <c r="DF93" i="29"/>
  <c r="DG103" i="29" s="1"/>
  <c r="DF92" i="29"/>
  <c r="DG97" i="29"/>
  <c r="DG87" i="29"/>
  <c r="DF107" i="29"/>
  <c r="DF116" i="29" s="1"/>
  <c r="AX75" i="22"/>
  <c r="AY17" i="17"/>
  <c r="N39" i="20"/>
  <c r="N91" i="20"/>
  <c r="N92" i="20" s="1"/>
  <c r="N34" i="20"/>
  <c r="DM12" i="28"/>
  <c r="Y33" i="20"/>
  <c r="AY67" i="17"/>
  <c r="Y16" i="20"/>
  <c r="Y17" i="20" s="1"/>
  <c r="Y13" i="20"/>
  <c r="AX67" i="17"/>
  <c r="E60" i="97"/>
  <c r="E62" i="97" s="1"/>
  <c r="E71" i="97"/>
  <c r="E80" i="97"/>
  <c r="E81" i="97" s="1"/>
  <c r="I110" i="97"/>
  <c r="CX40" i="34"/>
  <c r="CY34" i="34"/>
  <c r="CU64" i="29"/>
  <c r="CV64" i="29"/>
  <c r="AI87" i="29"/>
  <c r="AH107" i="29"/>
  <c r="AN87" i="29"/>
  <c r="AH92" i="29"/>
  <c r="AJ87" i="29"/>
  <c r="AI97" i="29"/>
  <c r="AH91" i="29"/>
  <c r="AH93" i="29"/>
  <c r="I16" i="20"/>
  <c r="I17" i="20" s="1"/>
  <c r="I33" i="20"/>
  <c r="BS100" i="29"/>
  <c r="BX100" i="29" s="1"/>
  <c r="BT90" i="29"/>
  <c r="BR110" i="29"/>
  <c r="BS90" i="29"/>
  <c r="BX90" i="29"/>
  <c r="AV64" i="29"/>
  <c r="AQ64" i="29"/>
  <c r="L85" i="9"/>
  <c r="L78" i="9"/>
  <c r="AM66" i="29"/>
  <c r="AN66" i="29"/>
  <c r="AR66" i="29"/>
  <c r="S66" i="29"/>
  <c r="X66" i="29"/>
  <c r="CJ45" i="29"/>
  <c r="CI45" i="29"/>
  <c r="CN45" i="29"/>
  <c r="G33" i="20"/>
  <c r="G13" i="20"/>
  <c r="G16" i="20"/>
  <c r="G17" i="20" s="1"/>
  <c r="AF168" i="9"/>
  <c r="AF175" i="9"/>
  <c r="X81" i="9"/>
  <c r="CZ64" i="29"/>
  <c r="AH43" i="34"/>
  <c r="CR55" i="29"/>
  <c r="CM55" i="29"/>
  <c r="CN55" i="29"/>
  <c r="BR112" i="29"/>
  <c r="BR219" i="29"/>
  <c r="BR226" i="29" s="1"/>
  <c r="BR113" i="29"/>
  <c r="BS108" i="29"/>
  <c r="BR127" i="29"/>
  <c r="CF33" i="28"/>
  <c r="CF38" i="28"/>
  <c r="CF22" i="28"/>
  <c r="D43" i="20"/>
  <c r="D40" i="20"/>
  <c r="D45" i="20"/>
  <c r="AX132" i="29"/>
  <c r="BC128" i="29"/>
  <c r="BR43" i="34"/>
  <c r="BS37" i="34"/>
  <c r="BV43" i="34"/>
  <c r="BW37" i="34"/>
  <c r="R152" i="9"/>
  <c r="AK152" i="9"/>
  <c r="J155" i="9"/>
  <c r="AI152" i="9"/>
  <c r="AK89" i="9"/>
  <c r="AI89" i="9"/>
  <c r="J92" i="9"/>
  <c r="J57" i="36"/>
  <c r="DC51" i="28"/>
  <c r="BF107" i="29"/>
  <c r="BG97" i="29"/>
  <c r="BG87" i="29"/>
  <c r="BF91" i="29"/>
  <c r="BH87" i="29"/>
  <c r="BF92" i="29"/>
  <c r="BF93" i="29"/>
  <c r="AU65" i="29"/>
  <c r="AZ65" i="29"/>
  <c r="O97" i="29"/>
  <c r="O87" i="29"/>
  <c r="N93" i="29"/>
  <c r="O93" i="29" s="1"/>
  <c r="N107" i="29"/>
  <c r="N92" i="29"/>
  <c r="O92" i="29" s="1"/>
  <c r="N91" i="29"/>
  <c r="O91" i="29" s="1"/>
  <c r="BK36" i="29"/>
  <c r="BL36" i="29"/>
  <c r="BP36" i="29"/>
  <c r="AM92" i="29"/>
  <c r="AM102" i="29"/>
  <c r="CT91" i="29"/>
  <c r="CY65" i="29"/>
  <c r="DD22" i="29"/>
  <c r="R158" i="9"/>
  <c r="AK158" i="9"/>
  <c r="AI158" i="9"/>
  <c r="J162" i="9"/>
  <c r="AI162" i="9" s="1"/>
  <c r="AK117" i="9"/>
  <c r="R117" i="9"/>
  <c r="AI117" i="9"/>
  <c r="J120" i="9"/>
  <c r="H60" i="36"/>
  <c r="M147" i="97"/>
  <c r="M145" i="97" s="1"/>
  <c r="M104" i="97"/>
  <c r="M148" i="97" s="1"/>
  <c r="M63" i="97"/>
  <c r="M146" i="97" s="1"/>
  <c r="D139" i="97"/>
  <c r="D98" i="97"/>
  <c r="D57" i="97"/>
  <c r="AO22" i="28"/>
  <c r="AO39" i="28"/>
  <c r="P39" i="28"/>
  <c r="P22" i="28"/>
  <c r="BB133" i="29"/>
  <c r="BB129" i="29"/>
  <c r="BG129" i="29" s="1"/>
  <c r="BB174" i="29"/>
  <c r="BB175" i="29"/>
  <c r="BG110" i="29"/>
  <c r="BB111" i="29"/>
  <c r="P65" i="29"/>
  <c r="K65" i="29"/>
  <c r="CV46" i="29"/>
  <c r="CU46" i="29"/>
  <c r="DG10" i="28"/>
  <c r="F6" i="97"/>
  <c r="S11" i="20"/>
  <c r="S23" i="20"/>
  <c r="T8" i="20"/>
  <c r="S15" i="20"/>
  <c r="S25" i="20"/>
  <c r="S37" i="20"/>
  <c r="AM66" i="17"/>
  <c r="S8" i="20"/>
  <c r="DD34" i="29"/>
  <c r="DC34" i="29"/>
  <c r="AA21" i="20"/>
  <c r="T57" i="36"/>
  <c r="P59" i="36"/>
  <c r="J126" i="29"/>
  <c r="J112" i="29"/>
  <c r="J113" i="29"/>
  <c r="J111" i="29"/>
  <c r="CY55" i="29"/>
  <c r="DD55" i="29"/>
  <c r="CZ55" i="29"/>
  <c r="AI186" i="9"/>
  <c r="R186" i="9"/>
  <c r="AK186" i="9"/>
  <c r="BJ42" i="34"/>
  <c r="BN42" i="34"/>
  <c r="BO36" i="34"/>
  <c r="BK36" i="34"/>
  <c r="W36" i="34"/>
  <c r="V42" i="34"/>
  <c r="AA36" i="34"/>
  <c r="Z42" i="34"/>
  <c r="M54" i="97"/>
  <c r="M136" i="97"/>
  <c r="M95" i="97"/>
  <c r="B37" i="20"/>
  <c r="B39" i="20"/>
  <c r="BN110" i="29"/>
  <c r="BO100" i="29"/>
  <c r="BO90" i="29"/>
  <c r="BP90" i="29"/>
  <c r="AP92" i="29"/>
  <c r="AQ97" i="29"/>
  <c r="AR87" i="29"/>
  <c r="AQ87" i="29"/>
  <c r="AP93" i="29"/>
  <c r="AR93" i="29" s="1"/>
  <c r="AP91" i="29"/>
  <c r="AP107" i="29"/>
  <c r="AV87" i="29"/>
  <c r="W66" i="29"/>
  <c r="AB66" i="29"/>
  <c r="S98" i="29"/>
  <c r="S88" i="29"/>
  <c r="R108" i="29"/>
  <c r="O98" i="29"/>
  <c r="O88" i="29"/>
  <c r="N108" i="29"/>
  <c r="O19" i="20"/>
  <c r="O11" i="20"/>
  <c r="O13" i="20"/>
  <c r="O33" i="20"/>
  <c r="O25" i="20"/>
  <c r="O31" i="20"/>
  <c r="O62" i="20"/>
  <c r="O63" i="20" s="1"/>
  <c r="O68" i="20" s="1"/>
  <c r="O15" i="20"/>
  <c r="O17" i="20"/>
  <c r="DC10" i="28"/>
  <c r="DC37" i="28" s="1"/>
  <c r="O37" i="20"/>
  <c r="O8" i="20"/>
  <c r="Y73" i="17"/>
  <c r="Y74" i="17"/>
  <c r="Y71" i="17"/>
  <c r="Y72" i="17"/>
  <c r="AK147" i="9"/>
  <c r="R147" i="9"/>
  <c r="AK84" i="9"/>
  <c r="AI84" i="9"/>
  <c r="R84" i="9"/>
  <c r="J85" i="9"/>
  <c r="L59" i="36"/>
  <c r="J58" i="36"/>
  <c r="AK35" i="17"/>
  <c r="AI39" i="17"/>
  <c r="AI41" i="17" s="1"/>
  <c r="AI52" i="17" s="1"/>
  <c r="I39" i="28"/>
  <c r="AL109" i="29"/>
  <c r="AL113" i="29" s="1"/>
  <c r="AM99" i="29"/>
  <c r="AM89" i="29"/>
  <c r="AR89" i="29"/>
  <c r="AN89" i="29"/>
  <c r="S97" i="29"/>
  <c r="R107" i="29"/>
  <c r="S87" i="29"/>
  <c r="R92" i="29"/>
  <c r="S92" i="29" s="1"/>
  <c r="R93" i="29"/>
  <c r="S93" i="29" s="1"/>
  <c r="R91" i="29"/>
  <c r="S91" i="29" s="1"/>
  <c r="DD46" i="29"/>
  <c r="DH46" i="29"/>
  <c r="DC46" i="29"/>
  <c r="CI46" i="29"/>
  <c r="CJ46" i="29"/>
  <c r="CN46" i="29"/>
  <c r="J141" i="9"/>
  <c r="R112" i="9"/>
  <c r="AK112" i="9"/>
  <c r="AI112" i="9"/>
  <c r="R105" i="9"/>
  <c r="AK105" i="9"/>
  <c r="J106" i="9"/>
  <c r="AI105" i="9"/>
  <c r="Z46" i="9"/>
  <c r="Z53" i="9"/>
  <c r="R21" i="9"/>
  <c r="J22" i="9"/>
  <c r="R22" i="9" s="1"/>
  <c r="AJ81" i="22"/>
  <c r="W11" i="20"/>
  <c r="J8" i="97"/>
  <c r="W12" i="20"/>
  <c r="CR24" i="29"/>
  <c r="D8" i="20"/>
  <c r="X137" i="9"/>
  <c r="X166" i="9"/>
  <c r="AY19" i="28"/>
  <c r="AY36" i="28"/>
  <c r="AL91" i="29"/>
  <c r="AW72" i="17"/>
  <c r="AI33" i="28"/>
  <c r="AI22" i="28"/>
  <c r="AI52" i="28"/>
  <c r="AA109" i="29"/>
  <c r="V128" i="29"/>
  <c r="H173" i="97"/>
  <c r="C86" i="97"/>
  <c r="D115" i="97" s="1"/>
  <c r="C45" i="97"/>
  <c r="D74" i="97" s="1"/>
  <c r="C127" i="97"/>
  <c r="D35" i="97"/>
  <c r="D177" i="97" s="1"/>
  <c r="D178" i="97" s="1"/>
  <c r="C10" i="97"/>
  <c r="C30" i="97"/>
  <c r="J110" i="97"/>
  <c r="J117" i="97"/>
  <c r="O109" i="29"/>
  <c r="J128" i="29"/>
  <c r="O128" i="29" s="1"/>
  <c r="CY93" i="29"/>
  <c r="BJ107" i="29"/>
  <c r="BK87" i="29"/>
  <c r="BL87" i="29"/>
  <c r="BK97" i="29"/>
  <c r="BJ91" i="29"/>
  <c r="BJ93" i="29"/>
  <c r="BJ92" i="29"/>
  <c r="BP87" i="29"/>
  <c r="D69" i="97"/>
  <c r="D76" i="97"/>
  <c r="D110" i="97"/>
  <c r="E115" i="97"/>
  <c r="AR33" i="28"/>
  <c r="AR38" i="28"/>
  <c r="AR22" i="28"/>
  <c r="U38" i="28"/>
  <c r="U33" i="28"/>
  <c r="U22" i="28"/>
  <c r="Y33" i="28"/>
  <c r="Y38" i="28"/>
  <c r="Y22" i="28"/>
  <c r="AD52" i="28"/>
  <c r="H22" i="28"/>
  <c r="H33" i="28"/>
  <c r="M52" i="28"/>
  <c r="H52" i="28"/>
  <c r="H38" i="28"/>
  <c r="AD129" i="29"/>
  <c r="AE110" i="29"/>
  <c r="AI110" i="29"/>
  <c r="DR8" i="28"/>
  <c r="K50" i="97"/>
  <c r="K91" i="97"/>
  <c r="K30" i="97"/>
  <c r="K159" i="97" s="1"/>
  <c r="K157" i="97" s="1"/>
  <c r="L37" i="97"/>
  <c r="K37" i="97"/>
  <c r="BP24" i="29"/>
  <c r="BT24" i="29"/>
  <c r="J34" i="20"/>
  <c r="J39" i="20"/>
  <c r="J91" i="20"/>
  <c r="J92" i="20" s="1"/>
  <c r="Z188" i="9"/>
  <c r="N35" i="97"/>
  <c r="M86" i="97"/>
  <c r="M45" i="97"/>
  <c r="M30" i="97"/>
  <c r="M159" i="97" s="1"/>
  <c r="M157" i="97" s="1"/>
  <c r="M10" i="97"/>
  <c r="BC111" i="29"/>
  <c r="AA69" i="17"/>
  <c r="AX130" i="29"/>
  <c r="BC130" i="29" s="1"/>
  <c r="Z10" i="22"/>
  <c r="Z17" i="22" s="1"/>
  <c r="Z40" i="22" s="1"/>
  <c r="R189" i="9"/>
  <c r="F12" i="97"/>
  <c r="DG17" i="28"/>
  <c r="S12" i="20"/>
  <c r="S33" i="20" s="1"/>
  <c r="S31" i="20"/>
  <c r="AL11" i="22"/>
  <c r="AL75" i="22" s="1"/>
  <c r="M40" i="20"/>
  <c r="M43" i="20"/>
  <c r="M45" i="20"/>
  <c r="DH60" i="29"/>
  <c r="G13" i="97"/>
  <c r="G29" i="97"/>
  <c r="F46" i="20"/>
  <c r="J173" i="97"/>
  <c r="I173" i="97"/>
  <c r="AB43" i="118"/>
  <c r="AA184" i="118"/>
  <c r="AC10" i="118"/>
  <c r="AC13" i="118" s="1"/>
  <c r="AC79" i="118"/>
  <c r="AD76" i="118" s="1"/>
  <c r="AB18" i="118"/>
  <c r="AB21" i="118" s="1"/>
  <c r="J348" i="127" s="1"/>
  <c r="L348" i="127" s="1"/>
  <c r="AB101" i="118"/>
  <c r="AC98" i="118" s="1"/>
  <c r="BN49" i="22" l="1"/>
  <c r="BO94" i="17" s="1"/>
  <c r="BQ44" i="17"/>
  <c r="BP49" i="22" s="1"/>
  <c r="BQ94" i="17" s="1"/>
  <c r="DJ202" i="29"/>
  <c r="DN198" i="29"/>
  <c r="BM35" i="17"/>
  <c r="C30" i="122"/>
  <c r="P104" i="97"/>
  <c r="P63" i="97"/>
  <c r="U15" i="97"/>
  <c r="DV21" i="28"/>
  <c r="L13" i="97"/>
  <c r="M35" i="97"/>
  <c r="AO160" i="9"/>
  <c r="AP160" i="9" s="1"/>
  <c r="AQ160" i="9"/>
  <c r="AR160" i="9" s="1"/>
  <c r="AF146" i="9"/>
  <c r="AQ153" i="9"/>
  <c r="AR153" i="9" s="1"/>
  <c r="Z117" i="9"/>
  <c r="J142" i="127"/>
  <c r="L142" i="127" s="1"/>
  <c r="W142" i="127" s="1"/>
  <c r="Y142" i="127" s="1"/>
  <c r="V129" i="129"/>
  <c r="V512" i="127"/>
  <c r="X512" i="127" s="1"/>
  <c r="N512" i="127"/>
  <c r="P512" i="127" s="1"/>
  <c r="Z240" i="129"/>
  <c r="Z273" i="129"/>
  <c r="AA238" i="129"/>
  <c r="Z264" i="129"/>
  <c r="Z265" i="129" s="1"/>
  <c r="Z252" i="129"/>
  <c r="Z253" i="129" s="1"/>
  <c r="AO91" i="127"/>
  <c r="W141" i="127"/>
  <c r="Y141" i="127" s="1"/>
  <c r="V141" i="127"/>
  <c r="X141" i="127" s="1"/>
  <c r="N141" i="127"/>
  <c r="P141" i="127" s="1"/>
  <c r="AC68" i="118"/>
  <c r="AD65" i="118" s="1"/>
  <c r="V348" i="127"/>
  <c r="X348" i="127" s="1"/>
  <c r="N348" i="127"/>
  <c r="P348" i="127" s="1"/>
  <c r="W348" i="127"/>
  <c r="Y348" i="127" s="1"/>
  <c r="AO98" i="127"/>
  <c r="AO105" i="127"/>
  <c r="AO90" i="127"/>
  <c r="AO97" i="127"/>
  <c r="Z90" i="9"/>
  <c r="BP38" i="28"/>
  <c r="AB38" i="28"/>
  <c r="BM54" i="28"/>
  <c r="S22" i="28"/>
  <c r="BU52" i="28"/>
  <c r="AD41" i="28"/>
  <c r="AB52" i="28"/>
  <c r="S33" i="28"/>
  <c r="BP22" i="28"/>
  <c r="AD27" i="28"/>
  <c r="BP52" i="28"/>
  <c r="BM42" i="28"/>
  <c r="BK22" i="28"/>
  <c r="BK40" i="28" s="1"/>
  <c r="J40" i="28"/>
  <c r="DJ19" i="28"/>
  <c r="AM38" i="28"/>
  <c r="BW41" i="28"/>
  <c r="J41" i="28"/>
  <c r="AM22" i="28"/>
  <c r="AR52" i="28"/>
  <c r="L86" i="97"/>
  <c r="L90" i="97" s="1"/>
  <c r="L109" i="97" s="1"/>
  <c r="L156" i="97" s="1"/>
  <c r="L45" i="97"/>
  <c r="L69" i="97" s="1"/>
  <c r="L158" i="97" s="1"/>
  <c r="N49" i="97"/>
  <c r="N68" i="97" s="1"/>
  <c r="N154" i="97" s="1"/>
  <c r="L30" i="97"/>
  <c r="L159" i="97" s="1"/>
  <c r="L157" i="97" s="1"/>
  <c r="AE38" i="28"/>
  <c r="AE33" i="28"/>
  <c r="AE43" i="28" s="1"/>
  <c r="AN52" i="28"/>
  <c r="DL37" i="28"/>
  <c r="DL14" i="28"/>
  <c r="DL19" i="28" s="1"/>
  <c r="CG68" i="28"/>
  <c r="I38" i="97"/>
  <c r="J115" i="97"/>
  <c r="DL39" i="28"/>
  <c r="H117" i="97"/>
  <c r="AF179" i="9"/>
  <c r="AF49" i="9"/>
  <c r="I74" i="97"/>
  <c r="H110" i="97"/>
  <c r="DE73" i="28"/>
  <c r="AD119" i="9"/>
  <c r="DN46" i="28"/>
  <c r="DM14" i="28"/>
  <c r="DM36" i="28" s="1"/>
  <c r="L93" i="97"/>
  <c r="L106" i="97" s="1"/>
  <c r="AI99" i="9"/>
  <c r="Q147" i="97"/>
  <c r="Q145" i="97" s="1"/>
  <c r="Q104" i="97"/>
  <c r="Q148" i="97" s="1"/>
  <c r="H153" i="97"/>
  <c r="H134" i="97"/>
  <c r="H68" i="97"/>
  <c r="H52" i="97"/>
  <c r="H55" i="97" s="1"/>
  <c r="BR41" i="28"/>
  <c r="BR27" i="28"/>
  <c r="BR40" i="28"/>
  <c r="CE33" i="28"/>
  <c r="CE43" i="28" s="1"/>
  <c r="CB38" i="28"/>
  <c r="CB22" i="28"/>
  <c r="H157" i="97"/>
  <c r="AV38" i="28"/>
  <c r="DB33" i="28"/>
  <c r="DB43" i="28" s="1"/>
  <c r="CB33" i="28"/>
  <c r="CB43" i="28" s="1"/>
  <c r="H69" i="97"/>
  <c r="DM46" i="28"/>
  <c r="CB52" i="28"/>
  <c r="W22" i="28"/>
  <c r="W33" i="28"/>
  <c r="W38" i="28"/>
  <c r="W52" i="28"/>
  <c r="DB22" i="28"/>
  <c r="DB41" i="28" s="1"/>
  <c r="AW71" i="17"/>
  <c r="AV22" i="28"/>
  <c r="AV40" i="28" s="1"/>
  <c r="DB38" i="28"/>
  <c r="H90" i="97"/>
  <c r="V34" i="20"/>
  <c r="AV52" i="28"/>
  <c r="H115" i="97"/>
  <c r="T39" i="20"/>
  <c r="T91" i="20"/>
  <c r="T92" i="20" s="1"/>
  <c r="T34" i="20"/>
  <c r="CC27" i="28"/>
  <c r="CC40" i="28"/>
  <c r="CC41" i="28"/>
  <c r="J168" i="97"/>
  <c r="I168" i="97"/>
  <c r="BN22" i="28"/>
  <c r="BN33" i="28"/>
  <c r="BN38" i="28"/>
  <c r="BU41" i="28"/>
  <c r="BU40" i="28"/>
  <c r="BU27" i="28"/>
  <c r="I157" i="97"/>
  <c r="V91" i="20"/>
  <c r="V92" i="20" s="1"/>
  <c r="AV33" i="28"/>
  <c r="BA54" i="28" s="1"/>
  <c r="BS70" i="28"/>
  <c r="AS38" i="28"/>
  <c r="AS22" i="28"/>
  <c r="AS33" i="28"/>
  <c r="AX52" i="28"/>
  <c r="I49" i="97"/>
  <c r="BS52" i="28"/>
  <c r="J74" i="97"/>
  <c r="BR43" i="28"/>
  <c r="BR54" i="28"/>
  <c r="AW73" i="17"/>
  <c r="CE22" i="28"/>
  <c r="R38" i="28"/>
  <c r="R52" i="28"/>
  <c r="R33" i="28"/>
  <c r="R22" i="28"/>
  <c r="J76" i="97"/>
  <c r="BP70" i="28"/>
  <c r="I131" i="97"/>
  <c r="AD87" i="20"/>
  <c r="DR32" i="28" s="1"/>
  <c r="CO32" i="28" a="1"/>
  <c r="CQ32" i="28" s="1"/>
  <c r="R127" i="9"/>
  <c r="AI127" i="9"/>
  <c r="AF174" i="9"/>
  <c r="CA128" i="29"/>
  <c r="BV137" i="29"/>
  <c r="CZ93" i="29"/>
  <c r="X63" i="9"/>
  <c r="Z63" i="9" s="1"/>
  <c r="BV108" i="29"/>
  <c r="BW98" i="29"/>
  <c r="BW88" i="29"/>
  <c r="CB88" i="29"/>
  <c r="BV117" i="29"/>
  <c r="BV136" i="29" s="1"/>
  <c r="BX88" i="29"/>
  <c r="AF187" i="9"/>
  <c r="AF194" i="9"/>
  <c r="DU21" i="28"/>
  <c r="T15" i="97"/>
  <c r="BW64" i="29"/>
  <c r="BX64" i="29"/>
  <c r="CX136" i="29"/>
  <c r="CX139" i="29" s="1"/>
  <c r="CX120" i="29"/>
  <c r="CV92" i="29"/>
  <c r="CZ92" i="29"/>
  <c r="BX66" i="29"/>
  <c r="BW66" i="29"/>
  <c r="BX65" i="29"/>
  <c r="BW65" i="29"/>
  <c r="CB65" i="29"/>
  <c r="AH7" i="34"/>
  <c r="R6" i="36"/>
  <c r="DF108" i="29"/>
  <c r="DG88" i="29"/>
  <c r="DH88" i="29"/>
  <c r="DG98" i="29"/>
  <c r="DF135" i="29"/>
  <c r="DF128" i="29"/>
  <c r="DF118" i="29"/>
  <c r="DF137" i="29" s="1"/>
  <c r="CO32" i="28"/>
  <c r="CH68" i="28"/>
  <c r="DD66" i="29"/>
  <c r="DH66" i="29"/>
  <c r="DD65" i="29"/>
  <c r="DH65" i="29"/>
  <c r="BN189" i="29"/>
  <c r="BN188" i="29" s="1"/>
  <c r="BN186" i="29"/>
  <c r="BM39" i="17"/>
  <c r="BO35" i="17"/>
  <c r="BQ35" i="17" s="1"/>
  <c r="BP46" i="22" s="1"/>
  <c r="BL46" i="22"/>
  <c r="BL53" i="22" s="1"/>
  <c r="AE88" i="20"/>
  <c r="AF88" i="20" s="1"/>
  <c r="DT31" i="28" s="1"/>
  <c r="I93" i="97"/>
  <c r="H12" i="97"/>
  <c r="H26" i="97" s="1"/>
  <c r="I40" i="97" s="1"/>
  <c r="AP11" i="22"/>
  <c r="AP75" i="22" s="1"/>
  <c r="U12" i="20"/>
  <c r="DI17" i="28"/>
  <c r="U31" i="20"/>
  <c r="AX74" i="17"/>
  <c r="AX71" i="17"/>
  <c r="AX72" i="17"/>
  <c r="AX73" i="17"/>
  <c r="DT30" i="28"/>
  <c r="AF55" i="20"/>
  <c r="AF56" i="20"/>
  <c r="DM37" i="28"/>
  <c r="DM39" i="28"/>
  <c r="BS40" i="28"/>
  <c r="BS27" i="28"/>
  <c r="BS41" i="28"/>
  <c r="I22" i="28"/>
  <c r="I40" i="28" s="1"/>
  <c r="CG19" i="28"/>
  <c r="CG33" i="28" s="1"/>
  <c r="BP27" i="28"/>
  <c r="BP41" i="28"/>
  <c r="BP40" i="28"/>
  <c r="BU54" i="28"/>
  <c r="R162" i="9"/>
  <c r="X21" i="9"/>
  <c r="Z21" i="9" s="1"/>
  <c r="L31" i="97"/>
  <c r="L26" i="97"/>
  <c r="L16" i="97"/>
  <c r="BC174" i="29"/>
  <c r="G49" i="97"/>
  <c r="BK43" i="28"/>
  <c r="BP54" i="28"/>
  <c r="E93" i="97"/>
  <c r="E109" i="97"/>
  <c r="P147" i="97"/>
  <c r="P145" i="97" s="1"/>
  <c r="P146" i="97"/>
  <c r="P148" i="97"/>
  <c r="DA36" i="28"/>
  <c r="DA19" i="28"/>
  <c r="DS30" i="28"/>
  <c r="AE55" i="20"/>
  <c r="AE56" i="20"/>
  <c r="R24" i="97"/>
  <c r="E31" i="97"/>
  <c r="E16" i="97"/>
  <c r="BB27" i="28"/>
  <c r="BB40" i="28"/>
  <c r="BB41" i="28"/>
  <c r="BQ22" i="28"/>
  <c r="BQ33" i="28"/>
  <c r="BV52" i="28"/>
  <c r="BQ38" i="28"/>
  <c r="BQ70" i="28" s="1"/>
  <c r="DH19" i="28"/>
  <c r="DH36" i="28"/>
  <c r="BI38" i="28"/>
  <c r="BI22" i="28"/>
  <c r="BN52" i="28"/>
  <c r="BI33" i="28"/>
  <c r="P91" i="20"/>
  <c r="P92" i="20" s="1"/>
  <c r="P34" i="20"/>
  <c r="P65" i="20" s="1"/>
  <c r="DD36" i="28"/>
  <c r="DD19" i="28"/>
  <c r="K40" i="20"/>
  <c r="K45" i="20"/>
  <c r="K43" i="20"/>
  <c r="H16" i="97"/>
  <c r="H31" i="97"/>
  <c r="DF19" i="28"/>
  <c r="H48" i="20"/>
  <c r="H46" i="20"/>
  <c r="G110" i="97"/>
  <c r="G117" i="97"/>
  <c r="I33" i="28"/>
  <c r="I43" i="28" s="1"/>
  <c r="I38" i="28"/>
  <c r="BD81" i="22"/>
  <c r="BE95" i="17"/>
  <c r="BY29" i="22"/>
  <c r="BY32" i="22" s="1"/>
  <c r="CY36" i="28"/>
  <c r="CY19" i="28"/>
  <c r="R39" i="20"/>
  <c r="R91" i="20"/>
  <c r="R92" i="20" s="1"/>
  <c r="R34" i="20"/>
  <c r="M42" i="28"/>
  <c r="M29" i="28"/>
  <c r="N33" i="28"/>
  <c r="S54" i="28" s="1"/>
  <c r="N52" i="28"/>
  <c r="N38" i="28"/>
  <c r="N22" i="28"/>
  <c r="AH38" i="28"/>
  <c r="AH33" i="28"/>
  <c r="AH43" i="28" s="1"/>
  <c r="AH22" i="28"/>
  <c r="AW38" i="28"/>
  <c r="AW22" i="28"/>
  <c r="BB52" i="28"/>
  <c r="AN27" i="28"/>
  <c r="AN41" i="28"/>
  <c r="AN40" i="28"/>
  <c r="AQ33" i="28"/>
  <c r="AQ52" i="28"/>
  <c r="AQ38" i="28"/>
  <c r="BC22" i="28"/>
  <c r="BC52" i="28"/>
  <c r="BC33" i="28"/>
  <c r="BC38" i="28"/>
  <c r="BH52" i="28"/>
  <c r="G157" i="97"/>
  <c r="G173" i="97"/>
  <c r="G69" i="97"/>
  <c r="G76" i="97"/>
  <c r="E92" i="97"/>
  <c r="E65" i="97"/>
  <c r="AX29" i="28"/>
  <c r="AX42" i="28"/>
  <c r="G131" i="97"/>
  <c r="H168" i="97"/>
  <c r="G90" i="97"/>
  <c r="AW33" i="28"/>
  <c r="X43" i="20"/>
  <c r="X40" i="20"/>
  <c r="X45" i="20"/>
  <c r="AF119" i="9"/>
  <c r="T42" i="28"/>
  <c r="T29" i="28"/>
  <c r="S40" i="28"/>
  <c r="S27" i="28"/>
  <c r="S41" i="28"/>
  <c r="S43" i="28"/>
  <c r="BG38" i="28"/>
  <c r="BG22" i="28"/>
  <c r="BG52" i="28"/>
  <c r="BG33" i="28"/>
  <c r="BW54" i="28"/>
  <c r="BW43" i="28"/>
  <c r="Z30" i="20"/>
  <c r="CY54" i="29"/>
  <c r="DD54" i="29"/>
  <c r="CZ54" i="29"/>
  <c r="Y43" i="28"/>
  <c r="AD54" i="28"/>
  <c r="Y54" i="28"/>
  <c r="AM43" i="28"/>
  <c r="X109" i="9"/>
  <c r="Z116" i="9" s="1"/>
  <c r="BF169" i="29"/>
  <c r="BK107" i="29"/>
  <c r="BF112" i="29"/>
  <c r="BF111" i="29"/>
  <c r="BG107" i="29"/>
  <c r="BF126" i="29"/>
  <c r="BF168" i="29"/>
  <c r="BF113" i="29"/>
  <c r="D46" i="20"/>
  <c r="D48" i="20"/>
  <c r="BS127" i="29"/>
  <c r="BR221" i="29"/>
  <c r="BW110" i="29"/>
  <c r="BR129" i="29"/>
  <c r="BW129" i="29" s="1"/>
  <c r="O33" i="28"/>
  <c r="O22" i="28"/>
  <c r="O38" i="28"/>
  <c r="O52" i="28"/>
  <c r="AI71" i="9"/>
  <c r="R71" i="9"/>
  <c r="AF56" i="9"/>
  <c r="AF63" i="9"/>
  <c r="AJ43" i="28"/>
  <c r="AO54" i="28"/>
  <c r="AJ54" i="28"/>
  <c r="BH42" i="28"/>
  <c r="BH29" i="28"/>
  <c r="D40" i="28"/>
  <c r="D27" i="28"/>
  <c r="D41" i="28"/>
  <c r="O133" i="97"/>
  <c r="Z98" i="9"/>
  <c r="F128" i="29"/>
  <c r="K128" i="29" s="1"/>
  <c r="K109" i="29"/>
  <c r="DL36" i="28"/>
  <c r="AM67" i="17"/>
  <c r="S16" i="20"/>
  <c r="S17" i="20" s="1"/>
  <c r="DG12" i="28"/>
  <c r="DG14" i="28" s="1"/>
  <c r="M90" i="97"/>
  <c r="M110" i="97"/>
  <c r="M160" i="97" s="1"/>
  <c r="N115" i="97"/>
  <c r="AD181" i="9"/>
  <c r="AF181" i="9" s="1"/>
  <c r="R85" i="9"/>
  <c r="AI85" i="9"/>
  <c r="S13" i="20"/>
  <c r="R92" i="9"/>
  <c r="AI92" i="9"/>
  <c r="BR111" i="29"/>
  <c r="AI91" i="29"/>
  <c r="AN91" i="29"/>
  <c r="AI101" i="29"/>
  <c r="CM128" i="29"/>
  <c r="CL132" i="29"/>
  <c r="CQ128" i="29"/>
  <c r="C34" i="20"/>
  <c r="C39" i="20"/>
  <c r="E34" i="20"/>
  <c r="E91" i="20"/>
  <c r="E92" i="20" s="1"/>
  <c r="E39" i="20"/>
  <c r="AD182" i="9"/>
  <c r="Q34" i="20"/>
  <c r="Q65" i="20" s="1"/>
  <c r="Q39" i="20"/>
  <c r="Q91" i="20"/>
  <c r="Q92" i="20" s="1"/>
  <c r="DE36" i="28"/>
  <c r="DE19" i="28"/>
  <c r="BL43" i="28"/>
  <c r="BL54" i="28"/>
  <c r="BQ54" i="28"/>
  <c r="AJ27" i="28"/>
  <c r="AJ40" i="28"/>
  <c r="AJ41" i="28"/>
  <c r="CH22" i="28"/>
  <c r="CH52" i="28"/>
  <c r="CH33" i="28"/>
  <c r="CH38" i="28"/>
  <c r="BL65" i="29"/>
  <c r="BK65" i="29"/>
  <c r="BP65" i="29"/>
  <c r="DB40" i="28"/>
  <c r="BX27" i="28"/>
  <c r="BX41" i="28"/>
  <c r="BX40" i="28"/>
  <c r="BW128" i="29"/>
  <c r="BS128" i="29"/>
  <c r="K115" i="97"/>
  <c r="K90" i="97"/>
  <c r="AF93" i="29"/>
  <c r="AA93" i="29"/>
  <c r="AA103" i="29"/>
  <c r="CZ14" i="28"/>
  <c r="CZ37" i="28"/>
  <c r="CZ46" i="28"/>
  <c r="DA46" i="28"/>
  <c r="W93" i="29"/>
  <c r="AB93" i="29"/>
  <c r="CT127" i="29"/>
  <c r="CY108" i="29"/>
  <c r="CT113" i="29"/>
  <c r="CY113" i="29" s="1"/>
  <c r="CT111" i="29"/>
  <c r="CT112" i="29"/>
  <c r="CY112" i="29" s="1"/>
  <c r="AI190" i="9"/>
  <c r="R190" i="9"/>
  <c r="CM61" i="28" s="1"/>
  <c r="CP129" i="29"/>
  <c r="CU110" i="29"/>
  <c r="CQ110" i="29"/>
  <c r="X167" i="9"/>
  <c r="CR91" i="29"/>
  <c r="CQ91" i="29"/>
  <c r="CQ101" i="29"/>
  <c r="BW101" i="29"/>
  <c r="BW91" i="29"/>
  <c r="BX91" i="29"/>
  <c r="CB91" i="29"/>
  <c r="BV135" i="29"/>
  <c r="BV120" i="29"/>
  <c r="AL10" i="22" s="1"/>
  <c r="AL17" i="22" s="1"/>
  <c r="M49" i="97"/>
  <c r="N74" i="97"/>
  <c r="M69" i="97"/>
  <c r="M158" i="97" s="1"/>
  <c r="M74" i="97"/>
  <c r="U43" i="28"/>
  <c r="U54" i="28"/>
  <c r="AI41" i="28"/>
  <c r="AI40" i="28"/>
  <c r="AI27" i="28"/>
  <c r="I27" i="28"/>
  <c r="I41" i="28"/>
  <c r="DB73" i="28"/>
  <c r="X180" i="9"/>
  <c r="AP112" i="29"/>
  <c r="AQ112" i="29" s="1"/>
  <c r="AP126" i="29"/>
  <c r="AQ107" i="29"/>
  <c r="AP113" i="29"/>
  <c r="AQ113" i="29" s="1"/>
  <c r="AP111" i="29"/>
  <c r="AU107" i="29"/>
  <c r="X152" i="9"/>
  <c r="Z152" i="9" s="1"/>
  <c r="AI103" i="29"/>
  <c r="AN93" i="29"/>
  <c r="AI93" i="29"/>
  <c r="AJ93" i="29"/>
  <c r="DM19" i="28"/>
  <c r="AX73" i="22"/>
  <c r="AX76" i="22" s="1"/>
  <c r="CL130" i="29"/>
  <c r="BO101" i="29"/>
  <c r="BO91" i="29"/>
  <c r="BP91" i="29"/>
  <c r="P10" i="22"/>
  <c r="P17" i="22" s="1"/>
  <c r="P40" i="22" s="1"/>
  <c r="P59" i="22" s="1"/>
  <c r="P62" i="22" s="1"/>
  <c r="Q69" i="17"/>
  <c r="AD130" i="29"/>
  <c r="J133" i="97"/>
  <c r="J51" i="97"/>
  <c r="J92" i="97" s="1"/>
  <c r="BR131" i="29"/>
  <c r="DC66" i="29"/>
  <c r="BF54" i="28"/>
  <c r="BF43" i="28"/>
  <c r="BK54" i="28"/>
  <c r="AF91" i="29"/>
  <c r="AA101" i="29"/>
  <c r="AA91" i="29"/>
  <c r="CP127" i="29"/>
  <c r="CP112" i="29"/>
  <c r="CP113" i="29"/>
  <c r="CU113" i="29" s="1"/>
  <c r="CQ108" i="29"/>
  <c r="CU108" i="29"/>
  <c r="CP111" i="29"/>
  <c r="BV126" i="29"/>
  <c r="BV112" i="29"/>
  <c r="CA112" i="29" s="1"/>
  <c r="BV113" i="29"/>
  <c r="CA113" i="29" s="1"/>
  <c r="BV111" i="29"/>
  <c r="CA107" i="29"/>
  <c r="BW107" i="29"/>
  <c r="BK91" i="29"/>
  <c r="BK101" i="29"/>
  <c r="BL91" i="29"/>
  <c r="BJ169" i="29"/>
  <c r="BM126" i="29"/>
  <c r="BO107" i="29"/>
  <c r="BJ168" i="29"/>
  <c r="BJ126" i="29"/>
  <c r="C131" i="97"/>
  <c r="C157" i="97"/>
  <c r="AI43" i="28"/>
  <c r="AN54" i="28"/>
  <c r="AI54" i="28"/>
  <c r="Z144" i="9"/>
  <c r="AU67" i="17"/>
  <c r="DK12" i="28"/>
  <c r="DK14" i="28" s="1"/>
  <c r="W13" i="20"/>
  <c r="W33" i="20"/>
  <c r="W16" i="20"/>
  <c r="W17" i="20" s="1"/>
  <c r="AQ91" i="29"/>
  <c r="AQ101" i="29"/>
  <c r="AV91" i="29"/>
  <c r="BB177" i="29"/>
  <c r="BG111" i="29"/>
  <c r="AC69" i="17"/>
  <c r="BB130" i="29"/>
  <c r="AB10" i="22"/>
  <c r="AB17" i="22" s="1"/>
  <c r="AB40" i="22" s="1"/>
  <c r="BB176" i="29"/>
  <c r="R155" i="9"/>
  <c r="BK61" i="28" s="1"/>
  <c r="AI155" i="9"/>
  <c r="G91" i="20"/>
  <c r="G92" i="20" s="1"/>
  <c r="G39" i="20"/>
  <c r="G34" i="20"/>
  <c r="DG92" i="29"/>
  <c r="DG102" i="29"/>
  <c r="L111" i="97"/>
  <c r="G26" i="97"/>
  <c r="G31" i="97"/>
  <c r="G16" i="97"/>
  <c r="H38" i="97"/>
  <c r="M48" i="20"/>
  <c r="M51" i="20" s="1"/>
  <c r="M46" i="20"/>
  <c r="Z59" i="22"/>
  <c r="Z85" i="22"/>
  <c r="M13" i="97"/>
  <c r="M29" i="97"/>
  <c r="M155" i="97" s="1"/>
  <c r="M153" i="97" s="1"/>
  <c r="N177" i="97"/>
  <c r="N121" i="97"/>
  <c r="N180" i="97" s="1"/>
  <c r="N178" i="97" s="1"/>
  <c r="N168" i="97" s="1"/>
  <c r="N80" i="97"/>
  <c r="N81" i="97" s="1"/>
  <c r="N179" i="97" s="1"/>
  <c r="K117" i="97"/>
  <c r="L117" i="97"/>
  <c r="K110" i="97"/>
  <c r="K160" i="97" s="1"/>
  <c r="DS8" i="28"/>
  <c r="AI129" i="29"/>
  <c r="AE129" i="29"/>
  <c r="Y40" i="28"/>
  <c r="Y41" i="28"/>
  <c r="Y27" i="28"/>
  <c r="AM40" i="28"/>
  <c r="AM27" i="28"/>
  <c r="AM41" i="28"/>
  <c r="AR54" i="28"/>
  <c r="AR43" i="28"/>
  <c r="C49" i="97"/>
  <c r="C69" i="97"/>
  <c r="AM91" i="29"/>
  <c r="AM101" i="29"/>
  <c r="AR91" i="29"/>
  <c r="AY22" i="28"/>
  <c r="AY38" i="28"/>
  <c r="AY33" i="28"/>
  <c r="AY52" i="28"/>
  <c r="J47" i="97"/>
  <c r="J49" i="97" s="1"/>
  <c r="J129" i="97"/>
  <c r="J131" i="97" s="1"/>
  <c r="J10" i="97"/>
  <c r="J88" i="97"/>
  <c r="J90" i="97" s="1"/>
  <c r="AI141" i="9"/>
  <c r="R141" i="9"/>
  <c r="AD98" i="9"/>
  <c r="W108" i="29"/>
  <c r="R127" i="29"/>
  <c r="W127" i="29" s="1"/>
  <c r="AQ103" i="29"/>
  <c r="AQ93" i="29"/>
  <c r="AV93" i="29"/>
  <c r="AQ92" i="29"/>
  <c r="AQ102" i="29"/>
  <c r="AV92" i="29"/>
  <c r="BN129" i="29"/>
  <c r="BS110" i="29"/>
  <c r="BO110" i="29"/>
  <c r="BN174" i="29"/>
  <c r="BN175" i="29"/>
  <c r="BN111" i="29"/>
  <c r="J131" i="29"/>
  <c r="J132" i="29"/>
  <c r="AA24" i="20"/>
  <c r="AA26" i="20"/>
  <c r="BC68" i="17"/>
  <c r="AA33" i="20"/>
  <c r="AA25" i="20"/>
  <c r="DO15" i="28"/>
  <c r="N11" i="97"/>
  <c r="AM72" i="17"/>
  <c r="AM71" i="17"/>
  <c r="AM73" i="17"/>
  <c r="AM74" i="17"/>
  <c r="DG39" i="28"/>
  <c r="DG37" i="28"/>
  <c r="DG46" i="28"/>
  <c r="DH46" i="28"/>
  <c r="AO27" i="28"/>
  <c r="AO40" i="28"/>
  <c r="AO41" i="28"/>
  <c r="AR92" i="29"/>
  <c r="BG103" i="29"/>
  <c r="BG93" i="29"/>
  <c r="BH93" i="29"/>
  <c r="CF43" i="28"/>
  <c r="BW113" i="29"/>
  <c r="BS113" i="29"/>
  <c r="Z81" i="9"/>
  <c r="Z88" i="9"/>
  <c r="X140" i="9"/>
  <c r="I34" i="20"/>
  <c r="I91" i="20"/>
  <c r="I92" i="20" s="1"/>
  <c r="I39" i="20"/>
  <c r="AM107" i="29"/>
  <c r="AH112" i="29"/>
  <c r="AH126" i="29"/>
  <c r="AH111" i="29"/>
  <c r="AI111" i="29" s="1"/>
  <c r="AH113" i="29"/>
  <c r="AM113" i="29" s="1"/>
  <c r="AI107" i="29"/>
  <c r="N45" i="20"/>
  <c r="N43" i="20"/>
  <c r="N27" i="20" s="1"/>
  <c r="N28" i="20" s="1"/>
  <c r="N40" i="20"/>
  <c r="DF112" i="29"/>
  <c r="DF113" i="29"/>
  <c r="DF126" i="29"/>
  <c r="DG93" i="29"/>
  <c r="CQ113" i="29"/>
  <c r="BJ46" i="22"/>
  <c r="BJ53" i="22" s="1"/>
  <c r="BK39" i="17"/>
  <c r="AV43" i="28"/>
  <c r="AV54" i="28"/>
  <c r="Z182" i="9"/>
  <c r="BD52" i="28"/>
  <c r="BD38" i="28"/>
  <c r="BD22" i="28"/>
  <c r="BI52" i="28"/>
  <c r="BD33" i="28"/>
  <c r="BW29" i="28"/>
  <c r="BW42" i="28"/>
  <c r="Z43" i="28"/>
  <c r="Z54" i="28"/>
  <c r="AE54" i="28"/>
  <c r="AI128" i="29"/>
  <c r="AD132" i="29"/>
  <c r="X38" i="28"/>
  <c r="X33" i="28"/>
  <c r="X52" i="28"/>
  <c r="X22" i="28"/>
  <c r="CM111" i="29"/>
  <c r="CI111" i="29"/>
  <c r="CH130" i="29"/>
  <c r="CM112" i="29"/>
  <c r="CI112" i="29"/>
  <c r="AB43" i="28"/>
  <c r="BZ22" i="28"/>
  <c r="BZ38" i="28"/>
  <c r="CE70" i="28" s="1"/>
  <c r="BZ33" i="28"/>
  <c r="BZ52" i="28"/>
  <c r="CE52" i="28"/>
  <c r="BR132" i="29"/>
  <c r="BK64" i="29"/>
  <c r="BL64" i="29"/>
  <c r="DC65" i="29"/>
  <c r="DC87" i="29"/>
  <c r="DB107" i="29"/>
  <c r="DB116" i="29" s="1"/>
  <c r="DB92" i="29"/>
  <c r="DB93" i="29"/>
  <c r="DB91" i="29"/>
  <c r="DD87" i="29"/>
  <c r="DC97" i="29"/>
  <c r="AD188" i="9"/>
  <c r="DJ33" i="28"/>
  <c r="DJ38" i="28"/>
  <c r="DJ22" i="28"/>
  <c r="D129" i="97"/>
  <c r="D131" i="97" s="1"/>
  <c r="D10" i="97"/>
  <c r="D88" i="97"/>
  <c r="D90" i="97" s="1"/>
  <c r="D47" i="97"/>
  <c r="D49" i="97" s="1"/>
  <c r="BX43" i="28"/>
  <c r="BX54" i="28"/>
  <c r="D168" i="97"/>
  <c r="D43" i="28"/>
  <c r="I54" i="28"/>
  <c r="L177" i="97"/>
  <c r="L121" i="97"/>
  <c r="L80" i="97"/>
  <c r="L81" i="97" s="1"/>
  <c r="L179" i="97" s="1"/>
  <c r="K29" i="97"/>
  <c r="K155" i="97" s="1"/>
  <c r="K153" i="97" s="1"/>
  <c r="K13" i="97"/>
  <c r="BA41" i="28"/>
  <c r="BA40" i="28"/>
  <c r="BA27" i="28"/>
  <c r="AT27" i="28"/>
  <c r="AT40" i="28"/>
  <c r="AT41" i="28"/>
  <c r="AD189" i="9"/>
  <c r="AM108" i="29"/>
  <c r="AH127" i="29"/>
  <c r="AI108" i="29"/>
  <c r="AU91" i="29"/>
  <c r="AU101" i="29"/>
  <c r="AZ91" i="29"/>
  <c r="AU108" i="29"/>
  <c r="AY108" i="29"/>
  <c r="AT127" i="29"/>
  <c r="AT113" i="29"/>
  <c r="AY113" i="29" s="1"/>
  <c r="AT112" i="29"/>
  <c r="AY112" i="29" s="1"/>
  <c r="AT111" i="29"/>
  <c r="BD73" i="22"/>
  <c r="BD76" i="22" s="1"/>
  <c r="AB91" i="29"/>
  <c r="W91" i="29"/>
  <c r="V112" i="29"/>
  <c r="AA112" i="29" s="1"/>
  <c r="V113" i="29"/>
  <c r="V126" i="29"/>
  <c r="V111" i="29"/>
  <c r="AA107" i="29"/>
  <c r="CZ74" i="28"/>
  <c r="DF16" i="28"/>
  <c r="R28" i="20"/>
  <c r="AQ27" i="28"/>
  <c r="AQ41" i="28"/>
  <c r="AQ40" i="28"/>
  <c r="E41" i="28"/>
  <c r="E40" i="28"/>
  <c r="E27" i="28"/>
  <c r="DI74" i="28"/>
  <c r="CQ93" i="29"/>
  <c r="CQ103" i="29"/>
  <c r="BW93" i="29"/>
  <c r="BX93" i="29"/>
  <c r="BW103" i="29"/>
  <c r="H40" i="28"/>
  <c r="H41" i="28"/>
  <c r="H27" i="28"/>
  <c r="BP93" i="29"/>
  <c r="BL93" i="29"/>
  <c r="BK103" i="29"/>
  <c r="BK93" i="29"/>
  <c r="H161" i="97"/>
  <c r="H137" i="97"/>
  <c r="Z173" i="9"/>
  <c r="AI106" i="9"/>
  <c r="R106" i="9"/>
  <c r="X130" i="9"/>
  <c r="Z137" i="9" s="1"/>
  <c r="DD46" i="28"/>
  <c r="DC14" i="28"/>
  <c r="DC46" i="28"/>
  <c r="S34" i="20"/>
  <c r="S39" i="20"/>
  <c r="S91" i="20"/>
  <c r="S92" i="20" s="1"/>
  <c r="F45" i="97"/>
  <c r="F127" i="97"/>
  <c r="F10" i="97"/>
  <c r="G35" i="97"/>
  <c r="F86" i="97"/>
  <c r="F30" i="97"/>
  <c r="F35" i="97"/>
  <c r="N112" i="29"/>
  <c r="S107" i="29"/>
  <c r="N113" i="29"/>
  <c r="N126" i="29"/>
  <c r="O126" i="29" s="1"/>
  <c r="N111" i="29"/>
  <c r="BS112" i="29"/>
  <c r="BW112" i="29"/>
  <c r="AI92" i="29"/>
  <c r="AI102" i="29"/>
  <c r="AN92" i="29"/>
  <c r="AJ92" i="29"/>
  <c r="BV29" i="28"/>
  <c r="BV42" i="28"/>
  <c r="AV27" i="28"/>
  <c r="AG33" i="28"/>
  <c r="AG22" i="28"/>
  <c r="AG52" i="28"/>
  <c r="AG38" i="28"/>
  <c r="AL52" i="28"/>
  <c r="CA33" i="28"/>
  <c r="CA52" i="28"/>
  <c r="CA38" i="28"/>
  <c r="CF70" i="28" s="1"/>
  <c r="CA22" i="28"/>
  <c r="R183" i="9"/>
  <c r="CL61" i="28" s="1"/>
  <c r="AI183" i="9"/>
  <c r="F126" i="29"/>
  <c r="F113" i="29"/>
  <c r="K113" i="29" s="1"/>
  <c r="F112" i="29"/>
  <c r="K112" i="29" s="1"/>
  <c r="K107" i="29"/>
  <c r="F111" i="29"/>
  <c r="AT73" i="22"/>
  <c r="AT76" i="22" s="1"/>
  <c r="BL27" i="28"/>
  <c r="BL41" i="28"/>
  <c r="BL40" i="28"/>
  <c r="BF41" i="28"/>
  <c r="BF40" i="28"/>
  <c r="BF27" i="28"/>
  <c r="BA43" i="28"/>
  <c r="X102" i="9"/>
  <c r="Z102" i="9" s="1"/>
  <c r="AZ93" i="29"/>
  <c r="AU93" i="29"/>
  <c r="AU103" i="29"/>
  <c r="CY53" i="29"/>
  <c r="DD53" i="29"/>
  <c r="CC17" i="28"/>
  <c r="CC33" i="28" s="1"/>
  <c r="CZ53" i="29"/>
  <c r="CU103" i="29"/>
  <c r="CU93" i="29"/>
  <c r="AE40" i="28"/>
  <c r="AE27" i="28"/>
  <c r="AE41" i="28"/>
  <c r="J42" i="28"/>
  <c r="J29" i="28"/>
  <c r="R113" i="29"/>
  <c r="W113" i="29" s="1"/>
  <c r="R112" i="29"/>
  <c r="W112" i="29" s="1"/>
  <c r="W107" i="29"/>
  <c r="R111" i="29"/>
  <c r="R126" i="29"/>
  <c r="R156" i="9"/>
  <c r="R149" i="9"/>
  <c r="O112" i="29"/>
  <c r="CU101" i="29"/>
  <c r="CU91" i="29"/>
  <c r="CZ91" i="29"/>
  <c r="CV91" i="29"/>
  <c r="BH91" i="29"/>
  <c r="BG101" i="29"/>
  <c r="BG91" i="29"/>
  <c r="K43" i="28"/>
  <c r="P54" i="28"/>
  <c r="F38" i="28"/>
  <c r="F33" i="28"/>
  <c r="F43" i="28" s="1"/>
  <c r="F22" i="28"/>
  <c r="AY128" i="29"/>
  <c r="AU128" i="29"/>
  <c r="Z27" i="28"/>
  <c r="Z41" i="28"/>
  <c r="Z40" i="28"/>
  <c r="AC22" i="28"/>
  <c r="AC33" i="28"/>
  <c r="AH52" i="28"/>
  <c r="AC38" i="28"/>
  <c r="AC52" i="28"/>
  <c r="V43" i="20"/>
  <c r="V40" i="20"/>
  <c r="V45" i="20"/>
  <c r="AL73" i="22"/>
  <c r="AL76" i="22" s="1"/>
  <c r="F51" i="97"/>
  <c r="F92" i="97" s="1"/>
  <c r="F133" i="97"/>
  <c r="J43" i="20"/>
  <c r="J40" i="20"/>
  <c r="J45" i="20"/>
  <c r="K69" i="97"/>
  <c r="K158" i="97" s="1"/>
  <c r="L76" i="97"/>
  <c r="K76" i="97"/>
  <c r="H43" i="28"/>
  <c r="M54" i="28"/>
  <c r="H54" i="28"/>
  <c r="U40" i="28"/>
  <c r="U41" i="28"/>
  <c r="U27" i="28"/>
  <c r="AR40" i="28"/>
  <c r="AR27" i="28"/>
  <c r="AR41" i="28"/>
  <c r="BK102" i="29"/>
  <c r="BL92" i="29"/>
  <c r="BK92" i="29"/>
  <c r="BP92" i="29"/>
  <c r="C29" i="97"/>
  <c r="C13" i="97"/>
  <c r="C90" i="97"/>
  <c r="C110" i="97"/>
  <c r="AL128" i="29"/>
  <c r="AQ109" i="29"/>
  <c r="AM109" i="29"/>
  <c r="AL111" i="29"/>
  <c r="AK39" i="17"/>
  <c r="AK41" i="17" s="1"/>
  <c r="AK52" i="17" s="1"/>
  <c r="AM35" i="17"/>
  <c r="O91" i="20"/>
  <c r="O92" i="20" s="1"/>
  <c r="O34" i="20"/>
  <c r="O65" i="20" s="1"/>
  <c r="O39" i="20"/>
  <c r="N127" i="29"/>
  <c r="S108" i="29"/>
  <c r="O108" i="29"/>
  <c r="B45" i="20"/>
  <c r="B40" i="20"/>
  <c r="B43" i="20"/>
  <c r="F10" i="22"/>
  <c r="F17" i="22" s="1"/>
  <c r="F40" i="22" s="1"/>
  <c r="F59" i="22" s="1"/>
  <c r="J130" i="29"/>
  <c r="O111" i="29"/>
  <c r="G69" i="17"/>
  <c r="O107" i="29"/>
  <c r="P27" i="28"/>
  <c r="P40" i="28"/>
  <c r="P41" i="28"/>
  <c r="AI120" i="9"/>
  <c r="R120" i="9"/>
  <c r="BG102" i="29"/>
  <c r="BG92" i="29"/>
  <c r="BH92" i="29"/>
  <c r="BC132" i="29"/>
  <c r="CF27" i="28"/>
  <c r="CF40" i="28"/>
  <c r="CF41" i="28"/>
  <c r="X168" i="9"/>
  <c r="I96" i="97"/>
  <c r="Y39" i="20"/>
  <c r="Y34" i="20"/>
  <c r="AY16" i="17"/>
  <c r="K27" i="28"/>
  <c r="K41" i="28"/>
  <c r="K40" i="28"/>
  <c r="AJ91" i="29"/>
  <c r="AI113" i="29"/>
  <c r="AQ127" i="29"/>
  <c r="D53" i="28" s="1"/>
  <c r="AL131" i="29"/>
  <c r="AL132" i="29"/>
  <c r="R113" i="9"/>
  <c r="AI113" i="9"/>
  <c r="CZ21" i="28"/>
  <c r="L37" i="20"/>
  <c r="R148" i="9"/>
  <c r="AI148" i="9"/>
  <c r="X138" i="9"/>
  <c r="AD158" i="9"/>
  <c r="AF21" i="9"/>
  <c r="AF28" i="9"/>
  <c r="DD89" i="29"/>
  <c r="DB109" i="29"/>
  <c r="DB118" i="29" s="1"/>
  <c r="DB137" i="29" s="1"/>
  <c r="DC89" i="29"/>
  <c r="DH89" i="29"/>
  <c r="AA87" i="20"/>
  <c r="DO32" i="28" s="1"/>
  <c r="DO31" i="28"/>
  <c r="DG16" i="28"/>
  <c r="T27" i="20"/>
  <c r="S28" i="20"/>
  <c r="E150" i="97"/>
  <c r="E137" i="97"/>
  <c r="E161" i="97"/>
  <c r="F124" i="97"/>
  <c r="G83" i="97"/>
  <c r="CM113" i="29"/>
  <c r="CI113" i="29"/>
  <c r="CH131" i="29"/>
  <c r="CI127" i="29"/>
  <c r="CM127" i="29"/>
  <c r="CH132" i="29"/>
  <c r="AB27" i="28"/>
  <c r="AB40" i="28"/>
  <c r="AB41" i="28"/>
  <c r="BL88" i="29"/>
  <c r="BK88" i="29"/>
  <c r="BJ108" i="29"/>
  <c r="BK98" i="29"/>
  <c r="BP88" i="29"/>
  <c r="BL66" i="29"/>
  <c r="BK66" i="29"/>
  <c r="BP66" i="29"/>
  <c r="X161" i="9"/>
  <c r="Z161" i="9" s="1"/>
  <c r="DC64" i="29"/>
  <c r="DD64" i="29"/>
  <c r="DD21" i="28"/>
  <c r="C15" i="97"/>
  <c r="P37" i="20"/>
  <c r="P66" i="20"/>
  <c r="P68" i="20" s="1"/>
  <c r="P39" i="20"/>
  <c r="Z153" i="9"/>
  <c r="Z160" i="9"/>
  <c r="K49" i="97"/>
  <c r="K74" i="97"/>
  <c r="L74" i="97"/>
  <c r="AT54" i="28"/>
  <c r="AT43" i="28"/>
  <c r="Z128" i="29"/>
  <c r="AE109" i="29"/>
  <c r="Z113" i="29"/>
  <c r="AE113" i="29" s="1"/>
  <c r="Z111" i="29"/>
  <c r="AU102" i="29"/>
  <c r="AU92" i="29"/>
  <c r="AZ92" i="29"/>
  <c r="P12" i="97"/>
  <c r="BF75" i="22"/>
  <c r="DQ17" i="28"/>
  <c r="AD30" i="20"/>
  <c r="L34" i="20"/>
  <c r="L91" i="20"/>
  <c r="L92" i="20" s="1"/>
  <c r="L39" i="20"/>
  <c r="AB92" i="29"/>
  <c r="W92" i="29"/>
  <c r="AI176" i="9"/>
  <c r="R176" i="9"/>
  <c r="CK61" i="28" s="1"/>
  <c r="X123" i="9"/>
  <c r="Z123" i="9" s="1"/>
  <c r="W128" i="29"/>
  <c r="S128" i="29"/>
  <c r="CU102" i="29"/>
  <c r="CU92" i="29"/>
  <c r="I21" i="97"/>
  <c r="I23" i="97" s="1"/>
  <c r="I32" i="97"/>
  <c r="E43" i="28"/>
  <c r="J54" i="28"/>
  <c r="AL42" i="28"/>
  <c r="AL29" i="28"/>
  <c r="CQ92" i="29"/>
  <c r="CQ102" i="29"/>
  <c r="BW92" i="29"/>
  <c r="BX92" i="29"/>
  <c r="BW102" i="29"/>
  <c r="AD79" i="118"/>
  <c r="AE76" i="118" s="1"/>
  <c r="AD10" i="118"/>
  <c r="AD13" i="118" s="1"/>
  <c r="AC18" i="118"/>
  <c r="AC21" i="118" s="1"/>
  <c r="AC101" i="118"/>
  <c r="AD98" i="118" s="1"/>
  <c r="AB3" i="118"/>
  <c r="AB6" i="118" s="1"/>
  <c r="J513" i="127" s="1"/>
  <c r="L513" i="127" s="1"/>
  <c r="AB46" i="118"/>
  <c r="AB181" i="118"/>
  <c r="BP53" i="22" l="1"/>
  <c r="DN199" i="29"/>
  <c r="DN200" i="29" s="1"/>
  <c r="DN201" i="29" s="1"/>
  <c r="DN202" i="29" s="1"/>
  <c r="DB27" i="28"/>
  <c r="C44" i="122"/>
  <c r="H39" i="122"/>
  <c r="BQ39" i="17"/>
  <c r="U136" i="97"/>
  <c r="U95" i="97"/>
  <c r="U54" i="97"/>
  <c r="L96" i="97"/>
  <c r="M115" i="97"/>
  <c r="L110" i="97"/>
  <c r="L160" i="97" s="1"/>
  <c r="L115" i="97"/>
  <c r="V142" i="127"/>
  <c r="V143" i="127" s="1"/>
  <c r="X143" i="127" s="1"/>
  <c r="N142" i="127"/>
  <c r="P142" i="127" s="1"/>
  <c r="L143" i="127"/>
  <c r="N143" i="127" s="1"/>
  <c r="P143" i="127" s="1"/>
  <c r="V130" i="129"/>
  <c r="V142" i="129"/>
  <c r="V143" i="129" s="1"/>
  <c r="W126" i="129"/>
  <c r="J349" i="127"/>
  <c r="L349" i="127" s="1"/>
  <c r="N349" i="127" s="1"/>
  <c r="P349" i="127" s="1"/>
  <c r="V89" i="129"/>
  <c r="Z268" i="129"/>
  <c r="Z272" i="129" s="1"/>
  <c r="AA264" i="129"/>
  <c r="AA265" i="129" s="1"/>
  <c r="AB238" i="129"/>
  <c r="AA240" i="129"/>
  <c r="AA273" i="129"/>
  <c r="AA252" i="129"/>
  <c r="AA253" i="129" s="1"/>
  <c r="W143" i="127"/>
  <c r="Y143" i="127" s="1"/>
  <c r="X142" i="127"/>
  <c r="AD14" i="118"/>
  <c r="J146" i="127"/>
  <c r="L146" i="127" s="1"/>
  <c r="AD68" i="118"/>
  <c r="AE65" i="118" s="1"/>
  <c r="W513" i="127"/>
  <c r="Y513" i="127" s="1"/>
  <c r="N513" i="127"/>
  <c r="P513" i="127" s="1"/>
  <c r="V513" i="127"/>
  <c r="X513" i="127" s="1"/>
  <c r="AO86" i="127"/>
  <c r="AO93" i="127"/>
  <c r="L125" i="127"/>
  <c r="L126" i="127"/>
  <c r="AD29" i="28"/>
  <c r="AD42" i="28"/>
  <c r="BK41" i="28"/>
  <c r="BK27" i="28"/>
  <c r="BK29" i="28" s="1"/>
  <c r="L49" i="97"/>
  <c r="CB54" i="28"/>
  <c r="AF189" i="9"/>
  <c r="AQ154" i="9"/>
  <c r="AR154" i="9" s="1"/>
  <c r="AR155" i="9" s="1"/>
  <c r="AF126" i="9"/>
  <c r="CE41" i="28"/>
  <c r="CE40" i="28"/>
  <c r="I52" i="97"/>
  <c r="I68" i="97"/>
  <c r="BR29" i="28"/>
  <c r="BR53" i="28" s="1"/>
  <c r="BR42" i="28"/>
  <c r="CG22" i="28"/>
  <c r="CG40" i="28" s="1"/>
  <c r="CB40" i="28"/>
  <c r="CB27" i="28"/>
  <c r="CB41" i="28"/>
  <c r="BN43" i="28"/>
  <c r="BS54" i="28"/>
  <c r="AV41" i="28"/>
  <c r="BN27" i="28"/>
  <c r="BN40" i="28"/>
  <c r="BN41" i="28"/>
  <c r="W27" i="28"/>
  <c r="W41" i="28"/>
  <c r="W40" i="28"/>
  <c r="H70" i="97"/>
  <c r="AX54" i="28"/>
  <c r="AS54" i="28"/>
  <c r="AS43" i="28"/>
  <c r="L75" i="97"/>
  <c r="L170" i="97" s="1"/>
  <c r="L171" i="97"/>
  <c r="L169" i="97" s="1"/>
  <c r="L116" i="97"/>
  <c r="L172" i="97" s="1"/>
  <c r="W43" i="28"/>
  <c r="W54" i="28"/>
  <c r="BU29" i="28"/>
  <c r="BU42" i="28"/>
  <c r="AB54" i="28"/>
  <c r="I134" i="97"/>
  <c r="I153" i="97"/>
  <c r="R41" i="28"/>
  <c r="R40" i="28"/>
  <c r="R27" i="28"/>
  <c r="AS41" i="28"/>
  <c r="AS40" i="28"/>
  <c r="AS27" i="28"/>
  <c r="T45" i="20"/>
  <c r="T40" i="20"/>
  <c r="T43" i="20"/>
  <c r="T82" i="20" s="1"/>
  <c r="H109" i="97"/>
  <c r="H93" i="97"/>
  <c r="I118" i="97" s="1"/>
  <c r="CC29" i="28"/>
  <c r="CC42" i="28"/>
  <c r="CE27" i="28"/>
  <c r="R54" i="28"/>
  <c r="R43" i="28"/>
  <c r="CP32" i="28"/>
  <c r="CR32" i="28"/>
  <c r="AL7" i="34"/>
  <c r="T6" i="36"/>
  <c r="DT8" i="28"/>
  <c r="DU8" i="28" s="1"/>
  <c r="DV8" i="28" s="1"/>
  <c r="X70" i="9"/>
  <c r="Z70" i="9" s="1"/>
  <c r="CY74" i="28"/>
  <c r="T136" i="97"/>
  <c r="T95" i="97"/>
  <c r="T54" i="97"/>
  <c r="BV127" i="29"/>
  <c r="CA108" i="29"/>
  <c r="BW108" i="29"/>
  <c r="DF117" i="29"/>
  <c r="DF127" i="29"/>
  <c r="DG127" i="29" s="1"/>
  <c r="DG108" i="29"/>
  <c r="X133" i="9"/>
  <c r="Z133" i="9" s="1"/>
  <c r="CH70" i="28"/>
  <c r="DH93" i="29"/>
  <c r="DD93" i="29"/>
  <c r="DD92" i="29"/>
  <c r="DH92" i="29"/>
  <c r="DB120" i="29"/>
  <c r="DB135" i="29"/>
  <c r="DB139" i="29" s="1"/>
  <c r="BC176" i="29"/>
  <c r="BO39" i="17"/>
  <c r="BN46" i="22"/>
  <c r="BN53" i="22" s="1"/>
  <c r="AE87" i="20"/>
  <c r="DS32" i="28" s="1"/>
  <c r="DS31" i="28"/>
  <c r="I106" i="97"/>
  <c r="I111" i="97"/>
  <c r="E106" i="97"/>
  <c r="U13" i="20"/>
  <c r="AQ67" i="17"/>
  <c r="U16" i="20"/>
  <c r="U17" i="20" s="1"/>
  <c r="DI12" i="28"/>
  <c r="DI14" i="28" s="1"/>
  <c r="U33" i="20"/>
  <c r="AP73" i="22"/>
  <c r="AP76" i="22" s="1"/>
  <c r="H51" i="97"/>
  <c r="H133" i="97"/>
  <c r="H150" i="97" s="1"/>
  <c r="BS29" i="28"/>
  <c r="BS42" i="28"/>
  <c r="DU30" i="28"/>
  <c r="BH81" i="17"/>
  <c r="AG55" i="20"/>
  <c r="AG56" i="20"/>
  <c r="AG88" i="20"/>
  <c r="AH88" i="20" s="1"/>
  <c r="DV31" i="28" s="1"/>
  <c r="CG38" i="28"/>
  <c r="CG70" i="28" s="1"/>
  <c r="CG52" i="28"/>
  <c r="AM54" i="28"/>
  <c r="BP29" i="28"/>
  <c r="BP42" i="28"/>
  <c r="X28" i="9"/>
  <c r="Z28" i="9" s="1"/>
  <c r="L21" i="97"/>
  <c r="L23" i="97" s="1"/>
  <c r="L32" i="97"/>
  <c r="L164" i="97" s="1"/>
  <c r="L162" i="97" s="1"/>
  <c r="S113" i="29"/>
  <c r="BO174" i="29"/>
  <c r="R63" i="97"/>
  <c r="R146" i="97" s="1"/>
  <c r="R147" i="97"/>
  <c r="R145" i="97" s="1"/>
  <c r="R104" i="97"/>
  <c r="R148" i="97" s="1"/>
  <c r="DA33" i="28"/>
  <c r="DA22" i="28"/>
  <c r="DB52" i="28"/>
  <c r="DA38" i="28"/>
  <c r="E111" i="97"/>
  <c r="E96" i="97"/>
  <c r="G52" i="97"/>
  <c r="G68" i="97"/>
  <c r="BK42" i="28"/>
  <c r="E21" i="97"/>
  <c r="E23" i="97" s="1"/>
  <c r="E32" i="97"/>
  <c r="BB42" i="28"/>
  <c r="BB29" i="28"/>
  <c r="BQ43" i="28"/>
  <c r="BV54" i="28"/>
  <c r="BQ40" i="28"/>
  <c r="BQ41" i="28"/>
  <c r="BQ27" i="28"/>
  <c r="AL74" i="22"/>
  <c r="G93" i="97"/>
  <c r="G109" i="97"/>
  <c r="G153" i="97"/>
  <c r="G134" i="97"/>
  <c r="AQ43" i="28"/>
  <c r="AQ54" i="28"/>
  <c r="N27" i="28"/>
  <c r="N40" i="28"/>
  <c r="N41" i="28"/>
  <c r="R45" i="20"/>
  <c r="R43" i="20"/>
  <c r="R40" i="20"/>
  <c r="BF81" i="22"/>
  <c r="BG95" i="17"/>
  <c r="H32" i="97"/>
  <c r="H21" i="97"/>
  <c r="H23" i="97" s="1"/>
  <c r="I39" i="97" s="1"/>
  <c r="K46" i="20"/>
  <c r="K48" i="20"/>
  <c r="K51" i="20" s="1"/>
  <c r="DD33" i="28"/>
  <c r="DD43" i="28" s="1"/>
  <c r="DD38" i="28"/>
  <c r="BI43" i="28"/>
  <c r="BN54" i="28"/>
  <c r="BI41" i="28"/>
  <c r="BI40" i="28"/>
  <c r="BI27" i="28"/>
  <c r="DH33" i="28"/>
  <c r="DH38" i="28"/>
  <c r="DH22" i="28"/>
  <c r="AW43" i="28"/>
  <c r="BB54" i="28"/>
  <c r="BC54" i="28"/>
  <c r="BC43" i="28"/>
  <c r="BH54" i="28"/>
  <c r="BC27" i="28"/>
  <c r="BC41" i="28"/>
  <c r="BC40" i="28"/>
  <c r="AN29" i="28"/>
  <c r="AN42" i="28"/>
  <c r="AW27" i="28"/>
  <c r="AW41" i="28"/>
  <c r="AW40" i="28"/>
  <c r="AH40" i="28"/>
  <c r="AH27" i="28"/>
  <c r="AH41" i="28"/>
  <c r="N54" i="28"/>
  <c r="N43" i="28"/>
  <c r="R65" i="20"/>
  <c r="CY38" i="28"/>
  <c r="CY52" i="28"/>
  <c r="CY33" i="28"/>
  <c r="CY22" i="28"/>
  <c r="DF38" i="28"/>
  <c r="DF33" i="28"/>
  <c r="DF22" i="28"/>
  <c r="AW54" i="28"/>
  <c r="X48" i="20"/>
  <c r="AV10" i="22"/>
  <c r="AW69" i="17"/>
  <c r="X57" i="20"/>
  <c r="X46" i="20"/>
  <c r="DL76" i="28"/>
  <c r="X82" i="20"/>
  <c r="BG40" i="28"/>
  <c r="BG27" i="28"/>
  <c r="BG41" i="28"/>
  <c r="BG43" i="28"/>
  <c r="BG54" i="28"/>
  <c r="AT74" i="22"/>
  <c r="AX74" i="22"/>
  <c r="S42" i="28"/>
  <c r="S29" i="28"/>
  <c r="BF73" i="22"/>
  <c r="BF76" i="22" s="1"/>
  <c r="C136" i="97"/>
  <c r="C54" i="97"/>
  <c r="C95" i="97"/>
  <c r="BM127" i="29"/>
  <c r="BJ171" i="29"/>
  <c r="BK108" i="29"/>
  <c r="BJ127" i="29"/>
  <c r="BO108" i="29"/>
  <c r="BJ170" i="29"/>
  <c r="H83" i="97"/>
  <c r="G124" i="97"/>
  <c r="C93" i="97"/>
  <c r="C109" i="97"/>
  <c r="AC41" i="28"/>
  <c r="AC40" i="28"/>
  <c r="AC27" i="28"/>
  <c r="K69" i="17"/>
  <c r="R130" i="29"/>
  <c r="W111" i="29"/>
  <c r="J10" i="22"/>
  <c r="J17" i="22" s="1"/>
  <c r="J40" i="22" s="1"/>
  <c r="J59" i="22" s="1"/>
  <c r="J62" i="22" s="1"/>
  <c r="BF42" i="28"/>
  <c r="BF29" i="28"/>
  <c r="F29" i="97"/>
  <c r="F13" i="97"/>
  <c r="H162" i="97"/>
  <c r="H142" i="97"/>
  <c r="H144" i="97" s="1"/>
  <c r="V132" i="29"/>
  <c r="V131" i="29"/>
  <c r="AA131" i="29" s="1"/>
  <c r="AA126" i="29"/>
  <c r="AT42" i="28"/>
  <c r="AT29" i="28"/>
  <c r="BA42" i="28"/>
  <c r="BA29" i="28"/>
  <c r="DC103" i="29"/>
  <c r="DC93" i="29"/>
  <c r="BZ27" i="28"/>
  <c r="BZ40" i="28"/>
  <c r="BZ41" i="28"/>
  <c r="BS129" i="29"/>
  <c r="BO129" i="29"/>
  <c r="AM29" i="28"/>
  <c r="AM42" i="28"/>
  <c r="BV131" i="29"/>
  <c r="CA131" i="29" s="1"/>
  <c r="BV132" i="29"/>
  <c r="CA132" i="29" s="1"/>
  <c r="CA126" i="29"/>
  <c r="BW126" i="29"/>
  <c r="AL80" i="22"/>
  <c r="AL40" i="22"/>
  <c r="CH40" i="28"/>
  <c r="CH41" i="28"/>
  <c r="CH27" i="28"/>
  <c r="X159" i="9"/>
  <c r="DO74" i="28"/>
  <c r="D42" i="28"/>
  <c r="D29" i="28"/>
  <c r="BM53" i="28"/>
  <c r="DO75" i="28"/>
  <c r="Z168" i="9"/>
  <c r="CG54" i="28"/>
  <c r="CG43" i="28"/>
  <c r="F60" i="22"/>
  <c r="F62" i="22"/>
  <c r="AQ128" i="29"/>
  <c r="E53" i="28" s="1"/>
  <c r="AM128" i="29"/>
  <c r="V82" i="20"/>
  <c r="DJ76" i="28"/>
  <c r="AC54" i="28"/>
  <c r="AC43" i="28"/>
  <c r="AH54" i="28"/>
  <c r="K54" i="28"/>
  <c r="R131" i="29"/>
  <c r="W131" i="29" s="1"/>
  <c r="R132" i="29"/>
  <c r="W132" i="29" s="1"/>
  <c r="W126" i="29"/>
  <c r="AE29" i="28"/>
  <c r="AE42" i="28"/>
  <c r="CC43" i="28"/>
  <c r="CC54" i="28"/>
  <c r="BL42" i="28"/>
  <c r="BL29" i="28"/>
  <c r="CA27" i="28"/>
  <c r="CA40" i="28"/>
  <c r="CA41" i="28"/>
  <c r="AG41" i="28"/>
  <c r="AG27" i="28"/>
  <c r="AG40" i="28"/>
  <c r="N131" i="29"/>
  <c r="S131" i="29" s="1"/>
  <c r="N132" i="29"/>
  <c r="S126" i="29"/>
  <c r="O113" i="29"/>
  <c r="H60" i="97"/>
  <c r="H62" i="97" s="1"/>
  <c r="H71" i="97"/>
  <c r="V130" i="29"/>
  <c r="AA111" i="29"/>
  <c r="L10" i="22"/>
  <c r="L17" i="22" s="1"/>
  <c r="L40" i="22" s="1"/>
  <c r="L59" i="22" s="1"/>
  <c r="L62" i="22" s="1"/>
  <c r="M69" i="17"/>
  <c r="X10" i="22"/>
  <c r="X17" i="22" s="1"/>
  <c r="X40" i="22" s="1"/>
  <c r="AT130" i="29"/>
  <c r="AY130" i="29" s="1"/>
  <c r="AY111" i="29"/>
  <c r="Y69" i="17"/>
  <c r="K16" i="97"/>
  <c r="K31" i="97"/>
  <c r="K26" i="97"/>
  <c r="L38" i="97"/>
  <c r="D153" i="97"/>
  <c r="D134" i="97"/>
  <c r="DC91" i="29"/>
  <c r="DD91" i="29"/>
  <c r="DC101" i="29"/>
  <c r="BS132" i="29"/>
  <c r="BW132" i="29"/>
  <c r="BD41" i="28"/>
  <c r="BD27" i="28"/>
  <c r="BD40" i="28"/>
  <c r="Z175" i="9"/>
  <c r="AM112" i="29"/>
  <c r="AI112" i="29"/>
  <c r="I3" i="20"/>
  <c r="Z147" i="9"/>
  <c r="DG36" i="28"/>
  <c r="DG19" i="28"/>
  <c r="AA34" i="20"/>
  <c r="AA39" i="20"/>
  <c r="O131" i="29"/>
  <c r="J68" i="97"/>
  <c r="J52" i="97"/>
  <c r="AY40" i="28"/>
  <c r="AY27" i="28"/>
  <c r="AY41" i="28"/>
  <c r="C68" i="97"/>
  <c r="C52" i="97"/>
  <c r="Y42" i="28"/>
  <c r="Y29" i="28"/>
  <c r="G32" i="97"/>
  <c r="G21" i="97"/>
  <c r="G23" i="97" s="1"/>
  <c r="N48" i="20"/>
  <c r="N51" i="20" s="1"/>
  <c r="W34" i="20"/>
  <c r="W39" i="20"/>
  <c r="W91" i="20"/>
  <c r="W92" i="20" s="1"/>
  <c r="C153" i="97"/>
  <c r="C134" i="97"/>
  <c r="BJ113" i="29"/>
  <c r="BO113" i="29" s="1"/>
  <c r="CU111" i="29"/>
  <c r="CP130" i="29"/>
  <c r="CU112" i="29"/>
  <c r="CQ112" i="29"/>
  <c r="BS131" i="29"/>
  <c r="AQ126" i="29"/>
  <c r="C53" i="28" s="1"/>
  <c r="AP131" i="29"/>
  <c r="AP132" i="29"/>
  <c r="AU126" i="29"/>
  <c r="M52" i="97"/>
  <c r="M68" i="97"/>
  <c r="M154" i="97" s="1"/>
  <c r="Z167" i="9"/>
  <c r="Z174" i="9"/>
  <c r="CU129" i="29"/>
  <c r="CQ129" i="29"/>
  <c r="BX29" i="28"/>
  <c r="BX42" i="28"/>
  <c r="AJ42" i="28"/>
  <c r="AJ29" i="28"/>
  <c r="AF182" i="9"/>
  <c r="C43" i="20"/>
  <c r="C40" i="20"/>
  <c r="C45" i="20"/>
  <c r="DL74" i="28"/>
  <c r="BK126" i="29"/>
  <c r="BG126" i="29"/>
  <c r="BF132" i="29"/>
  <c r="BF131" i="29"/>
  <c r="AE128" i="29"/>
  <c r="Z132" i="29"/>
  <c r="AE132" i="29" s="1"/>
  <c r="AF158" i="9"/>
  <c r="AP158" i="9"/>
  <c r="AR158" i="9"/>
  <c r="AR162" i="9" s="1"/>
  <c r="AF165" i="9"/>
  <c r="AL130" i="29"/>
  <c r="T10" i="22"/>
  <c r="T17" i="22" s="1"/>
  <c r="T40" i="22" s="1"/>
  <c r="T59" i="22" s="1"/>
  <c r="T62" i="22" s="1"/>
  <c r="U69" i="17"/>
  <c r="AQ111" i="29"/>
  <c r="AG43" i="28"/>
  <c r="AL54" i="28"/>
  <c r="AG54" i="28"/>
  <c r="BO126" i="29"/>
  <c r="BJ131" i="29"/>
  <c r="BO131" i="29" s="1"/>
  <c r="BJ112" i="29"/>
  <c r="BO112" i="29" s="1"/>
  <c r="AU112" i="29"/>
  <c r="L43" i="20"/>
  <c r="L45" i="20"/>
  <c r="L40" i="20"/>
  <c r="P133" i="97"/>
  <c r="O69" i="17"/>
  <c r="N10" i="22"/>
  <c r="N17" i="22" s="1"/>
  <c r="N40" i="22" s="1"/>
  <c r="N59" i="22" s="1"/>
  <c r="AE111" i="29"/>
  <c r="Z130" i="29"/>
  <c r="AE130" i="29" s="1"/>
  <c r="P43" i="20"/>
  <c r="P45" i="20"/>
  <c r="P40" i="20"/>
  <c r="DD22" i="28"/>
  <c r="AB42" i="28"/>
  <c r="AB29" i="28"/>
  <c r="CM131" i="29"/>
  <c r="CI131" i="29"/>
  <c r="E142" i="97"/>
  <c r="E144" i="97" s="1"/>
  <c r="E162" i="97"/>
  <c r="T28" i="20"/>
  <c r="DH16" i="28"/>
  <c r="U27" i="20"/>
  <c r="Z145" i="9"/>
  <c r="AQ132" i="29"/>
  <c r="Y40" i="20"/>
  <c r="Y45" i="20"/>
  <c r="Y43" i="20"/>
  <c r="B46" i="20"/>
  <c r="B48" i="20"/>
  <c r="O45" i="20"/>
  <c r="O40" i="20"/>
  <c r="O43" i="20"/>
  <c r="C16" i="97"/>
  <c r="C26" i="97"/>
  <c r="C31" i="97"/>
  <c r="AR42" i="28"/>
  <c r="AR29" i="28"/>
  <c r="AR10" i="22"/>
  <c r="AS69" i="17"/>
  <c r="V46" i="20"/>
  <c r="V48" i="20"/>
  <c r="V57" i="20"/>
  <c r="F131" i="97"/>
  <c r="F157" i="97"/>
  <c r="F168" i="97"/>
  <c r="G168" i="97"/>
  <c r="S43" i="20"/>
  <c r="S82" i="20" s="1"/>
  <c r="S40" i="20"/>
  <c r="Z130" i="9"/>
  <c r="E29" i="28"/>
  <c r="J53" i="28" s="1"/>
  <c r="E42" i="28"/>
  <c r="AA113" i="29"/>
  <c r="BD74" i="22"/>
  <c r="AM127" i="29"/>
  <c r="AI127" i="29"/>
  <c r="D109" i="97"/>
  <c r="D93" i="97"/>
  <c r="DJ40" i="28"/>
  <c r="DJ27" i="28"/>
  <c r="DJ41" i="28"/>
  <c r="DC102" i="29"/>
  <c r="DC92" i="29"/>
  <c r="CM130" i="29"/>
  <c r="CI130" i="29"/>
  <c r="BI54" i="28"/>
  <c r="BD54" i="28"/>
  <c r="BD43" i="28"/>
  <c r="DF131" i="29"/>
  <c r="DF132" i="29"/>
  <c r="AH130" i="29"/>
  <c r="S69" i="17"/>
  <c r="R10" i="22"/>
  <c r="R17" i="22" s="1"/>
  <c r="R40" i="22" s="1"/>
  <c r="R59" i="22" s="1"/>
  <c r="R62" i="22" s="1"/>
  <c r="AM111" i="29"/>
  <c r="I43" i="20"/>
  <c r="I45" i="20"/>
  <c r="I40" i="20"/>
  <c r="DO51" i="28"/>
  <c r="DO37" i="28"/>
  <c r="DO19" i="28"/>
  <c r="J13" i="97"/>
  <c r="K38" i="97" s="1"/>
  <c r="J29" i="97"/>
  <c r="AY54" i="28"/>
  <c r="AY43" i="28"/>
  <c r="M31" i="97"/>
  <c r="M38" i="97"/>
  <c r="M16" i="97"/>
  <c r="Z87" i="22"/>
  <c r="Z62" i="22"/>
  <c r="L101" i="97"/>
  <c r="L103" i="97" s="1"/>
  <c r="L112" i="97"/>
  <c r="L165" i="97" s="1"/>
  <c r="DK19" i="28"/>
  <c r="DL52" i="28" s="1"/>
  <c r="DK36" i="28"/>
  <c r="BL126" i="29"/>
  <c r="BK168" i="29"/>
  <c r="BV130" i="29"/>
  <c r="CA130" i="29" s="1"/>
  <c r="S45" i="20"/>
  <c r="CA111" i="29"/>
  <c r="CQ111" i="29"/>
  <c r="DM38" i="28"/>
  <c r="DM22" i="28"/>
  <c r="DM33" i="28"/>
  <c r="DM52" i="28"/>
  <c r="AU113" i="29"/>
  <c r="Z180" i="9"/>
  <c r="Z187" i="9"/>
  <c r="I42" i="28"/>
  <c r="I29" i="28"/>
  <c r="AA128" i="29"/>
  <c r="CY127" i="29"/>
  <c r="CT131" i="29"/>
  <c r="CY131" i="29" s="1"/>
  <c r="CT132" i="29"/>
  <c r="CY132" i="29" s="1"/>
  <c r="CZ19" i="28"/>
  <c r="CZ36" i="28"/>
  <c r="DB29" i="28"/>
  <c r="DB42" i="28"/>
  <c r="Q40" i="20"/>
  <c r="Q43" i="20"/>
  <c r="Q45" i="20"/>
  <c r="E40" i="20"/>
  <c r="E45" i="20"/>
  <c r="E43" i="20"/>
  <c r="O40" i="28"/>
  <c r="O27" i="28"/>
  <c r="BK113" i="29"/>
  <c r="BG113" i="29"/>
  <c r="BF177" i="29"/>
  <c r="BF130" i="29"/>
  <c r="BG130" i="29" s="1"/>
  <c r="AD10" i="22"/>
  <c r="AD17" i="22" s="1"/>
  <c r="AD40" i="22" s="1"/>
  <c r="AE69" i="17"/>
  <c r="BF176" i="29"/>
  <c r="DN17" i="28"/>
  <c r="Z31" i="20"/>
  <c r="M12" i="97"/>
  <c r="AZ11" i="22"/>
  <c r="Z12" i="20"/>
  <c r="K29" i="28"/>
  <c r="K42" i="28"/>
  <c r="P29" i="28"/>
  <c r="P42" i="28"/>
  <c r="S127" i="29"/>
  <c r="O127" i="29"/>
  <c r="AO35" i="17"/>
  <c r="AM39" i="17"/>
  <c r="AM41" i="17" s="1"/>
  <c r="AM52" i="17" s="1"/>
  <c r="U29" i="28"/>
  <c r="U42" i="28"/>
  <c r="F80" i="97"/>
  <c r="F81" i="97" s="1"/>
  <c r="F121" i="97"/>
  <c r="F122" i="97" s="1"/>
  <c r="F177" i="97"/>
  <c r="F178" i="97" s="1"/>
  <c r="D68" i="97"/>
  <c r="D52" i="97"/>
  <c r="X43" i="28"/>
  <c r="X54" i="28"/>
  <c r="N37" i="97"/>
  <c r="N13" i="97"/>
  <c r="N30" i="97"/>
  <c r="N159" i="97" s="1"/>
  <c r="N157" i="97" s="1"/>
  <c r="N91" i="97"/>
  <c r="N50" i="97"/>
  <c r="AF105" i="9"/>
  <c r="AF98" i="9"/>
  <c r="J109" i="97"/>
  <c r="J93" i="97"/>
  <c r="CP131" i="29"/>
  <c r="CU127" i="29"/>
  <c r="CP132" i="29"/>
  <c r="CQ127" i="29"/>
  <c r="V10" i="22"/>
  <c r="V17" i="22" s="1"/>
  <c r="V40" i="22" s="1"/>
  <c r="W69" i="17"/>
  <c r="AP130" i="29"/>
  <c r="AU130" i="29" s="1"/>
  <c r="AU111" i="29"/>
  <c r="BR130" i="29"/>
  <c r="BW130" i="29" s="1"/>
  <c r="BW111" i="29"/>
  <c r="DR17" i="28"/>
  <c r="AE30" i="20"/>
  <c r="Q12" i="97"/>
  <c r="BH11" i="22"/>
  <c r="BH75" i="22" s="1"/>
  <c r="K68" i="97"/>
  <c r="K154" i="97" s="1"/>
  <c r="K52" i="97"/>
  <c r="AO161" i="9"/>
  <c r="AP161" i="9" s="1"/>
  <c r="CM132" i="29"/>
  <c r="CI132" i="29"/>
  <c r="DB128" i="29"/>
  <c r="DC109" i="29"/>
  <c r="DG109" i="29"/>
  <c r="AQ131" i="29"/>
  <c r="I101" i="97"/>
  <c r="I103" i="97" s="1"/>
  <c r="I112" i="97"/>
  <c r="CF42" i="28"/>
  <c r="CF29" i="28"/>
  <c r="J46" i="20"/>
  <c r="J48" i="20"/>
  <c r="Z42" i="28"/>
  <c r="Z29" i="28"/>
  <c r="F41" i="28"/>
  <c r="F40" i="28"/>
  <c r="F27" i="28"/>
  <c r="D10" i="22"/>
  <c r="D17" i="22" s="1"/>
  <c r="D40" i="22" s="1"/>
  <c r="D59" i="22" s="1"/>
  <c r="F130" i="29"/>
  <c r="K130" i="29" s="1"/>
  <c r="K111" i="29"/>
  <c r="K126" i="29"/>
  <c r="F132" i="29"/>
  <c r="K132" i="29" s="1"/>
  <c r="F131" i="29"/>
  <c r="K131" i="29" s="1"/>
  <c r="CA43" i="28"/>
  <c r="CA54" i="28"/>
  <c r="AV42" i="28"/>
  <c r="AV29" i="28"/>
  <c r="H10" i="22"/>
  <c r="H17" i="22" s="1"/>
  <c r="H40" i="22" s="1"/>
  <c r="H59" i="22" s="1"/>
  <c r="N130" i="29"/>
  <c r="O130" i="29" s="1"/>
  <c r="S111" i="29"/>
  <c r="I69" i="17"/>
  <c r="S112" i="29"/>
  <c r="G115" i="97"/>
  <c r="F90" i="97"/>
  <c r="F110" i="97"/>
  <c r="F115" i="97"/>
  <c r="F49" i="97"/>
  <c r="G74" i="97"/>
  <c r="F69" i="97"/>
  <c r="F74" i="97"/>
  <c r="DC19" i="28"/>
  <c r="DC36" i="28"/>
  <c r="H29" i="28"/>
  <c r="H42" i="28"/>
  <c r="AQ42" i="28"/>
  <c r="AQ29" i="28"/>
  <c r="AQ53" i="28" s="1"/>
  <c r="DA74" i="28"/>
  <c r="X84" i="9"/>
  <c r="AY127" i="29"/>
  <c r="AU127" i="29"/>
  <c r="AT131" i="29"/>
  <c r="AY131" i="29" s="1"/>
  <c r="AT132" i="29"/>
  <c r="AY132" i="29" s="1"/>
  <c r="L122" i="97"/>
  <c r="L181" i="97" s="1"/>
  <c r="L180" i="97"/>
  <c r="L178" i="97" s="1"/>
  <c r="L168" i="97" s="1"/>
  <c r="D13" i="97"/>
  <c r="D29" i="97"/>
  <c r="AO154" i="9"/>
  <c r="AP154" i="9" s="1"/>
  <c r="AP155" i="9" s="1"/>
  <c r="DJ43" i="28"/>
  <c r="AF188" i="9"/>
  <c r="DB126" i="29"/>
  <c r="DC107" i="29"/>
  <c r="DB111" i="29"/>
  <c r="DB113" i="29"/>
  <c r="DB112" i="29"/>
  <c r="DG107" i="29"/>
  <c r="BZ43" i="28"/>
  <c r="BZ54" i="28"/>
  <c r="CE54" i="28"/>
  <c r="X27" i="28"/>
  <c r="X41" i="28"/>
  <c r="X40" i="28"/>
  <c r="N57" i="20"/>
  <c r="N46" i="20"/>
  <c r="AI126" i="29"/>
  <c r="AH131" i="29"/>
  <c r="AH132" i="29"/>
  <c r="AM132" i="29" s="1"/>
  <c r="AM126" i="29"/>
  <c r="CF54" i="28"/>
  <c r="AO29" i="28"/>
  <c r="AO42" i="28"/>
  <c r="BN176" i="29"/>
  <c r="BS111" i="29"/>
  <c r="BN177" i="29"/>
  <c r="BN130" i="29"/>
  <c r="BS130" i="29" s="1"/>
  <c r="DK74" i="28"/>
  <c r="J153" i="97"/>
  <c r="J134" i="97"/>
  <c r="H40" i="97"/>
  <c r="G45" i="20"/>
  <c r="G43" i="20"/>
  <c r="G40" i="20"/>
  <c r="AB59" i="22"/>
  <c r="AB85" i="22"/>
  <c r="BJ111" i="29"/>
  <c r="BM130" i="29"/>
  <c r="AI130" i="29"/>
  <c r="AI29" i="28"/>
  <c r="AI42" i="28"/>
  <c r="X131" i="9"/>
  <c r="Z131" i="9" s="1"/>
  <c r="CT130" i="29"/>
  <c r="CY130" i="29" s="1"/>
  <c r="CY111" i="29"/>
  <c r="K93" i="97"/>
  <c r="K109" i="97"/>
  <c r="K156" i="97" s="1"/>
  <c r="CH54" i="28"/>
  <c r="CH43" i="28"/>
  <c r="DE33" i="28"/>
  <c r="DE38" i="28"/>
  <c r="DE22" i="28"/>
  <c r="DE52" i="28"/>
  <c r="DF52" i="28"/>
  <c r="M93" i="97"/>
  <c r="M109" i="97"/>
  <c r="M156" i="97" s="1"/>
  <c r="DL22" i="28"/>
  <c r="DL38" i="28"/>
  <c r="DL33" i="28"/>
  <c r="O43" i="28"/>
  <c r="T54" i="28"/>
  <c r="O54" i="28"/>
  <c r="BR228" i="29"/>
  <c r="BR222" i="29"/>
  <c r="BG168" i="29"/>
  <c r="BI126" i="29" s="1"/>
  <c r="BH126" i="29"/>
  <c r="BH130" i="29" s="1"/>
  <c r="BG112" i="29"/>
  <c r="BK112" i="29"/>
  <c r="Z109" i="9"/>
  <c r="AD101" i="118"/>
  <c r="AE98" i="118" s="1"/>
  <c r="AD18" i="118"/>
  <c r="AD21" i="118" s="1"/>
  <c r="AC43" i="118"/>
  <c r="AB184" i="118"/>
  <c r="AE10" i="118"/>
  <c r="AE13" i="118" s="1"/>
  <c r="AE79" i="118"/>
  <c r="AF76" i="118" s="1"/>
  <c r="T51" i="20" l="1"/>
  <c r="CT32" i="28" a="1"/>
  <c r="J24" i="122"/>
  <c r="H24" i="122"/>
  <c r="D24" i="122"/>
  <c r="E24" i="122"/>
  <c r="G24" i="122"/>
  <c r="I24" i="122"/>
  <c r="C24" i="122"/>
  <c r="F24" i="122"/>
  <c r="W349" i="127"/>
  <c r="Y349" i="127" s="1"/>
  <c r="L350" i="127"/>
  <c r="N350" i="127" s="1"/>
  <c r="P350" i="127" s="1"/>
  <c r="V349" i="127"/>
  <c r="X349" i="127" s="1"/>
  <c r="W86" i="129"/>
  <c r="V103" i="129"/>
  <c r="V104" i="129" s="1"/>
  <c r="V90" i="129"/>
  <c r="V131" i="129"/>
  <c r="V133" i="129"/>
  <c r="V134" i="129" s="1"/>
  <c r="AB240" i="129"/>
  <c r="AC238" i="129"/>
  <c r="AB273" i="129"/>
  <c r="AB264" i="129"/>
  <c r="AB265" i="129" s="1"/>
  <c r="AB252" i="129"/>
  <c r="AB253" i="129" s="1"/>
  <c r="AD22" i="118"/>
  <c r="J353" i="127"/>
  <c r="L353" i="127" s="1"/>
  <c r="V350" i="127"/>
  <c r="X350" i="127" s="1"/>
  <c r="AE14" i="118"/>
  <c r="J147" i="127"/>
  <c r="L147" i="127" s="1"/>
  <c r="AE68" i="118"/>
  <c r="AF65" i="118" s="1"/>
  <c r="W146" i="127"/>
  <c r="Y146" i="127" s="1"/>
  <c r="V146" i="127"/>
  <c r="N146" i="127"/>
  <c r="P146" i="127" s="1"/>
  <c r="AO112" i="127"/>
  <c r="AO119" i="127"/>
  <c r="W126" i="127"/>
  <c r="V126" i="127"/>
  <c r="AO111" i="127"/>
  <c r="AO118" i="127"/>
  <c r="W125" i="127"/>
  <c r="V125" i="127"/>
  <c r="AO87" i="127"/>
  <c r="AO94" i="127"/>
  <c r="N132" i="127"/>
  <c r="P132" i="127" s="1"/>
  <c r="L129" i="127"/>
  <c r="W129" i="127" s="1"/>
  <c r="N125" i="127"/>
  <c r="P125" i="127" s="1"/>
  <c r="N133" i="127"/>
  <c r="P133" i="127" s="1"/>
  <c r="N126" i="127"/>
  <c r="P126" i="127" s="1"/>
  <c r="BW53" i="28"/>
  <c r="BP53" i="28"/>
  <c r="L52" i="97"/>
  <c r="L68" i="97"/>
  <c r="L154" i="97" s="1"/>
  <c r="G80" i="97"/>
  <c r="G81" i="97" s="1"/>
  <c r="Z140" i="9"/>
  <c r="BN29" i="28"/>
  <c r="BS53" i="28" s="1"/>
  <c r="BN42" i="28"/>
  <c r="T48" i="20"/>
  <c r="AO69" i="17"/>
  <c r="T57" i="20"/>
  <c r="AN10" i="22"/>
  <c r="T46" i="20"/>
  <c r="AF30" i="20"/>
  <c r="CG27" i="28"/>
  <c r="CG42" i="28" s="1"/>
  <c r="CE42" i="28"/>
  <c r="CE29" i="28"/>
  <c r="AS29" i="28"/>
  <c r="AX53" i="28" s="1"/>
  <c r="AS42" i="28"/>
  <c r="I65" i="97"/>
  <c r="I55" i="97"/>
  <c r="I70" i="97"/>
  <c r="I77" i="97"/>
  <c r="R29" i="28"/>
  <c r="R53" i="28" s="1"/>
  <c r="R42" i="28"/>
  <c r="U53" i="28"/>
  <c r="I150" i="97"/>
  <c r="I161" i="97"/>
  <c r="I137" i="97"/>
  <c r="I174" i="97"/>
  <c r="CG41" i="28"/>
  <c r="W29" i="28"/>
  <c r="W53" i="28" s="1"/>
  <c r="W42" i="28"/>
  <c r="CB29" i="28"/>
  <c r="CB53" i="28" s="1"/>
  <c r="CB42" i="28"/>
  <c r="H96" i="97"/>
  <c r="H111" i="97"/>
  <c r="I176" i="97"/>
  <c r="Z53" i="28"/>
  <c r="BU53" i="28"/>
  <c r="AF87" i="20"/>
  <c r="DT32" i="28" s="1"/>
  <c r="DF136" i="29"/>
  <c r="AP7" i="34"/>
  <c r="V6" i="36"/>
  <c r="X77" i="9"/>
  <c r="Z77" i="9" s="1"/>
  <c r="CA127" i="29"/>
  <c r="BW127" i="29"/>
  <c r="CU132" i="29"/>
  <c r="AP74" i="22"/>
  <c r="DI36" i="28"/>
  <c r="DI19" i="28"/>
  <c r="H92" i="97"/>
  <c r="H106" i="97" s="1"/>
  <c r="I120" i="97" s="1"/>
  <c r="H65" i="97"/>
  <c r="I79" i="97" s="1"/>
  <c r="U39" i="20"/>
  <c r="U91" i="20"/>
  <c r="U92" i="20" s="1"/>
  <c r="U34" i="20"/>
  <c r="DU31" i="28"/>
  <c r="DT17" i="28"/>
  <c r="BL11" i="22"/>
  <c r="BL75" i="22" s="1"/>
  <c r="AG30" i="20"/>
  <c r="AH30" i="20" s="1"/>
  <c r="AJ53" i="28"/>
  <c r="X35" i="9"/>
  <c r="Z35" i="9" s="1"/>
  <c r="S132" i="29"/>
  <c r="G55" i="97"/>
  <c r="G65" i="97"/>
  <c r="G70" i="97"/>
  <c r="H77" i="97"/>
  <c r="DA27" i="28"/>
  <c r="DA40" i="28"/>
  <c r="DA41" i="28"/>
  <c r="BO176" i="29"/>
  <c r="AQ130" i="29"/>
  <c r="AA132" i="29"/>
  <c r="W130" i="29"/>
  <c r="E112" i="97"/>
  <c r="E101" i="97"/>
  <c r="E103" i="97" s="1"/>
  <c r="DA43" i="28"/>
  <c r="DB54" i="28"/>
  <c r="BQ42" i="28"/>
  <c r="BQ29" i="28"/>
  <c r="BV53" i="28" s="1"/>
  <c r="DF40" i="28"/>
  <c r="DF27" i="28"/>
  <c r="DF41" i="28"/>
  <c r="CY41" i="28"/>
  <c r="CY40" i="28"/>
  <c r="CY27" i="28"/>
  <c r="CY43" i="28"/>
  <c r="CY54" i="28"/>
  <c r="DH41" i="28"/>
  <c r="DH27" i="28"/>
  <c r="DH40" i="28"/>
  <c r="BI29" i="28"/>
  <c r="BN53" i="28" s="1"/>
  <c r="BI42" i="28"/>
  <c r="BI95" i="17"/>
  <c r="BJ55" i="22"/>
  <c r="BL55" i="22" s="1"/>
  <c r="BH81" i="22"/>
  <c r="R82" i="20"/>
  <c r="R70" i="20"/>
  <c r="R71" i="20" s="1"/>
  <c r="R73" i="20" s="1"/>
  <c r="N42" i="28"/>
  <c r="N29" i="28"/>
  <c r="S53" i="28" s="1"/>
  <c r="G161" i="97"/>
  <c r="G137" i="97"/>
  <c r="G150" i="97"/>
  <c r="H176" i="97" s="1"/>
  <c r="H174" i="97"/>
  <c r="DF43" i="28"/>
  <c r="AH29" i="28"/>
  <c r="AM53" i="28" s="1"/>
  <c r="AH42" i="28"/>
  <c r="AW42" i="28"/>
  <c r="AW29" i="28"/>
  <c r="BB53" i="28" s="1"/>
  <c r="BC42" i="28"/>
  <c r="BC29" i="28"/>
  <c r="DH43" i="28"/>
  <c r="AK69" i="17"/>
  <c r="R57" i="20"/>
  <c r="R48" i="20"/>
  <c r="R46" i="20"/>
  <c r="R51" i="20"/>
  <c r="G111" i="97"/>
  <c r="H118" i="97"/>
  <c r="G96" i="97"/>
  <c r="G106" i="97"/>
  <c r="CJ64" i="28"/>
  <c r="AV17" i="22"/>
  <c r="AP162" i="9"/>
  <c r="BG29" i="28"/>
  <c r="BG53" i="28" s="1"/>
  <c r="BG42" i="28"/>
  <c r="AO53" i="28"/>
  <c r="DL43" i="28"/>
  <c r="M111" i="97"/>
  <c r="M96" i="97"/>
  <c r="M118" i="97"/>
  <c r="DE43" i="28"/>
  <c r="DE54" i="28"/>
  <c r="DF54" i="28"/>
  <c r="K118" i="97"/>
  <c r="K111" i="97"/>
  <c r="K106" i="97"/>
  <c r="K96" i="97"/>
  <c r="L118" i="97"/>
  <c r="J161" i="97"/>
  <c r="J137" i="97"/>
  <c r="J174" i="97"/>
  <c r="F109" i="97"/>
  <c r="F93" i="97"/>
  <c r="N16" i="97"/>
  <c r="N26" i="97"/>
  <c r="N31" i="97"/>
  <c r="N38" i="97"/>
  <c r="AZ75" i="22"/>
  <c r="BA17" i="17"/>
  <c r="Q57" i="20"/>
  <c r="AI69" i="17"/>
  <c r="AH10" i="22"/>
  <c r="AH17" i="22" s="1"/>
  <c r="Q48" i="20"/>
  <c r="Q46" i="20"/>
  <c r="D96" i="97"/>
  <c r="D111" i="97"/>
  <c r="D106" i="97"/>
  <c r="D118" i="97"/>
  <c r="E118" i="97"/>
  <c r="F153" i="97"/>
  <c r="F134" i="97"/>
  <c r="BZ29" i="28"/>
  <c r="BZ42" i="28"/>
  <c r="BO127" i="29"/>
  <c r="BK127" i="29"/>
  <c r="AI53" i="28"/>
  <c r="AN53" i="28"/>
  <c r="AI132" i="29"/>
  <c r="DG113" i="29"/>
  <c r="DC113" i="29"/>
  <c r="D26" i="97"/>
  <c r="D16" i="97"/>
  <c r="D38" i="97"/>
  <c r="D31" i="97"/>
  <c r="E38" i="97"/>
  <c r="X132" i="9"/>
  <c r="F68" i="97"/>
  <c r="F52" i="97"/>
  <c r="S130" i="29"/>
  <c r="J51" i="20"/>
  <c r="K49" i="20"/>
  <c r="K55" i="97"/>
  <c r="K65" i="97"/>
  <c r="K70" i="97"/>
  <c r="K77" i="97"/>
  <c r="L77" i="97"/>
  <c r="BH73" i="22"/>
  <c r="BH76" i="22" s="1"/>
  <c r="J106" i="97"/>
  <c r="J120" i="97" s="1"/>
  <c r="J111" i="97"/>
  <c r="J96" i="97"/>
  <c r="J118" i="97"/>
  <c r="N52" i="97"/>
  <c r="N76" i="97"/>
  <c r="N69" i="97"/>
  <c r="N158" i="97" s="1"/>
  <c r="D70" i="97"/>
  <c r="D65" i="97"/>
  <c r="D55" i="97"/>
  <c r="D77" i="97"/>
  <c r="E77" i="97"/>
  <c r="M51" i="97"/>
  <c r="M92" i="97" s="1"/>
  <c r="M106" i="97" s="1"/>
  <c r="M120" i="97" s="1"/>
  <c r="M133" i="97"/>
  <c r="AD85" i="22"/>
  <c r="AD59" i="22"/>
  <c r="Q82" i="20"/>
  <c r="Q70" i="20"/>
  <c r="Q71" i="20" s="1"/>
  <c r="Q73" i="20" s="1"/>
  <c r="Q27" i="20"/>
  <c r="DM27" i="28"/>
  <c r="DM40" i="28"/>
  <c r="DM41" i="28"/>
  <c r="S48" i="20"/>
  <c r="S57" i="20"/>
  <c r="AM69" i="17"/>
  <c r="S51" i="20"/>
  <c r="T52" i="20" s="1"/>
  <c r="S46" i="20"/>
  <c r="BG64" i="28"/>
  <c r="M26" i="97"/>
  <c r="M40" i="97" s="1"/>
  <c r="I48" i="20"/>
  <c r="J49" i="20" s="1"/>
  <c r="I46" i="20"/>
  <c r="O48" i="20"/>
  <c r="O46" i="20"/>
  <c r="O57" i="20"/>
  <c r="DM76" i="28"/>
  <c r="Y82" i="20"/>
  <c r="V27" i="20"/>
  <c r="DI16" i="28"/>
  <c r="U28" i="20"/>
  <c r="P46" i="20"/>
  <c r="P57" i="20"/>
  <c r="AF10" i="22"/>
  <c r="AF17" i="22" s="1"/>
  <c r="N60" i="22"/>
  <c r="P58" i="22" s="1"/>
  <c r="P60" i="22" s="1"/>
  <c r="R58" i="22" s="1"/>
  <c r="R60" i="22" s="1"/>
  <c r="T58" i="22" s="1"/>
  <c r="T60" i="22" s="1"/>
  <c r="V58" i="22" s="1"/>
  <c r="N62" i="22"/>
  <c r="BJ132" i="29"/>
  <c r="BO132" i="29" s="1"/>
  <c r="BG132" i="29"/>
  <c r="M65" i="97"/>
  <c r="M70" i="97"/>
  <c r="M55" i="97"/>
  <c r="M77" i="97"/>
  <c r="CU130" i="29"/>
  <c r="W45" i="20"/>
  <c r="W40" i="20"/>
  <c r="W43" i="20"/>
  <c r="DN74" i="28"/>
  <c r="H39" i="97"/>
  <c r="C65" i="97"/>
  <c r="C70" i="97"/>
  <c r="C55" i="97"/>
  <c r="BD29" i="28"/>
  <c r="BD42" i="28"/>
  <c r="AA130" i="29"/>
  <c r="CA29" i="28"/>
  <c r="CA42" i="28"/>
  <c r="Z159" i="9"/>
  <c r="Z166" i="9"/>
  <c r="X119" i="9"/>
  <c r="AC29" i="28"/>
  <c r="AC42" i="28"/>
  <c r="BJ177" i="29"/>
  <c r="BJ130" i="29"/>
  <c r="BO130" i="29" s="1"/>
  <c r="BJ176" i="29"/>
  <c r="AG69" i="17"/>
  <c r="BO111" i="29"/>
  <c r="DG112" i="29"/>
  <c r="DC112" i="29"/>
  <c r="Z91" i="9"/>
  <c r="H53" i="28"/>
  <c r="M53" i="28"/>
  <c r="DC128" i="29"/>
  <c r="DG128" i="29"/>
  <c r="V85" i="22"/>
  <c r="V59" i="22"/>
  <c r="AO39" i="17"/>
  <c r="AO41" i="17" s="1"/>
  <c r="AO52" i="17" s="1"/>
  <c r="AR17" i="22"/>
  <c r="BK64" i="28"/>
  <c r="BK131" i="29"/>
  <c r="BG131" i="29"/>
  <c r="C161" i="97"/>
  <c r="C150" i="97"/>
  <c r="C137" i="97"/>
  <c r="J55" i="97"/>
  <c r="J70" i="97"/>
  <c r="J65" i="97"/>
  <c r="J79" i="97" s="1"/>
  <c r="J77" i="97"/>
  <c r="AL85" i="22"/>
  <c r="AL86" i="22" s="1"/>
  <c r="AL59" i="22"/>
  <c r="BR229" i="29"/>
  <c r="AJ10" i="22"/>
  <c r="AJ17" i="22" s="1"/>
  <c r="G48" i="20"/>
  <c r="G46" i="20"/>
  <c r="O132" i="29"/>
  <c r="AM131" i="29"/>
  <c r="AI131" i="29"/>
  <c r="DB130" i="29"/>
  <c r="DC130" i="29" s="1"/>
  <c r="DC111" i="29"/>
  <c r="H62" i="22"/>
  <c r="H60" i="22"/>
  <c r="J58" i="22" s="1"/>
  <c r="J60" i="22" s="1"/>
  <c r="L58" i="22" s="1"/>
  <c r="L60" i="22" s="1"/>
  <c r="D60" i="22"/>
  <c r="D62" i="22"/>
  <c r="Q133" i="97"/>
  <c r="Q51" i="97"/>
  <c r="N93" i="97"/>
  <c r="N117" i="97"/>
  <c r="N110" i="97"/>
  <c r="N160" i="97" s="1"/>
  <c r="P53" i="28"/>
  <c r="BK130" i="29"/>
  <c r="DK33" i="28"/>
  <c r="DK38" i="28"/>
  <c r="DK52" i="28"/>
  <c r="DK22" i="28"/>
  <c r="M21" i="97"/>
  <c r="M23" i="97" s="1"/>
  <c r="M39" i="97" s="1"/>
  <c r="M32" i="97"/>
  <c r="M164" i="97" s="1"/>
  <c r="M162" i="97" s="1"/>
  <c r="AM130" i="29"/>
  <c r="DJ42" i="28"/>
  <c r="DJ29" i="28"/>
  <c r="AR53" i="28"/>
  <c r="C21" i="97"/>
  <c r="C23" i="97" s="1"/>
  <c r="C32" i="97"/>
  <c r="Y46" i="20"/>
  <c r="AX10" i="22"/>
  <c r="AY69" i="17"/>
  <c r="AX69" i="17"/>
  <c r="Y57" i="20"/>
  <c r="Y48" i="20"/>
  <c r="Y49" i="20" s="1"/>
  <c r="DD27" i="28"/>
  <c r="DD41" i="28"/>
  <c r="DD40" i="28"/>
  <c r="P70" i="20"/>
  <c r="P71" i="20" s="1"/>
  <c r="P73" i="20" s="1"/>
  <c r="P82" i="20"/>
  <c r="P48" i="20" s="1"/>
  <c r="P27" i="20"/>
  <c r="AU132" i="29"/>
  <c r="AA40" i="20"/>
  <c r="AA43" i="20"/>
  <c r="AA45" i="20"/>
  <c r="K21" i="97"/>
  <c r="K23" i="97" s="1"/>
  <c r="K32" i="97"/>
  <c r="K164" i="97" s="1"/>
  <c r="K162" i="97" s="1"/>
  <c r="X85" i="22"/>
  <c r="X59" i="22"/>
  <c r="BA53" i="28"/>
  <c r="BF53" i="28"/>
  <c r="BK53" i="28"/>
  <c r="M116" i="97"/>
  <c r="M172" i="97" s="1"/>
  <c r="M171" i="97"/>
  <c r="M169" i="97" s="1"/>
  <c r="M75" i="97"/>
  <c r="M170" i="97" s="1"/>
  <c r="M177" i="97"/>
  <c r="M121" i="97"/>
  <c r="M80" i="97"/>
  <c r="M81" i="97" s="1"/>
  <c r="M179" i="97" s="1"/>
  <c r="BL127" i="29"/>
  <c r="BL130" i="29" s="1"/>
  <c r="BK170" i="29"/>
  <c r="DE27" i="28"/>
  <c r="DE40" i="28"/>
  <c r="DE41" i="28"/>
  <c r="DB131" i="29"/>
  <c r="DB132" i="29"/>
  <c r="DG126" i="29"/>
  <c r="DC126" i="29"/>
  <c r="DB74" i="28"/>
  <c r="F42" i="28"/>
  <c r="F29" i="28"/>
  <c r="K53" i="28" s="1"/>
  <c r="BK111" i="29"/>
  <c r="DM54" i="28"/>
  <c r="DM43" i="28"/>
  <c r="DO38" i="28"/>
  <c r="DO22" i="28"/>
  <c r="DO33" i="28"/>
  <c r="L46" i="20"/>
  <c r="L48" i="20"/>
  <c r="C48" i="20"/>
  <c r="C46" i="20"/>
  <c r="BX53" i="28"/>
  <c r="CC53" i="28"/>
  <c r="AY29" i="28"/>
  <c r="AY53" i="28" s="1"/>
  <c r="AY42" i="28"/>
  <c r="AG42" i="28"/>
  <c r="AG29" i="28"/>
  <c r="AT53" i="28"/>
  <c r="DL41" i="28"/>
  <c r="DL27" i="28"/>
  <c r="DL40" i="28"/>
  <c r="AB87" i="22"/>
  <c r="AB62" i="22"/>
  <c r="X29" i="28"/>
  <c r="X53" i="28" s="1"/>
  <c r="X42" i="28"/>
  <c r="DC33" i="28"/>
  <c r="DC22" i="28"/>
  <c r="DC38" i="28"/>
  <c r="DC52" i="28"/>
  <c r="DD52" i="28"/>
  <c r="AV53" i="28"/>
  <c r="DS17" i="28"/>
  <c r="R12" i="97"/>
  <c r="BJ11" i="22"/>
  <c r="BJ75" i="22" s="1"/>
  <c r="J150" i="97"/>
  <c r="J176" i="97" s="1"/>
  <c r="CU131" i="29"/>
  <c r="CQ131" i="29"/>
  <c r="Z33" i="20"/>
  <c r="Z16" i="20"/>
  <c r="Z17" i="20" s="1"/>
  <c r="Z13" i="20"/>
  <c r="DN12" i="28"/>
  <c r="DN14" i="28" s="1"/>
  <c r="BA67" i="17"/>
  <c r="BH131" i="29"/>
  <c r="BG176" i="29"/>
  <c r="BI130" i="29" s="1"/>
  <c r="O42" i="28"/>
  <c r="O29" i="28"/>
  <c r="CQ132" i="29"/>
  <c r="E48" i="20"/>
  <c r="E46" i="20"/>
  <c r="CZ38" i="28"/>
  <c r="CZ33" i="28"/>
  <c r="CZ22" i="28"/>
  <c r="CZ52" i="28"/>
  <c r="DA52" i="28"/>
  <c r="I53" i="28"/>
  <c r="J16" i="97"/>
  <c r="J26" i="97"/>
  <c r="J40" i="97" s="1"/>
  <c r="J31" i="97"/>
  <c r="J38" i="97"/>
  <c r="O70" i="20"/>
  <c r="O71" i="20" s="1"/>
  <c r="O73" i="20" s="1"/>
  <c r="O27" i="20"/>
  <c r="O28" i="20" s="1"/>
  <c r="O82" i="20"/>
  <c r="Z138" i="9"/>
  <c r="AU131" i="29"/>
  <c r="BW131" i="29"/>
  <c r="Y53" i="28"/>
  <c r="AD53" i="28"/>
  <c r="DG38" i="28"/>
  <c r="DG22" i="28"/>
  <c r="DG33" i="28"/>
  <c r="DG52" i="28"/>
  <c r="DH52" i="28"/>
  <c r="D174" i="97"/>
  <c r="D161" i="97"/>
  <c r="D150" i="97"/>
  <c r="D137" i="97"/>
  <c r="E174" i="97"/>
  <c r="L40" i="97"/>
  <c r="AE53" i="28"/>
  <c r="BI76" i="28"/>
  <c r="BH76" i="28"/>
  <c r="BF76" i="28"/>
  <c r="BG76" i="28"/>
  <c r="CH42" i="28"/>
  <c r="CH29" i="28"/>
  <c r="CQ130" i="29"/>
  <c r="F16" i="97"/>
  <c r="F26" i="97"/>
  <c r="F31" i="97"/>
  <c r="F38" i="97"/>
  <c r="G38" i="97"/>
  <c r="C96" i="97"/>
  <c r="C111" i="97"/>
  <c r="C106" i="97"/>
  <c r="H124" i="97"/>
  <c r="I83" i="97"/>
  <c r="BF74" i="22"/>
  <c r="AF10" i="118"/>
  <c r="AF13" i="118" s="1"/>
  <c r="AF79" i="118"/>
  <c r="AG76" i="118" s="1"/>
  <c r="AC46" i="118"/>
  <c r="AC3" i="118"/>
  <c r="AC6" i="118" s="1"/>
  <c r="AC181" i="118"/>
  <c r="AE18" i="118"/>
  <c r="AE21" i="118" s="1"/>
  <c r="AE101" i="118"/>
  <c r="AF98" i="118" s="1"/>
  <c r="CT32" i="28" l="1"/>
  <c r="CV32" i="28"/>
  <c r="CU32" i="28"/>
  <c r="CW32" i="28"/>
  <c r="W350" i="127"/>
  <c r="Y350" i="127" s="1"/>
  <c r="V91" i="129"/>
  <c r="V94" i="129"/>
  <c r="V95" i="129" s="1"/>
  <c r="J514" i="127"/>
  <c r="L514" i="127" s="1"/>
  <c r="L515" i="127" s="1"/>
  <c r="V49" i="129"/>
  <c r="AC264" i="129"/>
  <c r="AC265" i="129" s="1"/>
  <c r="AD238" i="129"/>
  <c r="AC252" i="129"/>
  <c r="AC253" i="129" s="1"/>
  <c r="AF68" i="118"/>
  <c r="AG65" i="118" s="1"/>
  <c r="AE22" i="118"/>
  <c r="J354" i="127"/>
  <c r="L354" i="127" s="1"/>
  <c r="X146" i="127"/>
  <c r="N147" i="127"/>
  <c r="P147" i="127" s="1"/>
  <c r="V147" i="127"/>
  <c r="X147" i="127" s="1"/>
  <c r="W147" i="127"/>
  <c r="Y147" i="127" s="1"/>
  <c r="AF14" i="118"/>
  <c r="J148" i="127"/>
  <c r="L148" i="127" s="1"/>
  <c r="W353" i="127"/>
  <c r="Y353" i="127" s="1"/>
  <c r="V353" i="127"/>
  <c r="X353" i="127" s="1"/>
  <c r="N353" i="127"/>
  <c r="P353" i="127" s="1"/>
  <c r="X126" i="127"/>
  <c r="X133" i="127"/>
  <c r="X125" i="127"/>
  <c r="V129" i="127"/>
  <c r="X132" i="127"/>
  <c r="Y126" i="127"/>
  <c r="Y133" i="127"/>
  <c r="N136" i="127"/>
  <c r="P136" i="127" s="1"/>
  <c r="N129" i="127"/>
  <c r="P129" i="127" s="1"/>
  <c r="Y132" i="127"/>
  <c r="Y125" i="127"/>
  <c r="AB53" i="28"/>
  <c r="L65" i="97"/>
  <c r="M79" i="97" s="1"/>
  <c r="L55" i="97"/>
  <c r="L70" i="97"/>
  <c r="CG29" i="28"/>
  <c r="CG53" i="28" s="1"/>
  <c r="G116" i="97"/>
  <c r="G121" i="97"/>
  <c r="G122" i="97" s="1"/>
  <c r="G75" i="97"/>
  <c r="G169" i="97"/>
  <c r="G177" i="97"/>
  <c r="G178" i="97" s="1"/>
  <c r="Z84" i="9"/>
  <c r="AG87" i="20"/>
  <c r="BQ53" i="28"/>
  <c r="I162" i="97"/>
  <c r="I142" i="97"/>
  <c r="I144" i="97" s="1"/>
  <c r="I175" i="97" s="1"/>
  <c r="AS53" i="28"/>
  <c r="BH64" i="28"/>
  <c r="AN17" i="22"/>
  <c r="T12" i="97"/>
  <c r="T51" i="97" s="1"/>
  <c r="T92" i="97" s="1"/>
  <c r="H101" i="97"/>
  <c r="H103" i="97" s="1"/>
  <c r="I119" i="97" s="1"/>
  <c r="H112" i="97"/>
  <c r="I60" i="97"/>
  <c r="I62" i="97" s="1"/>
  <c r="I78" i="97" s="1"/>
  <c r="I71" i="97"/>
  <c r="S12" i="97"/>
  <c r="X6" i="36"/>
  <c r="AT7" i="34"/>
  <c r="BK132" i="29"/>
  <c r="T133" i="97"/>
  <c r="H120" i="97"/>
  <c r="H79" i="97"/>
  <c r="R75" i="20"/>
  <c r="R77" i="20" s="1"/>
  <c r="U43" i="20"/>
  <c r="U82" i="20" s="1"/>
  <c r="U40" i="20"/>
  <c r="U45" i="20"/>
  <c r="DI33" i="28"/>
  <c r="DI22" i="28"/>
  <c r="DI38" i="28"/>
  <c r="DJ52" i="28"/>
  <c r="DI52" i="28"/>
  <c r="BN11" i="22"/>
  <c r="BN75" i="22" s="1"/>
  <c r="DU17" i="28"/>
  <c r="BL73" i="22"/>
  <c r="BL76" i="22" s="1"/>
  <c r="N53" i="28"/>
  <c r="AW53" i="28"/>
  <c r="BL81" i="22"/>
  <c r="BM95" i="17"/>
  <c r="BN55" i="22"/>
  <c r="BP55" i="22" s="1"/>
  <c r="X42" i="9"/>
  <c r="Z42" i="9" s="1"/>
  <c r="S52" i="20"/>
  <c r="K40" i="97"/>
  <c r="DA42" i="28"/>
  <c r="DA29" i="28"/>
  <c r="G60" i="97"/>
  <c r="G62" i="97" s="1"/>
  <c r="H78" i="97" s="1"/>
  <c r="G71" i="97"/>
  <c r="G112" i="97"/>
  <c r="G101" i="97"/>
  <c r="G103" i="97" s="1"/>
  <c r="H119" i="97" s="1"/>
  <c r="DH42" i="28"/>
  <c r="DH29" i="28"/>
  <c r="DF42" i="28"/>
  <c r="DF29" i="28"/>
  <c r="BC53" i="28"/>
  <c r="BH53" i="28"/>
  <c r="G142" i="97"/>
  <c r="G144" i="97" s="1"/>
  <c r="H175" i="97" s="1"/>
  <c r="G162" i="97"/>
  <c r="BK95" i="17"/>
  <c r="BJ81" i="22"/>
  <c r="CY29" i="28"/>
  <c r="CY42" i="28"/>
  <c r="AV40" i="22"/>
  <c r="AV80" i="22"/>
  <c r="BL53" i="28"/>
  <c r="P51" i="20"/>
  <c r="P49" i="20"/>
  <c r="F40" i="97"/>
  <c r="G40" i="97"/>
  <c r="D176" i="97"/>
  <c r="E176" i="97"/>
  <c r="DG43" i="28"/>
  <c r="DG54" i="28"/>
  <c r="DH54" i="28"/>
  <c r="H116" i="97"/>
  <c r="H169" i="97"/>
  <c r="H80" i="97"/>
  <c r="H81" i="97" s="1"/>
  <c r="H75" i="97"/>
  <c r="H177" i="97"/>
  <c r="H178" i="97" s="1"/>
  <c r="H121" i="97"/>
  <c r="H122" i="97" s="1"/>
  <c r="Z34" i="20"/>
  <c r="Z39" i="20"/>
  <c r="DO41" i="28"/>
  <c r="DO40" i="28"/>
  <c r="DO27" i="28"/>
  <c r="DC74" i="28"/>
  <c r="M122" i="97"/>
  <c r="M181" i="97" s="1"/>
  <c r="M180" i="97"/>
  <c r="M178" i="97" s="1"/>
  <c r="M168" i="97" s="1"/>
  <c r="BB10" i="22"/>
  <c r="AA46" i="20"/>
  <c r="AA48" i="20"/>
  <c r="AA57" i="20"/>
  <c r="BC69" i="17"/>
  <c r="DD29" i="28"/>
  <c r="DD42" i="28"/>
  <c r="AX17" i="22"/>
  <c r="CK64" i="28"/>
  <c r="H49" i="20"/>
  <c r="G49" i="20"/>
  <c r="AL87" i="22"/>
  <c r="AL88" i="22" s="1"/>
  <c r="AL62" i="22"/>
  <c r="AC53" i="28"/>
  <c r="AH53" i="28"/>
  <c r="K71" i="97"/>
  <c r="K163" i="97" s="1"/>
  <c r="K60" i="97"/>
  <c r="K62" i="97" s="1"/>
  <c r="F106" i="97"/>
  <c r="F96" i="97"/>
  <c r="F111" i="97"/>
  <c r="F118" i="97"/>
  <c r="G118" i="97"/>
  <c r="J83" i="97"/>
  <c r="I124" i="97"/>
  <c r="C112" i="97"/>
  <c r="C101" i="97"/>
  <c r="C103" i="97" s="1"/>
  <c r="D142" i="97"/>
  <c r="D144" i="97" s="1"/>
  <c r="D162" i="97"/>
  <c r="J21" i="97"/>
  <c r="J23" i="97" s="1"/>
  <c r="J39" i="97" s="1"/>
  <c r="J32" i="97"/>
  <c r="CZ43" i="28"/>
  <c r="CZ54" i="28"/>
  <c r="DA54" i="28"/>
  <c r="O53" i="28"/>
  <c r="T53" i="28"/>
  <c r="R51" i="97"/>
  <c r="R133" i="97"/>
  <c r="DC43" i="28"/>
  <c r="DC54" i="28"/>
  <c r="DD54" i="28"/>
  <c r="DG131" i="29"/>
  <c r="DC131" i="29"/>
  <c r="DE42" i="28"/>
  <c r="DE29" i="28"/>
  <c r="BJ40" i="29"/>
  <c r="BJ43" i="29"/>
  <c r="BJ42" i="29"/>
  <c r="BJ41" i="29"/>
  <c r="P28" i="20"/>
  <c r="Q92" i="97"/>
  <c r="C142" i="97"/>
  <c r="C144" i="97" s="1"/>
  <c r="C162" i="97"/>
  <c r="AR80" i="22"/>
  <c r="AR40" i="22"/>
  <c r="V87" i="22"/>
  <c r="V62" i="22"/>
  <c r="Z119" i="9"/>
  <c r="Z126" i="9"/>
  <c r="CA53" i="28"/>
  <c r="BD53" i="28"/>
  <c r="BI53" i="28"/>
  <c r="W48" i="20"/>
  <c r="AU69" i="17"/>
  <c r="AT10" i="22"/>
  <c r="AT17" i="22" s="1"/>
  <c r="W57" i="20"/>
  <c r="W46" i="20"/>
  <c r="AF40" i="22"/>
  <c r="AF80" i="22"/>
  <c r="DJ16" i="28"/>
  <c r="W27" i="20"/>
  <c r="W51" i="20" s="1"/>
  <c r="V28" i="20"/>
  <c r="V51" i="20"/>
  <c r="Q75" i="20"/>
  <c r="Q77" i="20" s="1"/>
  <c r="K79" i="97"/>
  <c r="L79" i="97"/>
  <c r="CF53" i="28"/>
  <c r="K52" i="20"/>
  <c r="F70" i="97"/>
  <c r="F65" i="97"/>
  <c r="F55" i="97"/>
  <c r="F77" i="97"/>
  <c r="G77" i="97"/>
  <c r="D101" i="97"/>
  <c r="D103" i="97" s="1"/>
  <c r="D112" i="97"/>
  <c r="Q49" i="20"/>
  <c r="R49" i="20"/>
  <c r="Q51" i="20"/>
  <c r="AZ73" i="22"/>
  <c r="AZ76" i="22" s="1"/>
  <c r="J162" i="97"/>
  <c r="J142" i="97"/>
  <c r="J144" i="97" s="1"/>
  <c r="J60" i="97"/>
  <c r="J62" i="97" s="1"/>
  <c r="J71" i="97"/>
  <c r="BL131" i="29"/>
  <c r="BK176" i="29"/>
  <c r="N40" i="97"/>
  <c r="F21" i="97"/>
  <c r="F23" i="97" s="1"/>
  <c r="F32" i="97"/>
  <c r="DG27" i="28"/>
  <c r="DG40" i="28"/>
  <c r="DG41" i="28"/>
  <c r="CZ41" i="28"/>
  <c r="CZ27" i="28"/>
  <c r="CZ40" i="28"/>
  <c r="E49" i="20"/>
  <c r="F49" i="20"/>
  <c r="DN19" i="28"/>
  <c r="DN36" i="28"/>
  <c r="BJ73" i="22"/>
  <c r="BJ76" i="22" s="1"/>
  <c r="C49" i="20"/>
  <c r="D49" i="20"/>
  <c r="L49" i="20"/>
  <c r="L51" i="20"/>
  <c r="L52" i="20" s="1"/>
  <c r="DO76" i="28"/>
  <c r="AA82" i="20"/>
  <c r="P75" i="20"/>
  <c r="P77" i="20" s="1"/>
  <c r="DK27" i="28"/>
  <c r="DK40" i="28"/>
  <c r="DK41" i="28"/>
  <c r="DK54" i="28"/>
  <c r="DK43" i="28"/>
  <c r="N96" i="97"/>
  <c r="N111" i="97"/>
  <c r="N106" i="97"/>
  <c r="N118" i="97"/>
  <c r="W82" i="20"/>
  <c r="DK76" i="28"/>
  <c r="O49" i="20"/>
  <c r="O51" i="20"/>
  <c r="O52" i="20" s="1"/>
  <c r="D60" i="97"/>
  <c r="D62" i="97" s="1"/>
  <c r="D71" i="97"/>
  <c r="Z139" i="9"/>
  <c r="Z132" i="9"/>
  <c r="D21" i="97"/>
  <c r="D23" i="97" s="1"/>
  <c r="D32" i="97"/>
  <c r="D120" i="97"/>
  <c r="E120" i="97"/>
  <c r="N21" i="97"/>
  <c r="N23" i="97" s="1"/>
  <c r="N39" i="97" s="1"/>
  <c r="N32" i="97"/>
  <c r="N164" i="97" s="1"/>
  <c r="N162" i="97" s="1"/>
  <c r="K120" i="97"/>
  <c r="L120" i="97"/>
  <c r="DL54" i="28"/>
  <c r="AK85" i="22"/>
  <c r="J112" i="97"/>
  <c r="J101" i="97"/>
  <c r="J103" i="97" s="1"/>
  <c r="J119" i="97" s="1"/>
  <c r="AH40" i="22"/>
  <c r="AH80" i="22"/>
  <c r="K112" i="97"/>
  <c r="K165" i="97" s="1"/>
  <c r="K101" i="97"/>
  <c r="K103" i="97" s="1"/>
  <c r="CH53" i="28"/>
  <c r="O75" i="20"/>
  <c r="O77" i="20" s="1"/>
  <c r="DC40" i="28"/>
  <c r="DC41" i="28"/>
  <c r="DC27" i="28"/>
  <c r="DL29" i="28"/>
  <c r="DL42" i="28"/>
  <c r="AG53" i="28"/>
  <c r="AL53" i="28"/>
  <c r="BB74" i="36"/>
  <c r="BB77" i="36" s="1"/>
  <c r="BB78" i="36" s="1"/>
  <c r="DO43" i="28"/>
  <c r="DG132" i="29"/>
  <c r="DC132" i="29"/>
  <c r="X62" i="22"/>
  <c r="X87" i="22"/>
  <c r="K39" i="97"/>
  <c r="L39" i="97"/>
  <c r="AJ80" i="22"/>
  <c r="AJ40" i="22"/>
  <c r="C71" i="97"/>
  <c r="C60" i="97"/>
  <c r="C62" i="97" s="1"/>
  <c r="M60" i="97"/>
  <c r="M62" i="97" s="1"/>
  <c r="M71" i="97"/>
  <c r="M163" i="97" s="1"/>
  <c r="K116" i="97"/>
  <c r="K172" i="97" s="1"/>
  <c r="K171" i="97"/>
  <c r="K169" i="97" s="1"/>
  <c r="K75" i="97"/>
  <c r="K170" i="97" s="1"/>
  <c r="K121" i="97"/>
  <c r="K80" i="97"/>
  <c r="K81" i="97" s="1"/>
  <c r="K179" i="97" s="1"/>
  <c r="K177" i="97"/>
  <c r="V60" i="22"/>
  <c r="X58" i="22" s="1"/>
  <c r="X60" i="22" s="1"/>
  <c r="I51" i="20"/>
  <c r="J52" i="20" s="1"/>
  <c r="I49" i="20"/>
  <c r="I52" i="20" s="1"/>
  <c r="S49" i="20"/>
  <c r="T49" i="20"/>
  <c r="DM42" i="28"/>
  <c r="DM29" i="28"/>
  <c r="BN42" i="29"/>
  <c r="BN43" i="29"/>
  <c r="BN40" i="29"/>
  <c r="BN41" i="29"/>
  <c r="Q28" i="20"/>
  <c r="AD87" i="22"/>
  <c r="AD62" i="22"/>
  <c r="D79" i="97"/>
  <c r="E79" i="97"/>
  <c r="N65" i="97"/>
  <c r="N77" i="97"/>
  <c r="N70" i="97"/>
  <c r="N55" i="97"/>
  <c r="BH74" i="22"/>
  <c r="D40" i="97"/>
  <c r="E40" i="97"/>
  <c r="BZ53" i="28"/>
  <c r="CE53" i="28"/>
  <c r="F137" i="97"/>
  <c r="F161" i="97"/>
  <c r="F174" i="97"/>
  <c r="G174" i="97"/>
  <c r="F150" i="97"/>
  <c r="BC17" i="17"/>
  <c r="BC16" i="17" s="1"/>
  <c r="BA16" i="17"/>
  <c r="M101" i="97"/>
  <c r="M103" i="97" s="1"/>
  <c r="M119" i="97" s="1"/>
  <c r="M112" i="97"/>
  <c r="M165" i="97" s="1"/>
  <c r="AF18" i="118"/>
  <c r="AF21" i="118" s="1"/>
  <c r="AF101" i="118"/>
  <c r="AG98" i="118" s="1"/>
  <c r="AD43" i="118"/>
  <c r="AC184" i="118"/>
  <c r="AG79" i="118"/>
  <c r="AH76" i="118" s="1"/>
  <c r="AG10" i="118"/>
  <c r="AG13" i="118" s="1"/>
  <c r="W129" i="129" s="1"/>
  <c r="BQ95" i="17" l="1"/>
  <c r="BP81" i="22"/>
  <c r="V514" i="127"/>
  <c r="X514" i="127" s="1"/>
  <c r="W514" i="127"/>
  <c r="Y514" i="127" s="1"/>
  <c r="N514" i="127"/>
  <c r="P514" i="127" s="1"/>
  <c r="W46" i="129"/>
  <c r="V50" i="129"/>
  <c r="V63" i="129"/>
  <c r="V64" i="129" s="1"/>
  <c r="X126" i="129"/>
  <c r="W130" i="129"/>
  <c r="W142" i="129"/>
  <c r="W143" i="129" s="1"/>
  <c r="AD264" i="129"/>
  <c r="AD265" i="129" s="1"/>
  <c r="AE238" i="129"/>
  <c r="AD252" i="129"/>
  <c r="AD253" i="129" s="1"/>
  <c r="AG14" i="118"/>
  <c r="J149" i="127"/>
  <c r="L149" i="127" s="1"/>
  <c r="W354" i="127"/>
  <c r="Y354" i="127" s="1"/>
  <c r="N354" i="127"/>
  <c r="P354" i="127" s="1"/>
  <c r="V354" i="127"/>
  <c r="X354" i="127" s="1"/>
  <c r="AF22" i="118"/>
  <c r="J355" i="127"/>
  <c r="L355" i="127" s="1"/>
  <c r="W515" i="127"/>
  <c r="Y515" i="127" s="1"/>
  <c r="N515" i="127"/>
  <c r="P515" i="127" s="1"/>
  <c r="V515" i="127"/>
  <c r="X515" i="127" s="1"/>
  <c r="V148" i="127"/>
  <c r="W148" i="127"/>
  <c r="Y148" i="127" s="1"/>
  <c r="N148" i="127"/>
  <c r="P148" i="127" s="1"/>
  <c r="L150" i="127"/>
  <c r="AG68" i="118"/>
  <c r="AH65" i="118" s="1"/>
  <c r="X129" i="127"/>
  <c r="X136" i="127"/>
  <c r="Y136" i="127"/>
  <c r="Y129" i="127"/>
  <c r="L71" i="97"/>
  <c r="L163" i="97" s="1"/>
  <c r="L60" i="97"/>
  <c r="L62" i="97" s="1"/>
  <c r="M78" i="97" s="1"/>
  <c r="DU32" i="28"/>
  <c r="AH87" i="20"/>
  <c r="DV32" i="28" s="1"/>
  <c r="J78" i="97"/>
  <c r="J175" i="97"/>
  <c r="S133" i="97"/>
  <c r="S51" i="97"/>
  <c r="S92" i="97" s="1"/>
  <c r="AN80" i="22"/>
  <c r="AN40" i="22"/>
  <c r="AX7" i="34"/>
  <c r="Z6" i="36"/>
  <c r="BL74" i="22"/>
  <c r="DI43" i="28"/>
  <c r="DJ54" i="28"/>
  <c r="DI54" i="28"/>
  <c r="AQ69" i="17"/>
  <c r="U48" i="20"/>
  <c r="AP10" i="22"/>
  <c r="U57" i="20"/>
  <c r="U46" i="20"/>
  <c r="U51" i="20"/>
  <c r="U52" i="20" s="1"/>
  <c r="DI41" i="28"/>
  <c r="DI27" i="28"/>
  <c r="DI40" i="28"/>
  <c r="BN73" i="22"/>
  <c r="BN76" i="22" s="1"/>
  <c r="BO95" i="17"/>
  <c r="BN81" i="22"/>
  <c r="X49" i="9"/>
  <c r="W52" i="20"/>
  <c r="AV85" i="22"/>
  <c r="AV86" i="22" s="1"/>
  <c r="AV59" i="22"/>
  <c r="BE17" i="17"/>
  <c r="CZ29" i="28"/>
  <c r="CZ42" i="28"/>
  <c r="F120" i="97"/>
  <c r="G120" i="97"/>
  <c r="F176" i="97"/>
  <c r="G176" i="97"/>
  <c r="F142" i="97"/>
  <c r="F144" i="97" s="1"/>
  <c r="F162" i="97"/>
  <c r="N71" i="97"/>
  <c r="N163" i="97" s="1"/>
  <c r="N60" i="97"/>
  <c r="N62" i="97" s="1"/>
  <c r="BO40" i="29"/>
  <c r="BN45" i="29"/>
  <c r="BP40" i="29"/>
  <c r="BN44" i="29"/>
  <c r="BT40" i="29"/>
  <c r="BN46" i="29"/>
  <c r="D78" i="97"/>
  <c r="E78" i="97"/>
  <c r="N112" i="97"/>
  <c r="N165" i="97" s="1"/>
  <c r="N101" i="97"/>
  <c r="N103" i="97" s="1"/>
  <c r="BJ74" i="22"/>
  <c r="F39" i="97"/>
  <c r="G39" i="97"/>
  <c r="Q52" i="20"/>
  <c r="R52" i="20"/>
  <c r="F60" i="97"/>
  <c r="F62" i="97" s="1"/>
  <c r="F71" i="97"/>
  <c r="DK16" i="28"/>
  <c r="X27" i="20"/>
  <c r="W28" i="20"/>
  <c r="BK42" i="29"/>
  <c r="BM42" i="29"/>
  <c r="K78" i="97"/>
  <c r="L78" i="97"/>
  <c r="DD74" i="28"/>
  <c r="N79" i="97"/>
  <c r="DM53" i="28"/>
  <c r="DC29" i="28"/>
  <c r="DC53" i="28" s="1"/>
  <c r="DC42" i="28"/>
  <c r="DN22" i="28"/>
  <c r="DN38" i="28"/>
  <c r="DN33" i="28"/>
  <c r="DN52" i="28"/>
  <c r="DO52" i="28"/>
  <c r="AF85" i="22"/>
  <c r="AF86" i="22" s="1"/>
  <c r="AF59" i="22"/>
  <c r="BM41" i="29"/>
  <c r="BK41" i="29"/>
  <c r="BB17" i="22"/>
  <c r="CM64" i="28"/>
  <c r="BT43" i="29"/>
  <c r="BO43" i="29"/>
  <c r="BP43" i="29"/>
  <c r="K122" i="97"/>
  <c r="K181" i="97" s="1"/>
  <c r="K180" i="97"/>
  <c r="K178" i="97" s="1"/>
  <c r="K168" i="97" s="1"/>
  <c r="K127" i="97" s="1"/>
  <c r="BN76" i="28"/>
  <c r="BK76" i="28"/>
  <c r="BL76" i="28"/>
  <c r="BM76" i="28"/>
  <c r="DG42" i="28"/>
  <c r="DG29" i="28"/>
  <c r="D119" i="97"/>
  <c r="E119" i="97"/>
  <c r="F79" i="97"/>
  <c r="G79" i="97"/>
  <c r="W49" i="20"/>
  <c r="X49" i="20"/>
  <c r="AR59" i="22"/>
  <c r="AR85" i="22"/>
  <c r="AR86" i="22" s="1"/>
  <c r="BM43" i="29"/>
  <c r="BK43" i="29"/>
  <c r="DE53" i="28"/>
  <c r="DF53" i="28"/>
  <c r="DO42" i="28"/>
  <c r="DO29" i="28"/>
  <c r="P52" i="20"/>
  <c r="BP41" i="29"/>
  <c r="BO41" i="29"/>
  <c r="BT41" i="29"/>
  <c r="AH59" i="22"/>
  <c r="AH85" i="22"/>
  <c r="AH86" i="22" s="1"/>
  <c r="D175" i="97"/>
  <c r="E175" i="97"/>
  <c r="AX40" i="22"/>
  <c r="AX80" i="22"/>
  <c r="BT42" i="29"/>
  <c r="BO42" i="29"/>
  <c r="BP42" i="29"/>
  <c r="Y9" i="17"/>
  <c r="Z58" i="22"/>
  <c r="Z60" i="22" s="1"/>
  <c r="AJ85" i="22"/>
  <c r="AJ86" i="22" s="1"/>
  <c r="AJ59" i="22"/>
  <c r="K119" i="97"/>
  <c r="L119" i="97"/>
  <c r="D39" i="97"/>
  <c r="E39" i="97"/>
  <c r="N120" i="97"/>
  <c r="DK42" i="28"/>
  <c r="DK29" i="28"/>
  <c r="DK53" i="28" s="1"/>
  <c r="AZ74" i="22"/>
  <c r="AT40" i="22"/>
  <c r="AT80" i="22"/>
  <c r="BJ44" i="29"/>
  <c r="BK44" i="29" s="1"/>
  <c r="BJ46" i="29"/>
  <c r="BK46" i="29" s="1"/>
  <c r="BK40" i="29"/>
  <c r="BJ45" i="29"/>
  <c r="BK45" i="29" s="1"/>
  <c r="BM40" i="29"/>
  <c r="R92" i="97"/>
  <c r="J124" i="97"/>
  <c r="K83" i="97"/>
  <c r="F101" i="97"/>
  <c r="F103" i="97" s="1"/>
  <c r="F112" i="97"/>
  <c r="Z43" i="20"/>
  <c r="Z40" i="20"/>
  <c r="Z45" i="20"/>
  <c r="AD46" i="118"/>
  <c r="AD181" i="118"/>
  <c r="AD3" i="118"/>
  <c r="AD6" i="118" s="1"/>
  <c r="AG101" i="118"/>
  <c r="AH98" i="118" s="1"/>
  <c r="AG18" i="118"/>
  <c r="AG21" i="118" s="1"/>
  <c r="W89" i="129" s="1"/>
  <c r="AH79" i="118"/>
  <c r="AI76" i="118" s="1"/>
  <c r="AH10" i="118"/>
  <c r="AH13" i="118" s="1"/>
  <c r="X86" i="129" l="1"/>
  <c r="W103" i="129"/>
  <c r="W104" i="129" s="1"/>
  <c r="W90" i="129"/>
  <c r="V51" i="129"/>
  <c r="V54" i="129"/>
  <c r="V55" i="129" s="1"/>
  <c r="W131" i="129"/>
  <c r="W133" i="129"/>
  <c r="W134" i="129" s="1"/>
  <c r="AE264" i="129"/>
  <c r="AE265" i="129" s="1"/>
  <c r="AF238" i="129"/>
  <c r="AE252" i="129"/>
  <c r="AE253" i="129" s="1"/>
  <c r="AG22" i="118"/>
  <c r="J356" i="127"/>
  <c r="L356" i="127" s="1"/>
  <c r="L357" i="127" s="1"/>
  <c r="AH14" i="118"/>
  <c r="J153" i="127"/>
  <c r="L153" i="127" s="1"/>
  <c r="AD7" i="118"/>
  <c r="J518" i="127"/>
  <c r="L518" i="127" s="1"/>
  <c r="AH68" i="118"/>
  <c r="AI65" i="118" s="1"/>
  <c r="X148" i="127"/>
  <c r="V355" i="127"/>
  <c r="X355" i="127" s="1"/>
  <c r="W355" i="127"/>
  <c r="Y355" i="127" s="1"/>
  <c r="N355" i="127"/>
  <c r="P355" i="127" s="1"/>
  <c r="N150" i="127"/>
  <c r="P150" i="127" s="1"/>
  <c r="W150" i="127"/>
  <c r="Y150" i="127" s="1"/>
  <c r="V149" i="127"/>
  <c r="X149" i="127" s="1"/>
  <c r="N149" i="127"/>
  <c r="P149" i="127" s="1"/>
  <c r="W149" i="127"/>
  <c r="Y149" i="127" s="1"/>
  <c r="DD53" i="28"/>
  <c r="AN85" i="22"/>
  <c r="AN86" i="22" s="1"/>
  <c r="AN59" i="22"/>
  <c r="AB6" i="36"/>
  <c r="BB7" i="34"/>
  <c r="V52" i="20"/>
  <c r="AP17" i="22"/>
  <c r="BI64" i="28"/>
  <c r="BN74" i="22"/>
  <c r="U49" i="20"/>
  <c r="V49" i="20"/>
  <c r="DI42" i="28"/>
  <c r="DI29" i="28"/>
  <c r="Z49" i="9"/>
  <c r="Z56" i="9"/>
  <c r="AV62" i="22"/>
  <c r="AV87" i="22"/>
  <c r="AV88" i="22" s="1"/>
  <c r="DL53" i="28"/>
  <c r="L83" i="97"/>
  <c r="K124" i="97"/>
  <c r="AT59" i="22"/>
  <c r="AT85" i="22"/>
  <c r="AT86" i="22" s="1"/>
  <c r="AB58" i="22"/>
  <c r="AB60" i="22" s="1"/>
  <c r="AA9" i="17"/>
  <c r="DC45" i="28"/>
  <c r="DC35" i="28"/>
  <c r="F78" i="97"/>
  <c r="G78" i="97"/>
  <c r="Z82" i="20"/>
  <c r="DN76" i="28"/>
  <c r="AJ87" i="22"/>
  <c r="AJ88" i="22" s="1"/>
  <c r="AJ62" i="22"/>
  <c r="Y81" i="17"/>
  <c r="X61" i="22"/>
  <c r="Y82" i="17"/>
  <c r="Y14" i="17"/>
  <c r="Y22" i="17" s="1"/>
  <c r="BB40" i="22"/>
  <c r="BB80" i="22"/>
  <c r="DN40" i="28"/>
  <c r="DN27" i="28"/>
  <c r="DN41" i="28"/>
  <c r="DE74" i="28"/>
  <c r="DL16" i="28"/>
  <c r="X28" i="20"/>
  <c r="Y27" i="20"/>
  <c r="X51" i="20"/>
  <c r="X52" i="20" s="1"/>
  <c r="BP46" i="29"/>
  <c r="BO46" i="29"/>
  <c r="BT46" i="29"/>
  <c r="BT45" i="29"/>
  <c r="BP45" i="29"/>
  <c r="BO45" i="29"/>
  <c r="AH62" i="22"/>
  <c r="AH87" i="22"/>
  <c r="AH88" i="22" s="1"/>
  <c r="N119" i="97"/>
  <c r="L127" i="97"/>
  <c r="K131" i="97"/>
  <c r="K129" i="97" s="1"/>
  <c r="K132" i="97"/>
  <c r="K173" i="97" s="1"/>
  <c r="Z46" i="20"/>
  <c r="BA69" i="17"/>
  <c r="Z48" i="20"/>
  <c r="AZ10" i="22"/>
  <c r="Z57" i="20"/>
  <c r="F119" i="97"/>
  <c r="G119" i="97"/>
  <c r="AX59" i="22"/>
  <c r="AX85" i="22"/>
  <c r="AX86" i="22" s="1"/>
  <c r="AR87" i="22"/>
  <c r="AR88" i="22" s="1"/>
  <c r="AR62" i="22"/>
  <c r="DG53" i="28"/>
  <c r="DH53" i="28"/>
  <c r="AF62" i="22"/>
  <c r="AF87" i="22"/>
  <c r="AF88" i="22" s="1"/>
  <c r="DN43" i="28"/>
  <c r="DN54" i="28"/>
  <c r="DO54" i="28"/>
  <c r="BP44" i="29"/>
  <c r="BO44" i="29"/>
  <c r="BT44" i="29"/>
  <c r="N78" i="97"/>
  <c r="F175" i="97"/>
  <c r="G175" i="97"/>
  <c r="AH101" i="118"/>
  <c r="AI98" i="118" s="1"/>
  <c r="AH18" i="118"/>
  <c r="AH21" i="118" s="1"/>
  <c r="AI79" i="118"/>
  <c r="AJ76" i="118" s="1"/>
  <c r="AI10" i="118"/>
  <c r="AI13" i="118" s="1"/>
  <c r="AD184" i="118"/>
  <c r="AE43" i="118"/>
  <c r="W91" i="129" l="1"/>
  <c r="W94" i="129"/>
  <c r="W95" i="129" s="1"/>
  <c r="AF264" i="129"/>
  <c r="AF265" i="129" s="1"/>
  <c r="AG238" i="129"/>
  <c r="AF252" i="129"/>
  <c r="AF253" i="129" s="1"/>
  <c r="V150" i="127"/>
  <c r="X150" i="127" s="1"/>
  <c r="W153" i="127"/>
  <c r="Y153" i="127" s="1"/>
  <c r="V153" i="127"/>
  <c r="N153" i="127"/>
  <c r="P153" i="127" s="1"/>
  <c r="AI14" i="118"/>
  <c r="J154" i="127"/>
  <c r="L154" i="127" s="1"/>
  <c r="AI68" i="118"/>
  <c r="AJ65" i="118" s="1"/>
  <c r="V357" i="127"/>
  <c r="X357" i="127" s="1"/>
  <c r="N357" i="127"/>
  <c r="P357" i="127" s="1"/>
  <c r="W357" i="127"/>
  <c r="W518" i="127"/>
  <c r="Y518" i="127" s="1"/>
  <c r="V518" i="127"/>
  <c r="X518" i="127" s="1"/>
  <c r="N518" i="127"/>
  <c r="P518" i="127" s="1"/>
  <c r="W356" i="127"/>
  <c r="Y356" i="127" s="1"/>
  <c r="V356" i="127"/>
  <c r="X356" i="127" s="1"/>
  <c r="N356" i="127"/>
  <c r="P356" i="127" s="1"/>
  <c r="AH22" i="118"/>
  <c r="J360" i="127"/>
  <c r="L360" i="127" s="1"/>
  <c r="AN87" i="22"/>
  <c r="AN88" i="22" s="1"/>
  <c r="AN62" i="22"/>
  <c r="BF7" i="34"/>
  <c r="AD6" i="36"/>
  <c r="DJ53" i="28"/>
  <c r="DI53" i="28"/>
  <c r="AP40" i="22"/>
  <c r="AP80" i="22"/>
  <c r="Z49" i="20"/>
  <c r="AA49" i="20"/>
  <c r="L132" i="97"/>
  <c r="L173" i="97" s="1"/>
  <c r="M127" i="97"/>
  <c r="L131" i="97"/>
  <c r="DD45" i="28"/>
  <c r="DD35" i="28"/>
  <c r="Z27" i="20"/>
  <c r="DM16" i="28"/>
  <c r="Y28" i="20"/>
  <c r="Y51" i="20"/>
  <c r="Y52" i="20" s="1"/>
  <c r="BB59" i="22"/>
  <c r="BB85" i="22"/>
  <c r="BB86" i="22" s="1"/>
  <c r="AA81" i="17"/>
  <c r="Z61" i="22"/>
  <c r="AA82" i="17"/>
  <c r="AA14" i="17"/>
  <c r="AA22" i="17" s="1"/>
  <c r="M83" i="97"/>
  <c r="L124" i="97"/>
  <c r="AX87" i="22"/>
  <c r="AX88" i="22" s="1"/>
  <c r="AX62" i="22"/>
  <c r="Y79" i="17"/>
  <c r="Y60" i="17"/>
  <c r="Y61" i="17" s="1"/>
  <c r="AC9" i="17"/>
  <c r="AD58" i="22"/>
  <c r="AD60" i="22" s="1"/>
  <c r="AT87" i="22"/>
  <c r="AT88" i="22" s="1"/>
  <c r="AT62" i="22"/>
  <c r="CL64" i="28"/>
  <c r="AZ17" i="22"/>
  <c r="K134" i="97"/>
  <c r="DF75" i="28"/>
  <c r="DN42" i="28"/>
  <c r="DN29" i="28"/>
  <c r="AJ10" i="118"/>
  <c r="AJ13" i="118" s="1"/>
  <c r="AJ79" i="118"/>
  <c r="AK76" i="118" s="1"/>
  <c r="AE46" i="118"/>
  <c r="AE3" i="118"/>
  <c r="AE6" i="118" s="1"/>
  <c r="AE181" i="118"/>
  <c r="AI101" i="118"/>
  <c r="AJ98" i="118" s="1"/>
  <c r="AI18" i="118"/>
  <c r="AI21" i="118" s="1"/>
  <c r="AH238" i="129" l="1"/>
  <c r="AG264" i="129"/>
  <c r="AG265" i="129" s="1"/>
  <c r="AG252" i="129"/>
  <c r="AG253" i="129" s="1"/>
  <c r="AI22" i="118"/>
  <c r="J361" i="127"/>
  <c r="L361" i="127" s="1"/>
  <c r="W360" i="127"/>
  <c r="Y360" i="127" s="1"/>
  <c r="V360" i="127"/>
  <c r="X360" i="127" s="1"/>
  <c r="N360" i="127"/>
  <c r="P360" i="127" s="1"/>
  <c r="AJ14" i="118"/>
  <c r="J155" i="127"/>
  <c r="L155" i="127" s="1"/>
  <c r="Y357" i="127"/>
  <c r="AJ68" i="118"/>
  <c r="AK65" i="118" s="1"/>
  <c r="X153" i="127"/>
  <c r="W154" i="127"/>
  <c r="Y154" i="127" s="1"/>
  <c r="N154" i="127"/>
  <c r="P154" i="127" s="1"/>
  <c r="V154" i="127"/>
  <c r="X154" i="127" s="1"/>
  <c r="AE7" i="118"/>
  <c r="J519" i="127"/>
  <c r="L519" i="127" s="1"/>
  <c r="BJ7" i="34"/>
  <c r="AF6" i="36"/>
  <c r="AP85" i="22"/>
  <c r="AP86" i="22" s="1"/>
  <c r="AP59" i="22"/>
  <c r="L134" i="97"/>
  <c r="L161" i="97" s="1"/>
  <c r="L129" i="97"/>
  <c r="DN53" i="28"/>
  <c r="DO53" i="28"/>
  <c r="DG75" i="28"/>
  <c r="AB61" i="22"/>
  <c r="AC81" i="17"/>
  <c r="AC82" i="17"/>
  <c r="AC14" i="17"/>
  <c r="AC22" i="17" s="1"/>
  <c r="M124" i="97"/>
  <c r="BB62" i="22"/>
  <c r="BB87" i="22"/>
  <c r="BB88" i="22" s="1"/>
  <c r="AA27" i="20"/>
  <c r="DN16" i="28"/>
  <c r="Z28" i="20"/>
  <c r="Z51" i="20"/>
  <c r="Z52" i="20" s="1"/>
  <c r="N127" i="97"/>
  <c r="M131" i="97"/>
  <c r="M132" i="97"/>
  <c r="M173" i="97" s="1"/>
  <c r="K174" i="97"/>
  <c r="K161" i="97"/>
  <c r="K137" i="97"/>
  <c r="K150" i="97"/>
  <c r="K176" i="97" s="1"/>
  <c r="AA79" i="17"/>
  <c r="AA60" i="17"/>
  <c r="AA61" i="17" s="1"/>
  <c r="DE45" i="28"/>
  <c r="DE35" i="28"/>
  <c r="AZ80" i="22"/>
  <c r="AZ40" i="22"/>
  <c r="AE9" i="17"/>
  <c r="AF58" i="22"/>
  <c r="AF60" i="22" s="1"/>
  <c r="AF43" i="118"/>
  <c r="AE184" i="118"/>
  <c r="AJ101" i="118"/>
  <c r="AK98" i="118" s="1"/>
  <c r="AJ18" i="118"/>
  <c r="AJ21" i="118" s="1"/>
  <c r="AK79" i="118"/>
  <c r="AL76" i="118" s="1"/>
  <c r="AK10" i="118"/>
  <c r="AK13" i="118" s="1"/>
  <c r="X129" i="129" s="1"/>
  <c r="Y126" i="129" l="1"/>
  <c r="X142" i="129"/>
  <c r="X143" i="129" s="1"/>
  <c r="X130" i="129"/>
  <c r="AL238" i="129"/>
  <c r="AH264" i="129"/>
  <c r="AH252" i="129"/>
  <c r="AH253" i="129" s="1"/>
  <c r="AJ22" i="118"/>
  <c r="J362" i="127"/>
  <c r="L362" i="127" s="1"/>
  <c r="AK14" i="118"/>
  <c r="J156" i="127"/>
  <c r="L156" i="127" s="1"/>
  <c r="W155" i="127"/>
  <c r="Y155" i="127" s="1"/>
  <c r="N155" i="127"/>
  <c r="P155" i="127" s="1"/>
  <c r="V155" i="127"/>
  <c r="X155" i="127" s="1"/>
  <c r="N519" i="127"/>
  <c r="P519" i="127" s="1"/>
  <c r="W519" i="127"/>
  <c r="Y519" i="127" s="1"/>
  <c r="V519" i="127"/>
  <c r="X519" i="127" s="1"/>
  <c r="AK68" i="118"/>
  <c r="AL65" i="118" s="1"/>
  <c r="W361" i="127"/>
  <c r="Y361" i="127" s="1"/>
  <c r="N361" i="127"/>
  <c r="P361" i="127" s="1"/>
  <c r="V361" i="127"/>
  <c r="X361" i="127" s="1"/>
  <c r="BN7" i="34"/>
  <c r="AH6" i="36"/>
  <c r="L137" i="97"/>
  <c r="L139" i="97" s="1"/>
  <c r="L142" i="97" s="1"/>
  <c r="L144" i="97" s="1"/>
  <c r="L150" i="97"/>
  <c r="L176" i="97" s="1"/>
  <c r="AP60" i="22"/>
  <c r="AP62" i="22"/>
  <c r="AP87" i="22"/>
  <c r="AP88" i="22" s="1"/>
  <c r="L174" i="97"/>
  <c r="AZ59" i="22"/>
  <c r="AZ85" i="22"/>
  <c r="AZ86" i="22" s="1"/>
  <c r="N131" i="97"/>
  <c r="N129" i="97" s="1"/>
  <c r="N132" i="97"/>
  <c r="N173" i="97" s="1"/>
  <c r="N124" i="97"/>
  <c r="M134" i="97"/>
  <c r="AC60" i="17"/>
  <c r="AC61" i="17" s="1"/>
  <c r="AC79" i="17"/>
  <c r="DH75" i="28"/>
  <c r="DF35" i="28"/>
  <c r="DF45" i="28"/>
  <c r="AG9" i="17"/>
  <c r="AH58" i="22"/>
  <c r="AH60" i="22" s="1"/>
  <c r="DO16" i="28"/>
  <c r="AA28" i="20"/>
  <c r="AA51" i="20"/>
  <c r="AA52" i="20" s="1"/>
  <c r="AE81" i="17"/>
  <c r="AE82" i="17"/>
  <c r="AD61" i="22"/>
  <c r="AE14" i="17"/>
  <c r="AE22" i="17" s="1"/>
  <c r="K139" i="97"/>
  <c r="K142" i="97" s="1"/>
  <c r="K144" i="97" s="1"/>
  <c r="K175" i="97" s="1"/>
  <c r="M129" i="97"/>
  <c r="AK18" i="118"/>
  <c r="AK21" i="118" s="1"/>
  <c r="X89" i="129" s="1"/>
  <c r="AK101" i="118"/>
  <c r="AL98" i="118" s="1"/>
  <c r="AL79" i="118"/>
  <c r="AM76" i="118" s="1"/>
  <c r="AL10" i="118"/>
  <c r="AL13" i="118" s="1"/>
  <c r="AF3" i="118"/>
  <c r="AF6" i="118" s="1"/>
  <c r="AF181" i="118"/>
  <c r="AF46" i="118"/>
  <c r="Y86" i="129" l="1"/>
  <c r="X90" i="129"/>
  <c r="X103" i="129"/>
  <c r="X104" i="129" s="1"/>
  <c r="X131" i="129"/>
  <c r="X133" i="129"/>
  <c r="X134" i="129" s="1"/>
  <c r="AL264" i="129"/>
  <c r="AH265" i="129"/>
  <c r="V156" i="127"/>
  <c r="W156" i="127"/>
  <c r="Y156" i="127" s="1"/>
  <c r="N156" i="127"/>
  <c r="P156" i="127" s="1"/>
  <c r="L157" i="127"/>
  <c r="AF7" i="118"/>
  <c r="J520" i="127"/>
  <c r="L520" i="127" s="1"/>
  <c r="AK22" i="118"/>
  <c r="J363" i="127"/>
  <c r="L363" i="127" s="1"/>
  <c r="AL68" i="118"/>
  <c r="AM65" i="118" s="1"/>
  <c r="AL14" i="118"/>
  <c r="J160" i="127"/>
  <c r="L160" i="127" s="1"/>
  <c r="W362" i="127"/>
  <c r="Y362" i="127" s="1"/>
  <c r="V362" i="127"/>
  <c r="X362" i="127" s="1"/>
  <c r="N362" i="127"/>
  <c r="P362" i="127" s="1"/>
  <c r="AJ6" i="36"/>
  <c r="BR7" i="34"/>
  <c r="BV7" i="34" s="1"/>
  <c r="BZ7" i="34" s="1"/>
  <c r="AR58" i="22"/>
  <c r="AR60" i="22" s="1"/>
  <c r="AQ9" i="17"/>
  <c r="L175" i="97"/>
  <c r="N134" i="97"/>
  <c r="N137" i="97" s="1"/>
  <c r="AG82" i="17"/>
  <c r="AF61" i="22"/>
  <c r="AG81" i="17"/>
  <c r="AG14" i="17"/>
  <c r="AG22" i="17" s="1"/>
  <c r="M161" i="97"/>
  <c r="M174" i="97"/>
  <c r="M137" i="97"/>
  <c r="M150" i="97"/>
  <c r="M176" i="97" s="1"/>
  <c r="DG45" i="28"/>
  <c r="DG35" i="28"/>
  <c r="AE79" i="17"/>
  <c r="AE60" i="17"/>
  <c r="AE61" i="17" s="1"/>
  <c r="DI75" i="28"/>
  <c r="O124" i="97"/>
  <c r="AZ87" i="22"/>
  <c r="AZ88" i="22" s="1"/>
  <c r="AZ62" i="22"/>
  <c r="AI9" i="17"/>
  <c r="AJ58" i="22"/>
  <c r="AJ60" i="22" s="1"/>
  <c r="AG43" i="118"/>
  <c r="AF184" i="118"/>
  <c r="AM10" i="118"/>
  <c r="AM13" i="118" s="1"/>
  <c r="AM79" i="118"/>
  <c r="AN76" i="118" s="1"/>
  <c r="AL101" i="118"/>
  <c r="AM98" i="118" s="1"/>
  <c r="AL18" i="118"/>
  <c r="AL21" i="118" s="1"/>
  <c r="X91" i="129" l="1"/>
  <c r="X94" i="129"/>
  <c r="X95" i="129" s="1"/>
  <c r="AM14" i="118"/>
  <c r="J161" i="127"/>
  <c r="L161" i="127" s="1"/>
  <c r="AM68" i="118"/>
  <c r="AN65" i="118" s="1"/>
  <c r="X156" i="127"/>
  <c r="V157" i="127"/>
  <c r="X157" i="127" s="1"/>
  <c r="AL22" i="118"/>
  <c r="J367" i="127"/>
  <c r="L367" i="127" s="1"/>
  <c r="W160" i="127"/>
  <c r="Y160" i="127" s="1"/>
  <c r="V160" i="127"/>
  <c r="N160" i="127"/>
  <c r="P160" i="127" s="1"/>
  <c r="N363" i="127"/>
  <c r="P363" i="127" s="1"/>
  <c r="W363" i="127"/>
  <c r="Y363" i="127" s="1"/>
  <c r="V363" i="127"/>
  <c r="X363" i="127" s="1"/>
  <c r="L364" i="127"/>
  <c r="W157" i="127"/>
  <c r="Y157" i="127" s="1"/>
  <c r="N157" i="127"/>
  <c r="P157" i="127" s="1"/>
  <c r="W520" i="127"/>
  <c r="Y520" i="127" s="1"/>
  <c r="N520" i="127"/>
  <c r="P520" i="127" s="1"/>
  <c r="V520" i="127"/>
  <c r="X520" i="127" s="1"/>
  <c r="DV74" i="28"/>
  <c r="AP61" i="22"/>
  <c r="AQ82" i="17"/>
  <c r="AQ81" i="17"/>
  <c r="AQ14" i="17"/>
  <c r="AQ22" i="17" s="1"/>
  <c r="AS9" i="17"/>
  <c r="AT58" i="22"/>
  <c r="AT60" i="22" s="1"/>
  <c r="N150" i="97"/>
  <c r="N161" i="97"/>
  <c r="N174" i="97"/>
  <c r="N139" i="97"/>
  <c r="N142" i="97" s="1"/>
  <c r="N144" i="97" s="1"/>
  <c r="DJ75" i="28"/>
  <c r="M139" i="97"/>
  <c r="M142" i="97" s="1"/>
  <c r="M144" i="97" s="1"/>
  <c r="M175" i="97" s="1"/>
  <c r="N176" i="97"/>
  <c r="P124" i="97"/>
  <c r="Q83" i="97"/>
  <c r="AI81" i="17"/>
  <c r="AI14" i="17"/>
  <c r="AI22" i="17" s="1"/>
  <c r="AI82" i="17"/>
  <c r="AH61" i="22"/>
  <c r="AK9" i="17"/>
  <c r="AL58" i="22"/>
  <c r="AL60" i="22" s="1"/>
  <c r="AG79" i="17"/>
  <c r="AG60" i="17"/>
  <c r="AG61" i="17" s="1"/>
  <c r="AM101" i="118"/>
  <c r="AN98" i="118" s="1"/>
  <c r="AM18" i="118"/>
  <c r="AM21" i="118" s="1"/>
  <c r="AG181" i="118"/>
  <c r="AG3" i="118"/>
  <c r="AG6" i="118" s="1"/>
  <c r="W49" i="129" s="1"/>
  <c r="AG46" i="118"/>
  <c r="AN10" i="118"/>
  <c r="AN13" i="118" s="1"/>
  <c r="AN79" i="118"/>
  <c r="AO76" i="118" s="1"/>
  <c r="X46" i="129" l="1"/>
  <c r="W50" i="129"/>
  <c r="W63" i="129"/>
  <c r="W64" i="129" s="1"/>
  <c r="W364" i="127"/>
  <c r="Y364" i="127" s="1"/>
  <c r="V364" i="127"/>
  <c r="X364" i="127" s="1"/>
  <c r="N364" i="127"/>
  <c r="P364" i="127" s="1"/>
  <c r="V367" i="127"/>
  <c r="X367" i="127" s="1"/>
  <c r="W367" i="127"/>
  <c r="N367" i="127"/>
  <c r="P367" i="127" s="1"/>
  <c r="AN14" i="118"/>
  <c r="J162" i="127"/>
  <c r="L162" i="127" s="1"/>
  <c r="AN68" i="118"/>
  <c r="AO65" i="118" s="1"/>
  <c r="AG7" i="118"/>
  <c r="J521" i="127"/>
  <c r="L521" i="127" s="1"/>
  <c r="AM22" i="118"/>
  <c r="J368" i="127"/>
  <c r="L368" i="127" s="1"/>
  <c r="X160" i="127"/>
  <c r="V161" i="127"/>
  <c r="X161" i="127" s="1"/>
  <c r="N161" i="127"/>
  <c r="P161" i="127" s="1"/>
  <c r="W161" i="127"/>
  <c r="Y161" i="127" s="1"/>
  <c r="AU9" i="17"/>
  <c r="AV58" i="22"/>
  <c r="AV60" i="22" s="1"/>
  <c r="AR61" i="22"/>
  <c r="AS14" i="17"/>
  <c r="AS22" i="17" s="1"/>
  <c r="AS82" i="17"/>
  <c r="AS81" i="17"/>
  <c r="AQ61" i="17"/>
  <c r="AP92" i="22" s="1"/>
  <c r="AQ60" i="17"/>
  <c r="AP91" i="22" s="1"/>
  <c r="Q124" i="97"/>
  <c r="R83" i="97"/>
  <c r="N175" i="97"/>
  <c r="AI60" i="17"/>
  <c r="AI61" i="17" s="1"/>
  <c r="AI79" i="17"/>
  <c r="AD195" i="9"/>
  <c r="DK75" i="28"/>
  <c r="AM9" i="17"/>
  <c r="AN58" i="22"/>
  <c r="AN60" i="22" s="1"/>
  <c r="AO9" i="17" s="1"/>
  <c r="AK82" i="17"/>
  <c r="AJ61" i="22"/>
  <c r="AK81" i="17"/>
  <c r="AK14" i="17"/>
  <c r="AK22" i="17" s="1"/>
  <c r="AO10" i="118"/>
  <c r="AO13" i="118" s="1"/>
  <c r="Y129" i="129" s="1"/>
  <c r="AO79" i="118"/>
  <c r="AP76" i="118" s="1"/>
  <c r="AG184" i="118"/>
  <c r="AH43" i="118"/>
  <c r="AN101" i="118"/>
  <c r="AO98" i="118" s="1"/>
  <c r="AN18" i="118"/>
  <c r="AN21" i="118" s="1"/>
  <c r="Y130" i="129" l="1"/>
  <c r="Z126" i="129"/>
  <c r="Y142" i="129"/>
  <c r="Y143" i="129" s="1"/>
  <c r="W54" i="129"/>
  <c r="W55" i="129" s="1"/>
  <c r="W51" i="129"/>
  <c r="N162" i="127"/>
  <c r="P162" i="127" s="1"/>
  <c r="W162" i="127"/>
  <c r="V162" i="127"/>
  <c r="AO14" i="118"/>
  <c r="J163" i="127"/>
  <c r="L163" i="127" s="1"/>
  <c r="L164" i="127" s="1"/>
  <c r="V368" i="127"/>
  <c r="X368" i="127" s="1"/>
  <c r="W368" i="127"/>
  <c r="Y368" i="127" s="1"/>
  <c r="N368" i="127"/>
  <c r="P368" i="127" s="1"/>
  <c r="AN22" i="118"/>
  <c r="J369" i="127"/>
  <c r="L369" i="127" s="1"/>
  <c r="AO68" i="118"/>
  <c r="AP65" i="118" s="1"/>
  <c r="Y367" i="127"/>
  <c r="W521" i="127"/>
  <c r="Y521" i="127" s="1"/>
  <c r="N521" i="127"/>
  <c r="P521" i="127" s="1"/>
  <c r="V521" i="127"/>
  <c r="X521" i="127" s="1"/>
  <c r="L522" i="127"/>
  <c r="R124" i="97"/>
  <c r="S83" i="97"/>
  <c r="AX58" i="22"/>
  <c r="AX60" i="22" s="1"/>
  <c r="AW9" i="17"/>
  <c r="AS60" i="17"/>
  <c r="AR91" i="22" s="1"/>
  <c r="AS61" i="17"/>
  <c r="AR92" i="22" s="1"/>
  <c r="AU14" i="17"/>
  <c r="AU22" i="17" s="1"/>
  <c r="AT61" i="22"/>
  <c r="AU81" i="17"/>
  <c r="AU82" i="17"/>
  <c r="AK79" i="17"/>
  <c r="AK60" i="17"/>
  <c r="AK61" i="17" s="1"/>
  <c r="AJ4" i="22" s="1"/>
  <c r="AM14" i="17"/>
  <c r="AM22" i="17" s="1"/>
  <c r="AM81" i="17"/>
  <c r="AL61" i="22"/>
  <c r="AM82" i="17"/>
  <c r="N195" i="9"/>
  <c r="J195" i="9"/>
  <c r="X195" i="9"/>
  <c r="P195" i="9"/>
  <c r="AN61" i="22"/>
  <c r="AO14" i="17"/>
  <c r="AO22" i="17" s="1"/>
  <c r="AO82" i="17"/>
  <c r="AO81" i="17"/>
  <c r="DL75" i="28"/>
  <c r="AP79" i="118"/>
  <c r="AQ76" i="118" s="1"/>
  <c r="AP10" i="118"/>
  <c r="AP13" i="118" s="1"/>
  <c r="AH181" i="118"/>
  <c r="AH46" i="118"/>
  <c r="AH3" i="118"/>
  <c r="AH6" i="118" s="1"/>
  <c r="AO18" i="118"/>
  <c r="AO21" i="118" s="1"/>
  <c r="Y89" i="129" s="1"/>
  <c r="AO101" i="118"/>
  <c r="AP98" i="118" s="1"/>
  <c r="Z86" i="129" l="1"/>
  <c r="Y103" i="129"/>
  <c r="Y104" i="129" s="1"/>
  <c r="Y90" i="129"/>
  <c r="Y133" i="129"/>
  <c r="Y134" i="129" s="1"/>
  <c r="Y131" i="129"/>
  <c r="AP68" i="118"/>
  <c r="AQ65" i="118" s="1"/>
  <c r="W164" i="127"/>
  <c r="Y164" i="127" s="1"/>
  <c r="N164" i="127"/>
  <c r="P164" i="127" s="1"/>
  <c r="W369" i="127"/>
  <c r="Y369" i="127" s="1"/>
  <c r="N369" i="127"/>
  <c r="P369" i="127" s="1"/>
  <c r="V369" i="127"/>
  <c r="X369" i="127" s="1"/>
  <c r="X162" i="127"/>
  <c r="W522" i="127"/>
  <c r="Y522" i="127" s="1"/>
  <c r="V522" i="127"/>
  <c r="X522" i="127" s="1"/>
  <c r="N522" i="127"/>
  <c r="P522" i="127" s="1"/>
  <c r="AO22" i="118"/>
  <c r="J370" i="127"/>
  <c r="L370" i="127" s="1"/>
  <c r="AP14" i="118"/>
  <c r="J167" i="127"/>
  <c r="L167" i="127" s="1"/>
  <c r="N163" i="127"/>
  <c r="P163" i="127" s="1"/>
  <c r="V163" i="127"/>
  <c r="X163" i="127" s="1"/>
  <c r="W163" i="127"/>
  <c r="Y163" i="127" s="1"/>
  <c r="Y162" i="127"/>
  <c r="AH7" i="118"/>
  <c r="J525" i="127"/>
  <c r="L525" i="127" s="1"/>
  <c r="Z195" i="9"/>
  <c r="T83" i="97"/>
  <c r="S124" i="97"/>
  <c r="AZ58" i="22"/>
  <c r="AZ60" i="22" s="1"/>
  <c r="AY9" i="17"/>
  <c r="AU61" i="17"/>
  <c r="AT92" i="22" s="1"/>
  <c r="AU60" i="17"/>
  <c r="AT91" i="22" s="1"/>
  <c r="AV61" i="22"/>
  <c r="AW81" i="17"/>
  <c r="AW82" i="17"/>
  <c r="AW14" i="17"/>
  <c r="AW22" i="17" s="1"/>
  <c r="DM75" i="28"/>
  <c r="AO61" i="17"/>
  <c r="AO60" i="17"/>
  <c r="AN91" i="22" s="1"/>
  <c r="AI195" i="9"/>
  <c r="AK195" i="9"/>
  <c r="R195" i="9"/>
  <c r="AM60" i="17"/>
  <c r="AP18" i="118"/>
  <c r="AP21" i="118" s="1"/>
  <c r="AP101" i="118"/>
  <c r="AQ98" i="118" s="1"/>
  <c r="AH184" i="118"/>
  <c r="AI43" i="118"/>
  <c r="AQ10" i="118"/>
  <c r="AQ13" i="118" s="1"/>
  <c r="AQ79" i="118"/>
  <c r="AR76" i="118" s="1"/>
  <c r="T124" i="97" l="1"/>
  <c r="U83" i="97"/>
  <c r="U124" i="97" s="1"/>
  <c r="Y91" i="129"/>
  <c r="Y94" i="129"/>
  <c r="Y95" i="129" s="1"/>
  <c r="AQ14" i="118"/>
  <c r="J168" i="127"/>
  <c r="L168" i="127" s="1"/>
  <c r="AP22" i="118"/>
  <c r="J374" i="127"/>
  <c r="L374" i="127" s="1"/>
  <c r="W525" i="127"/>
  <c r="Y525" i="127" s="1"/>
  <c r="N525" i="127"/>
  <c r="P525" i="127" s="1"/>
  <c r="V525" i="127"/>
  <c r="X525" i="127" s="1"/>
  <c r="W370" i="127"/>
  <c r="Y370" i="127" s="1"/>
  <c r="V370" i="127"/>
  <c r="X370" i="127" s="1"/>
  <c r="N370" i="127"/>
  <c r="P370" i="127" s="1"/>
  <c r="V164" i="127"/>
  <c r="X164" i="127" s="1"/>
  <c r="AQ68" i="118"/>
  <c r="AR65" i="118" s="1"/>
  <c r="W167" i="127"/>
  <c r="Y167" i="127" s="1"/>
  <c r="V167" i="127"/>
  <c r="N167" i="127"/>
  <c r="P167" i="127" s="1"/>
  <c r="L371" i="127"/>
  <c r="AW61" i="17"/>
  <c r="AV92" i="22" s="1"/>
  <c r="AW79" i="17"/>
  <c r="AW60" i="17"/>
  <c r="AV91" i="22" s="1"/>
  <c r="AY81" i="17"/>
  <c r="AY14" i="17"/>
  <c r="AY22" i="17" s="1"/>
  <c r="AY82" i="17"/>
  <c r="AX61" i="22"/>
  <c r="BA9" i="17"/>
  <c r="BB58" i="22"/>
  <c r="BB60" i="22" s="1"/>
  <c r="AL91" i="22"/>
  <c r="AM61" i="17"/>
  <c r="DN75" i="28"/>
  <c r="AI3" i="118"/>
  <c r="AI6" i="118" s="1"/>
  <c r="AI181" i="118"/>
  <c r="AI46" i="118"/>
  <c r="AR10" i="118"/>
  <c r="AR13" i="118" s="1"/>
  <c r="AR79" i="118"/>
  <c r="AS76" i="118" s="1"/>
  <c r="AQ18" i="118"/>
  <c r="AQ21" i="118" s="1"/>
  <c r="AQ101" i="118"/>
  <c r="AR98" i="118" s="1"/>
  <c r="AR14" i="118" l="1"/>
  <c r="J169" i="127"/>
  <c r="L169" i="127" s="1"/>
  <c r="X167" i="127"/>
  <c r="V374" i="127"/>
  <c r="X374" i="127" s="1"/>
  <c r="W374" i="127"/>
  <c r="Y374" i="127" s="1"/>
  <c r="N374" i="127"/>
  <c r="P374" i="127" s="1"/>
  <c r="N371" i="127"/>
  <c r="P371" i="127" s="1"/>
  <c r="W371" i="127"/>
  <c r="Y371" i="127" s="1"/>
  <c r="V371" i="127"/>
  <c r="X371" i="127" s="1"/>
  <c r="AQ22" i="118"/>
  <c r="J375" i="127"/>
  <c r="L375" i="127" s="1"/>
  <c r="W168" i="127"/>
  <c r="Y168" i="127" s="1"/>
  <c r="N168" i="127"/>
  <c r="P168" i="127" s="1"/>
  <c r="V168" i="127"/>
  <c r="X168" i="127" s="1"/>
  <c r="AI7" i="118"/>
  <c r="J526" i="127"/>
  <c r="L526" i="127" s="1"/>
  <c r="AR68" i="118"/>
  <c r="AS65" i="118" s="1"/>
  <c r="BC9" i="17"/>
  <c r="BY24" i="22"/>
  <c r="BD58" i="22"/>
  <c r="BA82" i="17"/>
  <c r="BA14" i="17"/>
  <c r="BA22" i="17" s="1"/>
  <c r="AZ61" i="22"/>
  <c r="BA81" i="17"/>
  <c r="AY60" i="17"/>
  <c r="AX91" i="22" s="1"/>
  <c r="AY61" i="17"/>
  <c r="AX92" i="22" s="1"/>
  <c r="AY79" i="17"/>
  <c r="AS10" i="118"/>
  <c r="AS13" i="118" s="1"/>
  <c r="Z129" i="129" s="1"/>
  <c r="AS79" i="118"/>
  <c r="AT76" i="118" s="1"/>
  <c r="AR101" i="118"/>
  <c r="AS98" i="118" s="1"/>
  <c r="AR18" i="118"/>
  <c r="AR21" i="118" s="1"/>
  <c r="AJ43" i="118"/>
  <c r="AI184" i="118"/>
  <c r="AA126" i="129" l="1"/>
  <c r="Z142" i="129"/>
  <c r="Z143" i="129" s="1"/>
  <c r="Z130" i="129"/>
  <c r="N526" i="127"/>
  <c r="P526" i="127" s="1"/>
  <c r="V526" i="127"/>
  <c r="X526" i="127" s="1"/>
  <c r="W526" i="127"/>
  <c r="Y526" i="127" s="1"/>
  <c r="AR22" i="118"/>
  <c r="J376" i="127"/>
  <c r="L376" i="127" s="1"/>
  <c r="AS68" i="118"/>
  <c r="AT65" i="118" s="1"/>
  <c r="V169" i="127"/>
  <c r="N169" i="127"/>
  <c r="P169" i="127" s="1"/>
  <c r="W169" i="127"/>
  <c r="Y169" i="127" s="1"/>
  <c r="AS14" i="118"/>
  <c r="J170" i="127"/>
  <c r="L170" i="127" s="1"/>
  <c r="N375" i="127"/>
  <c r="P375" i="127" s="1"/>
  <c r="V375" i="127"/>
  <c r="X375" i="127" s="1"/>
  <c r="W375" i="127"/>
  <c r="Y375" i="127" s="1"/>
  <c r="BA61" i="17"/>
  <c r="AZ92" i="22" s="1"/>
  <c r="BA60" i="17"/>
  <c r="AZ91" i="22" s="1"/>
  <c r="BA79" i="17"/>
  <c r="BE81" i="17"/>
  <c r="BC14" i="17"/>
  <c r="BC22" i="17" s="1"/>
  <c r="BC81" i="17"/>
  <c r="BB61" i="22"/>
  <c r="BC82" i="17"/>
  <c r="AS18" i="118"/>
  <c r="AS21" i="118" s="1"/>
  <c r="Z89" i="129" s="1"/>
  <c r="AS101" i="118"/>
  <c r="AT98" i="118" s="1"/>
  <c r="AT10" i="118"/>
  <c r="AT13" i="118" s="1"/>
  <c r="AT79" i="118"/>
  <c r="AU76" i="118" s="1"/>
  <c r="AJ46" i="118"/>
  <c r="AJ3" i="118"/>
  <c r="AJ6" i="118" s="1"/>
  <c r="AJ181" i="118"/>
  <c r="Z133" i="129" l="1"/>
  <c r="Z134" i="129" s="1"/>
  <c r="Z131" i="129"/>
  <c r="AA86" i="129"/>
  <c r="Z103" i="129"/>
  <c r="Z104" i="129" s="1"/>
  <c r="Z90" i="129"/>
  <c r="AT68" i="118"/>
  <c r="AU65" i="118" s="1"/>
  <c r="AT14" i="118"/>
  <c r="J174" i="127"/>
  <c r="L174" i="127" s="1"/>
  <c r="V376" i="127"/>
  <c r="X376" i="127" s="1"/>
  <c r="N376" i="127"/>
  <c r="P376" i="127" s="1"/>
  <c r="W376" i="127"/>
  <c r="Y376" i="127" s="1"/>
  <c r="AS22" i="118"/>
  <c r="J377" i="127"/>
  <c r="L377" i="127" s="1"/>
  <c r="L378" i="127" s="1"/>
  <c r="AJ7" i="118"/>
  <c r="J527" i="127"/>
  <c r="L527" i="127" s="1"/>
  <c r="V170" i="127"/>
  <c r="X170" i="127" s="1"/>
  <c r="N170" i="127"/>
  <c r="P170" i="127" s="1"/>
  <c r="W170" i="127"/>
  <c r="Y170" i="127" s="1"/>
  <c r="L171" i="127"/>
  <c r="X169" i="127"/>
  <c r="BC60" i="17"/>
  <c r="BB91" i="22" s="1"/>
  <c r="BC61" i="17"/>
  <c r="BB92" i="22" s="1"/>
  <c r="AU10" i="118"/>
  <c r="AU13" i="118" s="1"/>
  <c r="AU79" i="118"/>
  <c r="AV76" i="118" s="1"/>
  <c r="AT101" i="118"/>
  <c r="AU98" i="118" s="1"/>
  <c r="AT18" i="118"/>
  <c r="AT21" i="118" s="1"/>
  <c r="AJ184" i="118"/>
  <c r="AK43" i="118"/>
  <c r="Z91" i="129" l="1"/>
  <c r="Z94" i="129"/>
  <c r="Z95" i="129" s="1"/>
  <c r="V171" i="127"/>
  <c r="X171" i="127" s="1"/>
  <c r="V378" i="127"/>
  <c r="X378" i="127" s="1"/>
  <c r="N378" i="127"/>
  <c r="P378" i="127" s="1"/>
  <c r="W378" i="127"/>
  <c r="Y378" i="127" s="1"/>
  <c r="AT22" i="118"/>
  <c r="J381" i="127"/>
  <c r="L381" i="127" s="1"/>
  <c r="AU14" i="118"/>
  <c r="J175" i="127"/>
  <c r="L175" i="127" s="1"/>
  <c r="N171" i="127"/>
  <c r="P171" i="127" s="1"/>
  <c r="W171" i="127"/>
  <c r="Y171" i="127" s="1"/>
  <c r="V527" i="127"/>
  <c r="X527" i="127" s="1"/>
  <c r="W527" i="127"/>
  <c r="Y527" i="127" s="1"/>
  <c r="N527" i="127"/>
  <c r="P527" i="127" s="1"/>
  <c r="N174" i="127"/>
  <c r="P174" i="127" s="1"/>
  <c r="V174" i="127"/>
  <c r="W174" i="127"/>
  <c r="Y174" i="127" s="1"/>
  <c r="V377" i="127"/>
  <c r="X377" i="127" s="1"/>
  <c r="W377" i="127"/>
  <c r="N377" i="127"/>
  <c r="P377" i="127" s="1"/>
  <c r="AU68" i="118"/>
  <c r="AV65" i="118" s="1"/>
  <c r="AK46" i="118"/>
  <c r="AK3" i="118"/>
  <c r="AK6" i="118" s="1"/>
  <c r="X49" i="129" s="1"/>
  <c r="AK181" i="118"/>
  <c r="AV79" i="118"/>
  <c r="AW76" i="118" s="1"/>
  <c r="AV10" i="118"/>
  <c r="AV13" i="118" s="1"/>
  <c r="AU18" i="118"/>
  <c r="AU21" i="118" s="1"/>
  <c r="AU101" i="118"/>
  <c r="AV98" i="118" s="1"/>
  <c r="Y46" i="129" l="1"/>
  <c r="X50" i="129"/>
  <c r="X63" i="129"/>
  <c r="X64" i="129" s="1"/>
  <c r="X174" i="127"/>
  <c r="Y377" i="127"/>
  <c r="V175" i="127"/>
  <c r="X175" i="127" s="1"/>
  <c r="W175" i="127"/>
  <c r="Y175" i="127" s="1"/>
  <c r="N175" i="127"/>
  <c r="P175" i="127" s="1"/>
  <c r="AU22" i="118"/>
  <c r="J382" i="127"/>
  <c r="L382" i="127" s="1"/>
  <c r="AK7" i="118"/>
  <c r="J528" i="127"/>
  <c r="L528" i="127" s="1"/>
  <c r="AV14" i="118"/>
  <c r="J176" i="127"/>
  <c r="L176" i="127" s="1"/>
  <c r="AV68" i="118"/>
  <c r="AW65" i="118" s="1"/>
  <c r="W381" i="127"/>
  <c r="Y381" i="127" s="1"/>
  <c r="N381" i="127"/>
  <c r="P381" i="127" s="1"/>
  <c r="V381" i="127"/>
  <c r="X381" i="127" s="1"/>
  <c r="AW79" i="118"/>
  <c r="AX76" i="118" s="1"/>
  <c r="AW10" i="118"/>
  <c r="AW13" i="118" s="1"/>
  <c r="AA129" i="129" s="1"/>
  <c r="AV101" i="118"/>
  <c r="AW98" i="118" s="1"/>
  <c r="AV18" i="118"/>
  <c r="AV21" i="118" s="1"/>
  <c r="AL43" i="118"/>
  <c r="AK184" i="118"/>
  <c r="AA142" i="129" l="1"/>
  <c r="AA143" i="129" s="1"/>
  <c r="AB126" i="129"/>
  <c r="AA130" i="129"/>
  <c r="X51" i="129"/>
  <c r="X54" i="129"/>
  <c r="X55" i="129" s="1"/>
  <c r="AW14" i="118"/>
  <c r="J177" i="127"/>
  <c r="L177" i="127" s="1"/>
  <c r="L178" i="127" s="1"/>
  <c r="W528" i="127"/>
  <c r="Y528" i="127" s="1"/>
  <c r="V528" i="127"/>
  <c r="X528" i="127" s="1"/>
  <c r="N528" i="127"/>
  <c r="P528" i="127" s="1"/>
  <c r="L529" i="127"/>
  <c r="W176" i="127"/>
  <c r="Y176" i="127" s="1"/>
  <c r="N176" i="127"/>
  <c r="P176" i="127" s="1"/>
  <c r="V176" i="127"/>
  <c r="X176" i="127" s="1"/>
  <c r="AV22" i="118"/>
  <c r="J383" i="127"/>
  <c r="L383" i="127" s="1"/>
  <c r="AW68" i="118"/>
  <c r="AX65" i="118" s="1"/>
  <c r="N382" i="127"/>
  <c r="P382" i="127" s="1"/>
  <c r="V382" i="127"/>
  <c r="X382" i="127" s="1"/>
  <c r="W382" i="127"/>
  <c r="Y382" i="127" s="1"/>
  <c r="AL46" i="118"/>
  <c r="AL3" i="118"/>
  <c r="AL6" i="118" s="1"/>
  <c r="AL181" i="118"/>
  <c r="AX10" i="118"/>
  <c r="AX13" i="118" s="1"/>
  <c r="J181" i="127" s="1"/>
  <c r="AX79" i="118"/>
  <c r="AY76" i="118" s="1"/>
  <c r="AW101" i="118"/>
  <c r="AX98" i="118" s="1"/>
  <c r="AW18" i="118"/>
  <c r="AW21" i="118" s="1"/>
  <c r="AA89" i="129" s="1"/>
  <c r="AB86" i="129" l="1"/>
  <c r="AA90" i="129"/>
  <c r="AA103" i="129"/>
  <c r="AA104" i="129" s="1"/>
  <c r="AA133" i="129"/>
  <c r="AA134" i="129" s="1"/>
  <c r="AA131" i="129"/>
  <c r="W178" i="127"/>
  <c r="Y178" i="127" s="1"/>
  <c r="N178" i="127"/>
  <c r="P178" i="127" s="1"/>
  <c r="N177" i="127"/>
  <c r="P177" i="127" s="1"/>
  <c r="V177" i="127"/>
  <c r="W177" i="127"/>
  <c r="Y177" i="127" s="1"/>
  <c r="V383" i="127"/>
  <c r="X383" i="127" s="1"/>
  <c r="W383" i="127"/>
  <c r="Y383" i="127" s="1"/>
  <c r="N383" i="127"/>
  <c r="P383" i="127" s="1"/>
  <c r="L181" i="127"/>
  <c r="AW22" i="118"/>
  <c r="J384" i="127"/>
  <c r="L384" i="127" s="1"/>
  <c r="L385" i="127" s="1"/>
  <c r="W529" i="127"/>
  <c r="Y529" i="127" s="1"/>
  <c r="V529" i="127"/>
  <c r="X529" i="127" s="1"/>
  <c r="N529" i="127"/>
  <c r="P529" i="127" s="1"/>
  <c r="AL7" i="118"/>
  <c r="J532" i="127"/>
  <c r="L532" i="127" s="1"/>
  <c r="AX68" i="118"/>
  <c r="AY65" i="118" s="1"/>
  <c r="AY79" i="118"/>
  <c r="AZ76" i="118" s="1"/>
  <c r="AY10" i="118"/>
  <c r="AY13" i="118" s="1"/>
  <c r="AX14" i="118"/>
  <c r="AX18" i="118"/>
  <c r="AX21" i="118" s="1"/>
  <c r="J388" i="127" s="1"/>
  <c r="AX101" i="118"/>
  <c r="AY98" i="118" s="1"/>
  <c r="AM43" i="118"/>
  <c r="AL184" i="118"/>
  <c r="AA94" i="129" l="1"/>
  <c r="AA91" i="129"/>
  <c r="L388" i="127"/>
  <c r="W388" i="127" s="1"/>
  <c r="Y388" i="127" s="1"/>
  <c r="AZ10" i="118"/>
  <c r="AZ13" i="118" s="1"/>
  <c r="AZ79" i="118"/>
  <c r="BA76" i="118" s="1"/>
  <c r="V384" i="127"/>
  <c r="X384" i="127" s="1"/>
  <c r="W384" i="127"/>
  <c r="Y384" i="127" s="1"/>
  <c r="N384" i="127"/>
  <c r="P384" i="127" s="1"/>
  <c r="X177" i="127"/>
  <c r="V178" i="127"/>
  <c r="X178" i="127" s="1"/>
  <c r="W532" i="127"/>
  <c r="Y532" i="127" s="1"/>
  <c r="V532" i="127"/>
  <c r="X532" i="127" s="1"/>
  <c r="N532" i="127"/>
  <c r="P532" i="127" s="1"/>
  <c r="AY14" i="118"/>
  <c r="J182" i="127"/>
  <c r="L182" i="127" s="1"/>
  <c r="AY68" i="118"/>
  <c r="AZ65" i="118" s="1"/>
  <c r="AZ68" i="118" s="1"/>
  <c r="BA65" i="118" s="1"/>
  <c r="BA68" i="118" s="1"/>
  <c r="BB65" i="118" s="1"/>
  <c r="BB68" i="118" s="1"/>
  <c r="BC65" i="118" s="1"/>
  <c r="W181" i="127"/>
  <c r="Y181" i="127" s="1"/>
  <c r="V181" i="127"/>
  <c r="N181" i="127"/>
  <c r="P181" i="127" s="1"/>
  <c r="N385" i="127"/>
  <c r="P385" i="127" s="1"/>
  <c r="W385" i="127"/>
  <c r="Y385" i="127" s="1"/>
  <c r="V385" i="127"/>
  <c r="X385" i="127" s="1"/>
  <c r="AY101" i="118"/>
  <c r="AZ98" i="118" s="1"/>
  <c r="AY18" i="118"/>
  <c r="AY21" i="118" s="1"/>
  <c r="AX22" i="118"/>
  <c r="AM181" i="118"/>
  <c r="AM3" i="118"/>
  <c r="AM6" i="118" s="1"/>
  <c r="AM46" i="118"/>
  <c r="AA95" i="129" l="1"/>
  <c r="V388" i="127"/>
  <c r="X388" i="127" s="1"/>
  <c r="N388" i="127"/>
  <c r="P388" i="127" s="1"/>
  <c r="AY22" i="118"/>
  <c r="J389" i="127"/>
  <c r="L389" i="127" s="1"/>
  <c r="X181" i="127"/>
  <c r="BA10" i="118"/>
  <c r="BA13" i="118" s="1"/>
  <c r="AB129" i="129" s="1"/>
  <c r="BA79" i="118"/>
  <c r="BB76" i="118" s="1"/>
  <c r="AZ18" i="118"/>
  <c r="AZ21" i="118" s="1"/>
  <c r="AZ101" i="118"/>
  <c r="BA98" i="118" s="1"/>
  <c r="W182" i="127"/>
  <c r="Y182" i="127" s="1"/>
  <c r="V182" i="127"/>
  <c r="X182" i="127" s="1"/>
  <c r="N182" i="127"/>
  <c r="P182" i="127" s="1"/>
  <c r="AZ14" i="118"/>
  <c r="J183" i="127"/>
  <c r="L183" i="127" s="1"/>
  <c r="BC68" i="118"/>
  <c r="BD65" i="118" s="1"/>
  <c r="BD68" i="118" s="1"/>
  <c r="AM7" i="118"/>
  <c r="J533" i="127"/>
  <c r="L533" i="127" s="1"/>
  <c r="AN43" i="118"/>
  <c r="AM184" i="118"/>
  <c r="AB130" i="129" l="1"/>
  <c r="AB142" i="129"/>
  <c r="AB143" i="129" s="1"/>
  <c r="AJ129" i="129"/>
  <c r="AC126" i="129"/>
  <c r="BA101" i="118"/>
  <c r="BB98" i="118" s="1"/>
  <c r="BA18" i="118"/>
  <c r="BA21" i="118" s="1"/>
  <c r="AB89" i="129" s="1"/>
  <c r="BA14" i="118"/>
  <c r="J184" i="127"/>
  <c r="L184" i="127" s="1"/>
  <c r="AZ22" i="118"/>
  <c r="J390" i="127"/>
  <c r="L390" i="127" s="1"/>
  <c r="V533" i="127"/>
  <c r="X533" i="127" s="1"/>
  <c r="N533" i="127"/>
  <c r="P533" i="127" s="1"/>
  <c r="W533" i="127"/>
  <c r="Y533" i="127" s="1"/>
  <c r="BB79" i="118"/>
  <c r="BC76" i="118" s="1"/>
  <c r="BB10" i="118"/>
  <c r="BB13" i="118" s="1"/>
  <c r="V389" i="127"/>
  <c r="X389" i="127" s="1"/>
  <c r="N389" i="127"/>
  <c r="P389" i="127" s="1"/>
  <c r="W389" i="127"/>
  <c r="Y389" i="127" s="1"/>
  <c r="W183" i="127"/>
  <c r="Y183" i="127" s="1"/>
  <c r="V183" i="127"/>
  <c r="X183" i="127" s="1"/>
  <c r="N183" i="127"/>
  <c r="P183" i="127" s="1"/>
  <c r="AN46" i="118"/>
  <c r="AN3" i="118"/>
  <c r="AN6" i="118" s="1"/>
  <c r="AN181" i="118"/>
  <c r="AB131" i="129" l="1"/>
  <c r="AB133" i="129"/>
  <c r="AB134" i="129" s="1"/>
  <c r="AC86" i="129"/>
  <c r="AB103" i="129"/>
  <c r="AB104" i="129" s="1"/>
  <c r="AB90" i="129"/>
  <c r="AJ89" i="129"/>
  <c r="AN7" i="118"/>
  <c r="J534" i="127"/>
  <c r="L534" i="127" s="1"/>
  <c r="BC79" i="118"/>
  <c r="BD76" i="118" s="1"/>
  <c r="BC10" i="118"/>
  <c r="BC13" i="118" s="1"/>
  <c r="W390" i="127"/>
  <c r="Y390" i="127" s="1"/>
  <c r="V390" i="127"/>
  <c r="X390" i="127" s="1"/>
  <c r="N390" i="127"/>
  <c r="P390" i="127" s="1"/>
  <c r="BA22" i="118"/>
  <c r="J391" i="127"/>
  <c r="L391" i="127" s="1"/>
  <c r="BB14" i="118"/>
  <c r="J188" i="127"/>
  <c r="L188" i="127" s="1"/>
  <c r="BB18" i="118"/>
  <c r="BB21" i="118" s="1"/>
  <c r="BB101" i="118"/>
  <c r="BC98" i="118" s="1"/>
  <c r="W184" i="127"/>
  <c r="Y184" i="127" s="1"/>
  <c r="N184" i="127"/>
  <c r="P184" i="127" s="1"/>
  <c r="V184" i="127"/>
  <c r="X184" i="127" s="1"/>
  <c r="L185" i="127"/>
  <c r="AN184" i="118"/>
  <c r="AO43" i="118"/>
  <c r="AB94" i="129" l="1"/>
  <c r="AB95" i="129" s="1"/>
  <c r="AB91" i="129"/>
  <c r="BC101" i="118"/>
  <c r="BD98" i="118" s="1"/>
  <c r="BC18" i="118"/>
  <c r="BC21" i="118" s="1"/>
  <c r="N188" i="127"/>
  <c r="P188" i="127" s="1"/>
  <c r="W188" i="127"/>
  <c r="V188" i="127"/>
  <c r="BC14" i="118"/>
  <c r="J189" i="127"/>
  <c r="L189" i="127" s="1"/>
  <c r="W391" i="127"/>
  <c r="Y391" i="127" s="1"/>
  <c r="N391" i="127"/>
  <c r="P391" i="127" s="1"/>
  <c r="V391" i="127"/>
  <c r="X391" i="127" s="1"/>
  <c r="L392" i="127"/>
  <c r="BB22" i="118"/>
  <c r="J395" i="127"/>
  <c r="L395" i="127" s="1"/>
  <c r="V185" i="127"/>
  <c r="X185" i="127" s="1"/>
  <c r="BD10" i="118"/>
  <c r="BD13" i="118" s="1"/>
  <c r="BD79" i="118"/>
  <c r="W185" i="127"/>
  <c r="Y185" i="127" s="1"/>
  <c r="N185" i="127"/>
  <c r="P185" i="127" s="1"/>
  <c r="W534" i="127"/>
  <c r="Y534" i="127" s="1"/>
  <c r="V534" i="127"/>
  <c r="X534" i="127" s="1"/>
  <c r="N534" i="127"/>
  <c r="P534" i="127" s="1"/>
  <c r="AO3" i="118"/>
  <c r="AO6" i="118" s="1"/>
  <c r="Y49" i="129" s="1"/>
  <c r="AO46" i="118"/>
  <c r="AO181" i="118"/>
  <c r="Z46" i="129" l="1"/>
  <c r="Y63" i="129"/>
  <c r="Y64" i="129" s="1"/>
  <c r="Y50" i="129"/>
  <c r="J190" i="127"/>
  <c r="Y188" i="127"/>
  <c r="BC22" i="118"/>
  <c r="J396" i="127"/>
  <c r="L396" i="127" s="1"/>
  <c r="BD14" i="118"/>
  <c r="W392" i="127"/>
  <c r="Y392" i="127" s="1"/>
  <c r="V392" i="127"/>
  <c r="X392" i="127" s="1"/>
  <c r="N392" i="127"/>
  <c r="P392" i="127" s="1"/>
  <c r="W189" i="127"/>
  <c r="V189" i="127"/>
  <c r="N189" i="127"/>
  <c r="P189" i="127" s="1"/>
  <c r="BD101" i="118"/>
  <c r="BD18" i="118"/>
  <c r="BD21" i="118" s="1"/>
  <c r="AO7" i="118"/>
  <c r="J535" i="127"/>
  <c r="L535" i="127" s="1"/>
  <c r="N395" i="127"/>
  <c r="P395" i="127" s="1"/>
  <c r="V395" i="127"/>
  <c r="W395" i="127"/>
  <c r="X188" i="127"/>
  <c r="AO184" i="118"/>
  <c r="AP43" i="118"/>
  <c r="J397" i="127" l="1"/>
  <c r="AC129" i="129"/>
  <c r="DQ64" i="28" s="1"/>
  <c r="AC139" i="129"/>
  <c r="J191" i="127"/>
  <c r="BF10" i="118"/>
  <c r="BF13" i="118" s="1"/>
  <c r="BE14" i="118"/>
  <c r="Y51" i="129"/>
  <c r="Y54" i="129"/>
  <c r="Y55" i="129" s="1"/>
  <c r="W396" i="127"/>
  <c r="V396" i="127"/>
  <c r="N396" i="127"/>
  <c r="P396" i="127" s="1"/>
  <c r="BD22" i="118"/>
  <c r="X189" i="127"/>
  <c r="Y395" i="127"/>
  <c r="Y189" i="127"/>
  <c r="L191" i="127"/>
  <c r="L190" i="127"/>
  <c r="X395" i="127"/>
  <c r="V535" i="127"/>
  <c r="X535" i="127" s="1"/>
  <c r="W535" i="127"/>
  <c r="Y535" i="127" s="1"/>
  <c r="N535" i="127"/>
  <c r="P535" i="127" s="1"/>
  <c r="L536" i="127"/>
  <c r="AP46" i="118"/>
  <c r="AP181" i="118"/>
  <c r="AP3" i="118"/>
  <c r="AP6" i="118" s="1"/>
  <c r="AC136" i="129" l="1"/>
  <c r="AC140" i="129"/>
  <c r="BF31" i="118"/>
  <c r="AA191" i="127"/>
  <c r="AC130" i="129"/>
  <c r="AD126" i="129"/>
  <c r="AC142" i="129"/>
  <c r="AC143" i="129" s="1"/>
  <c r="BF14" i="118"/>
  <c r="BG10" i="118"/>
  <c r="BG13" i="118" s="1"/>
  <c r="J195" i="127"/>
  <c r="L195" i="127" s="1"/>
  <c r="AC89" i="129"/>
  <c r="DQ63" i="28" s="1"/>
  <c r="J398" i="127"/>
  <c r="BE22" i="118"/>
  <c r="BF18" i="118"/>
  <c r="BF21" i="118" s="1"/>
  <c r="AP7" i="118"/>
  <c r="J539" i="127"/>
  <c r="L539" i="127" s="1"/>
  <c r="V536" i="127"/>
  <c r="X536" i="127" s="1"/>
  <c r="W536" i="127"/>
  <c r="Y536" i="127" s="1"/>
  <c r="N536" i="127"/>
  <c r="P536" i="127" s="1"/>
  <c r="V190" i="127"/>
  <c r="W190" i="127"/>
  <c r="N190" i="127"/>
  <c r="P190" i="127" s="1"/>
  <c r="L192" i="127"/>
  <c r="Y396" i="127"/>
  <c r="N191" i="127"/>
  <c r="X396" i="127"/>
  <c r="L397" i="127"/>
  <c r="L398" i="127"/>
  <c r="AQ43" i="118"/>
  <c r="AP184" i="118"/>
  <c r="AC100" i="129" l="1"/>
  <c r="AC103" i="129" s="1"/>
  <c r="AC104" i="129" s="1"/>
  <c r="AC137" i="129"/>
  <c r="BF33" i="118"/>
  <c r="BG31" i="118" s="1"/>
  <c r="BF36" i="118"/>
  <c r="AA398" i="127"/>
  <c r="AC398" i="127" s="1"/>
  <c r="J196" i="127"/>
  <c r="L196" i="127" s="1"/>
  <c r="N196" i="127" s="1"/>
  <c r="H196" i="127" s="1"/>
  <c r="BG14" i="118"/>
  <c r="BH10" i="118"/>
  <c r="BH13" i="118" s="1"/>
  <c r="AC131" i="129"/>
  <c r="N195" i="127"/>
  <c r="BG18" i="118"/>
  <c r="BG21" i="118" s="1"/>
  <c r="J402" i="127"/>
  <c r="L402" i="127" s="1"/>
  <c r="BF22" i="118"/>
  <c r="AD86" i="129"/>
  <c r="AC90" i="129"/>
  <c r="AC191" i="127"/>
  <c r="AC195" i="127"/>
  <c r="V397" i="127"/>
  <c r="W397" i="127"/>
  <c r="N397" i="127"/>
  <c r="P397" i="127" s="1"/>
  <c r="L399" i="127"/>
  <c r="N192" i="127"/>
  <c r="X190" i="127"/>
  <c r="W539" i="127"/>
  <c r="Y539" i="127" s="1"/>
  <c r="N539" i="127"/>
  <c r="P539" i="127" s="1"/>
  <c r="V539" i="127"/>
  <c r="X539" i="127" s="1"/>
  <c r="N398" i="127"/>
  <c r="Y190" i="127"/>
  <c r="AQ3" i="118"/>
  <c r="AQ6" i="118" s="1"/>
  <c r="AQ181" i="118"/>
  <c r="AQ46" i="118"/>
  <c r="AC97" i="129" l="1"/>
  <c r="AC98" i="129" s="1"/>
  <c r="AC101" i="129"/>
  <c r="BG33" i="118"/>
  <c r="BH31" i="118" s="1"/>
  <c r="BF38" i="118"/>
  <c r="AC91" i="129"/>
  <c r="N402" i="127"/>
  <c r="H402" i="127" s="1"/>
  <c r="AH196" i="127"/>
  <c r="D196" i="127"/>
  <c r="S196" i="127" s="1"/>
  <c r="AE195" i="127"/>
  <c r="AH195" i="127" s="1"/>
  <c r="AC199" i="127"/>
  <c r="J403" i="127"/>
  <c r="L403" i="127" s="1"/>
  <c r="N403" i="127" s="1"/>
  <c r="H403" i="127" s="1"/>
  <c r="BH18" i="118"/>
  <c r="BH21" i="118" s="1"/>
  <c r="BG22" i="118"/>
  <c r="AE198" i="127"/>
  <c r="AE191" i="127"/>
  <c r="AC192" i="127"/>
  <c r="AE192" i="127" s="1"/>
  <c r="D195" i="127"/>
  <c r="S195" i="127" s="1"/>
  <c r="J197" i="127"/>
  <c r="L197" i="127" s="1"/>
  <c r="BI10" i="118"/>
  <c r="BI13" i="118" s="1"/>
  <c r="BH14" i="118"/>
  <c r="AE398" i="127"/>
  <c r="AH398" i="127" s="1"/>
  <c r="AC399" i="127"/>
  <c r="AE399" i="127" s="1"/>
  <c r="AA402" i="127"/>
  <c r="AC402" i="127" s="1"/>
  <c r="N399" i="127"/>
  <c r="AQ7" i="118"/>
  <c r="J540" i="127"/>
  <c r="L540" i="127" s="1"/>
  <c r="X397" i="127"/>
  <c r="Y397" i="127"/>
  <c r="AQ184" i="118"/>
  <c r="AR43" i="118"/>
  <c r="BH33" i="118" l="1"/>
  <c r="BI31" i="118" s="1"/>
  <c r="BG36" i="118"/>
  <c r="BG38" i="118" s="1"/>
  <c r="W195" i="127"/>
  <c r="Y195" i="127" s="1"/>
  <c r="AK195" i="127"/>
  <c r="T195" i="127"/>
  <c r="AE402" i="127"/>
  <c r="AH402" i="127" s="1"/>
  <c r="AE199" i="127"/>
  <c r="D402" i="127"/>
  <c r="S402" i="127" s="1"/>
  <c r="D403" i="127"/>
  <c r="S403" i="127" s="1"/>
  <c r="AD129" i="129"/>
  <c r="DR64" i="28" s="1"/>
  <c r="BI14" i="118"/>
  <c r="J198" i="127"/>
  <c r="L198" i="127" s="1"/>
  <c r="N198" i="127" s="1"/>
  <c r="N197" i="127"/>
  <c r="H197" i="127" s="1"/>
  <c r="J404" i="127"/>
  <c r="L404" i="127" s="1"/>
  <c r="N404" i="127" s="1"/>
  <c r="H404" i="127" s="1"/>
  <c r="BH22" i="118"/>
  <c r="BI18" i="118"/>
  <c r="BI21" i="118" s="1"/>
  <c r="T196" i="127"/>
  <c r="AK196" i="127"/>
  <c r="W196" i="127"/>
  <c r="Y196" i="127" s="1"/>
  <c r="S399" i="127"/>
  <c r="AC82" i="129" s="1"/>
  <c r="AK398" i="127"/>
  <c r="T398" i="127"/>
  <c r="W398" i="127"/>
  <c r="Y398" i="127" s="1"/>
  <c r="V540" i="127"/>
  <c r="X540" i="127" s="1"/>
  <c r="W540" i="127"/>
  <c r="Y540" i="127" s="1"/>
  <c r="N540" i="127"/>
  <c r="P540" i="127" s="1"/>
  <c r="AR46" i="118"/>
  <c r="AR181" i="118"/>
  <c r="AR3" i="118"/>
  <c r="AR6" i="118" s="1"/>
  <c r="BI33" i="118" l="1"/>
  <c r="AD139" i="129" s="1"/>
  <c r="AD136" i="129" s="1"/>
  <c r="AD137" i="129" s="1"/>
  <c r="AA403" i="127"/>
  <c r="AC403" i="127" s="1"/>
  <c r="AE403" i="127" s="1"/>
  <c r="AH403" i="127" s="1"/>
  <c r="AC83" i="129"/>
  <c r="AC106" i="129"/>
  <c r="AC107" i="129" s="1"/>
  <c r="AC94" i="129"/>
  <c r="AC95" i="129" s="1"/>
  <c r="BH36" i="118"/>
  <c r="BH38" i="118" s="1"/>
  <c r="L199" i="127"/>
  <c r="N199" i="127" s="1"/>
  <c r="AD89" i="129"/>
  <c r="DR63" i="28" s="1"/>
  <c r="BI22" i="118"/>
  <c r="J405" i="127"/>
  <c r="L405" i="127" s="1"/>
  <c r="N405" i="127" s="1"/>
  <c r="H405" i="127" s="1"/>
  <c r="D197" i="127"/>
  <c r="S197" i="127" s="1"/>
  <c r="AH197" i="127"/>
  <c r="AD130" i="129"/>
  <c r="AD131" i="129" s="1"/>
  <c r="AE126" i="129"/>
  <c r="AE129" i="129" s="1"/>
  <c r="DS64" i="28" s="1"/>
  <c r="AK402" i="127"/>
  <c r="T402" i="127"/>
  <c r="W402" i="127"/>
  <c r="Y402" i="127" s="1"/>
  <c r="AJ195" i="127"/>
  <c r="AL195" i="127" s="1"/>
  <c r="AN195" i="127" s="1"/>
  <c r="V195" i="127"/>
  <c r="X195" i="127" s="1"/>
  <c r="V196" i="127"/>
  <c r="X196" i="127" s="1"/>
  <c r="AJ196" i="127"/>
  <c r="AL196" i="127" s="1"/>
  <c r="AN196" i="127" s="1"/>
  <c r="D404" i="127"/>
  <c r="S404" i="127" s="1"/>
  <c r="D198" i="127"/>
  <c r="AH198" i="127"/>
  <c r="T403" i="127"/>
  <c r="AK403" i="127"/>
  <c r="W403" i="127"/>
  <c r="Y403" i="127" s="1"/>
  <c r="AJ398" i="127"/>
  <c r="AL398" i="127" s="1"/>
  <c r="V398" i="127"/>
  <c r="X398" i="127" s="1"/>
  <c r="AK399" i="127"/>
  <c r="T399" i="127"/>
  <c r="W399" i="127"/>
  <c r="Y399" i="127" s="1"/>
  <c r="AR7" i="118"/>
  <c r="J541" i="127"/>
  <c r="L541" i="127" s="1"/>
  <c r="AR184" i="118"/>
  <c r="AS43" i="118"/>
  <c r="AD140" i="129" l="1"/>
  <c r="AE139" i="129"/>
  <c r="AE136" i="129" s="1"/>
  <c r="AE137" i="129" s="1"/>
  <c r="AD142" i="129"/>
  <c r="AD143" i="129" s="1"/>
  <c r="AE140" i="129"/>
  <c r="L406" i="127"/>
  <c r="N406" i="127" s="1"/>
  <c r="AK404" i="127"/>
  <c r="T404" i="127"/>
  <c r="W404" i="127"/>
  <c r="Y404" i="127" s="1"/>
  <c r="AJ402" i="127"/>
  <c r="AL402" i="127" s="1"/>
  <c r="V402" i="127"/>
  <c r="X402" i="127" s="1"/>
  <c r="AD90" i="129"/>
  <c r="AE86" i="129"/>
  <c r="AE89" i="129" s="1"/>
  <c r="DS63" i="28" s="1"/>
  <c r="AJ403" i="127"/>
  <c r="AL403" i="127" s="1"/>
  <c r="V403" i="127"/>
  <c r="X403" i="127" s="1"/>
  <c r="BI36" i="118"/>
  <c r="BI38" i="118" s="1"/>
  <c r="AA404" i="127"/>
  <c r="AC404" i="127" s="1"/>
  <c r="T197" i="127"/>
  <c r="AK197" i="127"/>
  <c r="W197" i="127"/>
  <c r="Y197" i="127" s="1"/>
  <c r="AF126" i="129"/>
  <c r="AF129" i="129" s="1"/>
  <c r="DT64" i="28" s="1"/>
  <c r="AE142" i="129"/>
  <c r="AE143" i="129" s="1"/>
  <c r="AE130" i="129"/>
  <c r="AE131" i="129" s="1"/>
  <c r="D405" i="127"/>
  <c r="S405" i="127" s="1"/>
  <c r="S406" i="127" s="1"/>
  <c r="AD82" i="129" s="1"/>
  <c r="AJ399" i="127"/>
  <c r="AL399" i="127" s="1"/>
  <c r="D399" i="127"/>
  <c r="AC109" i="129"/>
  <c r="DQ49" i="28" s="1"/>
  <c r="V399" i="127"/>
  <c r="X399" i="127" s="1"/>
  <c r="W541" i="127"/>
  <c r="Y541" i="127" s="1"/>
  <c r="N541" i="127"/>
  <c r="P541" i="127" s="1"/>
  <c r="V541" i="127"/>
  <c r="X541" i="127" s="1"/>
  <c r="AS3" i="118"/>
  <c r="AS6" i="118" s="1"/>
  <c r="Z49" i="129" s="1"/>
  <c r="AS181" i="118"/>
  <c r="AS46" i="118"/>
  <c r="AF139" i="129" l="1"/>
  <c r="AF136" i="129"/>
  <c r="AF137" i="129" s="1"/>
  <c r="AF140" i="129"/>
  <c r="AG139" i="129"/>
  <c r="AA405" i="127"/>
  <c r="AC405" i="127" s="1"/>
  <c r="AE405" i="127" s="1"/>
  <c r="AH405" i="127" s="1"/>
  <c r="AD100" i="129"/>
  <c r="AC110" i="129"/>
  <c r="AC114" i="129" s="1"/>
  <c r="AD83" i="129"/>
  <c r="W406" i="127"/>
  <c r="Y406" i="127" s="1"/>
  <c r="T406" i="127"/>
  <c r="AJ406" i="127" s="1"/>
  <c r="AK406" i="127"/>
  <c r="V197" i="127"/>
  <c r="X197" i="127" s="1"/>
  <c r="AJ197" i="127"/>
  <c r="AL197" i="127" s="1"/>
  <c r="AN197" i="127" s="1"/>
  <c r="AF86" i="129"/>
  <c r="AF89" i="129" s="1"/>
  <c r="DT63" i="28" s="1"/>
  <c r="AE90" i="129"/>
  <c r="AG126" i="129"/>
  <c r="AG129" i="129" s="1"/>
  <c r="DU64" i="28" s="1"/>
  <c r="AF130" i="129"/>
  <c r="AF131" i="129" s="1"/>
  <c r="AF142" i="129"/>
  <c r="AF143" i="129" s="1"/>
  <c r="AE404" i="127"/>
  <c r="AH404" i="127" s="1"/>
  <c r="AD94" i="129"/>
  <c r="AD95" i="129" s="1"/>
  <c r="AD91" i="129"/>
  <c r="AA46" i="129"/>
  <c r="Z63" i="129"/>
  <c r="Z64" i="129" s="1"/>
  <c r="Z50" i="129"/>
  <c r="T405" i="127"/>
  <c r="AK405" i="127"/>
  <c r="W405" i="127"/>
  <c r="Y405" i="127" s="1"/>
  <c r="AJ404" i="127"/>
  <c r="AL404" i="127" s="1"/>
  <c r="V404" i="127"/>
  <c r="X404" i="127" s="1"/>
  <c r="H399" i="127"/>
  <c r="P399" i="127" s="1"/>
  <c r="AS7" i="118"/>
  <c r="J542" i="127"/>
  <c r="L542" i="127" s="1"/>
  <c r="AS184" i="118"/>
  <c r="AT43" i="118"/>
  <c r="AG136" i="129" l="1"/>
  <c r="AG137" i="129" s="1"/>
  <c r="AH139" i="129"/>
  <c r="AG140" i="129"/>
  <c r="AE100" i="129"/>
  <c r="AD101" i="129"/>
  <c r="AD97" i="129"/>
  <c r="AD103" i="129"/>
  <c r="AD104" i="129" s="1"/>
  <c r="V406" i="127"/>
  <c r="X406" i="127" s="1"/>
  <c r="D406" i="127"/>
  <c r="Z51" i="129"/>
  <c r="Z54" i="129"/>
  <c r="Z55" i="129" s="1"/>
  <c r="AJ405" i="127"/>
  <c r="AL405" i="127" s="1"/>
  <c r="V405" i="127"/>
  <c r="X405" i="127" s="1"/>
  <c r="AG86" i="129"/>
  <c r="AG89" i="129" s="1"/>
  <c r="DU63" i="28" s="1"/>
  <c r="AF90" i="129"/>
  <c r="AC406" i="127"/>
  <c r="AE406" i="127" s="1"/>
  <c r="AG130" i="129"/>
  <c r="AG131" i="129" s="1"/>
  <c r="AH126" i="129"/>
  <c r="AH129" i="129" s="1"/>
  <c r="DV64" i="28" s="1"/>
  <c r="AG142" i="129"/>
  <c r="AG143" i="129" s="1"/>
  <c r="F406" i="127"/>
  <c r="AE91" i="129"/>
  <c r="AH399" i="127"/>
  <c r="V542" i="127"/>
  <c r="X542" i="127" s="1"/>
  <c r="W542" i="127"/>
  <c r="Y542" i="127" s="1"/>
  <c r="N542" i="127"/>
  <c r="P542" i="127" s="1"/>
  <c r="L543" i="127"/>
  <c r="AT181" i="118"/>
  <c r="AT3" i="118"/>
  <c r="AT6" i="118" s="1"/>
  <c r="AT46" i="118"/>
  <c r="AE97" i="129" l="1"/>
  <c r="AE98" i="129" s="1"/>
  <c r="AF100" i="129"/>
  <c r="AE101" i="129"/>
  <c r="AE82" i="129" s="1"/>
  <c r="AE103" i="129"/>
  <c r="AE104" i="129" s="1"/>
  <c r="AD98" i="129"/>
  <c r="AD106" i="129"/>
  <c r="AD107" i="129" s="1"/>
  <c r="AH136" i="129"/>
  <c r="AH140" i="129"/>
  <c r="AL139" i="129"/>
  <c r="H406" i="127"/>
  <c r="P406" i="127" s="1"/>
  <c r="AD109" i="129"/>
  <c r="DR49" i="28" s="1"/>
  <c r="AL406" i="127"/>
  <c r="AF91" i="129"/>
  <c r="AL129" i="129"/>
  <c r="AH142" i="129"/>
  <c r="AH143" i="129" s="1"/>
  <c r="AH130" i="129"/>
  <c r="AH131" i="129" s="1"/>
  <c r="AG90" i="129"/>
  <c r="AH86" i="129"/>
  <c r="AH89" i="129" s="1"/>
  <c r="DV63" i="28" s="1"/>
  <c r="AT7" i="118"/>
  <c r="J546" i="127"/>
  <c r="L546" i="127" s="1"/>
  <c r="N543" i="127"/>
  <c r="P543" i="127" s="1"/>
  <c r="W543" i="127"/>
  <c r="Y543" i="127" s="1"/>
  <c r="V543" i="127"/>
  <c r="X543" i="127" s="1"/>
  <c r="AT184" i="118"/>
  <c r="AU43" i="118"/>
  <c r="AE83" i="129" l="1"/>
  <c r="AE94" i="129"/>
  <c r="AE95" i="129" s="1"/>
  <c r="AE106" i="129"/>
  <c r="AE107" i="129" s="1"/>
  <c r="AH137" i="129"/>
  <c r="AL136" i="129"/>
  <c r="AF97" i="129"/>
  <c r="AF98" i="129" s="1"/>
  <c r="AG100" i="129"/>
  <c r="AF101" i="129"/>
  <c r="AF82" i="129" s="1"/>
  <c r="AF103" i="129"/>
  <c r="AF104" i="129" s="1"/>
  <c r="AH406" i="127"/>
  <c r="AG91" i="129"/>
  <c r="AH90" i="129"/>
  <c r="AL89" i="129"/>
  <c r="N546" i="127"/>
  <c r="P546" i="127" s="1"/>
  <c r="V546" i="127"/>
  <c r="X546" i="127" s="1"/>
  <c r="W546" i="127"/>
  <c r="Y546" i="127" s="1"/>
  <c r="AU3" i="118"/>
  <c r="AU6" i="118" s="1"/>
  <c r="AU181" i="118"/>
  <c r="AU46" i="118"/>
  <c r="AF106" i="129" l="1"/>
  <c r="AF107" i="129" s="1"/>
  <c r="AF83" i="129"/>
  <c r="AF94" i="129"/>
  <c r="AF95" i="129" s="1"/>
  <c r="AG101" i="129"/>
  <c r="AG82" i="129" s="1"/>
  <c r="AH100" i="129"/>
  <c r="AG103" i="129"/>
  <c r="AG104" i="129" s="1"/>
  <c r="AG97" i="129"/>
  <c r="AG98" i="129" s="1"/>
  <c r="AH91" i="129"/>
  <c r="AU7" i="118"/>
  <c r="J547" i="127"/>
  <c r="L547" i="127" s="1"/>
  <c r="AU184" i="118"/>
  <c r="AV43" i="118"/>
  <c r="AG106" i="129" l="1"/>
  <c r="AG107" i="129" s="1"/>
  <c r="AG83" i="129"/>
  <c r="AG94" i="129"/>
  <c r="AG95" i="129" s="1"/>
  <c r="AH97" i="129"/>
  <c r="AL100" i="129"/>
  <c r="AH101" i="129"/>
  <c r="AH82" i="129" s="1"/>
  <c r="AH103" i="129"/>
  <c r="AH104" i="129" s="1"/>
  <c r="N547" i="127"/>
  <c r="P547" i="127" s="1"/>
  <c r="V547" i="127"/>
  <c r="X547" i="127" s="1"/>
  <c r="W547" i="127"/>
  <c r="Y547" i="127" s="1"/>
  <c r="AV3" i="118"/>
  <c r="AV6" i="118" s="1"/>
  <c r="AV181" i="118"/>
  <c r="AV46" i="118"/>
  <c r="AL82" i="129" l="1"/>
  <c r="AH106" i="129"/>
  <c r="AH94" i="129"/>
  <c r="AH95" i="129" s="1"/>
  <c r="AH83" i="129"/>
  <c r="AH98" i="129"/>
  <c r="AL97" i="129"/>
  <c r="AV7" i="118"/>
  <c r="J548" i="127"/>
  <c r="L548" i="127" s="1"/>
  <c r="AV184" i="118"/>
  <c r="AW43" i="118"/>
  <c r="AH107" i="129" l="1"/>
  <c r="AL106" i="129"/>
  <c r="W548" i="127"/>
  <c r="Y548" i="127" s="1"/>
  <c r="V548" i="127"/>
  <c r="X548" i="127" s="1"/>
  <c r="N548" i="127"/>
  <c r="P548" i="127" s="1"/>
  <c r="AW181" i="118"/>
  <c r="AW3" i="118"/>
  <c r="AW6" i="118" s="1"/>
  <c r="AA49" i="129" s="1"/>
  <c r="AW46" i="118"/>
  <c r="AB46" i="129" l="1"/>
  <c r="AA63" i="129"/>
  <c r="AA64" i="129" s="1"/>
  <c r="AA50" i="129"/>
  <c r="AW7" i="118"/>
  <c r="J549" i="127"/>
  <c r="L549" i="127" s="1"/>
  <c r="AW184" i="118"/>
  <c r="AX43" i="118"/>
  <c r="AA54" i="129" l="1"/>
  <c r="AA55" i="129" s="1"/>
  <c r="AA51" i="129"/>
  <c r="W549" i="127"/>
  <c r="Y549" i="127" s="1"/>
  <c r="N549" i="127"/>
  <c r="P549" i="127" s="1"/>
  <c r="V549" i="127"/>
  <c r="X549" i="127" s="1"/>
  <c r="L550" i="127"/>
  <c r="AX3" i="118"/>
  <c r="AX6" i="118" s="1"/>
  <c r="AX46" i="118"/>
  <c r="AX181" i="118"/>
  <c r="N550" i="127" l="1"/>
  <c r="P550" i="127" s="1"/>
  <c r="W550" i="127"/>
  <c r="Y550" i="127" s="1"/>
  <c r="V550" i="127"/>
  <c r="X550" i="127" s="1"/>
  <c r="AX7" i="118"/>
  <c r="J553" i="127"/>
  <c r="L553" i="127" s="1"/>
  <c r="AX184" i="118"/>
  <c r="AY43" i="118"/>
  <c r="AY181" i="118" s="1"/>
  <c r="N553" i="127" l="1"/>
  <c r="P553" i="127" s="1"/>
  <c r="W553" i="127"/>
  <c r="Y553" i="127" s="1"/>
  <c r="V553" i="127"/>
  <c r="X553" i="127" s="1"/>
  <c r="AY46" i="118"/>
  <c r="AY3" i="118"/>
  <c r="AY6" i="118" s="1"/>
  <c r="AY7" i="118" l="1"/>
  <c r="J554" i="127"/>
  <c r="L554" i="127" s="1"/>
  <c r="AY184" i="118"/>
  <c r="AZ43" i="118"/>
  <c r="AZ46" i="118" l="1"/>
  <c r="AZ3" i="118"/>
  <c r="AZ6" i="118" s="1"/>
  <c r="AZ181" i="118"/>
  <c r="V554" i="127"/>
  <c r="X554" i="127" s="1"/>
  <c r="W554" i="127"/>
  <c r="Y554" i="127" s="1"/>
  <c r="N554" i="127"/>
  <c r="P554" i="127" s="1"/>
  <c r="AZ7" i="118" l="1"/>
  <c r="J555" i="127"/>
  <c r="L555" i="127" s="1"/>
  <c r="BA43" i="118"/>
  <c r="AZ184" i="118"/>
  <c r="BA181" i="118" l="1"/>
  <c r="BA3" i="118"/>
  <c r="BA6" i="118" s="1"/>
  <c r="AB49" i="129" s="1"/>
  <c r="BA46" i="118"/>
  <c r="V555" i="127"/>
  <c r="X555" i="127" s="1"/>
  <c r="W555" i="127"/>
  <c r="Y555" i="127" s="1"/>
  <c r="N555" i="127"/>
  <c r="P555" i="127" s="1"/>
  <c r="AC46" i="129" l="1"/>
  <c r="AB50" i="129"/>
  <c r="AB63" i="129"/>
  <c r="AB64" i="129" s="1"/>
  <c r="AJ49" i="129"/>
  <c r="BB43" i="118"/>
  <c r="BA184" i="118"/>
  <c r="BA7" i="118"/>
  <c r="J556" i="127"/>
  <c r="L556" i="127" s="1"/>
  <c r="AB54" i="129" l="1"/>
  <c r="AB55" i="129" s="1"/>
  <c r="AB51" i="129"/>
  <c r="W556" i="127"/>
  <c r="Y556" i="127" s="1"/>
  <c r="V556" i="127"/>
  <c r="X556" i="127" s="1"/>
  <c r="N556" i="127"/>
  <c r="P556" i="127" s="1"/>
  <c r="L557" i="127"/>
  <c r="BB46" i="118"/>
  <c r="BB3" i="118"/>
  <c r="BB6" i="118" s="1"/>
  <c r="BB181" i="118"/>
  <c r="W557" i="127" l="1"/>
  <c r="Y557" i="127" s="1"/>
  <c r="N557" i="127"/>
  <c r="P557" i="127" s="1"/>
  <c r="V557" i="127"/>
  <c r="X557" i="127" s="1"/>
  <c r="BB7" i="118"/>
  <c r="J560" i="127"/>
  <c r="L560" i="127" s="1"/>
  <c r="BC43" i="118"/>
  <c r="BB184" i="118"/>
  <c r="BC46" i="118" l="1"/>
  <c r="BC181" i="118"/>
  <c r="BC3" i="118"/>
  <c r="BC6" i="118" s="1"/>
  <c r="V560" i="127"/>
  <c r="N560" i="127"/>
  <c r="P560" i="127" s="1"/>
  <c r="W560" i="127"/>
  <c r="X560" i="127" l="1"/>
  <c r="BC7" i="118"/>
  <c r="J561" i="127"/>
  <c r="L561" i="127" s="1"/>
  <c r="Y560" i="127"/>
  <c r="BD43" i="118"/>
  <c r="BC184" i="118"/>
  <c r="V561" i="127" l="1"/>
  <c r="N561" i="127"/>
  <c r="P561" i="127" s="1"/>
  <c r="W561" i="127"/>
  <c r="BD181" i="118"/>
  <c r="BD46" i="118"/>
  <c r="BD184" i="118" s="1"/>
  <c r="BD3" i="118"/>
  <c r="BD6" i="118" s="1"/>
  <c r="J562" i="127" l="1"/>
  <c r="BD7" i="118"/>
  <c r="Y561" i="127"/>
  <c r="X561" i="127"/>
  <c r="AC49" i="129" l="1"/>
  <c r="DQ62" i="28" s="1"/>
  <c r="J563" i="127"/>
  <c r="BE7" i="118"/>
  <c r="BF3" i="118"/>
  <c r="BF6" i="118" s="1"/>
  <c r="L563" i="127"/>
  <c r="L562" i="127"/>
  <c r="AC60" i="129" l="1"/>
  <c r="AC63" i="129" s="1"/>
  <c r="AC64" i="129" s="1"/>
  <c r="BE172" i="118"/>
  <c r="AD46" i="129"/>
  <c r="AC50" i="129"/>
  <c r="AC51" i="129" s="1"/>
  <c r="BF26" i="118"/>
  <c r="AA563" i="127"/>
  <c r="AC563" i="127" s="1"/>
  <c r="J567" i="127"/>
  <c r="L567" i="127" s="1"/>
  <c r="BF7" i="118"/>
  <c r="BG3" i="118"/>
  <c r="BG6" i="118" s="1"/>
  <c r="V562" i="127"/>
  <c r="N562" i="127"/>
  <c r="P562" i="127" s="1"/>
  <c r="W562" i="127"/>
  <c r="L564" i="127"/>
  <c r="N563" i="127"/>
  <c r="BF170" i="118" l="1"/>
  <c r="AC25" i="129"/>
  <c r="AD204" i="128"/>
  <c r="AF204" i="128" s="1"/>
  <c r="AB203" i="9"/>
  <c r="BE171" i="118"/>
  <c r="AC57" i="129"/>
  <c r="AC58" i="129" s="1"/>
  <c r="AC61" i="129"/>
  <c r="J568" i="127"/>
  <c r="L568" i="127" s="1"/>
  <c r="N568" i="127" s="1"/>
  <c r="H568" i="127" s="1"/>
  <c r="BG7" i="118"/>
  <c r="BH3" i="118"/>
  <c r="BH6" i="118" s="1"/>
  <c r="BF28" i="118"/>
  <c r="BF172" i="118" s="1"/>
  <c r="AE563" i="127"/>
  <c r="AC564" i="127"/>
  <c r="AE564" i="127" s="1"/>
  <c r="N567" i="127"/>
  <c r="Y562" i="127"/>
  <c r="X562" i="127"/>
  <c r="N564" i="127"/>
  <c r="AF205" i="128" l="1"/>
  <c r="AH205" i="128" s="1"/>
  <c r="AH204" i="128"/>
  <c r="AO204" i="128"/>
  <c r="AC29" i="129"/>
  <c r="AC30" i="129" s="1"/>
  <c r="AC22" i="129"/>
  <c r="AC23" i="129" s="1"/>
  <c r="AC26" i="129"/>
  <c r="BG170" i="118"/>
  <c r="AD208" i="128"/>
  <c r="AF208" i="128" s="1"/>
  <c r="AB207" i="9"/>
  <c r="H207" i="9" s="1"/>
  <c r="BF171" i="118"/>
  <c r="D568" i="127"/>
  <c r="S568" i="127" s="1"/>
  <c r="J569" i="127"/>
  <c r="L569" i="127" s="1"/>
  <c r="N569" i="127" s="1"/>
  <c r="H569" i="127" s="1"/>
  <c r="BI3" i="118"/>
  <c r="BI6" i="118" s="1"/>
  <c r="BH7" i="118"/>
  <c r="BG26" i="118"/>
  <c r="BG28" i="118" s="1"/>
  <c r="BG172" i="118" s="1"/>
  <c r="AA567" i="127"/>
  <c r="AC567" i="127" s="1"/>
  <c r="D567" i="127"/>
  <c r="S567" i="127" s="1"/>
  <c r="S564" i="127"/>
  <c r="AC43" i="129" s="1"/>
  <c r="AC75" i="129" s="1"/>
  <c r="T563" i="127"/>
  <c r="AK563" i="127"/>
  <c r="W563" i="127"/>
  <c r="Y563" i="127" s="1"/>
  <c r="BH170" i="118" l="1"/>
  <c r="AD209" i="128"/>
  <c r="AF209" i="128" s="1"/>
  <c r="AH209" i="128" s="1"/>
  <c r="AB208" i="9"/>
  <c r="BG171" i="118"/>
  <c r="AH208" i="128"/>
  <c r="AQ204" i="128"/>
  <c r="AO205" i="128"/>
  <c r="AQ205" i="128" s="1"/>
  <c r="BH26" i="118"/>
  <c r="BH28" i="118" s="1"/>
  <c r="BH172" i="118" s="1"/>
  <c r="AA568" i="127"/>
  <c r="AC568" i="127" s="1"/>
  <c r="AE568" i="127" s="1"/>
  <c r="AH568" i="127" s="1"/>
  <c r="D569" i="127"/>
  <c r="S569" i="127" s="1"/>
  <c r="AE567" i="127"/>
  <c r="AH567" i="127" s="1"/>
  <c r="S209" i="128"/>
  <c r="T568" i="127"/>
  <c r="W568" i="127"/>
  <c r="Y568" i="127" s="1"/>
  <c r="AK568" i="127"/>
  <c r="S208" i="128"/>
  <c r="W567" i="127"/>
  <c r="Y567" i="127" s="1"/>
  <c r="T567" i="127"/>
  <c r="AK567" i="127"/>
  <c r="AD49" i="129"/>
  <c r="DR62" i="28" s="1"/>
  <c r="J570" i="127"/>
  <c r="L570" i="127" s="1"/>
  <c r="N570" i="127" s="1"/>
  <c r="BI7" i="118"/>
  <c r="AC44" i="129"/>
  <c r="AC70" i="129" s="1"/>
  <c r="AC74" i="129" s="1"/>
  <c r="AC66" i="129"/>
  <c r="AC67" i="129" s="1"/>
  <c r="AC54" i="129"/>
  <c r="AC55" i="129" s="1"/>
  <c r="AJ563" i="127"/>
  <c r="AL563" i="127" s="1"/>
  <c r="V563" i="127"/>
  <c r="X563" i="127" s="1"/>
  <c r="AK564" i="127"/>
  <c r="T564" i="127"/>
  <c r="W564" i="127"/>
  <c r="Y564" i="127" s="1"/>
  <c r="AB209" i="9" l="1"/>
  <c r="BI170" i="118"/>
  <c r="AD210" i="128"/>
  <c r="AF210" i="128" s="1"/>
  <c r="BH171" i="118"/>
  <c r="AE46" i="129"/>
  <c r="AE49" i="129" s="1"/>
  <c r="DS62" i="28" s="1"/>
  <c r="AD50" i="129"/>
  <c r="AD51" i="129" s="1"/>
  <c r="AJ568" i="127"/>
  <c r="AL568" i="127" s="1"/>
  <c r="V568" i="127"/>
  <c r="X568" i="127" s="1"/>
  <c r="L571" i="127"/>
  <c r="N571" i="127" s="1"/>
  <c r="D208" i="128"/>
  <c r="H208" i="128" s="1"/>
  <c r="AY208" i="128"/>
  <c r="DN10" i="29"/>
  <c r="DN11" i="29"/>
  <c r="D209" i="128"/>
  <c r="H209" i="128" s="1"/>
  <c r="AY209" i="128"/>
  <c r="S210" i="128"/>
  <c r="AK569" i="127"/>
  <c r="T569" i="127"/>
  <c r="W569" i="127"/>
  <c r="Y569" i="127" s="1"/>
  <c r="AJ567" i="127"/>
  <c r="AL567" i="127" s="1"/>
  <c r="V567" i="127"/>
  <c r="X567" i="127" s="1"/>
  <c r="BI26" i="118"/>
  <c r="BI28" i="118" s="1"/>
  <c r="AA569" i="127"/>
  <c r="AC569" i="127" s="1"/>
  <c r="D570" i="127"/>
  <c r="S570" i="127" s="1"/>
  <c r="AJ564" i="127"/>
  <c r="AL564" i="127" s="1"/>
  <c r="D564" i="127"/>
  <c r="H564" i="127" s="1"/>
  <c r="V564" i="127"/>
  <c r="X564" i="127" s="1"/>
  <c r="AA570" i="127" l="1"/>
  <c r="AC570" i="127" s="1"/>
  <c r="AE570" i="127" s="1"/>
  <c r="AH570" i="127" s="1"/>
  <c r="AD60" i="129"/>
  <c r="BI172" i="118"/>
  <c r="AH210" i="128"/>
  <c r="DN21" i="29"/>
  <c r="T209" i="128"/>
  <c r="DN20" i="29"/>
  <c r="T208" i="128"/>
  <c r="AY210" i="128"/>
  <c r="DN12" i="29"/>
  <c r="D210" i="128"/>
  <c r="H210" i="128" s="1"/>
  <c r="AE569" i="127"/>
  <c r="AH569" i="127" s="1"/>
  <c r="V569" i="127"/>
  <c r="X569" i="127" s="1"/>
  <c r="AJ569" i="127"/>
  <c r="AL569" i="127" s="1"/>
  <c r="AJ209" i="128"/>
  <c r="P209" i="128"/>
  <c r="P208" i="128"/>
  <c r="AJ208" i="128"/>
  <c r="AK570" i="127"/>
  <c r="T570" i="127"/>
  <c r="S571" i="127"/>
  <c r="W570" i="127"/>
  <c r="Y570" i="127" s="1"/>
  <c r="DO50" i="29"/>
  <c r="DO10" i="29"/>
  <c r="DO77" i="29"/>
  <c r="D207" i="9"/>
  <c r="DO40" i="29"/>
  <c r="DN15" i="29"/>
  <c r="DO11" i="29"/>
  <c r="DO41" i="29"/>
  <c r="DO78" i="29"/>
  <c r="D208" i="9"/>
  <c r="DO51" i="29"/>
  <c r="AE50" i="129"/>
  <c r="AE51" i="129" s="1"/>
  <c r="AF46" i="129"/>
  <c r="AF49" i="129" s="1"/>
  <c r="DT62" i="28" s="1"/>
  <c r="AH564" i="127"/>
  <c r="P564" i="127"/>
  <c r="AD25" i="129" l="1"/>
  <c r="AD211" i="128"/>
  <c r="AF211" i="128" s="1"/>
  <c r="AB210" i="9"/>
  <c r="BI171" i="118"/>
  <c r="AD61" i="129"/>
  <c r="AE60" i="129"/>
  <c r="AE57" i="129" s="1"/>
  <c r="AD57" i="129"/>
  <c r="AD58" i="129" s="1"/>
  <c r="AD63" i="129"/>
  <c r="AD64" i="129" s="1"/>
  <c r="AM208" i="128"/>
  <c r="AO208" i="128" s="1"/>
  <c r="AQ208" i="128" s="1"/>
  <c r="Y208" i="128"/>
  <c r="AA208" i="128" s="1"/>
  <c r="DN16" i="29"/>
  <c r="DO46" i="29" s="1"/>
  <c r="DN22" i="29"/>
  <c r="DN26" i="29" s="1"/>
  <c r="T210" i="128"/>
  <c r="DN25" i="29"/>
  <c r="DO25" i="29" s="1"/>
  <c r="AM209" i="128"/>
  <c r="AO209" i="128" s="1"/>
  <c r="AQ209" i="128" s="1"/>
  <c r="Y209" i="128"/>
  <c r="AA209" i="128" s="1"/>
  <c r="AC571" i="127"/>
  <c r="AE571" i="127" s="1"/>
  <c r="DO15" i="29"/>
  <c r="DO82" i="29"/>
  <c r="DO55" i="29"/>
  <c r="DO45" i="29"/>
  <c r="AJ570" i="127"/>
  <c r="AL570" i="127" s="1"/>
  <c r="V570" i="127"/>
  <c r="X570" i="127" s="1"/>
  <c r="AF50" i="129"/>
  <c r="AF51" i="129" s="1"/>
  <c r="AG46" i="129"/>
  <c r="AG49" i="129" s="1"/>
  <c r="DU62" i="28" s="1"/>
  <c r="AJ210" i="128"/>
  <c r="P210" i="128"/>
  <c r="DP15" i="29"/>
  <c r="AK571" i="127"/>
  <c r="AD43" i="129"/>
  <c r="AD75" i="129" s="1"/>
  <c r="W571" i="127"/>
  <c r="Y571" i="127" s="1"/>
  <c r="T571" i="127"/>
  <c r="D209" i="9"/>
  <c r="DO79" i="29"/>
  <c r="DO52" i="29"/>
  <c r="DO42" i="29"/>
  <c r="DO12" i="29"/>
  <c r="AE58" i="129" l="1"/>
  <c r="DO56" i="29"/>
  <c r="DO83" i="29"/>
  <c r="DO26" i="29"/>
  <c r="DO16" i="29"/>
  <c r="DP16" i="29"/>
  <c r="AF60" i="129"/>
  <c r="AF57" i="129" s="1"/>
  <c r="AF58" i="129" s="1"/>
  <c r="AE61" i="129"/>
  <c r="AE43" i="129" s="1"/>
  <c r="AE75" i="129" s="1"/>
  <c r="AE25" i="129"/>
  <c r="AE63" i="129"/>
  <c r="AE64" i="129" s="1"/>
  <c r="AH211" i="128"/>
  <c r="AF212" i="128"/>
  <c r="AH212" i="128" s="1"/>
  <c r="AD22" i="129"/>
  <c r="AD23" i="129" s="1"/>
  <c r="AD26" i="129"/>
  <c r="AD29" i="129"/>
  <c r="AD30" i="129" s="1"/>
  <c r="AM210" i="128"/>
  <c r="AO210" i="128" s="1"/>
  <c r="AQ210" i="128" s="1"/>
  <c r="Y210" i="128"/>
  <c r="AA210" i="128" s="1"/>
  <c r="AD54" i="129"/>
  <c r="AD55" i="129" s="1"/>
  <c r="AD44" i="129"/>
  <c r="AD66" i="129"/>
  <c r="AD67" i="129" s="1"/>
  <c r="AJ571" i="127"/>
  <c r="AL571" i="127" s="1"/>
  <c r="V571" i="127"/>
  <c r="X571" i="127" s="1"/>
  <c r="F571" i="127"/>
  <c r="AD69" i="129" s="1"/>
  <c r="DR48" i="28" s="1"/>
  <c r="D571" i="127"/>
  <c r="AG50" i="129"/>
  <c r="AG51" i="129" s="1"/>
  <c r="AH46" i="129"/>
  <c r="AH49" i="129" s="1"/>
  <c r="DV62" i="28" s="1"/>
  <c r="AE29" i="129" l="1"/>
  <c r="AE30" i="129" s="1"/>
  <c r="AE22" i="129"/>
  <c r="AE23" i="129" s="1"/>
  <c r="AE26" i="129"/>
  <c r="AF25" i="129"/>
  <c r="AF61" i="129"/>
  <c r="AF43" i="129" s="1"/>
  <c r="AF75" i="129" s="1"/>
  <c r="AG60" i="129"/>
  <c r="AG57" i="129" s="1"/>
  <c r="AG58" i="129" s="1"/>
  <c r="AF63" i="129"/>
  <c r="AF64" i="129" s="1"/>
  <c r="H571" i="127"/>
  <c r="P571" i="127" s="1"/>
  <c r="AE54" i="129"/>
  <c r="AE55" i="129" s="1"/>
  <c r="AE66" i="129"/>
  <c r="AE67" i="129" s="1"/>
  <c r="AH50" i="129"/>
  <c r="AH51" i="129" s="1"/>
  <c r="AL49" i="129"/>
  <c r="AD70" i="129"/>
  <c r="AD74" i="129" s="1"/>
  <c r="AF22" i="129" l="1"/>
  <c r="AF23" i="129" s="1"/>
  <c r="AF29" i="129"/>
  <c r="AF30" i="129" s="1"/>
  <c r="AF26" i="129"/>
  <c r="AH60" i="129"/>
  <c r="AG61" i="129"/>
  <c r="AG43" i="129" s="1"/>
  <c r="AG75" i="129" s="1"/>
  <c r="AG25" i="129"/>
  <c r="AG63" i="129"/>
  <c r="AG64" i="129" s="1"/>
  <c r="AH571" i="127"/>
  <c r="AF66" i="129"/>
  <c r="AF67" i="129" s="1"/>
  <c r="AF54" i="129"/>
  <c r="AF55" i="129" s="1"/>
  <c r="AH25" i="129" l="1"/>
  <c r="AH61" i="129"/>
  <c r="AH43" i="129" s="1"/>
  <c r="AH75" i="129" s="1"/>
  <c r="AL60" i="129"/>
  <c r="AH63" i="129"/>
  <c r="AH64" i="129" s="1"/>
  <c r="AH57" i="129"/>
  <c r="AG29" i="129"/>
  <c r="AG30" i="129" s="1"/>
  <c r="AG26" i="129"/>
  <c r="AG22" i="129"/>
  <c r="AG23" i="129" s="1"/>
  <c r="AG54" i="129"/>
  <c r="AG55" i="129" s="1"/>
  <c r="AG66" i="129"/>
  <c r="AG67" i="129" s="1"/>
  <c r="AL25" i="129" l="1"/>
  <c r="AH29" i="129"/>
  <c r="AH26" i="129"/>
  <c r="AH22" i="129"/>
  <c r="AH58" i="129"/>
  <c r="AL57" i="129"/>
  <c r="AH54" i="129"/>
  <c r="AH55" i="129" s="1"/>
  <c r="AL43" i="129"/>
  <c r="AH66" i="129"/>
  <c r="AH23" i="129" l="1"/>
  <c r="AL22" i="129"/>
  <c r="AH30" i="129"/>
  <c r="AL29" i="129"/>
  <c r="AH67" i="129"/>
  <c r="AL66" i="129"/>
  <c r="AF195" i="9" l="1"/>
  <c r="CO47" i="28" l="1"/>
  <c r="DS10" i="29"/>
  <c r="DR10" i="29"/>
  <c r="CQ47" i="28" l="1"/>
  <c r="DS12" i="29"/>
  <c r="D202" i="9"/>
  <c r="DK12" i="29"/>
  <c r="DR12" i="29"/>
  <c r="DK52" i="29"/>
  <c r="DK42" i="29"/>
  <c r="DK79" i="29"/>
  <c r="L202" i="9" l="1"/>
  <c r="L209" i="9"/>
  <c r="D200" i="9"/>
  <c r="DK50" i="29"/>
  <c r="DK10" i="29"/>
  <c r="DK40" i="29"/>
  <c r="DK77" i="29"/>
  <c r="L200" i="9" l="1"/>
  <c r="L207" i="9"/>
  <c r="DL20" i="29" l="1"/>
  <c r="DL21" i="29"/>
  <c r="F202" i="9"/>
  <c r="DL22" i="29"/>
  <c r="DS22" i="29" l="1"/>
  <c r="DR22" i="29"/>
  <c r="DR21" i="29"/>
  <c r="DS21" i="29"/>
  <c r="DR20" i="29"/>
  <c r="DS20" i="29"/>
  <c r="DL30" i="29"/>
  <c r="DU32" i="29"/>
  <c r="DL32" i="29" l="1"/>
  <c r="DR32" i="29" s="1"/>
  <c r="DS30" i="29"/>
  <c r="DJ60" i="29"/>
  <c r="DL60" i="29" s="1"/>
  <c r="DJ62" i="29"/>
  <c r="DL62" i="29" s="1"/>
  <c r="DS32" i="29" l="1"/>
  <c r="DK60" i="29"/>
  <c r="DJ87" i="29"/>
  <c r="DK62" i="29"/>
  <c r="DJ89" i="29"/>
  <c r="DK87" i="29" l="1"/>
  <c r="DL87" i="29"/>
  <c r="DK89" i="29"/>
  <c r="DL89" i="29"/>
  <c r="DJ107" i="29"/>
  <c r="DK107" i="29" s="1"/>
  <c r="DJ109" i="29"/>
  <c r="DK109" i="29" l="1"/>
  <c r="DJ118" i="29"/>
  <c r="DJ126" i="29"/>
  <c r="DK126" i="29" s="1"/>
  <c r="DJ137" i="29" l="1"/>
  <c r="DK128" i="29"/>
  <c r="CJ10" i="28" l="1" a="1"/>
  <c r="CL10" i="28" s="1"/>
  <c r="CM47" i="28"/>
  <c r="CJ10" i="28" l="1"/>
  <c r="CJ46" i="28" s="1"/>
  <c r="CK10" i="28"/>
  <c r="CL46" i="28"/>
  <c r="CL39" i="28"/>
  <c r="CJ39" i="28" l="1"/>
  <c r="CK46" i="28"/>
  <c r="CK39" i="28"/>
  <c r="DG13" i="29"/>
  <c r="DD13" i="34" s="1"/>
  <c r="DD19" i="34" s="1"/>
  <c r="DD25" i="34" s="1"/>
  <c r="DD31" i="34" s="1"/>
  <c r="DD37" i="34" s="1"/>
  <c r="DF14" i="29"/>
  <c r="DG14" i="29" s="1"/>
  <c r="CJ12" i="28" a="1"/>
  <c r="CM12" i="28" s="1"/>
  <c r="ER23" i="29"/>
  <c r="CJ15" i="28" a="1"/>
  <c r="DG43" i="29"/>
  <c r="DG53" i="29"/>
  <c r="DG80" i="29"/>
  <c r="DG81" i="29"/>
  <c r="CM10" i="28"/>
  <c r="CM39" i="28" s="1"/>
  <c r="D196" i="9"/>
  <c r="L196" i="9" s="1"/>
  <c r="F196" i="9"/>
  <c r="T195" i="9" s="1"/>
  <c r="D197" i="9"/>
  <c r="L197" i="9" s="1"/>
  <c r="CM46" i="28" l="1"/>
  <c r="AB15" i="20"/>
  <c r="DF34" i="29"/>
  <c r="DH33" i="29"/>
  <c r="AM195" i="9"/>
  <c r="CM14" i="28"/>
  <c r="CL12" i="28"/>
  <c r="CJ12" i="28"/>
  <c r="CK12" i="28"/>
  <c r="DF90" i="29"/>
  <c r="DG100" i="29" s="1"/>
  <c r="CL15" i="28"/>
  <c r="CK15" i="28"/>
  <c r="CJ15" i="28"/>
  <c r="CM15" i="28"/>
  <c r="DG54" i="29"/>
  <c r="DG44" i="29"/>
  <c r="DF24" i="29"/>
  <c r="BE66" i="17" l="1"/>
  <c r="BE72" i="17" s="1"/>
  <c r="AJ7" i="20"/>
  <c r="AB23" i="20"/>
  <c r="DP10" i="28"/>
  <c r="O6" i="97"/>
  <c r="O45" i="97" s="1"/>
  <c r="AB31" i="20"/>
  <c r="AB8" i="20"/>
  <c r="AB37" i="20"/>
  <c r="DG63" i="29"/>
  <c r="DH34" i="29"/>
  <c r="AB21" i="20"/>
  <c r="DG34" i="29"/>
  <c r="DG64" i="29"/>
  <c r="DH63" i="29"/>
  <c r="CJ14" i="28"/>
  <c r="CJ19" i="28" s="1"/>
  <c r="CL14" i="28"/>
  <c r="CL19" i="28" s="1"/>
  <c r="CK14" i="28"/>
  <c r="CM36" i="28"/>
  <c r="CJ37" i="28"/>
  <c r="CJ51" i="28"/>
  <c r="CK51" i="28"/>
  <c r="CK37" i="28"/>
  <c r="CM51" i="28"/>
  <c r="CM37" i="28"/>
  <c r="CM19" i="28"/>
  <c r="CL51" i="28"/>
  <c r="CL37" i="28"/>
  <c r="DG24" i="29"/>
  <c r="DH24" i="29" s="1"/>
  <c r="AB10" i="20"/>
  <c r="F197" i="9"/>
  <c r="DG90" i="29"/>
  <c r="CJ24" i="28" a="1"/>
  <c r="DH90" i="29"/>
  <c r="DF91" i="29"/>
  <c r="BE71" i="17" l="1"/>
  <c r="BE73" i="17"/>
  <c r="BG73" i="17" s="1"/>
  <c r="O35" i="97"/>
  <c r="O86" i="97"/>
  <c r="O115" i="97" s="1"/>
  <c r="DP46" i="28"/>
  <c r="DP39" i="28"/>
  <c r="CK19" i="28"/>
  <c r="AB18" i="20"/>
  <c r="AB19" i="20" s="1"/>
  <c r="O74" i="97"/>
  <c r="AB24" i="20"/>
  <c r="AJ24" i="20" s="1"/>
  <c r="O11" i="97"/>
  <c r="AB26" i="20"/>
  <c r="AJ21" i="20"/>
  <c r="BE68" i="17"/>
  <c r="DP15" i="28"/>
  <c r="AB25" i="20"/>
  <c r="DH64" i="29"/>
  <c r="CK36" i="28"/>
  <c r="CL36" i="28"/>
  <c r="CJ36" i="28"/>
  <c r="CM33" i="28"/>
  <c r="CM52" i="28"/>
  <c r="CM22" i="28"/>
  <c r="CM38" i="28"/>
  <c r="CJ22" i="28"/>
  <c r="CJ38" i="28"/>
  <c r="CJ33" i="28"/>
  <c r="CJ52" i="28"/>
  <c r="CL22" i="28"/>
  <c r="CL52" i="28"/>
  <c r="CL38" i="28"/>
  <c r="CL33" i="28"/>
  <c r="CJ24" i="28"/>
  <c r="CL24" i="28"/>
  <c r="CK24" i="28"/>
  <c r="DF110" i="29"/>
  <c r="DF119" i="29" s="1"/>
  <c r="DF120" i="29" s="1"/>
  <c r="O8" i="97"/>
  <c r="AJ10" i="20"/>
  <c r="AB12" i="20"/>
  <c r="AB11" i="20"/>
  <c r="DG91" i="29"/>
  <c r="DH91" i="29"/>
  <c r="CM24" i="28"/>
  <c r="DF101" i="29"/>
  <c r="CK38" i="28" l="1"/>
  <c r="CK33" i="28"/>
  <c r="CK22" i="28"/>
  <c r="CK52" i="28"/>
  <c r="O10" i="97"/>
  <c r="O13" i="97" s="1"/>
  <c r="O88" i="97"/>
  <c r="O90" i="97" s="1"/>
  <c r="O47" i="97"/>
  <c r="O49" i="97" s="1"/>
  <c r="O91" i="97"/>
  <c r="O50" i="97"/>
  <c r="DF111" i="29"/>
  <c r="DF130" i="29" s="1"/>
  <c r="DF138" i="29"/>
  <c r="DF139" i="29" s="1"/>
  <c r="DP51" i="28"/>
  <c r="DP37" i="28"/>
  <c r="O30" i="97"/>
  <c r="O159" i="97" s="1"/>
  <c r="O157" i="97" s="1"/>
  <c r="O37" i="97"/>
  <c r="CL43" i="28"/>
  <c r="CL54" i="28"/>
  <c r="CJ43" i="28"/>
  <c r="CJ54" i="28"/>
  <c r="BB67" i="36"/>
  <c r="BB69" i="36" s="1"/>
  <c r="BB70" i="36" s="1"/>
  <c r="CM40" i="28"/>
  <c r="CL40" i="28"/>
  <c r="CM54" i="28"/>
  <c r="CM43" i="28"/>
  <c r="CJ40" i="28"/>
  <c r="DG110" i="29"/>
  <c r="CJ27" i="28"/>
  <c r="CJ41" i="28"/>
  <c r="DF129" i="29"/>
  <c r="DG129" i="29" s="1"/>
  <c r="CL27" i="28"/>
  <c r="CL41" i="28"/>
  <c r="BE33" i="17"/>
  <c r="BE41" i="17" s="1"/>
  <c r="BD36" i="22"/>
  <c r="BD38" i="22" s="1"/>
  <c r="DB43" i="34"/>
  <c r="DC13" i="34"/>
  <c r="BE67" i="17"/>
  <c r="AB16" i="20"/>
  <c r="AB17" i="20" s="1"/>
  <c r="DP12" i="28"/>
  <c r="AB33" i="20"/>
  <c r="AB13" i="20"/>
  <c r="DG101" i="29"/>
  <c r="AB42" i="20"/>
  <c r="CM27" i="28"/>
  <c r="CM41" i="28"/>
  <c r="P196" i="9"/>
  <c r="J196" i="9"/>
  <c r="N196" i="9"/>
  <c r="DG111" i="29"/>
  <c r="CK43" i="28" l="1"/>
  <c r="O29" i="97"/>
  <c r="O155" i="97" s="1"/>
  <c r="O153" i="97" s="1"/>
  <c r="CK54" i="28"/>
  <c r="BD67" i="36"/>
  <c r="BD69" i="36" s="1"/>
  <c r="BD70" i="36" s="1"/>
  <c r="CK27" i="28"/>
  <c r="CK41" i="28"/>
  <c r="CK40" i="28"/>
  <c r="O117" i="97"/>
  <c r="O110" i="97"/>
  <c r="O160" i="97" s="1"/>
  <c r="O52" i="97"/>
  <c r="O68" i="97"/>
  <c r="O93" i="97"/>
  <c r="O109" i="97"/>
  <c r="O156" i="97" s="1"/>
  <c r="O69" i="97"/>
  <c r="O76" i="97"/>
  <c r="CM29" i="28"/>
  <c r="CL29" i="28"/>
  <c r="CL42" i="28"/>
  <c r="CJ42" i="28"/>
  <c r="CJ29" i="28"/>
  <c r="R196" i="9"/>
  <c r="J197" i="9"/>
  <c r="AK196" i="9"/>
  <c r="AI196" i="9"/>
  <c r="CM42" i="28"/>
  <c r="O18" i="97"/>
  <c r="DP24" i="28"/>
  <c r="AB34" i="20"/>
  <c r="AB39" i="20"/>
  <c r="AJ33" i="20"/>
  <c r="DP14" i="28"/>
  <c r="DG130" i="29"/>
  <c r="O26" i="97"/>
  <c r="O40" i="97" s="1"/>
  <c r="O38" i="97"/>
  <c r="O16" i="97"/>
  <c r="O31" i="97"/>
  <c r="AB43" i="20" l="1"/>
  <c r="DP76" i="28" s="1"/>
  <c r="CK42" i="28"/>
  <c r="CK29" i="28"/>
  <c r="O70" i="97"/>
  <c r="O65" i="97"/>
  <c r="O79" i="97" s="1"/>
  <c r="O55" i="97"/>
  <c r="O77" i="97"/>
  <c r="O106" i="97"/>
  <c r="O120" i="97" s="1"/>
  <c r="O96" i="97"/>
  <c r="O111" i="97"/>
  <c r="O118" i="97"/>
  <c r="O98" i="97"/>
  <c r="O57" i="97"/>
  <c r="O21" i="97"/>
  <c r="O23" i="97" s="1"/>
  <c r="V23" i="97" s="1"/>
  <c r="X23" i="97" s="1"/>
  <c r="Y23" i="97" s="1"/>
  <c r="CJ53" i="28"/>
  <c r="CL53" i="28"/>
  <c r="AB40" i="20"/>
  <c r="AJ39" i="20"/>
  <c r="AB45" i="20"/>
  <c r="O32" i="97"/>
  <c r="O164" i="97" s="1"/>
  <c r="O162" i="97" s="1"/>
  <c r="DP36" i="28"/>
  <c r="DP19" i="28"/>
  <c r="CM53" i="28"/>
  <c r="R197" i="9"/>
  <c r="AI197" i="9"/>
  <c r="BD10" i="22" l="1"/>
  <c r="CK53" i="28"/>
  <c r="O71" i="97"/>
  <c r="O60" i="97"/>
  <c r="O62" i="97" s="1"/>
  <c r="O78" i="97" s="1"/>
  <c r="O112" i="97"/>
  <c r="O165" i="97" s="1"/>
  <c r="O101" i="97"/>
  <c r="O103" i="97" s="1"/>
  <c r="O39" i="97"/>
  <c r="DP33" i="28"/>
  <c r="DP22" i="28"/>
  <c r="DP52" i="28"/>
  <c r="DP38" i="28"/>
  <c r="BE69" i="17"/>
  <c r="AJ45" i="20"/>
  <c r="AB48" i="20"/>
  <c r="AB46" i="20"/>
  <c r="AB51" i="20"/>
  <c r="AB52" i="20" s="1"/>
  <c r="AB57" i="20"/>
  <c r="O119" i="97" l="1"/>
  <c r="BD17" i="22"/>
  <c r="DP43" i="28"/>
  <c r="DP54" i="28"/>
  <c r="DP27" i="28"/>
  <c r="DP40" i="28"/>
  <c r="DP41" i="28"/>
  <c r="AB49" i="20"/>
  <c r="AJ48" i="20"/>
  <c r="DP29" i="28" l="1"/>
  <c r="DP42" i="28"/>
  <c r="BE50" i="17"/>
  <c r="BD40" i="22"/>
  <c r="BD80" i="22"/>
  <c r="BE52" i="17" l="1"/>
  <c r="CO64" i="28"/>
  <c r="BD85" i="22"/>
  <c r="BD86" i="22" s="1"/>
  <c r="BD59" i="22"/>
  <c r="DP53" i="28"/>
  <c r="BD60" i="22" l="1"/>
  <c r="BD62" i="22"/>
  <c r="BD87" i="22"/>
  <c r="BD88" i="22" s="1"/>
  <c r="CO63" i="28"/>
  <c r="BE9" i="17" l="1"/>
  <c r="BF58" i="22"/>
  <c r="BG81" i="17" l="1"/>
  <c r="BE14" i="17"/>
  <c r="BE82" i="17"/>
  <c r="BD61" i="22"/>
  <c r="O116" i="97" l="1"/>
  <c r="O172" i="97" s="1"/>
  <c r="O75" i="97"/>
  <c r="O170" i="97" s="1"/>
  <c r="O121" i="97"/>
  <c r="O180" i="97" s="1"/>
  <c r="O178" i="97" s="1"/>
  <c r="O80" i="97"/>
  <c r="O81" i="97" s="1"/>
  <c r="O179" i="97" s="1"/>
  <c r="O171" i="97"/>
  <c r="O169" i="97" s="1"/>
  <c r="O177" i="97"/>
  <c r="O168" i="97" l="1"/>
  <c r="O127" i="97" s="1"/>
  <c r="O132" i="97" l="1"/>
  <c r="O173" i="97" s="1"/>
  <c r="O131" i="97"/>
  <c r="O129" i="97" s="1"/>
  <c r="O134" i="97" l="1"/>
  <c r="O174" i="97" l="1"/>
  <c r="O137" i="97"/>
  <c r="O161" i="97"/>
  <c r="O150" i="97"/>
  <c r="O176" i="97" s="1"/>
  <c r="O139" i="97" l="1"/>
  <c r="O142" i="97" s="1"/>
  <c r="O144" i="97" s="1"/>
  <c r="O175" i="97" s="1"/>
  <c r="X196" i="9" l="1"/>
  <c r="Z196" i="9" s="1"/>
  <c r="DP75" i="28"/>
  <c r="DQ75" i="28" l="1"/>
  <c r="DR75" i="28" l="1"/>
  <c r="DS75" i="28" l="1"/>
  <c r="DT75" i="28" l="1"/>
  <c r="AD196" i="9"/>
  <c r="AF196" i="9" s="1"/>
  <c r="AD200" i="9"/>
  <c r="AD207" i="9" s="1"/>
  <c r="AF200" i="9" l="1"/>
  <c r="DU75" i="28"/>
  <c r="N200" i="9"/>
  <c r="J200" i="9"/>
  <c r="X200" i="9"/>
  <c r="Z200" i="9" l="1"/>
  <c r="J201" i="9"/>
  <c r="AD201" i="9"/>
  <c r="AD208" i="9" s="1"/>
  <c r="N201" i="9"/>
  <c r="P201" i="9"/>
  <c r="AM201" i="9"/>
  <c r="T201" i="9"/>
  <c r="X201" i="9"/>
  <c r="DP74" i="28"/>
  <c r="AK200" i="9"/>
  <c r="R200" i="9"/>
  <c r="AI200" i="9"/>
  <c r="Z201" i="9" l="1"/>
  <c r="J202" i="9"/>
  <c r="AI202" i="9" s="1"/>
  <c r="AF201" i="9"/>
  <c r="P202" i="9"/>
  <c r="N202" i="9"/>
  <c r="X202" i="9"/>
  <c r="AK202" i="9" l="1"/>
  <c r="R202" i="9"/>
  <c r="Z202" i="9"/>
  <c r="DQ74" i="28" l="1"/>
  <c r="DR74" i="28" l="1"/>
  <c r="DS74" i="28" l="1"/>
  <c r="DT74" i="28" l="1"/>
  <c r="DU74" i="28" l="1"/>
  <c r="DK43" i="29" l="1"/>
  <c r="DK80" i="29"/>
  <c r="DK13" i="29"/>
  <c r="DK53" i="29"/>
  <c r="F210" i="9"/>
  <c r="D203" i="9"/>
  <c r="DU33" i="29"/>
  <c r="L203" i="9" l="1"/>
  <c r="DJ63" i="29"/>
  <c r="DJ90" i="29" s="1"/>
  <c r="F203" i="9"/>
  <c r="DL33" i="29"/>
  <c r="DL63" i="29" l="1"/>
  <c r="DK63" i="29"/>
  <c r="DL90" i="29"/>
  <c r="DK90" i="29"/>
  <c r="AM202" i="9"/>
  <c r="T202" i="9"/>
  <c r="DR33" i="29"/>
  <c r="DS33" i="29"/>
  <c r="DR13" i="29" l="1"/>
  <c r="DS13" i="29"/>
  <c r="CR47" i="28"/>
  <c r="DK110" i="29" l="1"/>
  <c r="DJ129" i="29"/>
  <c r="DJ138" i="29" l="1"/>
  <c r="DJ139" i="29" s="1"/>
  <c r="DJ120" i="29"/>
  <c r="BF10" i="22" s="1"/>
  <c r="DK129" i="29"/>
  <c r="BE22" i="17" l="1"/>
  <c r="BE61" i="17" s="1"/>
  <c r="BD92" i="22" s="1"/>
  <c r="BE60" i="17" l="1"/>
  <c r="BD91" i="22" s="1"/>
  <c r="BE16" i="17"/>
  <c r="BG17" i="17" s="1"/>
  <c r="BI17" i="17" s="1"/>
  <c r="BK17" i="17" s="1"/>
  <c r="BM17" i="17" s="1"/>
  <c r="BO17" i="17" s="1"/>
  <c r="BQ17" i="17" s="1"/>
  <c r="O163" i="97" l="1"/>
  <c r="O158" i="97"/>
  <c r="O154" i="97"/>
  <c r="V52" i="97" l="1"/>
  <c r="Q170" i="97" l="1"/>
  <c r="R170" i="97" l="1"/>
  <c r="S170" i="97" l="1"/>
  <c r="T170" i="97" l="1"/>
  <c r="BI72" i="17" l="1"/>
  <c r="BK72" i="17"/>
  <c r="BM72" i="17" s="1"/>
  <c r="BO72" i="17" l="1"/>
  <c r="BI73" i="17" l="1"/>
  <c r="BK73" i="17" l="1"/>
  <c r="BM73" i="17" l="1"/>
  <c r="BO73" i="17" l="1"/>
  <c r="BQ73" i="17" s="1"/>
  <c r="CO10" i="28" l="1" a="1"/>
  <c r="CR10" i="28" s="1"/>
  <c r="CR39" i="28" s="1"/>
  <c r="CO12" i="28" a="1"/>
  <c r="CR12" i="28" s="1"/>
  <c r="CO15" i="28" a="1"/>
  <c r="CQ15" i="28" s="1"/>
  <c r="DK41" i="29"/>
  <c r="DK51" i="29"/>
  <c r="DK78" i="29"/>
  <c r="CQ51" i="28" l="1"/>
  <c r="CQ10" i="28"/>
  <c r="CO10" i="28"/>
  <c r="CO15" i="28"/>
  <c r="CR15" i="28"/>
  <c r="CR51" i="28" s="1"/>
  <c r="CO12" i="28"/>
  <c r="CQ12" i="28"/>
  <c r="CR14" i="28"/>
  <c r="CR46" i="28"/>
  <c r="CQ39" i="28" l="1"/>
  <c r="CO39" i="28"/>
  <c r="CO51" i="28"/>
  <c r="CO14" i="28"/>
  <c r="CO36" i="28" s="1"/>
  <c r="CQ46" i="28"/>
  <c r="CQ14" i="28"/>
  <c r="CQ37" i="28"/>
  <c r="CO46" i="28"/>
  <c r="CO37" i="28"/>
  <c r="CR37" i="28"/>
  <c r="CR36" i="28"/>
  <c r="CR19" i="28"/>
  <c r="DJ15" i="29"/>
  <c r="DU31" i="29"/>
  <c r="DJ16" i="29"/>
  <c r="DK56" i="29" s="1"/>
  <c r="DJ36" i="29"/>
  <c r="D201" i="9"/>
  <c r="DJ35" i="29"/>
  <c r="DL35" i="29" s="1"/>
  <c r="DJ26" i="29"/>
  <c r="DJ24" i="29"/>
  <c r="DJ34" i="29"/>
  <c r="DL34" i="29" s="1"/>
  <c r="CP10" i="28"/>
  <c r="DJ61" i="29"/>
  <c r="DK11" i="29"/>
  <c r="DH11" i="34" s="1"/>
  <c r="DH17" i="34" s="1"/>
  <c r="DH23" i="34" s="1"/>
  <c r="DH29" i="34" s="1"/>
  <c r="DH35" i="34" s="1"/>
  <c r="CP15" i="28"/>
  <c r="DJ14" i="29"/>
  <c r="D204" i="9" l="1"/>
  <c r="L204" i="9" s="1"/>
  <c r="T205" i="128"/>
  <c r="AC7" i="129"/>
  <c r="F204" i="9"/>
  <c r="F211" i="9"/>
  <c r="CP46" i="28"/>
  <c r="CP51" i="28"/>
  <c r="L201" i="9"/>
  <c r="L208" i="9"/>
  <c r="CO19" i="28"/>
  <c r="CP39" i="28"/>
  <c r="CQ19" i="28"/>
  <c r="CQ36" i="28"/>
  <c r="DK26" i="29"/>
  <c r="DK46" i="29"/>
  <c r="DK16" i="29"/>
  <c r="P8" i="97"/>
  <c r="CP37" i="28"/>
  <c r="DK44" i="29"/>
  <c r="DK54" i="29"/>
  <c r="DK36" i="29"/>
  <c r="DK34" i="29"/>
  <c r="DK61" i="29"/>
  <c r="DJ88" i="29"/>
  <c r="DK98" i="29" s="1"/>
  <c r="DL61" i="29"/>
  <c r="DJ64" i="29"/>
  <c r="DJ65" i="29"/>
  <c r="DJ66" i="29"/>
  <c r="DR34" i="29"/>
  <c r="DS34" i="29"/>
  <c r="DK55" i="29"/>
  <c r="DK15" i="29"/>
  <c r="DK45" i="29"/>
  <c r="DK35" i="29"/>
  <c r="DK82" i="29"/>
  <c r="DS31" i="29"/>
  <c r="DR31" i="29"/>
  <c r="DK81" i="29"/>
  <c r="DL36" i="29"/>
  <c r="DK14" i="29"/>
  <c r="CR22" i="28"/>
  <c r="CR33" i="28"/>
  <c r="CR52" i="28"/>
  <c r="CR38" i="28"/>
  <c r="F201" i="9"/>
  <c r="DK24" i="29"/>
  <c r="DL24" i="29" s="1"/>
  <c r="DK83" i="29"/>
  <c r="DJ25" i="29"/>
  <c r="DK25" i="29" s="1"/>
  <c r="CP12" i="28"/>
  <c r="AC7" i="20" l="1"/>
  <c r="AC198" i="129"/>
  <c r="AC162" i="129"/>
  <c r="AC9" i="129"/>
  <c r="AC36" i="129" s="1"/>
  <c r="AC19" i="129"/>
  <c r="AC20" i="129" s="1"/>
  <c r="AC32" i="129"/>
  <c r="AC33" i="129" s="1"/>
  <c r="AC240" i="129"/>
  <c r="AC84" i="129"/>
  <c r="P47" i="97"/>
  <c r="P88" i="97"/>
  <c r="CO38" i="28"/>
  <c r="CO52" i="28"/>
  <c r="CO22" i="28"/>
  <c r="CO40" i="28" s="1"/>
  <c r="CO33" i="28"/>
  <c r="AC8" i="20"/>
  <c r="AC12" i="20"/>
  <c r="CQ38" i="28"/>
  <c r="CQ52" i="28"/>
  <c r="CQ33" i="28"/>
  <c r="CQ22" i="28"/>
  <c r="CQ40" i="28" s="1"/>
  <c r="DK65" i="29"/>
  <c r="DL65" i="29"/>
  <c r="CR43" i="28"/>
  <c r="CR54" i="28"/>
  <c r="DL64" i="29"/>
  <c r="DK64" i="29"/>
  <c r="AC26" i="20"/>
  <c r="DQ15" i="28"/>
  <c r="P11" i="97"/>
  <c r="AC24" i="20"/>
  <c r="BG68" i="17"/>
  <c r="DK66" i="29"/>
  <c r="DL66" i="29"/>
  <c r="CR40" i="28"/>
  <c r="CP14" i="28"/>
  <c r="DS24" i="29"/>
  <c r="DR24" i="29"/>
  <c r="DJ92" i="29"/>
  <c r="CO24" i="28" a="1"/>
  <c r="DJ91" i="29"/>
  <c r="DJ93" i="29"/>
  <c r="DK88" i="29"/>
  <c r="DL88" i="29"/>
  <c r="R201" i="9"/>
  <c r="AK201" i="9"/>
  <c r="AM200" i="9"/>
  <c r="T200" i="9"/>
  <c r="AI201" i="9"/>
  <c r="P91" i="97" l="1"/>
  <c r="P50" i="97"/>
  <c r="CO54" i="28"/>
  <c r="CO43" i="28"/>
  <c r="AC37" i="20"/>
  <c r="AC25" i="20"/>
  <c r="AC31" i="20"/>
  <c r="DQ10" i="28"/>
  <c r="BG66" i="17"/>
  <c r="AC13" i="20"/>
  <c r="P6" i="97"/>
  <c r="AC23" i="20"/>
  <c r="AC18" i="20"/>
  <c r="AC19" i="20" s="1"/>
  <c r="AC11" i="20"/>
  <c r="AC33" i="20"/>
  <c r="AC34" i="20" s="1"/>
  <c r="DQ12" i="28"/>
  <c r="BG67" i="17"/>
  <c r="CQ43" i="28"/>
  <c r="CQ54" i="28"/>
  <c r="CO24" i="28"/>
  <c r="CR24" i="28"/>
  <c r="CQ24" i="28"/>
  <c r="CP36" i="28"/>
  <c r="CP19" i="28"/>
  <c r="DK93" i="29"/>
  <c r="DL93" i="29"/>
  <c r="P37" i="97"/>
  <c r="DK91" i="29"/>
  <c r="DL91" i="29"/>
  <c r="DJ101" i="29"/>
  <c r="DJ102" i="29"/>
  <c r="DK102" i="29" s="1"/>
  <c r="CP24" i="28"/>
  <c r="DJ103" i="29"/>
  <c r="DK103" i="29" s="1"/>
  <c r="DK92" i="29"/>
  <c r="DL92" i="29"/>
  <c r="DJ108" i="29"/>
  <c r="DQ51" i="28"/>
  <c r="P10" i="97" l="1"/>
  <c r="P13" i="97" s="1"/>
  <c r="P45" i="97"/>
  <c r="P86" i="97"/>
  <c r="P69" i="97"/>
  <c r="P76" i="97"/>
  <c r="P117" i="97"/>
  <c r="P110" i="97"/>
  <c r="P30" i="97"/>
  <c r="DQ39" i="28"/>
  <c r="DQ37" i="28"/>
  <c r="DQ46" i="28"/>
  <c r="BG71" i="17"/>
  <c r="AC16" i="20"/>
  <c r="AC17" i="20" s="1"/>
  <c r="P35" i="97"/>
  <c r="DQ14" i="28"/>
  <c r="AC39" i="20"/>
  <c r="AC40" i="20" s="1"/>
  <c r="CQ41" i="28"/>
  <c r="CQ27" i="28"/>
  <c r="CR27" i="28"/>
  <c r="CR41" i="28"/>
  <c r="CO41" i="28"/>
  <c r="CO27" i="28"/>
  <c r="DJ111" i="29"/>
  <c r="DK108" i="29"/>
  <c r="DJ112" i="29"/>
  <c r="DK112" i="29" s="1"/>
  <c r="DJ127" i="29"/>
  <c r="DJ113" i="29"/>
  <c r="DK113" i="29" s="1"/>
  <c r="H203" i="9"/>
  <c r="CP22" i="28"/>
  <c r="CP52" i="28"/>
  <c r="CP33" i="28"/>
  <c r="CP38" i="28"/>
  <c r="DK101" i="29"/>
  <c r="P29" i="97" l="1"/>
  <c r="P155" i="97" s="1"/>
  <c r="P153" i="97" s="1"/>
  <c r="P115" i="97"/>
  <c r="P90" i="97"/>
  <c r="P74" i="97"/>
  <c r="P49" i="97"/>
  <c r="P159" i="97"/>
  <c r="P157" i="97" s="1"/>
  <c r="P158" i="97"/>
  <c r="P160" i="97"/>
  <c r="DQ36" i="28"/>
  <c r="DQ19" i="28"/>
  <c r="DQ22" i="28" s="1"/>
  <c r="CO42" i="28"/>
  <c r="CO29" i="28"/>
  <c r="CR29" i="28"/>
  <c r="CR53" i="28" s="1"/>
  <c r="CR42" i="28"/>
  <c r="CQ29" i="28"/>
  <c r="CQ42" i="28"/>
  <c r="P26" i="97"/>
  <c r="P40" i="97" s="1"/>
  <c r="P31" i="97"/>
  <c r="P38" i="97"/>
  <c r="P16" i="97"/>
  <c r="BF36" i="22"/>
  <c r="BG33" i="17"/>
  <c r="BG41" i="17" s="1"/>
  <c r="CP27" i="28"/>
  <c r="CP40" i="28"/>
  <c r="DQ24" i="28"/>
  <c r="AC43" i="20"/>
  <c r="P18" i="97"/>
  <c r="CP41" i="28"/>
  <c r="DJ132" i="29"/>
  <c r="DK132" i="29" s="1"/>
  <c r="DJ131" i="29"/>
  <c r="DK131" i="29" s="1"/>
  <c r="DS126" i="29"/>
  <c r="DS127" i="29" s="1"/>
  <c r="DK127" i="29"/>
  <c r="N203" i="9"/>
  <c r="J203" i="9"/>
  <c r="P203" i="9"/>
  <c r="AD203" i="9"/>
  <c r="AF203" i="9" s="1"/>
  <c r="X203" i="9"/>
  <c r="Z203" i="9" s="1"/>
  <c r="DK111" i="29"/>
  <c r="DJ130" i="29"/>
  <c r="DK130" i="29" s="1"/>
  <c r="CP43" i="28"/>
  <c r="CP54" i="28"/>
  <c r="AC45" i="20"/>
  <c r="P57" i="97" l="1"/>
  <c r="P98" i="97"/>
  <c r="P52" i="97"/>
  <c r="P68" i="97"/>
  <c r="P154" i="97" s="1"/>
  <c r="P93" i="97"/>
  <c r="P109" i="97"/>
  <c r="P156" i="97" s="1"/>
  <c r="CO53" i="28"/>
  <c r="CQ53" i="28"/>
  <c r="DQ38" i="28"/>
  <c r="DQ33" i="28"/>
  <c r="DQ43" i="28" s="1"/>
  <c r="DQ52" i="28"/>
  <c r="P32" i="97"/>
  <c r="BF38" i="22"/>
  <c r="C18" i="122"/>
  <c r="DQ27" i="28"/>
  <c r="DQ40" i="28"/>
  <c r="AI203" i="9"/>
  <c r="R203" i="9"/>
  <c r="AK203" i="9"/>
  <c r="J204" i="9"/>
  <c r="DQ76" i="28"/>
  <c r="BG69" i="17"/>
  <c r="AC51" i="20"/>
  <c r="AC52" i="20" s="1"/>
  <c r="AC57" i="20"/>
  <c r="AC48" i="20"/>
  <c r="AC49" i="20" s="1"/>
  <c r="AC46" i="20"/>
  <c r="DQ41" i="28"/>
  <c r="CP42" i="28"/>
  <c r="CP29" i="28"/>
  <c r="P21" i="97"/>
  <c r="P23" i="97" s="1"/>
  <c r="P39" i="97" s="1"/>
  <c r="P55" i="97" l="1"/>
  <c r="P60" i="97" s="1"/>
  <c r="P62" i="97" s="1"/>
  <c r="P78" i="97" s="1"/>
  <c r="P70" i="97"/>
  <c r="P77" i="97"/>
  <c r="P96" i="97"/>
  <c r="P101" i="97" s="1"/>
  <c r="P103" i="97" s="1"/>
  <c r="P119" i="97" s="1"/>
  <c r="P118" i="97"/>
  <c r="P111" i="97"/>
  <c r="P164" i="97"/>
  <c r="P162" i="97" s="1"/>
  <c r="DQ54" i="28"/>
  <c r="CP53" i="28"/>
  <c r="BF17" i="22"/>
  <c r="DQ29" i="28"/>
  <c r="DQ42" i="28"/>
  <c r="AI204" i="9"/>
  <c r="R204" i="9"/>
  <c r="CP61" i="28" s="1"/>
  <c r="P71" i="97" l="1"/>
  <c r="P163" i="97" s="1"/>
  <c r="P112" i="97"/>
  <c r="P165" i="97" s="1"/>
  <c r="BF80" i="22"/>
  <c r="BF40" i="22"/>
  <c r="BG50" i="17"/>
  <c r="DQ53" i="28"/>
  <c r="BG52" i="17" l="1"/>
  <c r="CP63" i="28" s="1"/>
  <c r="CP64" i="28"/>
  <c r="BF85" i="22"/>
  <c r="BF86" i="22" s="1"/>
  <c r="BF59" i="22"/>
  <c r="BF62" i="22" l="1"/>
  <c r="BF87" i="22"/>
  <c r="BF88" i="22" s="1"/>
  <c r="BF60" i="22"/>
  <c r="BG9" i="17" l="1"/>
  <c r="BH58" i="22"/>
  <c r="BF61" i="22" l="1"/>
  <c r="BI81" i="17"/>
  <c r="BG82" i="17"/>
  <c r="BG14" i="17"/>
  <c r="BG22" i="17" s="1"/>
  <c r="BG61" i="17" l="1"/>
  <c r="BF92" i="22" s="1"/>
  <c r="BG60" i="17"/>
  <c r="BF91" i="22" s="1"/>
  <c r="DR11" i="29"/>
  <c r="DS11" i="29"/>
  <c r="CP47" i="28"/>
  <c r="DL15" i="29"/>
  <c r="DL16" i="29" s="1"/>
  <c r="Q171" i="97" l="1"/>
  <c r="Q169" i="97" s="1"/>
  <c r="DR14" i="29"/>
  <c r="DS14" i="29"/>
  <c r="P75" i="97" l="1"/>
  <c r="P170" i="97" s="1"/>
  <c r="P116" i="97"/>
  <c r="P172" i="97" s="1"/>
  <c r="P80" i="97"/>
  <c r="P81" i="97" s="1"/>
  <c r="P121" i="97"/>
  <c r="P122" i="97" s="1"/>
  <c r="R171" i="97"/>
  <c r="R169" i="97" s="1"/>
  <c r="P171" i="97"/>
  <c r="P169" i="97" s="1"/>
  <c r="P177" i="97"/>
  <c r="P179" i="97" l="1"/>
  <c r="P180" i="97"/>
  <c r="P178" i="97" s="1"/>
  <c r="P168" i="97" s="1"/>
  <c r="P127" i="97" s="1"/>
  <c r="P131" i="97" l="1"/>
  <c r="P132" i="97"/>
  <c r="P173" i="97" s="1"/>
  <c r="P181" i="97"/>
  <c r="P134" i="97" l="1"/>
  <c r="P174" i="97" s="1"/>
  <c r="P129" i="97"/>
  <c r="P66" i="97"/>
  <c r="P65" i="97" l="1"/>
  <c r="P79" i="97" s="1"/>
  <c r="P150" i="97"/>
  <c r="P176" i="97" s="1"/>
  <c r="P161" i="97"/>
  <c r="P137" i="97"/>
  <c r="P139" i="97" s="1"/>
  <c r="P142" i="97" s="1"/>
  <c r="P144" i="97" s="1"/>
  <c r="P175" i="97" s="1"/>
  <c r="P106" i="97"/>
  <c r="P120" i="97" s="1"/>
  <c r="P107" i="97"/>
  <c r="H208" i="9" l="1"/>
  <c r="N208" i="9" l="1"/>
  <c r="AM208" i="9"/>
  <c r="X208" i="9"/>
  <c r="Z208" i="9" s="1"/>
  <c r="T208" i="9"/>
  <c r="AH191" i="127" l="1"/>
  <c r="S198" i="127" l="1"/>
  <c r="S211" i="128" s="1"/>
  <c r="S192" i="127"/>
  <c r="AC122" i="129" s="1"/>
  <c r="T191" i="127"/>
  <c r="AK191" i="127"/>
  <c r="W191" i="127"/>
  <c r="Y191" i="127" s="1"/>
  <c r="AC123" i="129" l="1"/>
  <c r="AC149" i="129" s="1"/>
  <c r="AC153" i="129" s="1"/>
  <c r="AC133" i="129"/>
  <c r="AC134" i="129" s="1"/>
  <c r="AC145" i="129"/>
  <c r="AC146" i="129" s="1"/>
  <c r="AC115" i="129"/>
  <c r="AC231" i="129"/>
  <c r="AC8" i="129"/>
  <c r="AC273" i="129"/>
  <c r="AC124" i="129"/>
  <c r="AY204" i="128"/>
  <c r="D204" i="128"/>
  <c r="H204" i="128" s="1"/>
  <c r="S205" i="128"/>
  <c r="D211" i="128"/>
  <c r="DN13" i="29"/>
  <c r="T211" i="128" s="1"/>
  <c r="AY211" i="128"/>
  <c r="S212" i="128"/>
  <c r="F211" i="128"/>
  <c r="DP13" i="29" s="1"/>
  <c r="CW47" i="28" s="1"/>
  <c r="AJ191" i="127"/>
  <c r="AL191" i="127" s="1"/>
  <c r="AN191" i="127" s="1"/>
  <c r="V191" i="127"/>
  <c r="T192" i="127"/>
  <c r="AK192" i="127"/>
  <c r="W192" i="127"/>
  <c r="Y192" i="127" s="1"/>
  <c r="T198" i="127"/>
  <c r="AK198" i="127"/>
  <c r="W198" i="127"/>
  <c r="Y198" i="127" s="1"/>
  <c r="S199" i="127"/>
  <c r="AD122" i="129" s="1"/>
  <c r="AD123" i="129" s="1"/>
  <c r="T212" i="128" l="1"/>
  <c r="AM211" i="128"/>
  <c r="Y211" i="128"/>
  <c r="H211" i="128"/>
  <c r="DN33" i="29"/>
  <c r="DP33" i="29" s="1"/>
  <c r="DO80" i="29"/>
  <c r="DO13" i="29"/>
  <c r="DN23" i="29"/>
  <c r="DO43" i="29"/>
  <c r="DO53" i="29"/>
  <c r="D210" i="9"/>
  <c r="L210" i="9" s="1"/>
  <c r="DN14" i="29"/>
  <c r="AD7" i="129" s="1"/>
  <c r="AD7" i="20" s="1"/>
  <c r="CT10" i="28" a="1"/>
  <c r="D212" i="128"/>
  <c r="AY212" i="128"/>
  <c r="AY205" i="128"/>
  <c r="D205" i="128"/>
  <c r="F205" i="128"/>
  <c r="P204" i="128"/>
  <c r="AJ204" i="128"/>
  <c r="V198" i="127"/>
  <c r="AJ198" i="127"/>
  <c r="AL198" i="127" s="1"/>
  <c r="AN198" i="127" s="1"/>
  <c r="AJ192" i="127"/>
  <c r="AL192" i="127" s="1"/>
  <c r="AN192" i="127" s="1"/>
  <c r="D192" i="127"/>
  <c r="H192" i="127" s="1"/>
  <c r="T199" i="127"/>
  <c r="AK199" i="127"/>
  <c r="W199" i="127"/>
  <c r="Y199" i="127" s="1"/>
  <c r="X191" i="127"/>
  <c r="V192" i="127"/>
  <c r="X192" i="127" s="1"/>
  <c r="D4" i="122" l="1"/>
  <c r="C4" i="122"/>
  <c r="C14" i="122" s="1"/>
  <c r="BI66" i="17"/>
  <c r="AD14" i="20"/>
  <c r="AD18" i="20" s="1"/>
  <c r="AD19" i="20" s="1"/>
  <c r="Q6" i="97"/>
  <c r="Q35" i="97" s="1"/>
  <c r="AD37" i="20"/>
  <c r="AD8" i="20"/>
  <c r="AD31" i="20"/>
  <c r="DR10" i="28"/>
  <c r="AD23" i="20"/>
  <c r="AA211" i="128"/>
  <c r="Y212" i="128"/>
  <c r="AA212" i="128" s="1"/>
  <c r="AO211" i="128"/>
  <c r="AM212" i="128"/>
  <c r="DN63" i="29"/>
  <c r="DP63" i="29" s="1"/>
  <c r="H205" i="128"/>
  <c r="CT10" i="28"/>
  <c r="CW10" i="28"/>
  <c r="CV10" i="28"/>
  <c r="CU10" i="28"/>
  <c r="D211" i="9"/>
  <c r="L211" i="9" s="1"/>
  <c r="DO81" i="29"/>
  <c r="DO14" i="29"/>
  <c r="DO54" i="29"/>
  <c r="DO44" i="29"/>
  <c r="DN24" i="29"/>
  <c r="CT12" i="28" a="1"/>
  <c r="AJ211" i="128"/>
  <c r="P211" i="128"/>
  <c r="AH192" i="127"/>
  <c r="P192" i="127"/>
  <c r="AJ199" i="127"/>
  <c r="AL199" i="127" s="1"/>
  <c r="AN199" i="127" s="1"/>
  <c r="D199" i="127"/>
  <c r="F199" i="127"/>
  <c r="V199" i="127"/>
  <c r="X199" i="127" s="1"/>
  <c r="X198" i="127"/>
  <c r="DO24" i="29" l="1"/>
  <c r="DP24" i="29" s="1"/>
  <c r="AD10" i="20"/>
  <c r="AD11" i="20" s="1"/>
  <c r="AE11" i="20" s="1"/>
  <c r="AF11" i="20" s="1"/>
  <c r="AG11" i="20" s="1"/>
  <c r="AH11" i="20" s="1"/>
  <c r="D5" i="122"/>
  <c r="AQ211" i="128"/>
  <c r="AO212" i="128"/>
  <c r="AQ212" i="128" s="1"/>
  <c r="Q80" i="97"/>
  <c r="Q81" i="97" s="1"/>
  <c r="Q121" i="97"/>
  <c r="Q177" i="97"/>
  <c r="DR39" i="28"/>
  <c r="DR46" i="28"/>
  <c r="F212" i="128"/>
  <c r="DP14" i="29" s="1"/>
  <c r="AD35" i="129" s="1"/>
  <c r="DR47" i="28" s="1"/>
  <c r="AD148" i="129"/>
  <c r="DR50" i="28" s="1"/>
  <c r="D14" i="122"/>
  <c r="BI71" i="17"/>
  <c r="BI12" i="17"/>
  <c r="BI13" i="17"/>
  <c r="BI20" i="17"/>
  <c r="BI16" i="17" s="1"/>
  <c r="BI18" i="17" s="1"/>
  <c r="DN90" i="29"/>
  <c r="DO90" i="29" s="1"/>
  <c r="DO63" i="29"/>
  <c r="CU12" i="28"/>
  <c r="CU14" i="28" s="1"/>
  <c r="CU36" i="28" s="1"/>
  <c r="CV12" i="28"/>
  <c r="CV14" i="28" s="1"/>
  <c r="CV36" i="28" s="1"/>
  <c r="CW12" i="28"/>
  <c r="CW14" i="28" s="1"/>
  <c r="CW36" i="28" s="1"/>
  <c r="CT12" i="28"/>
  <c r="CT14" i="28" s="1"/>
  <c r="CT36" i="28" s="1"/>
  <c r="CV39" i="28"/>
  <c r="CV46" i="28"/>
  <c r="AJ205" i="128"/>
  <c r="P205" i="128"/>
  <c r="CU39" i="28"/>
  <c r="CU46" i="28"/>
  <c r="CW39" i="28"/>
  <c r="CW46" i="28"/>
  <c r="CT46" i="28"/>
  <c r="CT39" i="28"/>
  <c r="H199" i="127"/>
  <c r="Q8" i="97" l="1"/>
  <c r="Q10" i="97" s="1"/>
  <c r="Q29" i="97" s="1"/>
  <c r="AD12" i="20"/>
  <c r="AD16" i="20" s="1"/>
  <c r="AD17" i="20" s="1"/>
  <c r="H212" i="128"/>
  <c r="AJ212" i="128" s="1"/>
  <c r="Q180" i="97"/>
  <c r="Q178" i="97" s="1"/>
  <c r="Q168" i="97" s="1"/>
  <c r="Q127" i="97" s="1"/>
  <c r="Q122" i="97"/>
  <c r="H210" i="9"/>
  <c r="BH25" i="22"/>
  <c r="BI27" i="17"/>
  <c r="Q179" i="97"/>
  <c r="Q74" i="97"/>
  <c r="Q45" i="97" s="1"/>
  <c r="BH27" i="22"/>
  <c r="DP90" i="29"/>
  <c r="DN100" i="29"/>
  <c r="DN110" i="29" s="1"/>
  <c r="AH199" i="127"/>
  <c r="P199" i="127"/>
  <c r="AD13" i="20" l="1"/>
  <c r="BI67" i="17"/>
  <c r="DR12" i="28"/>
  <c r="P212" i="128"/>
  <c r="BH32" i="22"/>
  <c r="DO110" i="29"/>
  <c r="DN129" i="29"/>
  <c r="DO129" i="29" s="1"/>
  <c r="Q181" i="97"/>
  <c r="Q115" i="97"/>
  <c r="Q86" i="97" s="1"/>
  <c r="Q68" i="97"/>
  <c r="Q154" i="97" s="1"/>
  <c r="Q155" i="97"/>
  <c r="Q153" i="97" s="1"/>
  <c r="Q131" i="97" s="1"/>
  <c r="Q109" i="97"/>
  <c r="Q156" i="97" s="1"/>
  <c r="X210" i="9"/>
  <c r="Z210" i="9" s="1"/>
  <c r="AD210" i="9"/>
  <c r="AF210" i="9" s="1"/>
  <c r="N210" i="9"/>
  <c r="DN119" i="29"/>
  <c r="DN138" i="29" s="1"/>
  <c r="DR14" i="28" l="1"/>
  <c r="DR36" i="28" s="1"/>
  <c r="Q49" i="97"/>
  <c r="Q47" i="97" s="1"/>
  <c r="Q129" i="97"/>
  <c r="Q90" i="97"/>
  <c r="Q88" i="97" s="1"/>
  <c r="AD231" i="129"/>
  <c r="AD145" i="129"/>
  <c r="AD146" i="129" s="1"/>
  <c r="AD273" i="129"/>
  <c r="AE122" i="129"/>
  <c r="AE123" i="129" s="1"/>
  <c r="AE149" i="129" s="1"/>
  <c r="AD115" i="129"/>
  <c r="AD133" i="129"/>
  <c r="AD134" i="129" s="1"/>
  <c r="AD8" i="129"/>
  <c r="AD124" i="129"/>
  <c r="AE231" i="129" l="1"/>
  <c r="AE8" i="129"/>
  <c r="AE115" i="129"/>
  <c r="AE133" i="129"/>
  <c r="AE134" i="129" s="1"/>
  <c r="AE273" i="129"/>
  <c r="AE145" i="129"/>
  <c r="AE146" i="129" s="1"/>
  <c r="AF122" i="129"/>
  <c r="AF123" i="129" s="1"/>
  <c r="AF149" i="129" s="1"/>
  <c r="AE7" i="129"/>
  <c r="AD162" i="129"/>
  <c r="AD19" i="129"/>
  <c r="AD20" i="129" s="1"/>
  <c r="AD198" i="129"/>
  <c r="AD32" i="129"/>
  <c r="AD33" i="129" s="1"/>
  <c r="AD9" i="129"/>
  <c r="AD84" i="129"/>
  <c r="AD240" i="129"/>
  <c r="AF35" i="129" l="1"/>
  <c r="AE7" i="20"/>
  <c r="E4" i="122" s="1"/>
  <c r="E5" i="122" s="1"/>
  <c r="AE84" i="129"/>
  <c r="AE240" i="129"/>
  <c r="AE162" i="129"/>
  <c r="AE19" i="129"/>
  <c r="AE20" i="129" s="1"/>
  <c r="AE198" i="129"/>
  <c r="AE32" i="129"/>
  <c r="AE33" i="129" s="1"/>
  <c r="AE9" i="129"/>
  <c r="AF133" i="129"/>
  <c r="AF134" i="129" s="1"/>
  <c r="AF273" i="129"/>
  <c r="AF115" i="129"/>
  <c r="AF7" i="129"/>
  <c r="AF7" i="20" s="1"/>
  <c r="F4" i="122" s="1"/>
  <c r="AG122" i="129"/>
  <c r="AG123" i="129" s="1"/>
  <c r="AG149" i="129" s="1"/>
  <c r="AF8" i="129"/>
  <c r="AF145" i="129"/>
  <c r="AF146" i="129" s="1"/>
  <c r="AF231" i="129"/>
  <c r="AD36" i="129"/>
  <c r="AE124" i="129"/>
  <c r="DT47" i="28" l="1"/>
  <c r="S36" i="97"/>
  <c r="S171" i="97" s="1"/>
  <c r="S169" i="97" s="1"/>
  <c r="F5" i="122"/>
  <c r="DT10" i="28"/>
  <c r="AF37" i="20"/>
  <c r="AF14" i="20"/>
  <c r="AF18" i="20" s="1"/>
  <c r="AF19" i="20" s="1"/>
  <c r="AF23" i="20"/>
  <c r="BM66" i="17"/>
  <c r="AF21" i="20"/>
  <c r="AF8" i="20"/>
  <c r="S6" i="97"/>
  <c r="AF31" i="20"/>
  <c r="AF10" i="20"/>
  <c r="R6" i="97"/>
  <c r="R35" i="97" s="1"/>
  <c r="AE23" i="20"/>
  <c r="AE14" i="20"/>
  <c r="AE18" i="20" s="1"/>
  <c r="AE19" i="20" s="1"/>
  <c r="AE37" i="20"/>
  <c r="AE21" i="20"/>
  <c r="DS10" i="28"/>
  <c r="BK66" i="17"/>
  <c r="AE31" i="20"/>
  <c r="AE8" i="20"/>
  <c r="AE10" i="20"/>
  <c r="AF124" i="129"/>
  <c r="AG35" i="129"/>
  <c r="AF198" i="129"/>
  <c r="AF240" i="129"/>
  <c r="AF9" i="129"/>
  <c r="AF84" i="129"/>
  <c r="AF19" i="129"/>
  <c r="AF20" i="129" s="1"/>
  <c r="AF162" i="129"/>
  <c r="AF32" i="129"/>
  <c r="AF33" i="129" s="1"/>
  <c r="AG8" i="129"/>
  <c r="AG273" i="129"/>
  <c r="AG231" i="129"/>
  <c r="AG133" i="129"/>
  <c r="AG134" i="129" s="1"/>
  <c r="AG7" i="129"/>
  <c r="AG7" i="20" s="1"/>
  <c r="G4" i="122" s="1"/>
  <c r="G5" i="122" s="1"/>
  <c r="AG115" i="129"/>
  <c r="AH122" i="129"/>
  <c r="AH123" i="129" s="1"/>
  <c r="AH149" i="129" s="1"/>
  <c r="AG145" i="129"/>
  <c r="AG146" i="129" s="1"/>
  <c r="DU47" i="28" l="1"/>
  <c r="T36" i="97"/>
  <c r="T171" i="97" s="1"/>
  <c r="T169" i="97" s="1"/>
  <c r="BK71" i="17"/>
  <c r="BK13" i="17"/>
  <c r="BK20" i="17"/>
  <c r="BK16" i="17" s="1"/>
  <c r="BK18" i="17" s="1"/>
  <c r="BK12" i="17"/>
  <c r="AG8" i="20"/>
  <c r="AG21" i="20"/>
  <c r="T6" i="97"/>
  <c r="AG10" i="20"/>
  <c r="DU10" i="28"/>
  <c r="BO66" i="17"/>
  <c r="AG37" i="20"/>
  <c r="AG31" i="20"/>
  <c r="AG14" i="20"/>
  <c r="AG18" i="20" s="1"/>
  <c r="AG19" i="20" s="1"/>
  <c r="AG23" i="20"/>
  <c r="AE12" i="20"/>
  <c r="R8" i="97"/>
  <c r="R10" i="97" s="1"/>
  <c r="BK67" i="17"/>
  <c r="DS39" i="28"/>
  <c r="DS46" i="28"/>
  <c r="S35" i="97"/>
  <c r="F14" i="122"/>
  <c r="E14" i="122"/>
  <c r="AE24" i="20"/>
  <c r="R11" i="97"/>
  <c r="BK68" i="17"/>
  <c r="BK28" i="17" s="1"/>
  <c r="DS15" i="28"/>
  <c r="R177" i="97"/>
  <c r="R80" i="97"/>
  <c r="R81" i="97" s="1"/>
  <c r="R121" i="97"/>
  <c r="S8" i="97"/>
  <c r="S10" i="97" s="1"/>
  <c r="AF12" i="20"/>
  <c r="BM67" i="17"/>
  <c r="BM68" i="17"/>
  <c r="BM28" i="17" s="1"/>
  <c r="AF26" i="20"/>
  <c r="S11" i="97"/>
  <c r="DT15" i="28"/>
  <c r="AF24" i="20"/>
  <c r="BM20" i="17"/>
  <c r="BM71" i="17"/>
  <c r="BM12" i="17"/>
  <c r="BM13" i="17"/>
  <c r="DT46" i="28"/>
  <c r="DT39" i="28"/>
  <c r="AG124" i="129"/>
  <c r="AH35" i="129"/>
  <c r="AG198" i="129"/>
  <c r="AG9" i="129"/>
  <c r="AG162" i="129"/>
  <c r="AG240" i="129"/>
  <c r="AG32" i="129"/>
  <c r="AG33" i="129" s="1"/>
  <c r="AG19" i="129"/>
  <c r="AG20" i="129" s="1"/>
  <c r="AG84" i="129"/>
  <c r="AF36" i="129"/>
  <c r="AH115" i="129"/>
  <c r="AL122" i="129"/>
  <c r="AH273" i="129"/>
  <c r="AH145" i="129"/>
  <c r="AH231" i="129"/>
  <c r="AH8" i="129"/>
  <c r="AH7" i="129"/>
  <c r="AH133" i="129"/>
  <c r="AH134" i="129" s="1"/>
  <c r="DV47" i="28" l="1"/>
  <c r="U36" i="97"/>
  <c r="U171" i="97" s="1"/>
  <c r="U169" i="97" s="1"/>
  <c r="BL27" i="22"/>
  <c r="BM16" i="17"/>
  <c r="BM18" i="17" s="1"/>
  <c r="DT51" i="28"/>
  <c r="DT37" i="28"/>
  <c r="S177" i="97"/>
  <c r="S80" i="97"/>
  <c r="S81" i="97" s="1"/>
  <c r="S121" i="97"/>
  <c r="T8" i="97"/>
  <c r="T10" i="97" s="1"/>
  <c r="BO67" i="17"/>
  <c r="AG12" i="20"/>
  <c r="BK27" i="17"/>
  <c r="BJ25" i="22"/>
  <c r="DS37" i="28"/>
  <c r="AH124" i="129"/>
  <c r="AH7" i="20"/>
  <c r="BM27" i="17"/>
  <c r="BL25" i="22"/>
  <c r="S37" i="97"/>
  <c r="S30" i="97"/>
  <c r="S159" i="97" s="1"/>
  <c r="S157" i="97" s="1"/>
  <c r="AF16" i="20"/>
  <c r="AF17" i="20" s="1"/>
  <c r="DT12" i="28"/>
  <c r="DT14" i="28" s="1"/>
  <c r="AF13" i="20"/>
  <c r="AF33" i="20"/>
  <c r="F6" i="122" s="1"/>
  <c r="R122" i="97"/>
  <c r="R180" i="97"/>
  <c r="R178" i="97" s="1"/>
  <c r="R168" i="97" s="1"/>
  <c r="R127" i="97" s="1"/>
  <c r="R29" i="97"/>
  <c r="R68" i="97" s="1"/>
  <c r="R13" i="97"/>
  <c r="T35" i="97"/>
  <c r="S29" i="97"/>
  <c r="S13" i="97"/>
  <c r="R74" i="97"/>
  <c r="R45" i="97" s="1"/>
  <c r="R179" i="97"/>
  <c r="R30" i="97"/>
  <c r="R159" i="97" s="1"/>
  <c r="R157" i="97" s="1"/>
  <c r="DS12" i="28"/>
  <c r="AE16" i="20"/>
  <c r="AE17" i="20" s="1"/>
  <c r="AE33" i="20"/>
  <c r="E6" i="122" s="1"/>
  <c r="AE13" i="20"/>
  <c r="BO12" i="17"/>
  <c r="BO13" i="17"/>
  <c r="BO20" i="17"/>
  <c r="BO71" i="17"/>
  <c r="BO68" i="17"/>
  <c r="BO28" i="17" s="1"/>
  <c r="BN33" i="22" s="1"/>
  <c r="AG24" i="20"/>
  <c r="AL24" i="20" s="1"/>
  <c r="DU15" i="28"/>
  <c r="AG26" i="20"/>
  <c r="T11" i="97"/>
  <c r="BJ27" i="22"/>
  <c r="BL33" i="22"/>
  <c r="H4" i="122"/>
  <c r="G14" i="122"/>
  <c r="DU39" i="28"/>
  <c r="DU46" i="28"/>
  <c r="AG36" i="129"/>
  <c r="AH240" i="129"/>
  <c r="AL7" i="129"/>
  <c r="AH162" i="129"/>
  <c r="AH19" i="129"/>
  <c r="AH198" i="129"/>
  <c r="AH84" i="129"/>
  <c r="AH9" i="129"/>
  <c r="AH32" i="129"/>
  <c r="AH146" i="129"/>
  <c r="AL145" i="129"/>
  <c r="F7" i="122" l="1"/>
  <c r="E7" i="122"/>
  <c r="BO16" i="17"/>
  <c r="BO18" i="17" s="1"/>
  <c r="DU37" i="28"/>
  <c r="DU51" i="28"/>
  <c r="AE39" i="20"/>
  <c r="AE34" i="20"/>
  <c r="S155" i="97"/>
  <c r="S153" i="97" s="1"/>
  <c r="S68" i="97"/>
  <c r="S154" i="97" s="1"/>
  <c r="R16" i="97"/>
  <c r="R26" i="97"/>
  <c r="R31" i="97"/>
  <c r="AF39" i="20"/>
  <c r="AF34" i="20"/>
  <c r="AL7" i="20"/>
  <c r="DV10" i="28"/>
  <c r="BQ66" i="17"/>
  <c r="U6" i="97"/>
  <c r="U35" i="97" s="1"/>
  <c r="AH8" i="20"/>
  <c r="AH10" i="20"/>
  <c r="AH21" i="20"/>
  <c r="AH31" i="20"/>
  <c r="AH23" i="20"/>
  <c r="AH14" i="20"/>
  <c r="AH18" i="20" s="1"/>
  <c r="AH19" i="20" s="1"/>
  <c r="AH37" i="20"/>
  <c r="BK33" i="17"/>
  <c r="BK41" i="17" s="1"/>
  <c r="BJ32" i="22"/>
  <c r="S180" i="97"/>
  <c r="S178" i="97" s="1"/>
  <c r="S168" i="97" s="1"/>
  <c r="S127" i="97" s="1"/>
  <c r="S122" i="97"/>
  <c r="BN27" i="22"/>
  <c r="R154" i="97"/>
  <c r="R155" i="97"/>
  <c r="R153" i="97" s="1"/>
  <c r="R131" i="97" s="1"/>
  <c r="R109" i="97"/>
  <c r="DU12" i="28"/>
  <c r="DU14" i="28" s="1"/>
  <c r="AG16" i="20"/>
  <c r="AG17" i="20" s="1"/>
  <c r="AG33" i="20"/>
  <c r="G6" i="122" s="1"/>
  <c r="AG13" i="20"/>
  <c r="S74" i="97"/>
  <c r="S45" i="97" s="1"/>
  <c r="S179" i="97"/>
  <c r="I4" i="122"/>
  <c r="H6" i="122"/>
  <c r="H13" i="122"/>
  <c r="T30" i="97"/>
  <c r="T159" i="97" s="1"/>
  <c r="T157" i="97" s="1"/>
  <c r="T37" i="97"/>
  <c r="BN25" i="22"/>
  <c r="BO27" i="17"/>
  <c r="BN32" i="22" s="1"/>
  <c r="DS14" i="28"/>
  <c r="R49" i="97"/>
  <c r="T177" i="97"/>
  <c r="T80" i="97"/>
  <c r="T81" i="97" s="1"/>
  <c r="T121" i="97"/>
  <c r="R132" i="97"/>
  <c r="DT19" i="28"/>
  <c r="DT36" i="28"/>
  <c r="S26" i="97"/>
  <c r="S40" i="97" s="1"/>
  <c r="S16" i="97"/>
  <c r="S38" i="97"/>
  <c r="S31" i="97"/>
  <c r="R181" i="97"/>
  <c r="R115" i="97"/>
  <c r="R86" i="97" s="1"/>
  <c r="BL32" i="22"/>
  <c r="BL36" i="22" s="1"/>
  <c r="E17" i="122" s="1"/>
  <c r="BM33" i="17"/>
  <c r="BM41" i="17" s="1"/>
  <c r="T13" i="97"/>
  <c r="T29" i="97"/>
  <c r="AL32" i="129"/>
  <c r="AH33" i="129"/>
  <c r="AH20" i="129"/>
  <c r="AL19" i="129"/>
  <c r="AH36" i="129"/>
  <c r="DN30" i="29"/>
  <c r="G7" i="122" l="1"/>
  <c r="BN36" i="22"/>
  <c r="R134" i="97"/>
  <c r="R129" i="97"/>
  <c r="DS36" i="28"/>
  <c r="DS19" i="28"/>
  <c r="DT52" i="28" s="1"/>
  <c r="R47" i="97"/>
  <c r="I13" i="122"/>
  <c r="J4" i="122"/>
  <c r="I6" i="122"/>
  <c r="AG34" i="20"/>
  <c r="AG39" i="20"/>
  <c r="S131" i="97"/>
  <c r="S129" i="97" s="1"/>
  <c r="S132" i="97"/>
  <c r="S173" i="97" s="1"/>
  <c r="U177" i="97"/>
  <c r="U80" i="97"/>
  <c r="U81" i="97" s="1"/>
  <c r="U121" i="97"/>
  <c r="R90" i="97"/>
  <c r="R88" i="97" s="1"/>
  <c r="BO33" i="17"/>
  <c r="BO41" i="17" s="1"/>
  <c r="DT22" i="28"/>
  <c r="DT33" i="28"/>
  <c r="DT38" i="28"/>
  <c r="T122" i="97"/>
  <c r="T180" i="97"/>
  <c r="T178" i="97" s="1"/>
  <c r="T168" i="97" s="1"/>
  <c r="T127" i="97" s="1"/>
  <c r="E18" i="122"/>
  <c r="AH24" i="20"/>
  <c r="DV15" i="28"/>
  <c r="AH26" i="20"/>
  <c r="BQ68" i="17"/>
  <c r="BQ28" i="17" s="1"/>
  <c r="AL21" i="20"/>
  <c r="U11" i="97"/>
  <c r="BQ71" i="17"/>
  <c r="BQ20" i="17"/>
  <c r="BQ16" i="17" s="1"/>
  <c r="BQ18" i="17" s="1"/>
  <c r="BQ12" i="17"/>
  <c r="BQ13" i="17"/>
  <c r="BP27" i="22" s="1"/>
  <c r="AE40" i="20"/>
  <c r="T38" i="97"/>
  <c r="T16" i="97"/>
  <c r="T26" i="97"/>
  <c r="T40" i="97" s="1"/>
  <c r="T31" i="97"/>
  <c r="T68" i="97"/>
  <c r="T154" i="97" s="1"/>
  <c r="T155" i="97"/>
  <c r="T153" i="97" s="1"/>
  <c r="T74" i="97"/>
  <c r="T45" i="97" s="1"/>
  <c r="T179" i="97"/>
  <c r="S49" i="97"/>
  <c r="DU19" i="28"/>
  <c r="DU36" i="28"/>
  <c r="S109" i="97"/>
  <c r="R156" i="97"/>
  <c r="U8" i="97"/>
  <c r="U10" i="97" s="1"/>
  <c r="AH12" i="20"/>
  <c r="BQ67" i="17"/>
  <c r="AL10" i="20"/>
  <c r="DV39" i="28"/>
  <c r="DV46" i="28"/>
  <c r="BL38" i="22"/>
  <c r="S181" i="97"/>
  <c r="S115" i="97"/>
  <c r="S86" i="97" s="1"/>
  <c r="AF40" i="20"/>
  <c r="DN60" i="29"/>
  <c r="DP30" i="29"/>
  <c r="BN38" i="22" l="1"/>
  <c r="F17" i="122"/>
  <c r="F18" i="122" s="1"/>
  <c r="S90" i="97"/>
  <c r="U29" i="97"/>
  <c r="U13" i="97"/>
  <c r="T49" i="97"/>
  <c r="T47" i="97" s="1"/>
  <c r="BP33" i="22"/>
  <c r="DT43" i="28"/>
  <c r="S156" i="97"/>
  <c r="T109" i="97"/>
  <c r="S47" i="97"/>
  <c r="AH16" i="20"/>
  <c r="AH17" i="20" s="1"/>
  <c r="DV12" i="28"/>
  <c r="DV14" i="28" s="1"/>
  <c r="AH13" i="20"/>
  <c r="AH33" i="20"/>
  <c r="DU22" i="28"/>
  <c r="DU33" i="28"/>
  <c r="DU38" i="28"/>
  <c r="DU52" i="28"/>
  <c r="BQ27" i="17"/>
  <c r="BP32" i="22" s="1"/>
  <c r="BP25" i="22"/>
  <c r="T115" i="97"/>
  <c r="T86" i="97" s="1"/>
  <c r="T181" i="97"/>
  <c r="DT40" i="28"/>
  <c r="U122" i="97"/>
  <c r="U180" i="97"/>
  <c r="U178" i="97" s="1"/>
  <c r="U168" i="97" s="1"/>
  <c r="U127" i="97" s="1"/>
  <c r="AG40" i="20"/>
  <c r="U30" i="97"/>
  <c r="U159" i="97" s="1"/>
  <c r="U157" i="97" s="1"/>
  <c r="U37" i="97"/>
  <c r="DV37" i="28"/>
  <c r="DV51" i="28"/>
  <c r="U179" i="97"/>
  <c r="U74" i="97"/>
  <c r="U45" i="97" s="1"/>
  <c r="S134" i="97"/>
  <c r="J6" i="122"/>
  <c r="J13" i="122"/>
  <c r="DS22" i="28"/>
  <c r="DS33" i="28"/>
  <c r="DT54" i="28" s="1"/>
  <c r="DS38" i="28"/>
  <c r="T131" i="97"/>
  <c r="T129" i="97" s="1"/>
  <c r="T132" i="97"/>
  <c r="T173" i="97" s="1"/>
  <c r="R161" i="97"/>
  <c r="R137" i="97"/>
  <c r="R150" i="97"/>
  <c r="DO60" i="29"/>
  <c r="DP60" i="29"/>
  <c r="DN87" i="29"/>
  <c r="U132" i="97" l="1"/>
  <c r="U173" i="97" s="1"/>
  <c r="U16" i="97"/>
  <c r="U31" i="97"/>
  <c r="U26" i="97"/>
  <c r="U40" i="97" s="1"/>
  <c r="U38" i="97"/>
  <c r="BQ33" i="17"/>
  <c r="BQ41" i="17" s="1"/>
  <c r="U68" i="97"/>
  <c r="U154" i="97" s="1"/>
  <c r="U155" i="97"/>
  <c r="U153" i="97" s="1"/>
  <c r="U131" i="97" s="1"/>
  <c r="S137" i="97"/>
  <c r="S174" i="97"/>
  <c r="S161" i="97"/>
  <c r="S150" i="97"/>
  <c r="S176" i="97" s="1"/>
  <c r="DS40" i="28"/>
  <c r="U181" i="97"/>
  <c r="U115" i="97"/>
  <c r="U86" i="97" s="1"/>
  <c r="DU43" i="28"/>
  <c r="DU54" i="28"/>
  <c r="DV36" i="28"/>
  <c r="DV19" i="28"/>
  <c r="T134" i="97"/>
  <c r="BP36" i="22"/>
  <c r="DU40" i="28"/>
  <c r="S88" i="97"/>
  <c r="DS43" i="28"/>
  <c r="T90" i="97"/>
  <c r="T88" i="97" s="1"/>
  <c r="AH34" i="20"/>
  <c r="AL33" i="20"/>
  <c r="AH39" i="20"/>
  <c r="T156" i="97"/>
  <c r="U109" i="97"/>
  <c r="U156" i="97" s="1"/>
  <c r="DO87" i="29"/>
  <c r="DP87" i="29"/>
  <c r="BP38" i="22" l="1"/>
  <c r="G17" i="122"/>
  <c r="U134" i="97"/>
  <c r="U129" i="97"/>
  <c r="U49" i="97"/>
  <c r="AH40" i="20"/>
  <c r="AL39" i="20"/>
  <c r="U90" i="97"/>
  <c r="T174" i="97"/>
  <c r="T150" i="97"/>
  <c r="T176" i="97" s="1"/>
  <c r="T161" i="97"/>
  <c r="T137" i="97"/>
  <c r="DV22" i="28"/>
  <c r="DV33" i="28"/>
  <c r="DV38" i="28"/>
  <c r="DV52" i="28"/>
  <c r="DN31" i="29"/>
  <c r="DN61" i="29" s="1"/>
  <c r="DP61" i="29" s="1"/>
  <c r="G18" i="122" l="1"/>
  <c r="H17" i="122"/>
  <c r="DV40" i="28"/>
  <c r="U47" i="97"/>
  <c r="DV43" i="28"/>
  <c r="DV54" i="28"/>
  <c r="U88" i="97"/>
  <c r="U137" i="97"/>
  <c r="U161" i="97"/>
  <c r="U174" i="97"/>
  <c r="U150" i="97"/>
  <c r="U176" i="97" s="1"/>
  <c r="DO61" i="29"/>
  <c r="DN35" i="29"/>
  <c r="DP31" i="29"/>
  <c r="DN88" i="29"/>
  <c r="DN65" i="29"/>
  <c r="I17" i="122" l="1"/>
  <c r="H18" i="122"/>
  <c r="DO35" i="29"/>
  <c r="DP35" i="29"/>
  <c r="DP88" i="29"/>
  <c r="DN92" i="29"/>
  <c r="DO88" i="29"/>
  <c r="DP65" i="29"/>
  <c r="DO65" i="29"/>
  <c r="I18" i="122" l="1"/>
  <c r="J17" i="122"/>
  <c r="J18" i="122" s="1"/>
  <c r="DO92" i="29"/>
  <c r="DP92" i="29"/>
  <c r="DN32" i="29" l="1"/>
  <c r="DN34" i="29" l="1"/>
  <c r="CT15" i="28" a="1"/>
  <c r="DP32" i="29"/>
  <c r="DN62" i="29"/>
  <c r="DN36" i="29"/>
  <c r="DO34" i="29" l="1"/>
  <c r="AD21" i="20"/>
  <c r="DP34" i="29"/>
  <c r="CW15" i="28"/>
  <c r="CT15" i="28"/>
  <c r="CU15" i="28"/>
  <c r="CV15" i="28"/>
  <c r="DP62" i="29"/>
  <c r="DN64" i="29"/>
  <c r="DN89" i="29"/>
  <c r="DO62" i="29"/>
  <c r="DN66" i="29"/>
  <c r="DP36" i="29"/>
  <c r="DO36" i="29"/>
  <c r="AD25" i="20" l="1"/>
  <c r="DR15" i="28"/>
  <c r="BI68" i="17"/>
  <c r="BI28" i="17" s="1"/>
  <c r="Q11" i="97"/>
  <c r="AD26" i="20"/>
  <c r="AD24" i="20"/>
  <c r="AD33" i="20"/>
  <c r="AE26" i="20"/>
  <c r="CU37" i="28"/>
  <c r="CU19" i="28"/>
  <c r="CU51" i="28"/>
  <c r="CT19" i="28"/>
  <c r="CT37" i="28"/>
  <c r="CT51" i="28"/>
  <c r="CV37" i="28"/>
  <c r="CV51" i="28"/>
  <c r="CV19" i="28"/>
  <c r="CW37" i="28"/>
  <c r="CW19" i="28"/>
  <c r="CW51" i="28"/>
  <c r="DP89" i="29"/>
  <c r="DN93" i="29"/>
  <c r="DN91" i="29"/>
  <c r="DO89" i="29"/>
  <c r="DO64" i="29"/>
  <c r="DP64" i="29"/>
  <c r="DO66" i="29"/>
  <c r="DP66" i="29"/>
  <c r="DR37" i="28" l="1"/>
  <c r="DR51" i="28"/>
  <c r="DR19" i="28"/>
  <c r="DS51" i="28"/>
  <c r="Q30" i="97"/>
  <c r="Q37" i="97"/>
  <c r="Q13" i="97"/>
  <c r="R37" i="97"/>
  <c r="AD34" i="20"/>
  <c r="AD39" i="20"/>
  <c r="D6" i="122"/>
  <c r="D7" i="122" s="1"/>
  <c r="C6" i="122"/>
  <c r="C7" i="122" s="1"/>
  <c r="BH33" i="22"/>
  <c r="BH36" i="22" s="1"/>
  <c r="BH38" i="22" s="1"/>
  <c r="BI33" i="17"/>
  <c r="BI41" i="17" s="1"/>
  <c r="BJ33" i="22"/>
  <c r="BJ36" i="22" s="1"/>
  <c r="CT22" i="28"/>
  <c r="CT38" i="28"/>
  <c r="CT33" i="28"/>
  <c r="CT52" i="28"/>
  <c r="CV22" i="28"/>
  <c r="CV33" i="28"/>
  <c r="CV52" i="28"/>
  <c r="CV38" i="28"/>
  <c r="CW33" i="28"/>
  <c r="CW38" i="28"/>
  <c r="CW52" i="28"/>
  <c r="CW22" i="28"/>
  <c r="CU22" i="28"/>
  <c r="CU38" i="28"/>
  <c r="CU52" i="28"/>
  <c r="CU33" i="28"/>
  <c r="DO93" i="29"/>
  <c r="DP93" i="29"/>
  <c r="DP91" i="29"/>
  <c r="DO91" i="29"/>
  <c r="Q16" i="97" l="1"/>
  <c r="Q26" i="97"/>
  <c r="Q31" i="97"/>
  <c r="Q38" i="97"/>
  <c r="R38" i="97"/>
  <c r="D17" i="122"/>
  <c r="D18" i="122" s="1"/>
  <c r="BJ38" i="22"/>
  <c r="Q69" i="97"/>
  <c r="Q110" i="97"/>
  <c r="Q159" i="97"/>
  <c r="Q157" i="97" s="1"/>
  <c r="Q132" i="97" s="1"/>
  <c r="DR38" i="28"/>
  <c r="DR52" i="28"/>
  <c r="DR22" i="28"/>
  <c r="DR33" i="28"/>
  <c r="DS52" i="28"/>
  <c r="AD40" i="20"/>
  <c r="CV40" i="28"/>
  <c r="CU54" i="28"/>
  <c r="CU43" i="28"/>
  <c r="CW40" i="28"/>
  <c r="CW54" i="28"/>
  <c r="CW43" i="28"/>
  <c r="CT54" i="28"/>
  <c r="CT43" i="28"/>
  <c r="CU40" i="28"/>
  <c r="CT40" i="28"/>
  <c r="CV54" i="28"/>
  <c r="CV43" i="28"/>
  <c r="AF202" i="9"/>
  <c r="H209" i="9"/>
  <c r="DR43" i="28" l="1"/>
  <c r="DR54" i="28"/>
  <c r="DS54" i="28"/>
  <c r="Q40" i="97"/>
  <c r="R40" i="97"/>
  <c r="Q50" i="97"/>
  <c r="R69" i="97"/>
  <c r="Q158" i="97"/>
  <c r="Q173" i="97"/>
  <c r="Q134" i="97"/>
  <c r="R173" i="97"/>
  <c r="DR40" i="28"/>
  <c r="R110" i="97"/>
  <c r="Q160" i="97"/>
  <c r="Q91" i="97"/>
  <c r="P209" i="9"/>
  <c r="P210" i="9"/>
  <c r="T209" i="9"/>
  <c r="X209" i="9"/>
  <c r="Z209" i="9" s="1"/>
  <c r="J210" i="9"/>
  <c r="N209" i="9"/>
  <c r="AM209" i="9"/>
  <c r="J209" i="9"/>
  <c r="S110" i="97" l="1"/>
  <c r="R160" i="97"/>
  <c r="R91" i="97"/>
  <c r="Q107" i="97"/>
  <c r="Q93" i="97"/>
  <c r="Q117" i="97"/>
  <c r="Q174" i="97"/>
  <c r="Q137" i="97"/>
  <c r="Q161" i="97"/>
  <c r="Q150" i="97"/>
  <c r="R174" i="97"/>
  <c r="S69" i="97"/>
  <c r="R158" i="97"/>
  <c r="R50" i="97"/>
  <c r="Q76" i="97"/>
  <c r="Q66" i="97"/>
  <c r="Q52" i="97"/>
  <c r="R209" i="9"/>
  <c r="AK209" i="9"/>
  <c r="AI209" i="9"/>
  <c r="R210" i="9"/>
  <c r="AI210" i="9"/>
  <c r="AK210" i="9"/>
  <c r="N207" i="9"/>
  <c r="Q96" i="97" l="1"/>
  <c r="Q118" i="97"/>
  <c r="Q106" i="97"/>
  <c r="Q120" i="97" s="1"/>
  <c r="Q111" i="97"/>
  <c r="T110" i="97"/>
  <c r="S160" i="97"/>
  <c r="S91" i="97"/>
  <c r="R66" i="97"/>
  <c r="R52" i="97"/>
  <c r="R76" i="97"/>
  <c r="R107" i="97"/>
  <c r="R117" i="97"/>
  <c r="R93" i="97"/>
  <c r="T69" i="97"/>
  <c r="S158" i="97"/>
  <c r="S50" i="97"/>
  <c r="Q176" i="97"/>
  <c r="R176" i="97"/>
  <c r="Q65" i="97"/>
  <c r="Q79" i="97" s="1"/>
  <c r="Q77" i="97"/>
  <c r="Q70" i="97"/>
  <c r="Q55" i="97"/>
  <c r="J207" i="9"/>
  <c r="AK207" i="9" s="1"/>
  <c r="X207" i="9"/>
  <c r="Z207" i="9" s="1"/>
  <c r="P208" i="9"/>
  <c r="T207" i="9"/>
  <c r="P207" i="9"/>
  <c r="AM207" i="9"/>
  <c r="J208" i="9"/>
  <c r="S76" i="97" l="1"/>
  <c r="S66" i="97"/>
  <c r="S52" i="97"/>
  <c r="R96" i="97"/>
  <c r="R118" i="97"/>
  <c r="R111" i="97"/>
  <c r="R106" i="97"/>
  <c r="R120" i="97" s="1"/>
  <c r="T158" i="97"/>
  <c r="U69" i="97"/>
  <c r="T50" i="97"/>
  <c r="R77" i="97"/>
  <c r="R70" i="97"/>
  <c r="R55" i="97"/>
  <c r="R65" i="97"/>
  <c r="R79" i="97" s="1"/>
  <c r="T160" i="97"/>
  <c r="U110" i="97"/>
  <c r="T91" i="97"/>
  <c r="S93" i="97"/>
  <c r="S117" i="97"/>
  <c r="S107" i="97"/>
  <c r="J211" i="9"/>
  <c r="R211" i="9" s="1"/>
  <c r="AI207" i="9"/>
  <c r="R207" i="9"/>
  <c r="AI208" i="9"/>
  <c r="R208" i="9"/>
  <c r="AK208" i="9"/>
  <c r="U158" i="97" l="1"/>
  <c r="U50" i="97"/>
  <c r="T93" i="97"/>
  <c r="T107" i="97"/>
  <c r="T117" i="97"/>
  <c r="S96" i="97"/>
  <c r="S106" i="97"/>
  <c r="S120" i="97" s="1"/>
  <c r="S111" i="97"/>
  <c r="S118" i="97"/>
  <c r="U160" i="97"/>
  <c r="U91" i="97"/>
  <c r="T66" i="97"/>
  <c r="T76" i="97"/>
  <c r="T52" i="97"/>
  <c r="S55" i="97"/>
  <c r="S65" i="97"/>
  <c r="S79" i="97" s="1"/>
  <c r="S77" i="97"/>
  <c r="S70" i="97"/>
  <c r="AI211" i="9"/>
  <c r="U107" i="97" l="1"/>
  <c r="U117" i="97"/>
  <c r="U93" i="97"/>
  <c r="T106" i="97"/>
  <c r="T120" i="97" s="1"/>
  <c r="T111" i="97"/>
  <c r="T118" i="97"/>
  <c r="T96" i="97"/>
  <c r="T55" i="97"/>
  <c r="T77" i="97"/>
  <c r="T65" i="97"/>
  <c r="T79" i="97" s="1"/>
  <c r="T70" i="97"/>
  <c r="U76" i="97"/>
  <c r="U66" i="97"/>
  <c r="U52" i="97"/>
  <c r="AD110" i="129"/>
  <c r="AD114" i="129" s="1"/>
  <c r="AE110" i="129"/>
  <c r="AF110" i="129"/>
  <c r="AG110" i="129"/>
  <c r="AH110" i="129"/>
  <c r="AE35" i="129"/>
  <c r="AD149" i="129"/>
  <c r="AD153" i="129" s="1"/>
  <c r="DN98" i="29"/>
  <c r="DN108" i="29" s="1"/>
  <c r="DN99" i="29"/>
  <c r="DN109" i="29" s="1"/>
  <c r="DN97" i="29"/>
  <c r="U70" i="97" l="1"/>
  <c r="U65" i="97"/>
  <c r="U79" i="97" s="1"/>
  <c r="U55" i="97"/>
  <c r="U77" i="97"/>
  <c r="U106" i="97"/>
  <c r="U120" i="97" s="1"/>
  <c r="U111" i="97"/>
  <c r="U96" i="97"/>
  <c r="U118" i="97"/>
  <c r="DN103" i="29"/>
  <c r="DO103" i="29" s="1"/>
  <c r="AE36" i="129"/>
  <c r="DS47" i="28"/>
  <c r="DN102" i="29"/>
  <c r="DO102" i="29" s="1"/>
  <c r="CT24" i="28" a="1"/>
  <c r="CT24" i="28" s="1"/>
  <c r="DO109" i="29"/>
  <c r="DN118" i="29"/>
  <c r="DN137" i="29" s="1"/>
  <c r="DN127" i="29"/>
  <c r="DO127" i="29" s="1"/>
  <c r="DO108" i="29"/>
  <c r="DN117" i="29"/>
  <c r="DN136" i="29" s="1"/>
  <c r="DN107" i="29"/>
  <c r="DN101" i="29"/>
  <c r="DO101" i="29" l="1"/>
  <c r="AD42" i="20"/>
  <c r="AD43" i="20" s="1"/>
  <c r="CW24" i="28"/>
  <c r="CU24" i="28"/>
  <c r="CV24" i="28"/>
  <c r="CV27" i="28" s="1"/>
  <c r="CT27" i="28"/>
  <c r="CT41" i="28"/>
  <c r="DO107" i="29"/>
  <c r="DN111" i="29"/>
  <c r="DN113" i="29"/>
  <c r="DO113" i="29" s="1"/>
  <c r="DN126" i="29"/>
  <c r="DN116" i="29"/>
  <c r="DN112" i="29"/>
  <c r="DO112" i="29" s="1"/>
  <c r="CV41" i="28" l="1"/>
  <c r="CV42" i="28"/>
  <c r="CV29" i="28"/>
  <c r="CV53" i="28" s="1"/>
  <c r="CU41" i="28"/>
  <c r="CU27" i="28"/>
  <c r="CW41" i="28"/>
  <c r="CW27" i="28"/>
  <c r="DO126" i="29"/>
  <c r="DN131" i="29"/>
  <c r="DO131" i="29" s="1"/>
  <c r="DP126" i="29"/>
  <c r="DN132" i="29"/>
  <c r="DO132" i="29" s="1"/>
  <c r="DN130" i="29"/>
  <c r="DO130" i="29" s="1"/>
  <c r="DO111" i="29"/>
  <c r="DN120" i="29"/>
  <c r="DN135" i="29"/>
  <c r="DN139" i="29" s="1"/>
  <c r="CT42" i="28"/>
  <c r="CT29" i="28"/>
  <c r="CT53" i="28" s="1"/>
  <c r="CU29" i="28" l="1"/>
  <c r="CU53" i="28" s="1"/>
  <c r="CU42" i="28"/>
  <c r="CW29" i="28"/>
  <c r="CW53" i="28" s="1"/>
  <c r="CW42" i="28"/>
  <c r="AH563" i="127" l="1"/>
  <c r="H563" i="127"/>
  <c r="P563" i="127" s="1"/>
  <c r="D8" i="122" l="1"/>
  <c r="D9" i="122" s="1"/>
  <c r="D10" i="122" s="1"/>
  <c r="D21" i="122" l="1"/>
  <c r="D25" i="122" s="1"/>
  <c r="D11" i="122"/>
  <c r="C8" i="122"/>
  <c r="C9" i="122" s="1"/>
  <c r="C10" i="122" s="1"/>
  <c r="C11" i="122" l="1"/>
  <c r="C21" i="122"/>
  <c r="C25" i="122" s="1"/>
  <c r="AE43" i="20"/>
  <c r="AD45" i="20"/>
  <c r="BH10" i="22" s="1"/>
  <c r="BI46" i="17" s="1"/>
  <c r="BI50" i="17" l="1"/>
  <c r="BI52" i="17" s="1"/>
  <c r="E8" i="122"/>
  <c r="E9" i="122" s="1"/>
  <c r="E10" i="122" s="1"/>
  <c r="AF43" i="20"/>
  <c r="Q18" i="97"/>
  <c r="DR24" i="28"/>
  <c r="BH17" i="22"/>
  <c r="AE42" i="20"/>
  <c r="AD46" i="20"/>
  <c r="AD48" i="20"/>
  <c r="AD49" i="20" s="1"/>
  <c r="BI69" i="17"/>
  <c r="AD57" i="20"/>
  <c r="AD51" i="20"/>
  <c r="AD52" i="20" s="1"/>
  <c r="AE45" i="20" l="1"/>
  <c r="R18" i="97"/>
  <c r="DS24" i="28"/>
  <c r="F8" i="122"/>
  <c r="F9" i="122" s="1"/>
  <c r="F10" i="122" s="1"/>
  <c r="AG43" i="20"/>
  <c r="AF42" i="20"/>
  <c r="BH80" i="22"/>
  <c r="BH40" i="22"/>
  <c r="E11" i="122"/>
  <c r="E21" i="122"/>
  <c r="E25" i="122" s="1"/>
  <c r="DR27" i="28"/>
  <c r="DR41" i="28"/>
  <c r="Q21" i="97"/>
  <c r="Q23" i="97" s="1"/>
  <c r="Q32" i="97"/>
  <c r="F11" i="122" l="1"/>
  <c r="F21" i="122"/>
  <c r="F25" i="122" s="1"/>
  <c r="DR29" i="28"/>
  <c r="DR42" i="28"/>
  <c r="BH85" i="22"/>
  <c r="BH86" i="22" s="1"/>
  <c r="BH59" i="22"/>
  <c r="Q39" i="97"/>
  <c r="W31" i="97"/>
  <c r="DT24" i="28"/>
  <c r="AF45" i="20"/>
  <c r="S18" i="97"/>
  <c r="R21" i="97"/>
  <c r="R23" i="97" s="1"/>
  <c r="R32" i="97"/>
  <c r="Q164" i="97"/>
  <c r="Q162" i="97" s="1"/>
  <c r="Q139" i="97" s="1"/>
  <c r="Q142" i="97" s="1"/>
  <c r="Q144" i="97" s="1"/>
  <c r="Q175" i="97" s="1"/>
  <c r="Q71" i="97"/>
  <c r="DS41" i="28"/>
  <c r="DS27" i="28"/>
  <c r="G8" i="122"/>
  <c r="AH43" i="20"/>
  <c r="AH42" i="20" s="1"/>
  <c r="AG42" i="20"/>
  <c r="BK69" i="17"/>
  <c r="AE57" i="20"/>
  <c r="AE51" i="20"/>
  <c r="AE52" i="20" s="1"/>
  <c r="AE48" i="20"/>
  <c r="AE49" i="20" s="1"/>
  <c r="AE46" i="20"/>
  <c r="BJ10" i="22"/>
  <c r="R39" i="97" l="1"/>
  <c r="W37" i="97"/>
  <c r="AH45" i="20"/>
  <c r="DV24" i="28"/>
  <c r="U18" i="97"/>
  <c r="BJ17" i="22"/>
  <c r="BK46" i="17"/>
  <c r="G9" i="122"/>
  <c r="G10" i="122" s="1"/>
  <c r="H8" i="122"/>
  <c r="Q163" i="97"/>
  <c r="Q57" i="97"/>
  <c r="Q60" i="97" s="1"/>
  <c r="Q62" i="97" s="1"/>
  <c r="Q112" i="97"/>
  <c r="S21" i="97"/>
  <c r="S23" i="97" s="1"/>
  <c r="S39" i="97" s="1"/>
  <c r="S32" i="97"/>
  <c r="AF46" i="20"/>
  <c r="BM69" i="17"/>
  <c r="AF51" i="20"/>
  <c r="AF52" i="20" s="1"/>
  <c r="AF57" i="20"/>
  <c r="AF48" i="20"/>
  <c r="AF49" i="20" s="1"/>
  <c r="BL10" i="22"/>
  <c r="BL17" i="22" s="1"/>
  <c r="AG45" i="20"/>
  <c r="DU24" i="28"/>
  <c r="T18" i="97"/>
  <c r="R164" i="97"/>
  <c r="R162" i="97" s="1"/>
  <c r="R139" i="97" s="1"/>
  <c r="R142" i="97" s="1"/>
  <c r="R144" i="97" s="1"/>
  <c r="R175" i="97" s="1"/>
  <c r="R71" i="97"/>
  <c r="DT41" i="28"/>
  <c r="DT27" i="28"/>
  <c r="BH87" i="22"/>
  <c r="BH88" i="22" s="1"/>
  <c r="BH62" i="22"/>
  <c r="BH60" i="22"/>
  <c r="DR53" i="28"/>
  <c r="DS29" i="28"/>
  <c r="DS42" i="28"/>
  <c r="DU27" i="28" l="1"/>
  <c r="DU41" i="28"/>
  <c r="BL80" i="22"/>
  <c r="BL40" i="22"/>
  <c r="Q98" i="97"/>
  <c r="Q101" i="97" s="1"/>
  <c r="Q103" i="97" s="1"/>
  <c r="Q165" i="97"/>
  <c r="BJ80" i="22"/>
  <c r="BJ40" i="22"/>
  <c r="X50" i="97"/>
  <c r="Q78" i="97"/>
  <c r="X52" i="97"/>
  <c r="U21" i="97"/>
  <c r="U23" i="97" s="1"/>
  <c r="U32" i="97"/>
  <c r="BI9" i="17"/>
  <c r="BJ58" i="22"/>
  <c r="S71" i="97"/>
  <c r="S164" i="97"/>
  <c r="S162" i="97" s="1"/>
  <c r="S139" i="97" s="1"/>
  <c r="S142" i="97" s="1"/>
  <c r="S144" i="97" s="1"/>
  <c r="S175" i="97" s="1"/>
  <c r="G21" i="122"/>
  <c r="G25" i="122" s="1"/>
  <c r="G11" i="122"/>
  <c r="DV41" i="28"/>
  <c r="DV27" i="28"/>
  <c r="DS53" i="28"/>
  <c r="DT29" i="28"/>
  <c r="DT53" i="28" s="1"/>
  <c r="DT42" i="28"/>
  <c r="AG46" i="20"/>
  <c r="AG51" i="20"/>
  <c r="AG52" i="20" s="1"/>
  <c r="AG48" i="20"/>
  <c r="AG49" i="20" s="1"/>
  <c r="AG57" i="20"/>
  <c r="BO69" i="17"/>
  <c r="BN10" i="22"/>
  <c r="BN17" i="22" s="1"/>
  <c r="H9" i="122"/>
  <c r="H10" i="122" s="1"/>
  <c r="I8" i="122"/>
  <c r="R163" i="97"/>
  <c r="R112" i="97"/>
  <c r="R57" i="97"/>
  <c r="R60" i="97" s="1"/>
  <c r="R62" i="97" s="1"/>
  <c r="V68" i="97" s="1"/>
  <c r="T21" i="97"/>
  <c r="T23" i="97" s="1"/>
  <c r="T39" i="97" s="1"/>
  <c r="T32" i="97"/>
  <c r="BK50" i="17"/>
  <c r="BK52" i="17" s="1"/>
  <c r="BM46" i="17"/>
  <c r="AH57" i="20"/>
  <c r="AH46" i="20"/>
  <c r="AH48" i="20"/>
  <c r="AL45" i="20"/>
  <c r="BQ69" i="17"/>
  <c r="BP10" i="22"/>
  <c r="BP17" i="22" s="1"/>
  <c r="AH51" i="20"/>
  <c r="AH52" i="20" s="1"/>
  <c r="R78" i="97" l="1"/>
  <c r="BM50" i="17"/>
  <c r="BM52" i="17" s="1"/>
  <c r="BO46" i="17"/>
  <c r="R165" i="97"/>
  <c r="R98" i="97"/>
  <c r="R101" i="97" s="1"/>
  <c r="R103" i="97" s="1"/>
  <c r="BN80" i="22"/>
  <c r="BN40" i="22"/>
  <c r="S163" i="97"/>
  <c r="S57" i="97"/>
  <c r="S60" i="97" s="1"/>
  <c r="S62" i="97" s="1"/>
  <c r="S78" i="97" s="1"/>
  <c r="S112" i="97"/>
  <c r="U39" i="97"/>
  <c r="BJ85" i="22"/>
  <c r="BJ86" i="22" s="1"/>
  <c r="BJ59" i="22"/>
  <c r="BJ60" i="22" s="1"/>
  <c r="BL85" i="22"/>
  <c r="BL86" i="22" s="1"/>
  <c r="BL59" i="22"/>
  <c r="BP40" i="22"/>
  <c r="BP80" i="22"/>
  <c r="T164" i="97"/>
  <c r="T162" i="97" s="1"/>
  <c r="T139" i="97" s="1"/>
  <c r="T142" i="97" s="1"/>
  <c r="T144" i="97" s="1"/>
  <c r="T175" i="97" s="1"/>
  <c r="T71" i="97"/>
  <c r="DV29" i="28"/>
  <c r="DV42" i="28"/>
  <c r="Q119" i="97"/>
  <c r="AH49" i="20"/>
  <c r="AL48" i="20"/>
  <c r="I9" i="122"/>
  <c r="I10" i="122" s="1"/>
  <c r="J8" i="122"/>
  <c r="J9" i="122" s="1"/>
  <c r="J10" i="122" s="1"/>
  <c r="BI14" i="17"/>
  <c r="BI22" i="17" s="1"/>
  <c r="BK81" i="17"/>
  <c r="BH61" i="22"/>
  <c r="BI82" i="17"/>
  <c r="H11" i="122"/>
  <c r="H21" i="122"/>
  <c r="H25" i="122" s="1"/>
  <c r="U71" i="97"/>
  <c r="U164" i="97"/>
  <c r="U162" i="97" s="1"/>
  <c r="U139" i="97" s="1"/>
  <c r="U142" i="97" s="1"/>
  <c r="U144" i="97" s="1"/>
  <c r="DU29" i="28"/>
  <c r="DU53" i="28" s="1"/>
  <c r="DU42" i="28"/>
  <c r="U175" i="97" l="1"/>
  <c r="R119" i="97"/>
  <c r="V110" i="97"/>
  <c r="U163" i="97"/>
  <c r="U112" i="97"/>
  <c r="U57" i="97"/>
  <c r="U60" i="97" s="1"/>
  <c r="U62" i="97" s="1"/>
  <c r="J11" i="122"/>
  <c r="J21" i="122"/>
  <c r="BJ62" i="22"/>
  <c r="BJ87" i="22"/>
  <c r="BJ88" i="22" s="1"/>
  <c r="I11" i="122"/>
  <c r="I21" i="122"/>
  <c r="I25" i="122" s="1"/>
  <c r="BL58" i="22"/>
  <c r="BL60" i="22" s="1"/>
  <c r="BK9" i="17"/>
  <c r="BI61" i="17"/>
  <c r="BH92" i="22" s="1"/>
  <c r="BI60" i="17"/>
  <c r="BH91" i="22" s="1"/>
  <c r="T163" i="97"/>
  <c r="T57" i="97"/>
  <c r="T60" i="97" s="1"/>
  <c r="T62" i="97" s="1"/>
  <c r="T78" i="97" s="1"/>
  <c r="T112" i="97"/>
  <c r="BP59" i="22"/>
  <c r="BP85" i="22"/>
  <c r="BP86" i="22" s="1"/>
  <c r="BL62" i="22"/>
  <c r="BL87" i="22"/>
  <c r="BL88" i="22" s="1"/>
  <c r="BN59" i="22"/>
  <c r="BN85" i="22"/>
  <c r="BN86" i="22" s="1"/>
  <c r="BO50" i="17"/>
  <c r="BO52" i="17" s="1"/>
  <c r="BQ46" i="17"/>
  <c r="BQ50" i="17" s="1"/>
  <c r="BQ52" i="17" s="1"/>
  <c r="DV53" i="28"/>
  <c r="S165" i="97"/>
  <c r="S98" i="97"/>
  <c r="S101" i="97" s="1"/>
  <c r="S103" i="97" s="1"/>
  <c r="S119" i="97" s="1"/>
  <c r="U78" i="97" l="1"/>
  <c r="BN87" i="22"/>
  <c r="BN88" i="22" s="1"/>
  <c r="BN62" i="22"/>
  <c r="BK82" i="17"/>
  <c r="C31" i="122"/>
  <c r="BM81" i="17"/>
  <c r="BJ61" i="22"/>
  <c r="BK14" i="17"/>
  <c r="BK22" i="17" s="1"/>
  <c r="U165" i="97"/>
  <c r="U98" i="97"/>
  <c r="U101" i="97" s="1"/>
  <c r="U103" i="97" s="1"/>
  <c r="BP62" i="22"/>
  <c r="BP87" i="22"/>
  <c r="BP88" i="22" s="1"/>
  <c r="T165" i="97"/>
  <c r="T98" i="97"/>
  <c r="T101" i="97" s="1"/>
  <c r="T103" i="97" s="1"/>
  <c r="T119" i="97" s="1"/>
  <c r="BM9" i="17"/>
  <c r="BN58" i="22"/>
  <c r="BN60" i="22" s="1"/>
  <c r="J26" i="122"/>
  <c r="J27" i="122" s="1"/>
  <c r="C42" i="122" s="1"/>
  <c r="J25" i="122"/>
  <c r="C41" i="122" s="1"/>
  <c r="BP58" i="22" l="1"/>
  <c r="BP60" i="22" s="1"/>
  <c r="BQ9" i="17" s="1"/>
  <c r="BO9" i="17"/>
  <c r="U119" i="97"/>
  <c r="BK61" i="17"/>
  <c r="BJ92" i="22" s="1"/>
  <c r="BK60" i="17"/>
  <c r="BJ91" i="22" s="1"/>
  <c r="BO81" i="17"/>
  <c r="BM82" i="17"/>
  <c r="BL61" i="22"/>
  <c r="BM14" i="17"/>
  <c r="BM22" i="17" s="1"/>
  <c r="C43" i="122"/>
  <c r="C45" i="122"/>
  <c r="C32" i="122"/>
  <c r="C39" i="122" s="1"/>
  <c r="BM61" i="17" l="1"/>
  <c r="BL92" i="22" s="1"/>
  <c r="BM60" i="17"/>
  <c r="BL91" i="22" s="1"/>
  <c r="BQ14" i="17"/>
  <c r="BQ22" i="17" s="1"/>
  <c r="BQ82" i="17"/>
  <c r="BP61" i="22"/>
  <c r="C48" i="122"/>
  <c r="C49" i="122" s="1"/>
  <c r="BN61" i="22"/>
  <c r="BO82" i="17"/>
  <c r="BQ81" i="17"/>
  <c r="BO14" i="17"/>
  <c r="BO22" i="17" s="1"/>
  <c r="BO61" i="17" l="1"/>
  <c r="BN92" i="22" s="1"/>
  <c r="BO60" i="17"/>
  <c r="BN91" i="22" s="1"/>
  <c r="BQ61" i="17"/>
  <c r="BQ60" i="17"/>
</calcChain>
</file>

<file path=xl/comments1.xml><?xml version="1.0" encoding="utf-8"?>
<comments xmlns="http://schemas.openxmlformats.org/spreadsheetml/2006/main">
  <authors>
    <author>nicholjs</author>
  </authors>
  <commentList>
    <comment ref="A1" authorId="0">
      <text>
        <r>
          <rPr>
            <b/>
            <sz val="8"/>
            <color indexed="81"/>
            <rFont val="Tahoma"/>
            <family val="2"/>
          </rPr>
          <t>卟䙄_x0003_＀＀嵰䱻_x0015_假ⵓ单坞当卉彏佃䕄〨착_x001C_＀＀ ＀＀_x0004_＀＀_x0004_＀＀_x0001_＀＀_x0001_＀＀_x0008_＀＀单D鲆䱻_x001E_假ⵓ单䙞彇剐䍉⡅㄰㌯⼱〲㘰Ⱜ⥄ ＀＀ ＀＀_x0008_＀＀_x0008_＀＀_x0001_＀＀_x0001_＀＀_x0001_＀＀ꏗ㵰ᜊ䀲鲆䱻_x001E_假ⵓ单䙞彇剐䍉⡅㄰㌯⼱〲㄰Ⱜ⥄ ＀＀ ＀＀_x0008_＀＀_x0008_＀＀_x0001_＀＀_x0001_＀＀_x0001_＀＀쳍쳌䳌䁀鲆䱻_x001E_假ⵓ单䙞彇剐䍉⡅㄰㌯⼱〲〱Ⱜ⥄ ＀＀ ＀＀_x0008_＀＀_x0008_＀＀_x0001_＀＀_x0001_＀＀_x0001_＀＀긔ᑺ䀳鲆䱻_x001E_假ⵓ单䙞彇剐䍉⡅㄰㌯⼱〲㔰Ⱜ⥄ ＀＀ ＀＀_x0008_＀＀_x0008_＀＀_x0001_＀＀_x0001_＀＀_x0001_＀＀尨ʏ䀶ᰴ䷜$假幓䙆䕟呎偒归䅖彌䅄䱉⡙ⰰⰬⰬ䐢䱉⤢Š＀＀ ＀＀ň＀＀_x0008_＀＀_x0001_＀＀_x0001_＀＀_x0001_＀＀ẹ쇑䃃摦畳㩰⼯楤敲瑣潩獮䘯呁嘠敩敷㽲捡楴湯唽䑐呁♅牣慥潴㵲慦瑣敳♴奄彎剁升吽啒♅佄彃䅎䕍䘽呁䘺䱑䅟䑕呉义彇䱃䕉呎呟䵅䱐呁⹅䅆♔楤灳慬役瑳楲杮䄽摵瑩嘦剁䬺奅夽䵂䅒䝌佈♈䅖㩒啑剅㵙歒晚啒唵汕卂ㅘ䉚䙔䔹啑䵬南睧䍌獷䍌湷䕒䵬祊㵫圦义佄㵗䥆卒彔佐啐♐䕈䝉呈㐽〵圦䑉䡔㐽〵匦䅔呒䵟塁䵉婉䑅䘽䱁䕓嘦剁䌺䱁久䅄㵒单嘦剁区䵙佂㵌假♓䅖㩒义䕄㵘0鲆䱻_x001E_假ⵓ单䙞彇剐䍉⡅㄰㌯⼱〲〰Ⱜ⥄ ＀＀ ＀＀_x0008_＀＀_x0008_＀＀_x0001_＀＀_x0001_＀＀_x0001_＀＀＀＀＀＀堀䁆鲆䱻_x001E_假ⵓ单䙞彇剐䍉⡅㄰㌯⼱〲㤰Ⱜ⥄ ＀＀ ＀＀_x0008_＀＀_x0008_＀＀_x0001_＀＀_x0001_＀＀_x0001_＀＀슏⣵轜䀦鲆䱻_x001E_假ⵓ单䙞彇剐䍉⡅㄰㌯⼱〲㐰Ⱜ⥄ ＀＀ ＀＀_x0008_＀＀_x0008_＀＀_x0001_＀＀_x0001_＀＀_x0001_＀＀긔鑺䀲鲆䱻_x001E_假ⵓ单䙞彇剐䍉⡅㄰㌯⼱〲㠰Ⱜ⥄ ＀＀ ＀＀_x0008_＀＀_x0008_＀＀_x0001_＀＀_x0001_＀＀_x0001_＀＀ꏗ㵰ᜊ䀳宮䱻_x001A_假ⵓ单坞当奆⡃⤰䍀彁奆⡃⤰ ＀＀ ＀＀_x0008_＀＀_x0008_＀＀_x0001_＀＀_x0001_＀＀_x0008_＀＀㄰㈯㄰0鲆䱻_x001E_假ⵓ单䙞彇剐䍉⡅㄰㌯⼱〲㌰Ⱜ⥄ ＀＀ ＀＀_x0008_＀＀_x0008_＀＀_x0001_＀＀_x0001_＀＀_x0001_＀＀尨䊏䀭鲆䱻_x001E_假ⵓ单䙞彇剐䍉⡅㄰㌯⼱〲㜰Ⱜ⥄ ＀＀ ＀＀_x0008_＀＀_x0008_＀＀_x0001_＀＀_x0001_＀＀_x0001_＀＀凬Ẹ⮅䀳鲆䱻_x001E_假ⵓ单䙞彇剐䍉⡅㄰㌯⼱〲㈰Ⱜ⥄ ＀＀ ＀＀_x0008_＀＀_x0008_＀＀_x0001_＀＀_x0001_＀＀_x0001_＀＀쳍쳌쳌䀬</t>
        </r>
      </text>
    </comment>
    <comment ref="B1" authorId="0">
      <text>
        <r>
          <rPr>
            <b/>
            <sz val="8"/>
            <color indexed="81"/>
            <rFont val="Tahoma"/>
            <family val="2"/>
          </rPr>
          <t>764</t>
        </r>
      </text>
    </comment>
  </commentList>
</comments>
</file>

<file path=xl/comments2.xml><?xml version="1.0" encoding="utf-8"?>
<comments xmlns="http://schemas.openxmlformats.org/spreadsheetml/2006/main">
  <authors>
    <author>oc48540</author>
    <author>Lehman Brothers</author>
    <author>Baglione, Gregory  (Research)</author>
  </authors>
  <commentList>
    <comment ref="AQ26" authorId="0">
      <text>
        <r>
          <rPr>
            <b/>
            <sz val="8"/>
            <color indexed="81"/>
            <rFont val="Tahoma"/>
            <family val="2"/>
          </rPr>
          <t>oc48540:</t>
        </r>
        <r>
          <rPr>
            <sz val="8"/>
            <color indexed="81"/>
            <rFont val="Tahoma"/>
            <family val="2"/>
          </rPr>
          <t xml:space="preserve">
Adds back F&amp;T closure costs in order to adhere to First Call standards</t>
        </r>
      </text>
    </comment>
    <comment ref="DG26" authorId="0">
      <text>
        <r>
          <rPr>
            <b/>
            <sz val="8"/>
            <color indexed="81"/>
            <rFont val="Tahoma"/>
            <family val="2"/>
          </rPr>
          <t>oc48540:</t>
        </r>
        <r>
          <rPr>
            <sz val="8"/>
            <color indexed="81"/>
            <rFont val="Tahoma"/>
            <family val="2"/>
          </rPr>
          <t xml:space="preserve">
Adds back F&amp;T closure costs in order to adhere to First Call standards</t>
        </r>
      </text>
    </comment>
    <comment ref="O29" authorId="1">
      <text>
        <r>
          <rPr>
            <b/>
            <sz val="8"/>
            <color indexed="81"/>
            <rFont val="Tahoma"/>
            <family val="2"/>
          </rPr>
          <t>Lehman Brothers:</t>
        </r>
        <r>
          <rPr>
            <sz val="8"/>
            <color indexed="81"/>
            <rFont val="Tahoma"/>
            <family val="2"/>
          </rPr>
          <t xml:space="preserve">
10Q shows -21 cents but first call has -6 cents due to 131m tax charge</t>
        </r>
      </text>
    </comment>
    <comment ref="DP29" authorId="2">
      <text>
        <r>
          <rPr>
            <b/>
            <sz val="9"/>
            <color indexed="81"/>
            <rFont val="Tahoma"/>
            <family val="2"/>
          </rPr>
          <t>Baglione, Gregory  (Research):</t>
        </r>
        <r>
          <rPr>
            <sz val="9"/>
            <color indexed="81"/>
            <rFont val="Tahoma"/>
            <family val="2"/>
          </rPr>
          <t xml:space="preserve">
1/1/17
Now expect EPS modestly above high end of range.
11/17/16
guidance: reaffirmed at $1.87 - $1.92; restructuring costs expected to be 42-46c.(vs. 45-50c prior)
We are modeling above management's guidance to $1.95
8/19/16
Updated guidance $1.87-$1.92
</t>
        </r>
      </text>
    </comment>
    <comment ref="DP66" authorId="2">
      <text>
        <r>
          <rPr>
            <b/>
            <sz val="9"/>
            <color indexed="81"/>
            <rFont val="Tahoma"/>
            <family val="2"/>
          </rPr>
          <t>Baglione, Gregory  (Research):</t>
        </r>
        <r>
          <rPr>
            <sz val="9"/>
            <color indexed="81"/>
            <rFont val="Tahoma"/>
            <family val="2"/>
          </rPr>
          <t xml:space="preserve">
Guidance -2% sq.ft</t>
        </r>
      </text>
    </comment>
  </commentList>
</comments>
</file>

<file path=xl/comments3.xml><?xml version="1.0" encoding="utf-8"?>
<comments xmlns="http://schemas.openxmlformats.org/spreadsheetml/2006/main">
  <authors>
    <author>Turley, Amber (Research)</author>
    <author>Baglione, Gregory  (Research)</author>
    <author>Cassel, Lauren (Research)</author>
    <author>De Courreges, Edouard (Research)</author>
    <author>Baglione, Gregory (Research)</author>
    <author>turleamb</author>
    <author>Roberts, Cynthia (Research)</author>
  </authors>
  <commentList>
    <comment ref="H170" authorId="0">
      <text>
        <r>
          <rPr>
            <b/>
            <sz val="9"/>
            <color indexed="81"/>
            <rFont val="Tahoma"/>
            <family val="2"/>
          </rPr>
          <t>Turley, Amber (Research):</t>
        </r>
        <r>
          <rPr>
            <sz val="9"/>
            <color indexed="81"/>
            <rFont val="Tahoma"/>
            <family val="2"/>
          </rPr>
          <t xml:space="preserve">
Mse: CAD fell ~7%y/y. CAD = 7% of ON revenue suggesting CAD revenue ex F/X would have been ~$153M equating to ~$10M f/x hit. </t>
        </r>
      </text>
    </comment>
    <comment ref="H174" authorId="0">
      <text>
        <r>
          <rPr>
            <b/>
            <sz val="9"/>
            <color indexed="81"/>
            <rFont val="Tahoma"/>
            <family val="2"/>
          </rPr>
          <t>Turley, Amber (Research):</t>
        </r>
        <r>
          <rPr>
            <sz val="9"/>
            <color indexed="81"/>
            <rFont val="Tahoma"/>
            <family val="2"/>
          </rPr>
          <t xml:space="preserve">
Mse: assume ~12% fall of CAD y/y in 1Q. Assume 2% spread ex-F/X and CAD is 8% of ON revenue. This suggests~$10M F/X hit</t>
        </r>
      </text>
    </comment>
    <comment ref="H175" authorId="0">
      <text>
        <r>
          <rPr>
            <b/>
            <sz val="9"/>
            <color indexed="81"/>
            <rFont val="Tahoma"/>
            <family val="2"/>
          </rPr>
          <t>Turley, Amber (Research):</t>
        </r>
        <r>
          <rPr>
            <sz val="9"/>
            <color indexed="81"/>
            <rFont val="Tahoma"/>
            <family val="2"/>
          </rPr>
          <t xml:space="preserve">
Mse: based on forward rates assumes CAD falls 13% y/y and since Canada is ~8% of ON revenue this equates to ~$18M hit from F/X</t>
        </r>
      </text>
    </comment>
    <comment ref="H176" authorId="0">
      <text>
        <r>
          <rPr>
            <b/>
            <sz val="9"/>
            <color indexed="81"/>
            <rFont val="Tahoma"/>
            <family val="2"/>
          </rPr>
          <t>Turley, Amber (Research):</t>
        </r>
        <r>
          <rPr>
            <sz val="9"/>
            <color indexed="81"/>
            <rFont val="Tahoma"/>
            <family val="2"/>
          </rPr>
          <t xml:space="preserve">
Mse: assumes CAD falls ~12% y/y and since Canada is ~8% of ON revenue assumes a $15M F/X hit</t>
        </r>
      </text>
    </comment>
    <comment ref="H177" authorId="0">
      <text>
        <r>
          <rPr>
            <b/>
            <sz val="9"/>
            <color indexed="81"/>
            <rFont val="Tahoma"/>
            <family val="2"/>
          </rPr>
          <t>Turley, Amber (Research):</t>
        </r>
        <r>
          <rPr>
            <sz val="9"/>
            <color indexed="81"/>
            <rFont val="Tahoma"/>
            <family val="2"/>
          </rPr>
          <t xml:space="preserve">
Mse: forward rates suggest CAD falls 8% y/y and since CAD is ~8% of ON revenue we assume a $13M F/X hit</t>
        </r>
      </text>
    </comment>
    <comment ref="H181" authorId="1">
      <text>
        <r>
          <rPr>
            <b/>
            <sz val="9"/>
            <color indexed="81"/>
            <rFont val="Tahoma"/>
            <family val="2"/>
          </rPr>
          <t>Baglione, Gregory  (Research):</t>
        </r>
        <r>
          <rPr>
            <sz val="9"/>
            <color indexed="81"/>
            <rFont val="Tahoma"/>
            <family val="2"/>
          </rPr>
          <t xml:space="preserve">
ON sales
90% US
7% CAD
3 % ASIA
Assume 0.5% FX headwind, offset by ~.1% of growth from expansion spread
5/19/16
FX Impact given percenteages above (and FX table not in model)
2Q: -0.3%
3Q: flat
4Q: flat</t>
        </r>
      </text>
    </comment>
    <comment ref="H182" authorId="1">
      <text>
        <r>
          <rPr>
            <b/>
            <sz val="9"/>
            <color indexed="81"/>
            <rFont val="Tahoma"/>
            <family val="2"/>
          </rPr>
          <t>Baglione, Gregory  (Research):</t>
        </r>
        <r>
          <rPr>
            <sz val="9"/>
            <color indexed="81"/>
            <rFont val="Tahoma"/>
            <family val="2"/>
          </rPr>
          <t xml:space="preserve">
ON sales
90% US
7% CAD
3 % ASIA
Assume .1-.2% FX headwind, offset by ~.8-1% of growth from spread
5/19/16
FX Impact given percenteages above (and FX table not in model)
2Q: -0.3%
3Q: flat
4Q: flat</t>
        </r>
      </text>
    </comment>
    <comment ref="H183" authorId="1">
      <text>
        <r>
          <rPr>
            <b/>
            <sz val="9"/>
            <color indexed="81"/>
            <rFont val="Tahoma"/>
            <family val="2"/>
          </rPr>
          <t>Baglione, Gregory  (Research):</t>
        </r>
        <r>
          <rPr>
            <sz val="9"/>
            <color indexed="81"/>
            <rFont val="Tahoma"/>
            <family val="2"/>
          </rPr>
          <t xml:space="preserve">
ON sales
90% US
7% CAD
3 % ASIA
Assume .1-.2% FX headwind, offset by ~.8-1% of growth from spread
5/19/16
FX Impact given percenteages above (and FX table not in model)
2Q: -0.3%
3Q: flat
4Q: flat
8/16/16
Per management assume a similar spread to 2Q</t>
        </r>
      </text>
    </comment>
    <comment ref="H184" authorId="1">
      <text>
        <r>
          <rPr>
            <b/>
            <sz val="9"/>
            <color indexed="81"/>
            <rFont val="Tahoma"/>
            <family val="2"/>
          </rPr>
          <t>Baglione, Gregory  (Research):</t>
        </r>
        <r>
          <rPr>
            <sz val="9"/>
            <color indexed="81"/>
            <rFont val="Tahoma"/>
            <family val="2"/>
          </rPr>
          <t xml:space="preserve">
ON sales
90% US
7% CAD
3 % ASIA
Assume .1-.2% FX headwind, offset by ~.8-1% of growth from spread
5/19/16
FX Impact given percenteages above (and FX table not in model)
2Q: -0.3%
3Q: flat
4Q: flat
5/19/16
The company estimates that together these measures will result in annualized pre-tax savings of about $275 million and operating margin improvement of nearly 2 percentage points. The company estimates an annualized sales loss of about $250 million associated with the store closures and expects to recognize restructuring costs in fiscal 2016 of about $300 million pre-tax, about $100 million of which is non-cash, from the store closures and streamlining measures.
This implies $62M per quarter. We assume this starts to take full effect in 4Q with 1/3 of closures (and we assume sales) related to BR or ~$40M.
53 ON stores = ~5% of total fleet. 
</t>
        </r>
      </text>
    </comment>
    <comment ref="F189" authorId="2">
      <text>
        <r>
          <rPr>
            <b/>
            <sz val="9"/>
            <color indexed="81"/>
            <rFont val="Tahoma"/>
            <family val="2"/>
          </rPr>
          <t>Cassel, Lauren (Research):</t>
        </r>
        <r>
          <rPr>
            <sz val="9"/>
            <color indexed="81"/>
            <rFont val="Tahoma"/>
            <family val="2"/>
          </rPr>
          <t xml:space="preserve">
8/17/17: Old Navy driven by positive AUR and conversion and the brands traffic trends meaningfully outpaced industry metrics; -LSD traffic</t>
        </r>
      </text>
    </comment>
    <comment ref="F190" authorId="3">
      <text>
        <r>
          <rPr>
            <b/>
            <sz val="9"/>
            <color indexed="81"/>
            <rFont val="Tahoma"/>
            <family val="2"/>
          </rPr>
          <t>De Courreges, Edouard (Research):</t>
        </r>
        <r>
          <rPr>
            <sz val="9"/>
            <color indexed="81"/>
            <rFont val="Tahoma"/>
            <family val="2"/>
          </rPr>
          <t xml:space="preserve">
Denim was particularly strong, and I want to illustrate what drove the business. The sales comps were on the high teens, and the margin comps were outpacing the sales comps. As of October, Old Navy is the #4 retailer in denim, which is up 2
spots from LY.</t>
        </r>
      </text>
    </comment>
    <comment ref="H191" authorId="4">
      <text>
        <r>
          <rPr>
            <b/>
            <sz val="9"/>
            <color indexed="81"/>
            <rFont val="Tahoma"/>
            <family val="2"/>
          </rPr>
          <t>Baglione, Gregory (Research):</t>
        </r>
        <r>
          <rPr>
            <sz val="9"/>
            <color indexed="81"/>
            <rFont val="Tahoma"/>
            <family val="2"/>
          </rPr>
          <t xml:space="preserve">
4% sales lift from 53rd week</t>
        </r>
      </text>
    </comment>
    <comment ref="H192" authorId="1">
      <text>
        <r>
          <rPr>
            <b/>
            <sz val="9"/>
            <color indexed="81"/>
            <rFont val="Tahoma"/>
            <family val="2"/>
          </rPr>
          <t>Baglione, Gregory  (Research):</t>
        </r>
        <r>
          <rPr>
            <sz val="9"/>
            <color indexed="81"/>
            <rFont val="Tahoma"/>
            <family val="2"/>
          </rPr>
          <t xml:space="preserve">
1/5/17
2016e $6.813B sales
+ 53rd week 1% ~$70-80M
-$125M store closures (see notes above) (~2/3 $190M remaining from intl. exit)
+1% comp ~$68M
2017e $6.9B
</t>
        </r>
      </text>
    </comment>
    <comment ref="H195" authorId="3">
      <text>
        <r>
          <rPr>
            <b/>
            <sz val="9"/>
            <color indexed="81"/>
            <rFont val="Tahoma"/>
            <family val="2"/>
          </rPr>
          <t>De Courreges, Edouard (Research):</t>
        </r>
        <r>
          <rPr>
            <sz val="9"/>
            <color indexed="81"/>
            <rFont val="Tahoma"/>
            <family val="2"/>
          </rPr>
          <t xml:space="preserve">
2/28/18 +1 from calendar shift</t>
        </r>
      </text>
    </comment>
    <comment ref="H198" authorId="3">
      <text>
        <r>
          <rPr>
            <b/>
            <sz val="9"/>
            <color indexed="81"/>
            <rFont val="Tahoma"/>
            <family val="2"/>
          </rPr>
          <t>De Courreges, Edouard (Research):</t>
        </r>
        <r>
          <rPr>
            <sz val="9"/>
            <color indexed="81"/>
            <rFont val="Tahoma"/>
            <family val="2"/>
          </rPr>
          <t xml:space="preserve">
-2 from calendar shift</t>
        </r>
      </text>
    </comment>
    <comment ref="S368" authorId="5">
      <text>
        <r>
          <rPr>
            <b/>
            <sz val="8"/>
            <color indexed="81"/>
            <rFont val="Tahoma"/>
            <family val="2"/>
          </rPr>
          <t>turleamb:</t>
        </r>
        <r>
          <rPr>
            <sz val="8"/>
            <color indexed="81"/>
            <rFont val="Tahoma"/>
            <family val="2"/>
          </rPr>
          <t xml:space="preserve">
$54m from Canada
$22m from Europe
$38m from Asia
$6m from other
</t>
        </r>
      </text>
    </comment>
    <comment ref="S369" authorId="5">
      <text>
        <r>
          <rPr>
            <b/>
            <sz val="8"/>
            <color indexed="81"/>
            <rFont val="Tahoma"/>
            <family val="2"/>
          </rPr>
          <t>turleamb:</t>
        </r>
        <r>
          <rPr>
            <sz val="8"/>
            <color indexed="81"/>
            <rFont val="Tahoma"/>
            <family val="2"/>
          </rPr>
          <t xml:space="preserve">
$572m US
$60m Canada
$21m Europe
$37m Asia
$8m Other regions</t>
        </r>
      </text>
    </comment>
    <comment ref="S370" authorId="5">
      <text>
        <r>
          <rPr>
            <b/>
            <sz val="8"/>
            <color indexed="81"/>
            <rFont val="Tahoma"/>
            <family val="2"/>
          </rPr>
          <t>turleamb:</t>
        </r>
        <r>
          <rPr>
            <sz val="8"/>
            <color indexed="81"/>
            <rFont val="Tahoma"/>
            <family val="2"/>
          </rPr>
          <t xml:space="preserve">
$683m US
$71m Canada
$21m Europe
$43m Asia
$8m Other</t>
        </r>
      </text>
    </comment>
    <comment ref="S395" authorId="2">
      <text>
        <r>
          <rPr>
            <b/>
            <sz val="9"/>
            <color indexed="81"/>
            <rFont val="Tahoma"/>
            <family val="2"/>
          </rPr>
          <t>Cassel, Lauren (Research):</t>
        </r>
        <r>
          <rPr>
            <sz val="9"/>
            <color indexed="81"/>
            <rFont val="Tahoma"/>
            <family val="2"/>
          </rPr>
          <t xml:space="preserve">
$437 US, $45 Canada, $4 Europe, $24 Asia, $7 Other</t>
        </r>
      </text>
    </comment>
    <comment ref="S396" authorId="2">
      <text>
        <r>
          <rPr>
            <b/>
            <sz val="9"/>
            <color indexed="81"/>
            <rFont val="Tahoma"/>
            <family val="2"/>
          </rPr>
          <t>Cassel, Lauren (Research):</t>
        </r>
        <r>
          <rPr>
            <sz val="9"/>
            <color indexed="81"/>
            <rFont val="Tahoma"/>
            <family val="2"/>
          </rPr>
          <t xml:space="preserve">
492 US
54 Canada
3 Europe
24 Asia
6 Other</t>
        </r>
      </text>
    </comment>
    <comment ref="F397" authorId="6">
      <text>
        <r>
          <rPr>
            <b/>
            <sz val="9"/>
            <color indexed="81"/>
            <rFont val="Tahoma"/>
            <family val="2"/>
          </rPr>
          <t>Roberts, Cynthia (Research):</t>
        </r>
        <r>
          <rPr>
            <sz val="9"/>
            <color indexed="81"/>
            <rFont val="Tahoma"/>
            <family val="2"/>
          </rPr>
          <t xml:space="preserve">
11/5/17: raised to flat from -2%</t>
        </r>
      </text>
    </comment>
    <comment ref="H398" authorId="3">
      <text>
        <r>
          <rPr>
            <b/>
            <sz val="9"/>
            <color indexed="81"/>
            <rFont val="Tahoma"/>
            <family val="2"/>
          </rPr>
          <t xml:space="preserve">De Courreges, Edouard (Research): </t>
        </r>
        <r>
          <rPr>
            <sz val="9"/>
            <color indexed="81"/>
            <rFont val="Tahoma"/>
            <family val="2"/>
          </rPr>
          <t>Was +2; -2 for incremental store closures brings it to zero</t>
        </r>
      </text>
    </comment>
    <comment ref="H399" authorId="1">
      <text>
        <r>
          <rPr>
            <b/>
            <sz val="9"/>
            <color indexed="81"/>
            <rFont val="Tahoma"/>
            <family val="2"/>
          </rPr>
          <t>Baglione, Gregory  (Research):</t>
        </r>
        <r>
          <rPr>
            <sz val="9"/>
            <color indexed="81"/>
            <rFont val="Tahoma"/>
            <family val="2"/>
          </rPr>
          <t xml:space="preserve">
</t>
        </r>
        <r>
          <rPr>
            <b/>
            <sz val="9"/>
            <color indexed="81"/>
            <rFont val="Tahoma"/>
            <family val="2"/>
          </rPr>
          <t xml:space="preserve">75 BR store closures </t>
        </r>
        <r>
          <rPr>
            <sz val="9"/>
            <color indexed="81"/>
            <rFont val="Tahoma"/>
            <family val="2"/>
          </rPr>
          <t xml:space="preserve">
2017e Sales
2016e $2.5B
-$62M store closures impact
+$25M 53rd week
Yields $$2.38B</t>
        </r>
      </text>
    </comment>
    <comment ref="H402" authorId="3">
      <text>
        <r>
          <rPr>
            <b/>
            <sz val="9"/>
            <color indexed="81"/>
            <rFont val="Tahoma"/>
            <family val="2"/>
          </rPr>
          <t>De Courreges, Edouard (Research):</t>
        </r>
        <r>
          <rPr>
            <sz val="9"/>
            <color indexed="81"/>
            <rFont val="Tahoma"/>
            <family val="2"/>
          </rPr>
          <t xml:space="preserve">
+1 from calendar shift</t>
        </r>
      </text>
    </comment>
    <comment ref="H405" authorId="3">
      <text>
        <r>
          <rPr>
            <b/>
            <sz val="9"/>
            <color indexed="81"/>
            <rFont val="Tahoma"/>
            <family val="2"/>
          </rPr>
          <t>De Courreges, Edouard (Research):</t>
        </r>
        <r>
          <rPr>
            <sz val="9"/>
            <color indexed="81"/>
            <rFont val="Tahoma"/>
            <family val="2"/>
          </rPr>
          <t xml:space="preserve">
-2 from calendar shift</t>
        </r>
      </text>
    </comment>
    <comment ref="H542" authorId="0">
      <text>
        <r>
          <rPr>
            <b/>
            <sz val="9"/>
            <color indexed="81"/>
            <rFont val="Tahoma"/>
            <family val="2"/>
          </rPr>
          <t>Turley, Amber (Research):</t>
        </r>
        <r>
          <rPr>
            <sz val="9"/>
            <color indexed="81"/>
            <rFont val="Tahoma"/>
            <family val="2"/>
          </rPr>
          <t xml:space="preserve">
Mse: estimate Gap experienced a 3% curerncy hit ($59M) based upon the following assumptions:
CAD$ fell 7% y/y, EURO fell 9% y/y, GBP fell 4% y/y, JPY fell 14% y/y and Canada makes up ~6% of revenue, UK ~10% of revenue (based on # of stores), Europe ~3% of revenue, Japan 13% of revenue, and China 9% of revenue </t>
        </r>
      </text>
    </comment>
    <comment ref="H546" authorId="0">
      <text>
        <r>
          <rPr>
            <b/>
            <sz val="9"/>
            <color indexed="81"/>
            <rFont val="Tahoma"/>
            <family val="2"/>
          </rPr>
          <t>Turley, Amber (Research):</t>
        </r>
        <r>
          <rPr>
            <sz val="9"/>
            <color indexed="81"/>
            <rFont val="Tahoma"/>
            <family val="2"/>
          </rPr>
          <t xml:space="preserve">
Mse: assume ~2% expansion growth + 1% athleta growth offset by  4% F/X hit based upon:
EURO falling 18% y/y, CAD falling 12% y/y, JPY falling 14% y/y, GBP falling 8% y/y, CNY falling 2% y/y. Assume Europe makes up 3% of revnue, CAD 6% of revenue, Japan 13% of revenue, UKL 10% of revenue (based on # of stores), CNY 9% of revenue</t>
        </r>
      </text>
    </comment>
    <comment ref="H547" authorId="0">
      <text>
        <r>
          <rPr>
            <b/>
            <sz val="9"/>
            <color indexed="81"/>
            <rFont val="Tahoma"/>
            <family val="2"/>
          </rPr>
          <t>Turley, Amber (Research):</t>
        </r>
        <r>
          <rPr>
            <sz val="9"/>
            <color indexed="81"/>
            <rFont val="Tahoma"/>
            <family val="2"/>
          </rPr>
          <t xml:space="preserve">
Mse: assume ~2% expansion growth, 1% athleta growth offset by 4% F/X hit based upon:
EURO falling 18% y/y, CAD falling 13% y/y, JPY falling 15% y/y, GBP falling 9% y/y, CNY falling 2% y/y. Assume Europe makes up 3% of revnue, CAD 6% of revenue, Japan 13% of revenue, UKL 10% of revenue (based on # of stores), CNY 9% of revenue</t>
        </r>
      </text>
    </comment>
    <comment ref="H549" authorId="0">
      <text>
        <r>
          <rPr>
            <b/>
            <sz val="9"/>
            <color indexed="81"/>
            <rFont val="Tahoma"/>
            <family val="2"/>
          </rPr>
          <t>Turley, Amber (Research):</t>
        </r>
        <r>
          <rPr>
            <sz val="9"/>
            <color indexed="81"/>
            <rFont val="Tahoma"/>
            <family val="2"/>
          </rPr>
          <t xml:space="preserve">
Mse: assume 2% expansiong growth + 1% athleta growth offset by ~1.5% F/X hit based upon:
EURO falling 9% y/y, CAD falling 8% y/y, JPY falling 1% y/y, GBP falling 2% y/y, CNY falling 4% y/y. Assume Europe makes up 3% of revnue, CAD 6% of revenue, Japan 13% of revenue, UKL 10% of revenue (based on # of stores), CNY 9% of revenue</t>
        </r>
      </text>
    </comment>
    <comment ref="H553" authorId="1">
      <text>
        <r>
          <rPr>
            <b/>
            <sz val="9"/>
            <color indexed="81"/>
            <rFont val="Tahoma"/>
            <family val="2"/>
          </rPr>
          <t>Baglione, Gregory  (Research):</t>
        </r>
        <r>
          <rPr>
            <sz val="9"/>
            <color indexed="81"/>
            <rFont val="Tahoma"/>
            <family val="2"/>
          </rPr>
          <t xml:space="preserve">
US ~60% of sales
Asia ~20% of sales 
Europe ~14% sales
Cad ~6% of sales
Assume negative store closures weigh on spread ~1% in 1Q/2Q, and flat thereafter in 3Q/4Q with modest store growth solely from international.
FX impact strongest in 1H16</t>
        </r>
      </text>
    </comment>
    <comment ref="H554" authorId="1">
      <text>
        <r>
          <rPr>
            <b/>
            <sz val="9"/>
            <color indexed="81"/>
            <rFont val="Tahoma"/>
            <family val="2"/>
          </rPr>
          <t>Baglione, Gregory  (Research):</t>
        </r>
        <r>
          <rPr>
            <sz val="9"/>
            <color indexed="81"/>
            <rFont val="Tahoma"/>
            <family val="2"/>
          </rPr>
          <t xml:space="preserve">
US ~60% of sales
Asia ~20% of sales 
Europe ~14% sales
Cad ~6% of sales
Assume negative store closures weigh on spread ~1% in 1Q/2Q, and flat thereafter in 3Q/4Q with modest store growth solely from international.
FX impact strongest in 1H16
5/19/16
FX Impact given percenteages above (and FX table not in model)
2Q: -0.4%
3Q: flat
4Q: +0.5% (CAD/EUR Strength)
Spread -3% from store closures -0.4% from FX=-3.5%.
Gap closed 82 NA Stores in 4Q15 or ~8% of stores. Assuming those stores carry sales ~50% chain average to get to spread impact, impiles roughly similar spread to 1Q15</t>
        </r>
      </text>
    </comment>
    <comment ref="H555" authorId="1">
      <text>
        <r>
          <rPr>
            <b/>
            <sz val="9"/>
            <color indexed="81"/>
            <rFont val="Tahoma"/>
            <family val="2"/>
          </rPr>
          <t>Baglione, Gregory  (Research):</t>
        </r>
        <r>
          <rPr>
            <sz val="9"/>
            <color indexed="81"/>
            <rFont val="Tahoma"/>
            <family val="2"/>
          </rPr>
          <t xml:space="preserve">
US ~60% of sales
Asia ~20% of sales 
Europe ~14% sales
Cad ~6% of sales
Assume negative store closures weigh on spread ~1% in 1Q/2Q, and flat thereafter in 3Q/4Q with modest store growth solely from international.
FX impact strongest in 1H16
5/19/16
FX Impact given percenteages above (and FX table not in model)
2Q: -0.4%
3Q: flat
4Q: +0.5% (CAD/EUR Strength)
Spread -3-4% from store closures 0% FX impact.
Gap closed 82 NA Stores in 4Q15 or ~8% of stores. Assuming those stores carry sales ~50% chain average to get to spread impact, impiles roughly similar spread to 1Q15
8/9/16: 
3Q/ 4Q spread update
FX Impact given percenteages above (and FX table not in model)
Yen strength drives major change +18% y/y
3Q: At prevailing FX  rates implies a +3.5% positive spread.We assume this is partially offset ~2% by the major store closures LY worth ~1-2%. Drives total spread ~1%
4Q: At prevailing FX  rates implies a +4% positive spread. We assume the close 20-25 more doors throughout 2016, worth ~0.5% to top-line. Produces +3% FX spread
8/16/16
Per management assume a similar spread to 2Q</t>
        </r>
      </text>
    </comment>
    <comment ref="H556" authorId="1">
      <text>
        <r>
          <rPr>
            <b/>
            <sz val="9"/>
            <color indexed="81"/>
            <rFont val="Tahoma"/>
            <family val="2"/>
          </rPr>
          <t>Baglione, Gregory  (Research):</t>
        </r>
        <r>
          <rPr>
            <sz val="9"/>
            <color indexed="81"/>
            <rFont val="Tahoma"/>
            <family val="2"/>
          </rPr>
          <t xml:space="preserve">
US ~60% of sales
Asia ~20% of sales 
Europe ~14% sales
Cad ~6% of sales
</t>
        </r>
        <r>
          <rPr>
            <b/>
            <sz val="9"/>
            <color indexed="81"/>
            <rFont val="Tahoma"/>
            <family val="2"/>
          </rPr>
          <t xml:space="preserve">8/9/16: </t>
        </r>
        <r>
          <rPr>
            <sz val="9"/>
            <color indexed="81"/>
            <rFont val="Tahoma"/>
            <family val="2"/>
          </rPr>
          <t xml:space="preserve">
3Q/ 4Q spread update
FX Impact given percenteages above (and FX table not in model)
Yen strength drives major change +18% y/y
3Q: At prevailing FX  rates implies a +3.5% positive spread.We assume this is partially offset ~2% by the major store closures LY worth ~1-2%. Drives total spread ~1%
4Q: At prevailing FX  rates implies a +4% positive spread. We assume the close 20-25 more doors throughout 2016, worth ~0.5% to top-line. Produces +3% FX spread
</t>
        </r>
      </text>
    </comment>
    <comment ref="F557" authorId="4">
      <text>
        <r>
          <rPr>
            <b/>
            <sz val="9"/>
            <color indexed="81"/>
            <rFont val="Tahoma"/>
            <family val="2"/>
          </rPr>
          <t>Baglione, Gregory (Research):</t>
        </r>
        <r>
          <rPr>
            <sz val="9"/>
            <color indexed="81"/>
            <rFont val="Tahoma"/>
            <family val="2"/>
          </rPr>
          <t xml:space="preserve">
11/17/16
FY16 Guidance
Regarding other guidance metrics, we expect the negative impact from the fire at our distribution center to be just over 1 comp point in the fourth quarter. Similar to Q3, the impact will be highest at Gap brand and lowest at Old Navy. Regarding square footage, we now expect to end the year down 3%, a reduction from our earlier guidance of down 2% driven by additional Gap store closures.</t>
        </r>
      </text>
    </comment>
    <comment ref="S560" authorId="2">
      <text>
        <r>
          <rPr>
            <b/>
            <sz val="9"/>
            <color indexed="81"/>
            <rFont val="Tahoma"/>
            <family val="2"/>
          </rPr>
          <t>Cassel, Lauren (Research):</t>
        </r>
        <r>
          <rPr>
            <sz val="9"/>
            <color indexed="81"/>
            <rFont val="Tahoma"/>
            <family val="2"/>
          </rPr>
          <t xml:space="preserve">
$668 US, $77 Canada, $133 Europe, $250 Europe, $30 Other</t>
        </r>
      </text>
    </comment>
    <comment ref="F561" authorId="2">
      <text>
        <r>
          <rPr>
            <b/>
            <sz val="9"/>
            <color indexed="81"/>
            <rFont val="Tahoma"/>
            <family val="2"/>
          </rPr>
          <t>Cassel, Lauren (Research):</t>
        </r>
        <r>
          <rPr>
            <sz val="9"/>
            <color indexed="81"/>
            <rFont val="Tahoma"/>
            <family val="2"/>
          </rPr>
          <t xml:space="preserve">
Gap: driven by improved product acceptance resulting in positive AUR; -LSD traffic</t>
        </r>
      </text>
    </comment>
    <comment ref="S561" authorId="2">
      <text>
        <r>
          <rPr>
            <b/>
            <sz val="9"/>
            <color indexed="81"/>
            <rFont val="Tahoma"/>
            <family val="2"/>
          </rPr>
          <t>Cassel, Lauren (Research):</t>
        </r>
        <r>
          <rPr>
            <sz val="9"/>
            <color indexed="81"/>
            <rFont val="Tahoma"/>
            <family val="2"/>
          </rPr>
          <t xml:space="preserve">
719 US
91 Canada
148 Europe
252 Asia
22 Other</t>
        </r>
      </text>
    </comment>
    <comment ref="F562" authorId="3">
      <text>
        <r>
          <rPr>
            <b/>
            <sz val="9"/>
            <color indexed="81"/>
            <rFont val="Tahoma"/>
            <family val="2"/>
          </rPr>
          <t>De Courreges, Edouard (Research):</t>
        </r>
        <r>
          <rPr>
            <sz val="9"/>
            <color indexed="81"/>
            <rFont val="Tahoma"/>
            <family val="2"/>
          </rPr>
          <t xml:space="preserve">
</t>
        </r>
      </text>
    </comment>
    <comment ref="H563" authorId="3">
      <text>
        <r>
          <rPr>
            <b/>
            <sz val="9"/>
            <color indexed="81"/>
            <rFont val="Tahoma"/>
            <family val="2"/>
          </rPr>
          <t>De Courreges, Edouard (Research):</t>
        </r>
        <r>
          <rPr>
            <sz val="9"/>
            <color indexed="81"/>
            <rFont val="Tahoma"/>
            <family val="2"/>
          </rPr>
          <t xml:space="preserve">
-.2 from incremental store closures</t>
        </r>
      </text>
    </comment>
    <comment ref="H564" authorId="4">
      <text>
        <r>
          <rPr>
            <b/>
            <sz val="9"/>
            <color indexed="81"/>
            <rFont val="Tahoma"/>
            <family val="2"/>
          </rPr>
          <t>Baglione, Gregory (Research):</t>
        </r>
        <r>
          <rPr>
            <sz val="9"/>
            <color indexed="81"/>
            <rFont val="Tahoma"/>
            <family val="2"/>
          </rPr>
          <t xml:space="preserve">
53rd week ~1% sales spread, partially offset by 0.3% headwind from closures
Yields $5.4B</t>
        </r>
      </text>
    </comment>
    <comment ref="H567" authorId="3">
      <text>
        <r>
          <rPr>
            <b/>
            <sz val="9"/>
            <color indexed="81"/>
            <rFont val="Tahoma"/>
            <family val="2"/>
          </rPr>
          <t>De Courreges, Edouard (Research):</t>
        </r>
        <r>
          <rPr>
            <sz val="9"/>
            <color indexed="81"/>
            <rFont val="Tahoma"/>
            <family val="2"/>
          </rPr>
          <t xml:space="preserve">
+1 from calendar shift</t>
        </r>
      </text>
    </comment>
    <comment ref="H570" authorId="3">
      <text>
        <r>
          <rPr>
            <b/>
            <sz val="9"/>
            <color indexed="81"/>
            <rFont val="Tahoma"/>
            <family val="2"/>
          </rPr>
          <t>De Courreges, Edouard (Research):</t>
        </r>
        <r>
          <rPr>
            <sz val="9"/>
            <color indexed="81"/>
            <rFont val="Tahoma"/>
            <family val="2"/>
          </rPr>
          <t xml:space="preserve">
-2 from calendar shift</t>
        </r>
      </text>
    </comment>
  </commentList>
</comments>
</file>

<file path=xl/comments4.xml><?xml version="1.0" encoding="utf-8"?>
<comments xmlns="http://schemas.openxmlformats.org/spreadsheetml/2006/main">
  <authors>
    <author>turleamb</author>
    <author>mm98285</author>
    <author>SB</author>
    <author>Lehman Brothers</author>
    <author>lehman</author>
    <author>Melissa Sefl</author>
    <author>De Courreges, Edouard (Research)</author>
    <author>kg51925</author>
    <author>oc48540</author>
    <author>nicholjs</author>
    <author>TI23070</author>
    <author>sancfa</author>
    <author>solejay</author>
    <author>P Kahng</author>
    <author>Turley, Amber (Research)</author>
    <author>casselau</author>
    <author>Mains, Spencer (Research)</author>
    <author>Baglione, Gregory  (Research)</author>
  </authors>
  <commentList>
    <comment ref="H6" authorId="0">
      <text>
        <r>
          <rPr>
            <b/>
            <sz val="8"/>
            <color indexed="81"/>
            <rFont val="Tahoma"/>
            <family val="2"/>
          </rPr>
          <t>turleamb:</t>
        </r>
        <r>
          <rPr>
            <sz val="8"/>
            <color indexed="81"/>
            <rFont val="Tahoma"/>
            <family val="2"/>
          </rPr>
          <t xml:space="preserve">
reflects franchise sales in addition to expansion, Piperlime online and Intermix; only item captured here that isnt captured within the brand sales is Piperlime online and intermix</t>
        </r>
      </text>
    </comment>
    <comment ref="F7" authorId="0">
      <text>
        <r>
          <rPr>
            <b/>
            <sz val="8"/>
            <color indexed="81"/>
            <rFont val="Tahoma"/>
            <family val="2"/>
          </rPr>
          <t>turleamb:</t>
        </r>
        <r>
          <rPr>
            <sz val="8"/>
            <color indexed="81"/>
            <rFont val="Tahoma"/>
            <family val="2"/>
          </rPr>
          <t xml:space="preserve">
Only Company-operated stores are included in the calculations of Comp sales. Gap and Banana Republic outlet Comp sales are reflected within the respective results of each global brand. The calculation of total Company Comp sales includes the results of Athleta stores and online and the Piperlime store, but excludes the results of our franchise business, Piperlime online, and Intermix. 
</t>
        </r>
      </text>
    </comment>
    <comment ref="D8" authorId="0">
      <text>
        <r>
          <rPr>
            <b/>
            <sz val="8"/>
            <color indexed="81"/>
            <rFont val="Tahoma"/>
            <family val="2"/>
          </rPr>
          <t>turleamb:</t>
        </r>
        <r>
          <rPr>
            <sz val="8"/>
            <color indexed="81"/>
            <rFont val="Tahoma"/>
            <family val="2"/>
          </rPr>
          <t xml:space="preserve">
total comp includes Piperlime and Athleta store comps in addition to Gap, BR and ON</t>
        </r>
      </text>
    </comment>
    <comment ref="AU8" authorId="1">
      <text>
        <r>
          <rPr>
            <b/>
            <sz val="8"/>
            <color indexed="81"/>
            <rFont val="Tahoma"/>
            <family val="2"/>
          </rPr>
          <t xml:space="preserve">casselau:
</t>
        </r>
        <r>
          <rPr>
            <sz val="8"/>
            <color indexed="81"/>
            <rFont val="Tahoma"/>
            <family val="2"/>
          </rPr>
          <t xml:space="preserve">includes Piperlime and Athelta (franchise and wholesale included in Gap Brand)
</t>
        </r>
      </text>
    </comment>
    <comment ref="BL8" authorId="0">
      <text>
        <r>
          <rPr>
            <b/>
            <sz val="8"/>
            <color indexed="81"/>
            <rFont val="Tahoma"/>
            <family val="2"/>
          </rPr>
          <t>turleamb:</t>
        </r>
        <r>
          <rPr>
            <sz val="8"/>
            <color indexed="81"/>
            <rFont val="Tahoma"/>
            <family val="2"/>
          </rPr>
          <t xml:space="preserve">
Net sales outside of US and Canada (including Direct and Franchise)</t>
        </r>
      </text>
    </comment>
    <comment ref="J85" authorId="2">
      <text>
        <r>
          <rPr>
            <b/>
            <sz val="8"/>
            <color indexed="81"/>
            <rFont val="Tahoma"/>
            <family val="2"/>
          </rPr>
          <t>SB:</t>
        </r>
        <r>
          <rPr>
            <sz val="8"/>
            <color indexed="81"/>
            <rFont val="Tahoma"/>
            <family val="2"/>
          </rPr>
          <t xml:space="preserve">
This number reflects old store count methodology</t>
        </r>
      </text>
    </comment>
    <comment ref="F99" authorId="3">
      <text>
        <r>
          <rPr>
            <sz val="8"/>
            <color indexed="81"/>
            <rFont val="Tahoma"/>
            <family val="2"/>
          </rPr>
          <t xml:space="preserve">
+6</t>
        </r>
      </text>
    </comment>
    <comment ref="T99" authorId="3">
      <text>
        <r>
          <rPr>
            <sz val="8"/>
            <color indexed="81"/>
            <rFont val="Tahoma"/>
            <family val="2"/>
          </rPr>
          <t xml:space="preserve">
4456.4</t>
        </r>
      </text>
    </comment>
    <comment ref="F103" authorId="4">
      <text>
        <r>
          <rPr>
            <sz val="8"/>
            <color indexed="81"/>
            <rFont val="Tahoma"/>
            <family val="2"/>
          </rPr>
          <t xml:space="preserve">
4/10 raised from +8 given March</t>
        </r>
      </text>
    </comment>
    <comment ref="F104" authorId="4">
      <text>
        <r>
          <rPr>
            <sz val="8"/>
            <color indexed="81"/>
            <rFont val="Tahoma"/>
            <family val="2"/>
          </rPr>
          <t xml:space="preserve">
6/5 had +5, raised based on may
7/7 had +6, raised after mth end check
7/10 had +8
+9</t>
        </r>
      </text>
    </comment>
    <comment ref="H104" authorId="4">
      <text>
        <r>
          <rPr>
            <sz val="8"/>
            <color indexed="81"/>
            <rFont val="Tahoma"/>
            <family val="2"/>
          </rPr>
          <t xml:space="preserve">
3.5</t>
        </r>
      </text>
    </comment>
    <comment ref="F105" authorId="4">
      <text>
        <r>
          <rPr>
            <sz val="8"/>
            <color indexed="81"/>
            <rFont val="Tahoma"/>
            <family val="2"/>
          </rPr>
          <t xml:space="preserve">
9/4 lowered from +5 given august
10/9 raised from +3.8 due to strong sept
had +6.5</t>
        </r>
      </text>
    </comment>
    <comment ref="T105" authorId="4">
      <text>
        <r>
          <rPr>
            <sz val="8"/>
            <color indexed="81"/>
            <rFont val="Tahoma"/>
            <family val="2"/>
          </rPr>
          <t xml:space="preserve">
3936.6</t>
        </r>
      </text>
    </comment>
    <comment ref="F106" authorId="4">
      <text>
        <r>
          <rPr>
            <sz val="8"/>
            <color indexed="81"/>
            <rFont val="Tahoma"/>
            <family val="2"/>
          </rPr>
          <t xml:space="preserve">
1/8 had +3.4, lowering to 2% due to below exp dec</t>
        </r>
      </text>
    </comment>
    <comment ref="F110" authorId="4">
      <text>
        <r>
          <rPr>
            <sz val="8"/>
            <color indexed="81"/>
            <rFont val="Tahoma"/>
            <family val="2"/>
          </rPr>
          <t xml:space="preserve">
3/4/04 raised to 5 following strong Feb
4/8/04 raised to 8 from 5 after march</t>
        </r>
      </text>
    </comment>
    <comment ref="F111" authorId="4">
      <text>
        <r>
          <rPr>
            <sz val="8"/>
            <color indexed="81"/>
            <rFont val="Tahoma"/>
            <family val="2"/>
          </rPr>
          <t xml:space="preserve">
6/3 raised to 3 from 2 following strong May
7/8 Lowered to 2 again following June sales</t>
        </r>
      </text>
    </comment>
    <comment ref="F112" authorId="5">
      <text>
        <r>
          <rPr>
            <b/>
            <sz val="8"/>
            <color indexed="81"/>
            <rFont val="Tahoma"/>
            <family val="2"/>
          </rPr>
          <t>MS:</t>
        </r>
        <r>
          <rPr>
            <sz val="8"/>
            <color indexed="81"/>
            <rFont val="Tahoma"/>
            <family val="2"/>
          </rPr>
          <t xml:space="preserve">
10/7 lowered to -1 from 0.3 after Sept -3</t>
        </r>
      </text>
    </comment>
    <comment ref="F113" authorId="2">
      <text>
        <r>
          <rPr>
            <b/>
            <sz val="8"/>
            <color indexed="81"/>
            <rFont val="Tahoma"/>
            <family val="2"/>
          </rPr>
          <t>SB:</t>
        </r>
        <r>
          <rPr>
            <sz val="8"/>
            <color indexed="81"/>
            <rFont val="Tahoma"/>
            <family val="2"/>
          </rPr>
          <t xml:space="preserve">
12/2 had +1.5% est</t>
        </r>
      </text>
    </comment>
    <comment ref="AT125" authorId="6">
      <text>
        <r>
          <rPr>
            <b/>
            <sz val="9"/>
            <color indexed="81"/>
            <rFont val="Tahoma"/>
            <family val="2"/>
          </rPr>
          <t>De Courreges, Edouard (Research):</t>
        </r>
        <r>
          <rPr>
            <sz val="9"/>
            <color indexed="81"/>
            <rFont val="Tahoma"/>
            <family val="2"/>
          </rPr>
          <t xml:space="preserve">
restated from 6</t>
        </r>
      </text>
    </comment>
    <comment ref="AT126" authorId="6">
      <text>
        <r>
          <rPr>
            <b/>
            <sz val="9"/>
            <color indexed="81"/>
            <rFont val="Tahoma"/>
            <family val="2"/>
          </rPr>
          <t>De Courreges, Edouard (Research):</t>
        </r>
        <r>
          <rPr>
            <sz val="9"/>
            <color indexed="81"/>
            <rFont val="Tahoma"/>
            <family val="2"/>
          </rPr>
          <t xml:space="preserve">
Franchises
restated from 15, prior</t>
        </r>
      </text>
    </comment>
    <comment ref="AU126" authorId="6">
      <text>
        <r>
          <rPr>
            <b/>
            <sz val="9"/>
            <color indexed="81"/>
            <rFont val="Tahoma"/>
            <family val="2"/>
          </rPr>
          <t>De Courreges, Edouard (Research):</t>
        </r>
        <r>
          <rPr>
            <sz val="9"/>
            <color indexed="81"/>
            <rFont val="Tahoma"/>
            <family val="2"/>
          </rPr>
          <t xml:space="preserve">
Piperlime as of Oct 2006
</t>
        </r>
      </text>
    </comment>
    <comment ref="H127" authorId="7">
      <text>
        <r>
          <rPr>
            <b/>
            <sz val="8"/>
            <color indexed="81"/>
            <rFont val="Tahoma"/>
            <family val="2"/>
          </rPr>
          <t>kg51925:</t>
        </r>
        <r>
          <rPr>
            <sz val="8"/>
            <color indexed="81"/>
            <rFont val="Tahoma"/>
            <family val="2"/>
          </rPr>
          <t xml:space="preserve">
8.3.06 boosted to 9.0% from 5.0% to account for the extra week of sales in Jan 07 estimated at $200mm</t>
        </r>
      </text>
    </comment>
    <comment ref="F132" authorId="8">
      <text>
        <r>
          <rPr>
            <b/>
            <sz val="8"/>
            <color indexed="81"/>
            <rFont val="Tahoma"/>
            <family val="2"/>
          </rPr>
          <t>oc48540:</t>
        </r>
        <r>
          <rPr>
            <sz val="8"/>
            <color indexed="81"/>
            <rFont val="Tahoma"/>
            <family val="2"/>
          </rPr>
          <t xml:space="preserve">
We est -5%</t>
        </r>
      </text>
    </comment>
    <comment ref="BB132" authorId="8">
      <text>
        <r>
          <rPr>
            <b/>
            <sz val="8"/>
            <color indexed="81"/>
            <rFont val="Tahoma"/>
            <family val="2"/>
          </rPr>
          <t>oc48540:</t>
        </r>
        <r>
          <rPr>
            <sz val="8"/>
            <color indexed="81"/>
            <rFont val="Tahoma"/>
            <family val="2"/>
          </rPr>
          <t xml:space="preserve">
~70mm = Direct?</t>
        </r>
      </text>
    </comment>
    <comment ref="BD132" authorId="8">
      <text>
        <r>
          <rPr>
            <b/>
            <sz val="8"/>
            <color indexed="81"/>
            <rFont val="Tahoma"/>
            <family val="2"/>
          </rPr>
          <t>oc48540:</t>
        </r>
        <r>
          <rPr>
            <sz val="8"/>
            <color indexed="81"/>
            <rFont val="Tahoma"/>
            <family val="2"/>
          </rPr>
          <t xml:space="preserve">
~25mm = direct?</t>
        </r>
      </text>
    </comment>
    <comment ref="BE132" authorId="8">
      <text>
        <r>
          <rPr>
            <b/>
            <sz val="8"/>
            <color indexed="81"/>
            <rFont val="Tahoma"/>
            <family val="2"/>
          </rPr>
          <t>oc48540:</t>
        </r>
        <r>
          <rPr>
            <sz val="8"/>
            <color indexed="81"/>
            <rFont val="Tahoma"/>
            <family val="2"/>
          </rPr>
          <t xml:space="preserve">
~77mm = direct</t>
        </r>
      </text>
    </comment>
    <comment ref="H134" authorId="1">
      <text>
        <r>
          <rPr>
            <b/>
            <sz val="8"/>
            <color indexed="81"/>
            <rFont val="Tahoma"/>
            <family val="2"/>
          </rPr>
          <t>mm98285:</t>
        </r>
        <r>
          <rPr>
            <sz val="8"/>
            <color indexed="81"/>
            <rFont val="Tahoma"/>
            <family val="2"/>
          </rPr>
          <t xml:space="preserve">
1/07: lowered to +1 from +5 to account for extra week in 4Q06 (~-$150-$200m)</t>
        </r>
      </text>
    </comment>
    <comment ref="H139" authorId="8">
      <text>
        <r>
          <rPr>
            <sz val="8"/>
            <color indexed="81"/>
            <rFont val="Tahoma"/>
            <family val="2"/>
          </rPr>
          <t>2Q08: 
The 5 percentage point difference between net sales and comparable store sales includes the impact of new stores, foreign exchange, and an 11 percent increase in online sales in the second quarter of fiscal 2008 from the prior year comparable period. Overall, our store square footage increased 1 percent in the second quarter of fiscal 2008 from the prior year comparable period and sales productivity was $82 per average square foot for the second quarter of fiscal 2008 compared with $89 per average square foot for the prior year comparable period. During the second quarter of fiscal 2008, we opened 22 new stores and
closed 29 stores.</t>
        </r>
      </text>
    </comment>
    <comment ref="BP139" authorId="8">
      <text>
        <r>
          <rPr>
            <b/>
            <sz val="8"/>
            <color indexed="81"/>
            <rFont val="Tahoma"/>
            <family val="2"/>
          </rPr>
          <t>oc48540:</t>
        </r>
        <r>
          <rPr>
            <sz val="8"/>
            <color indexed="81"/>
            <rFont val="Tahoma"/>
            <family val="2"/>
          </rPr>
          <t xml:space="preserve">
Online sales growth of +11%.</t>
        </r>
      </text>
    </comment>
    <comment ref="BM142" authorId="0">
      <text>
        <r>
          <rPr>
            <b/>
            <sz val="9"/>
            <color indexed="81"/>
            <rFont val="Tahoma"/>
            <family val="2"/>
          </rPr>
          <t>turleamb:</t>
        </r>
        <r>
          <rPr>
            <sz val="9"/>
            <color indexed="81"/>
            <rFont val="Tahoma"/>
            <family val="2"/>
          </rPr>
          <t xml:space="preserve">
estimate based on 2014 investor Day CFO slide indicating in 2008 19% of sales came from outlets (assuming franchise ~$75m)</t>
        </r>
      </text>
    </comment>
    <comment ref="BY142" authorId="9">
      <text>
        <r>
          <rPr>
            <b/>
            <sz val="8"/>
            <color indexed="81"/>
            <rFont val="Tahoma"/>
            <family val="2"/>
          </rPr>
          <t>nicholjs:</t>
        </r>
        <r>
          <rPr>
            <sz val="8"/>
            <color indexed="81"/>
            <rFont val="Tahoma"/>
            <family val="2"/>
          </rPr>
          <t xml:space="preserve">
includes $40mm corporate expense</t>
        </r>
      </text>
    </comment>
    <comment ref="BP146" authorId="10">
      <text>
        <r>
          <rPr>
            <b/>
            <sz val="8"/>
            <color indexed="81"/>
            <rFont val="Tahoma"/>
            <family val="2"/>
          </rPr>
          <t>TI23070:</t>
        </r>
        <r>
          <rPr>
            <sz val="8"/>
            <color indexed="81"/>
            <rFont val="Tahoma"/>
            <family val="2"/>
          </rPr>
          <t xml:space="preserve">
+17% direct/web sales</t>
        </r>
      </text>
    </comment>
    <comment ref="J148" authorId="10">
      <text>
        <r>
          <rPr>
            <b/>
            <sz val="8"/>
            <color indexed="81"/>
            <rFont val="Tahoma"/>
            <family val="2"/>
          </rPr>
          <t>TI23070:</t>
        </r>
        <r>
          <rPr>
            <sz val="8"/>
            <color indexed="81"/>
            <rFont val="Tahoma"/>
            <family val="2"/>
          </rPr>
          <t xml:space="preserve">
8/09: For FY09, the company expects to open about 50 stores and close about 100 stores. Square footage is expected to decrease -2% for FY09.</t>
        </r>
      </text>
    </comment>
    <comment ref="BY149" authorId="9">
      <text>
        <r>
          <rPr>
            <b/>
            <sz val="8"/>
            <color indexed="81"/>
            <rFont val="Tahoma"/>
            <family val="2"/>
          </rPr>
          <t>nicholjs:</t>
        </r>
        <r>
          <rPr>
            <sz val="8"/>
            <color indexed="81"/>
            <rFont val="Tahoma"/>
            <family val="2"/>
          </rPr>
          <t xml:space="preserve">
includes $47mm corporate expense</t>
        </r>
      </text>
    </comment>
    <comment ref="J155" authorId="10">
      <text>
        <r>
          <rPr>
            <b/>
            <sz val="8"/>
            <color indexed="81"/>
            <rFont val="Tahoma"/>
            <family val="2"/>
          </rPr>
          <t>TI23070:</t>
        </r>
        <r>
          <rPr>
            <sz val="8"/>
            <color indexed="81"/>
            <rFont val="Tahoma"/>
            <family val="2"/>
          </rPr>
          <t xml:space="preserve">
2/25/10: ~65 openings and ~110 closings for the FY10</t>
        </r>
      </text>
    </comment>
    <comment ref="BP155" authorId="9">
      <text>
        <r>
          <rPr>
            <b/>
            <sz val="8"/>
            <color indexed="81"/>
            <rFont val="Tahoma"/>
            <family val="2"/>
          </rPr>
          <t>nicholjs:</t>
        </r>
        <r>
          <rPr>
            <sz val="8"/>
            <color indexed="81"/>
            <rFont val="Tahoma"/>
            <family val="2"/>
          </rPr>
          <t xml:space="preserve">
1/2011: direct very strong, offered free shipping in Dec </t>
        </r>
      </text>
    </comment>
    <comment ref="T156" authorId="9">
      <text>
        <r>
          <rPr>
            <b/>
            <sz val="8"/>
            <color indexed="81"/>
            <rFont val="Tahoma"/>
            <family val="2"/>
          </rPr>
          <t>nicholjs:</t>
        </r>
        <r>
          <rPr>
            <sz val="8"/>
            <color indexed="81"/>
            <rFont val="Tahoma"/>
            <family val="2"/>
          </rPr>
          <t xml:space="preserve">
For the Stores reportable segment, our net sales for fiscal 2010 increased $286 million, or 2 percent, compared with fiscal 2009. The increase was primarily due to an increase in net sales at new international stores, an increase in comparable store sales of 1%, and the favorable impact of foreign exchange of $116 million. The foreign exchange impact is the translation impact if net sales for fiscal 2009 were translated at fiscal 2010 exchange rates.</t>
        </r>
      </text>
    </comment>
    <comment ref="BH156" authorId="0">
      <text>
        <r>
          <rPr>
            <b/>
            <sz val="8"/>
            <color indexed="81"/>
            <rFont val="Tahoma"/>
            <family val="2"/>
          </rPr>
          <t>turleamb:</t>
        </r>
        <r>
          <rPr>
            <sz val="8"/>
            <color indexed="81"/>
            <rFont val="Tahoma"/>
            <family val="2"/>
          </rPr>
          <t xml:space="preserve">
10-k: ($171 million for Gap and $24 million for Banana Republic)</t>
        </r>
      </text>
    </comment>
    <comment ref="BP156" authorId="9">
      <text>
        <r>
          <rPr>
            <b/>
            <sz val="8"/>
            <color indexed="81"/>
            <rFont val="Tahoma"/>
            <family val="2"/>
          </rPr>
          <t>nicholjs:</t>
        </r>
        <r>
          <rPr>
            <sz val="8"/>
            <color indexed="81"/>
            <rFont val="Tahoma"/>
            <family val="2"/>
          </rPr>
          <t xml:space="preserve">
For the Direct reportable segment, our net sales for fiscal 2010 increased $181 million, or 16 percent, compared with fiscal 2009. The increase was due to the growth in our
online business across all brands, primarily Old Navy, Piperlime, and Athleta, and due to the introduction of international online sales in fiscal 2010.
In August 2010, began selling products online to customers in select countries outside the U.S. utilizing  own logistics and fulfillment capabilities. For fiscal 2010, there was $42 million of online sales that were shipped from distribution centers located outside the U.S. For fiscal 2009 and 2008, there were no amounts related to online sales that were shipped from distribution centers located outside the U.S.</t>
        </r>
      </text>
    </comment>
    <comment ref="BY156" authorId="9">
      <text>
        <r>
          <rPr>
            <b/>
            <sz val="8"/>
            <color indexed="81"/>
            <rFont val="Tahoma"/>
            <family val="2"/>
          </rPr>
          <t>nicholjs:</t>
        </r>
        <r>
          <rPr>
            <sz val="8"/>
            <color indexed="81"/>
            <rFont val="Tahoma"/>
            <family val="2"/>
          </rPr>
          <t xml:space="preserve">
includes $46mm corporate expense</t>
        </r>
      </text>
    </comment>
    <comment ref="AY159" authorId="9">
      <text>
        <r>
          <rPr>
            <b/>
            <sz val="8"/>
            <color indexed="81"/>
            <rFont val="Tahoma"/>
            <family val="2"/>
          </rPr>
          <t>nicholjs:</t>
        </r>
        <r>
          <rPr>
            <sz val="8"/>
            <color indexed="81"/>
            <rFont val="Tahoma"/>
            <family val="2"/>
          </rPr>
          <t xml:space="preserve">
total company sales less total sales by brand less "other" including Piperlime, Athleta and wholesale businesses</t>
        </r>
      </text>
    </comment>
    <comment ref="BH159" authorId="0">
      <text>
        <r>
          <rPr>
            <b/>
            <sz val="8"/>
            <color indexed="81"/>
            <rFont val="Tahoma"/>
            <family val="2"/>
          </rPr>
          <t>turleamb:</t>
        </r>
        <r>
          <rPr>
            <sz val="8"/>
            <color indexed="81"/>
            <rFont val="Tahoma"/>
            <family val="2"/>
          </rPr>
          <t xml:space="preserve">
10-q: ($53 million for Gap and $7 million for Banana Republic)</t>
        </r>
      </text>
    </comment>
    <comment ref="BO159" authorId="11">
      <text>
        <r>
          <rPr>
            <b/>
            <sz val="8"/>
            <color indexed="81"/>
            <rFont val="Tahoma"/>
            <family val="2"/>
          </rPr>
          <t>sancfa:</t>
        </r>
        <r>
          <rPr>
            <sz val="8"/>
            <color indexed="81"/>
            <rFont val="Tahoma"/>
            <family val="2"/>
          </rPr>
          <t xml:space="preserve">
In July 2010, began selling products online to customers in select countries outside the US using a US based third party that provides provides logistics and fulfillment services. In August 2010, we began selling products online to customers in select countries outside the U.S. utilizing our own logistics and fulfillment capabilities. For the thirteen weeks ended April 30, 2011, there was $26 million of online sales that were shipped from distribution centers located outside the U.S. For the thirteen weeks ended May 1, 2010, there were no amounts related to online sales that were shipped from distribution centers located outside the
U.S.
E-comm boosted 1Q comp by 2% (reported comp:  total: +8%, Gap NA: +2%, Intl: -1%, BR: +11%, ON +14%)</t>
        </r>
      </text>
    </comment>
    <comment ref="BP159" authorId="9">
      <text>
        <r>
          <rPr>
            <b/>
            <sz val="8"/>
            <color indexed="81"/>
            <rFont val="Tahoma"/>
            <family val="2"/>
          </rPr>
          <t>nicholjs:</t>
        </r>
        <r>
          <rPr>
            <sz val="8"/>
            <color indexed="81"/>
            <rFont val="Tahoma"/>
            <family val="2"/>
          </rPr>
          <t xml:space="preserve">
increase due to growth in online business across all brands and incremental sales related to introduction of international online sales in August 2010
2/2011: online now shipping to 90 countries from just one 6 months ago</t>
        </r>
      </text>
    </comment>
    <comment ref="BH160" authorId="0">
      <text>
        <r>
          <rPr>
            <b/>
            <sz val="8"/>
            <color indexed="81"/>
            <rFont val="Tahoma"/>
            <family val="2"/>
          </rPr>
          <t>turleamb:</t>
        </r>
        <r>
          <rPr>
            <sz val="8"/>
            <color indexed="81"/>
            <rFont val="Tahoma"/>
            <family val="2"/>
          </rPr>
          <t xml:space="preserve">
10-q: ($55 million for Gap and $9 million for Banana Republic)</t>
        </r>
      </text>
    </comment>
    <comment ref="BP160" authorId="9">
      <text>
        <r>
          <rPr>
            <b/>
            <sz val="8"/>
            <color indexed="81"/>
            <rFont val="Tahoma"/>
            <family val="2"/>
          </rPr>
          <t>nicholjs:</t>
        </r>
        <r>
          <rPr>
            <sz val="8"/>
            <color indexed="81"/>
            <rFont val="Tahoma"/>
            <family val="2"/>
          </rPr>
          <t xml:space="preserve">
increase  due to growth in online business across all brands and the incremental sales related to the
introduction of international online sales in August 2010</t>
        </r>
      </text>
    </comment>
    <comment ref="BH161" authorId="0">
      <text>
        <r>
          <rPr>
            <b/>
            <sz val="8"/>
            <color indexed="81"/>
            <rFont val="Tahoma"/>
            <family val="2"/>
          </rPr>
          <t>turleamb:</t>
        </r>
        <r>
          <rPr>
            <sz val="8"/>
            <color indexed="81"/>
            <rFont val="Tahoma"/>
            <family val="2"/>
          </rPr>
          <t xml:space="preserve">
10-q: ($71 million for Gap and $10 million for Banana Republic)</t>
        </r>
      </text>
    </comment>
    <comment ref="BH163" authorId="0">
      <text>
        <r>
          <rPr>
            <b/>
            <sz val="8"/>
            <color indexed="81"/>
            <rFont val="Tahoma"/>
            <family val="2"/>
          </rPr>
          <t>turleamb:</t>
        </r>
        <r>
          <rPr>
            <sz val="8"/>
            <color indexed="81"/>
            <rFont val="Tahoma"/>
            <family val="2"/>
          </rPr>
          <t xml:space="preserve">
10-k: ($247 million for Gap and $36 million for Banana Republic)</t>
        </r>
      </text>
    </comment>
    <comment ref="AT166" authorId="6">
      <text>
        <r>
          <rPr>
            <b/>
            <sz val="9"/>
            <color indexed="81"/>
            <rFont val="Tahoma"/>
            <family val="2"/>
          </rPr>
          <t>De Courreges, Edouard (Research):</t>
        </r>
        <r>
          <rPr>
            <sz val="9"/>
            <color indexed="81"/>
            <rFont val="Tahoma"/>
            <family val="2"/>
          </rPr>
          <t xml:space="preserve">
Franchise, Piperlime, and Athleta</t>
        </r>
      </text>
    </comment>
    <comment ref="AU166" authorId="6">
      <text>
        <r>
          <rPr>
            <b/>
            <sz val="9"/>
            <color indexed="81"/>
            <rFont val="Tahoma"/>
            <family val="2"/>
          </rPr>
          <t>De Courreges, Edouard (Research):</t>
        </r>
        <r>
          <rPr>
            <sz val="9"/>
            <color indexed="81"/>
            <rFont val="Tahoma"/>
            <family val="2"/>
          </rPr>
          <t xml:space="preserve">
Athleta and Piperlime</t>
        </r>
      </text>
    </comment>
    <comment ref="AY166" authorId="9">
      <text>
        <r>
          <rPr>
            <b/>
            <sz val="8"/>
            <color indexed="81"/>
            <rFont val="Tahoma"/>
            <family val="2"/>
          </rPr>
          <t>nicholjs:</t>
        </r>
        <r>
          <rPr>
            <sz val="8"/>
            <color indexed="81"/>
            <rFont val="Tahoma"/>
            <family val="2"/>
          </rPr>
          <t xml:space="preserve">
total company sales less total sales by brand less "other" including Piperlime, Athleta and wholesale businesses</t>
        </r>
      </text>
    </comment>
    <comment ref="BH166" authorId="0">
      <text>
        <r>
          <rPr>
            <b/>
            <sz val="8"/>
            <color indexed="81"/>
            <rFont val="Tahoma"/>
            <family val="2"/>
          </rPr>
          <t>turleamb:</t>
        </r>
        <r>
          <rPr>
            <sz val="8"/>
            <color indexed="81"/>
            <rFont val="Tahoma"/>
            <family val="2"/>
          </rPr>
          <t xml:space="preserve">
10-q: ($69 million for Gap and $9 million for Banana Republic)</t>
        </r>
      </text>
    </comment>
    <comment ref="BO166" authorId="12">
      <text>
        <r>
          <rPr>
            <b/>
            <sz val="8"/>
            <color indexed="81"/>
            <rFont val="Tahoma"/>
            <family val="2"/>
          </rPr>
          <t xml:space="preserve">solejay: 
</t>
        </r>
        <r>
          <rPr>
            <sz val="8"/>
            <color indexed="81"/>
            <rFont val="Tahoma"/>
            <family val="2"/>
          </rPr>
          <t xml:space="preserve">Online sales shipped from distribution centers located outside the U.S. were $34 million ($22 million for Canada and $12 million for Europe) and $26 million ($18 million for Canada and $8 million for Europe) for the thirteen weeks ended April 28, 2012 and April 30, 2011, respectively.
</t>
        </r>
      </text>
    </comment>
    <comment ref="H167" authorId="13">
      <text>
        <r>
          <rPr>
            <b/>
            <sz val="8"/>
            <color indexed="81"/>
            <rFont val="Tahoma"/>
            <family val="2"/>
          </rPr>
          <t>P Kahng:</t>
        </r>
        <r>
          <rPr>
            <sz val="8"/>
            <color indexed="81"/>
            <rFont val="Tahoma"/>
            <family val="2"/>
          </rPr>
          <t xml:space="preserve">
8/2/12: adjusted down to hit $3.58B reported on RSD</t>
        </r>
      </text>
    </comment>
    <comment ref="BH167" authorId="0">
      <text>
        <r>
          <rPr>
            <b/>
            <sz val="8"/>
            <color indexed="81"/>
            <rFont val="Tahoma"/>
            <family val="2"/>
          </rPr>
          <t>turleamb:</t>
        </r>
        <r>
          <rPr>
            <sz val="8"/>
            <color indexed="81"/>
            <rFont val="Tahoma"/>
            <family val="2"/>
          </rPr>
          <t xml:space="preserve">
10-q: ($70 million for Gap and $10 million for Banana Republic)</t>
        </r>
      </text>
    </comment>
    <comment ref="BO167" authorId="12">
      <text>
        <r>
          <rPr>
            <b/>
            <sz val="8"/>
            <color indexed="81"/>
            <rFont val="Tahoma"/>
            <family val="2"/>
          </rPr>
          <t>solejay:</t>
        </r>
        <r>
          <rPr>
            <sz val="8"/>
            <color indexed="81"/>
            <rFont val="Tahoma"/>
            <family val="2"/>
          </rPr>
          <t xml:space="preserve">
Online sales shipped from distribution centers located outside the U.S. were $30 million ($21 million for Canada and $9 million for Europe) and $24 million ($16 million for Canada and $8 million for Europe) for the thirteen weeks ended July 28, 2012 and July 30, 2011, respectively.</t>
        </r>
      </text>
    </comment>
    <comment ref="BH168" authorId="0">
      <text>
        <r>
          <rPr>
            <b/>
            <sz val="8"/>
            <color indexed="81"/>
            <rFont val="Tahoma"/>
            <family val="2"/>
          </rPr>
          <t>turleamb:</t>
        </r>
        <r>
          <rPr>
            <sz val="8"/>
            <color indexed="81"/>
            <rFont val="Tahoma"/>
            <family val="2"/>
          </rPr>
          <t xml:space="preserve">
10-q: ($78 million for Gap and $12 million for Banana Republic). 
Net sales outside of the U.S. and Canada (including Direct and franchise) were $564 million and $525 million for the thirteen weeks ended October 27, 2012 and October 29, 2011, respectively.</t>
        </r>
      </text>
    </comment>
    <comment ref="BO168" authorId="0">
      <text>
        <r>
          <rPr>
            <b/>
            <sz val="8"/>
            <color indexed="81"/>
            <rFont val="Tahoma"/>
            <family val="2"/>
          </rPr>
          <t>turleamb:</t>
        </r>
        <r>
          <rPr>
            <sz val="8"/>
            <color indexed="81"/>
            <rFont val="Tahoma"/>
            <family val="2"/>
          </rPr>
          <t xml:space="preserve">
10-q: Online sales shipped from distribution centers located outside the U.S. were $44 million ($33 million for Canada and $11 million for Europe) and $34 million ($24 million for Canada and $10 million for Europe) for the thirteen weeks ended October 27, 2012 and October 29, 2011, respectively. Online sales shipped from distribution centers located outside the U.S. were $108 million ($76 million for Canada and $32 million for Europe) and $84 million ($58 million for Canada and $26 million for Europe) for the thirty-nine weeks ended October 27, 2012 and October 29, 2011, respectively.</t>
        </r>
      </text>
    </comment>
    <comment ref="H169" authorId="12">
      <text>
        <r>
          <rPr>
            <b/>
            <sz val="8"/>
            <color indexed="81"/>
            <rFont val="Tahoma"/>
            <family val="2"/>
          </rPr>
          <t>solejay:</t>
        </r>
        <r>
          <rPr>
            <sz val="8"/>
            <color indexed="81"/>
            <rFont val="Tahoma"/>
            <family val="2"/>
          </rPr>
          <t xml:space="preserve">
Add 5.72 to account for the 53rd week.</t>
        </r>
      </text>
    </comment>
    <comment ref="AU169" authorId="14">
      <text>
        <r>
          <rPr>
            <b/>
            <sz val="9"/>
            <color indexed="81"/>
            <rFont val="Tahoma"/>
            <family val="2"/>
          </rPr>
          <t>Turley, Amber (Research):</t>
        </r>
        <r>
          <rPr>
            <sz val="9"/>
            <color indexed="81"/>
            <rFont val="Tahoma"/>
            <family val="2"/>
          </rPr>
          <t xml:space="preserve">
Intermix acquired and has ~$130m in sales per year per
http://online.wsj.com/news/articles/SB10001424127887323689604578218041584954854</t>
        </r>
      </text>
    </comment>
    <comment ref="AY169" authorId="12">
      <text>
        <r>
          <rPr>
            <b/>
            <sz val="8"/>
            <color indexed="81"/>
            <rFont val="Tahoma"/>
            <family val="2"/>
          </rPr>
          <t>solejay:</t>
        </r>
        <r>
          <rPr>
            <sz val="8"/>
            <color indexed="81"/>
            <rFont val="Tahoma"/>
            <family val="2"/>
          </rPr>
          <t xml:space="preserve">
This number should be +250 to account for sales from the extra week</t>
        </r>
      </text>
    </comment>
    <comment ref="BH170" authorId="0">
      <text>
        <r>
          <rPr>
            <b/>
            <sz val="8"/>
            <color indexed="81"/>
            <rFont val="Tahoma"/>
            <family val="2"/>
          </rPr>
          <t>turleamb:</t>
        </r>
        <r>
          <rPr>
            <sz val="8"/>
            <color indexed="81"/>
            <rFont val="Tahoma"/>
            <family val="2"/>
          </rPr>
          <t xml:space="preserve">
10-K: $289 million for Gap and $42 million for Banana Republic</t>
        </r>
      </text>
    </comment>
    <comment ref="D171" authorId="12">
      <text>
        <r>
          <rPr>
            <b/>
            <sz val="8"/>
            <color indexed="81"/>
            <rFont val="Tahoma"/>
            <family val="2"/>
          </rPr>
          <t>solejay:</t>
        </r>
        <r>
          <rPr>
            <sz val="8"/>
            <color indexed="81"/>
            <rFont val="Tahoma"/>
            <family val="2"/>
          </rPr>
          <t xml:space="preserve">
Math for reversing 53rd week effect in 2013 sales</t>
        </r>
      </text>
    </comment>
    <comment ref="F171" authorId="12">
      <text>
        <r>
          <rPr>
            <b/>
            <sz val="8"/>
            <color indexed="81"/>
            <rFont val="Tahoma"/>
            <family val="2"/>
          </rPr>
          <t>solejay:</t>
        </r>
        <r>
          <rPr>
            <sz val="8"/>
            <color indexed="81"/>
            <rFont val="Tahoma"/>
            <family val="2"/>
          </rPr>
          <t xml:space="preserve">
Math for reversing 53rd week effect in 2013 sales</t>
        </r>
      </text>
    </comment>
    <comment ref="H171" authorId="12">
      <text>
        <r>
          <rPr>
            <b/>
            <sz val="8"/>
            <color indexed="81"/>
            <rFont val="Tahoma"/>
            <family val="2"/>
          </rPr>
          <t>solejay:</t>
        </r>
        <r>
          <rPr>
            <sz val="8"/>
            <color indexed="81"/>
            <rFont val="Tahoma"/>
            <family val="2"/>
          </rPr>
          <t xml:space="preserve">
Math for reversing 53rd week effect in 2013 sales</t>
        </r>
      </text>
    </comment>
    <comment ref="S171" authorId="12">
      <text>
        <r>
          <rPr>
            <b/>
            <sz val="8"/>
            <color indexed="81"/>
            <rFont val="Tahoma"/>
            <family val="2"/>
          </rPr>
          <t>solejay:</t>
        </r>
        <r>
          <rPr>
            <sz val="8"/>
            <color indexed="81"/>
            <rFont val="Tahoma"/>
            <family val="2"/>
          </rPr>
          <t xml:space="preserve">
Math for reversing 53rd week effect in 2013 sales</t>
        </r>
      </text>
    </comment>
    <comment ref="AU173" authorId="6">
      <text>
        <r>
          <rPr>
            <b/>
            <sz val="9"/>
            <color indexed="81"/>
            <rFont val="Tahoma"/>
            <family val="2"/>
          </rPr>
          <t>De Courreges, Edouard (Research):</t>
        </r>
        <r>
          <rPr>
            <sz val="9"/>
            <color indexed="81"/>
            <rFont val="Tahoma"/>
            <family val="2"/>
          </rPr>
          <t xml:space="preserve">
Piperlime, Athleta, and Intermix
</t>
        </r>
      </text>
    </comment>
    <comment ref="BO173" authorId="12">
      <text>
        <r>
          <rPr>
            <b/>
            <sz val="8"/>
            <color indexed="81"/>
            <rFont val="Tahoma"/>
            <family val="2"/>
          </rPr>
          <t>solejay:</t>
        </r>
        <r>
          <rPr>
            <sz val="8"/>
            <color indexed="81"/>
            <rFont val="Tahoma"/>
            <family val="2"/>
          </rPr>
          <t xml:space="preserve">
Total online sales were $509 million and $402 million for the thirteen weeks ended May 4, 2013
and April 28, 2012, respectively</t>
        </r>
      </text>
    </comment>
    <comment ref="D174" authorId="0">
      <text>
        <r>
          <rPr>
            <b/>
            <sz val="8"/>
            <color indexed="81"/>
            <rFont val="Tahoma"/>
            <family val="2"/>
          </rPr>
          <t>turleamb:</t>
        </r>
        <r>
          <rPr>
            <sz val="8"/>
            <color indexed="81"/>
            <rFont val="Tahoma"/>
            <family val="2"/>
          </rPr>
          <t xml:space="preserve">
10% on a constant currency basis
eComm + 27%</t>
        </r>
      </text>
    </comment>
    <comment ref="D175" authorId="0">
      <text>
        <r>
          <rPr>
            <b/>
            <sz val="8"/>
            <color indexed="81"/>
            <rFont val="Tahoma"/>
            <family val="2"/>
          </rPr>
          <t>turleamb:</t>
        </r>
        <r>
          <rPr>
            <sz val="8"/>
            <color indexed="81"/>
            <rFont val="Tahoma"/>
            <family val="2"/>
          </rPr>
          <t xml:space="preserve">
11/21/13: +5%CC (weaker Yen impacted)</t>
        </r>
      </text>
    </comment>
    <comment ref="BO175" authorId="0">
      <text>
        <r>
          <rPr>
            <b/>
            <sz val="8"/>
            <color indexed="81"/>
            <rFont val="Tahoma"/>
            <family val="2"/>
          </rPr>
          <t>turleamb:</t>
        </r>
        <r>
          <rPr>
            <sz val="8"/>
            <color indexed="81"/>
            <rFont val="Tahoma"/>
            <family val="2"/>
          </rPr>
          <t xml:space="preserve">
Total online sales were $589m</t>
        </r>
      </text>
    </comment>
    <comment ref="H176" authorId="0">
      <text>
        <r>
          <rPr>
            <b/>
            <sz val="8"/>
            <color indexed="81"/>
            <rFont val="Tahoma"/>
            <family val="2"/>
          </rPr>
          <t>turleamb:</t>
        </r>
        <r>
          <rPr>
            <sz val="8"/>
            <color indexed="81"/>
            <rFont val="Tahoma"/>
            <family val="2"/>
          </rPr>
          <t xml:space="preserve">
assumng the weaker yen impacts 4Q as well</t>
        </r>
      </text>
    </comment>
    <comment ref="BO176" authorId="0">
      <text>
        <r>
          <rPr>
            <b/>
            <sz val="8"/>
            <color indexed="81"/>
            <rFont val="Tahoma"/>
            <family val="2"/>
          </rPr>
          <t>turleamb:</t>
        </r>
        <r>
          <rPr>
            <sz val="8"/>
            <color indexed="81"/>
            <rFont val="Tahoma"/>
            <family val="2"/>
          </rPr>
          <t xml:space="preserve">
mix shift to online --gained 2% penetration now have 14% sales from online</t>
        </r>
      </text>
    </comment>
    <comment ref="BM177" authorId="0">
      <text>
        <r>
          <rPr>
            <b/>
            <sz val="9"/>
            <color indexed="81"/>
            <rFont val="Tahoma"/>
            <family val="2"/>
          </rPr>
          <t>turleamb:</t>
        </r>
        <r>
          <rPr>
            <sz val="9"/>
            <color indexed="81"/>
            <rFont val="Tahoma"/>
            <family val="2"/>
          </rPr>
          <t xml:space="preserve">
2014 Investor Day CFO presentation: 31% of revenue comes from franchise, outlets and online</t>
        </r>
      </text>
    </comment>
    <comment ref="BO177" authorId="0">
      <text>
        <r>
          <rPr>
            <b/>
            <sz val="9"/>
            <color indexed="81"/>
            <rFont val="Tahoma"/>
            <family val="2"/>
          </rPr>
          <t>turleamb:</t>
        </r>
        <r>
          <rPr>
            <sz val="9"/>
            <color indexed="81"/>
            <rFont val="Tahoma"/>
            <family val="2"/>
          </rPr>
          <t xml:space="preserve">
2014 Investor Day: eComm grew 21% to $2.3B and now comprises 14% of sales</t>
        </r>
      </text>
    </comment>
    <comment ref="BQ177" authorId="0">
      <text>
        <r>
          <rPr>
            <b/>
            <sz val="9"/>
            <color indexed="81"/>
            <rFont val="Tahoma"/>
            <family val="2"/>
          </rPr>
          <t>turleamb:</t>
        </r>
        <r>
          <rPr>
            <sz val="9"/>
            <color indexed="81"/>
            <rFont val="Tahoma"/>
            <family val="2"/>
          </rPr>
          <t xml:space="preserve">
2014 Investor Day: NA achieved 16% penetration, Intl reached 4% penetration across channels but since Outlets aren't online, penetration of eComm to specialty store sales is even higher</t>
        </r>
      </text>
    </comment>
    <comment ref="BO180" authorId="0">
      <text>
        <r>
          <rPr>
            <b/>
            <sz val="9"/>
            <color indexed="81"/>
            <rFont val="Tahoma"/>
            <family val="2"/>
          </rPr>
          <t>turleamb:</t>
        </r>
        <r>
          <rPr>
            <sz val="9"/>
            <color indexed="81"/>
            <rFont val="Tahoma"/>
            <family val="2"/>
          </rPr>
          <t xml:space="preserve">
5/21/14: Total online sales increased 13% to $575m</t>
        </r>
      </text>
    </comment>
    <comment ref="BO182" authorId="14">
      <text>
        <r>
          <rPr>
            <b/>
            <sz val="9"/>
            <color indexed="81"/>
            <rFont val="Tahoma"/>
            <family val="2"/>
          </rPr>
          <t>Turley, Amber (Research):</t>
        </r>
        <r>
          <rPr>
            <sz val="9"/>
            <color indexed="81"/>
            <rFont val="Tahoma"/>
            <family val="2"/>
          </rPr>
          <t xml:space="preserve">
online sales $621M</t>
        </r>
      </text>
    </comment>
    <comment ref="AU183" authorId="14">
      <text>
        <r>
          <rPr>
            <b/>
            <sz val="9"/>
            <color indexed="81"/>
            <rFont val="Tahoma"/>
            <family val="2"/>
          </rPr>
          <t>Turley, Amber (Research):</t>
        </r>
        <r>
          <rPr>
            <sz val="9"/>
            <color indexed="81"/>
            <rFont val="Tahoma"/>
            <family val="2"/>
          </rPr>
          <t xml:space="preserve">
</t>
        </r>
      </text>
    </comment>
    <comment ref="BO187" authorId="15">
      <text>
        <r>
          <rPr>
            <b/>
            <sz val="9"/>
            <color indexed="81"/>
            <rFont val="Tahoma"/>
            <family val="2"/>
          </rPr>
          <t>casselau:</t>
        </r>
        <r>
          <rPr>
            <sz val="9"/>
            <color indexed="81"/>
            <rFont val="Tahoma"/>
            <family val="2"/>
          </rPr>
          <t xml:space="preserve">
driven by ports as well </t>
        </r>
      </text>
    </comment>
    <comment ref="Y194" authorId="6">
      <text>
        <r>
          <rPr>
            <b/>
            <sz val="9"/>
            <color indexed="81"/>
            <rFont val="Tahoma"/>
            <family val="2"/>
          </rPr>
          <t>De Courreges, Edouard (Research):</t>
        </r>
        <r>
          <rPr>
            <sz val="9"/>
            <color indexed="81"/>
            <rFont val="Tahoma"/>
            <family val="2"/>
          </rPr>
          <t xml:space="preserve">
includes eCommerce starting in 2016</t>
        </r>
      </text>
    </comment>
    <comment ref="BO196" authorId="16">
      <text>
        <r>
          <rPr>
            <b/>
            <sz val="9"/>
            <color indexed="81"/>
            <rFont val="Tahoma"/>
            <family val="2"/>
          </rPr>
          <t>Mains, Spencer (Research):</t>
        </r>
        <r>
          <rPr>
            <sz val="9"/>
            <color indexed="81"/>
            <rFont val="Tahoma"/>
            <family val="2"/>
          </rPr>
          <t xml:space="preserve">
11/19/15: Total online sales increased to $635M for 3Q15 compared with $621M in 3Q14</t>
        </r>
      </text>
    </comment>
    <comment ref="L198" authorId="17">
      <text>
        <r>
          <rPr>
            <b/>
            <sz val="9"/>
            <color indexed="81"/>
            <rFont val="Tahoma"/>
            <family val="2"/>
          </rPr>
          <t>Baglione, Gregory  (Research):</t>
        </r>
        <r>
          <rPr>
            <sz val="9"/>
            <color indexed="81"/>
            <rFont val="Tahoma"/>
            <family val="2"/>
          </rPr>
          <t xml:space="preserve">
2/25/16
We expect to add 40 net new stores with square footage to remain about flat. In line with our strategy, openings will be focused on China, Outlet, and Athleta, while closures will be continued to be weighted toward Gap brand.</t>
        </r>
      </text>
    </comment>
    <comment ref="H204" authorId="6">
      <text>
        <r>
          <rPr>
            <b/>
            <sz val="9"/>
            <color indexed="81"/>
            <rFont val="Tahoma"/>
            <family val="2"/>
          </rPr>
          <t>De Courreges, Edouard (Research):</t>
        </r>
        <r>
          <rPr>
            <sz val="9"/>
            <color indexed="81"/>
            <rFont val="Tahoma"/>
            <family val="2"/>
          </rPr>
          <t xml:space="preserve">
spread "largely due" to 53rd week
</t>
        </r>
      </text>
    </comment>
  </commentList>
</comments>
</file>

<file path=xl/comments5.xml><?xml version="1.0" encoding="utf-8"?>
<comments xmlns="http://schemas.openxmlformats.org/spreadsheetml/2006/main">
  <authors>
    <author>turleamb</author>
    <author>oc48540</author>
    <author>nicholjs</author>
    <author>Mains, Spencer (Research)</author>
    <author>Baglione, Gregory  (Research)</author>
    <author>Cassel, Lauren (Research)</author>
    <author>De Courreges, Edouard (Research)</author>
    <author>P Kahng</author>
    <author>Turley, Amber (Research)</author>
    <author>Morry Brown</author>
    <author>mm98285</author>
    <author>OC48540</author>
    <author>antons</author>
    <author>Roberts, Cynthia (Research)</author>
    <author>Lehman Brothers</author>
    <author>Corinna Freedman</author>
    <author>solejay</author>
    <author>Baglione, Gregory (Research)</author>
    <author>lehman</author>
    <author>Melissa Sefl</author>
    <author>Kimberly Greenberger</author>
    <author>kg51925</author>
    <author>ti23070</author>
    <author>sancfa</author>
    <author>casselau</author>
    <author>MS</author>
    <author>ns66486</author>
    <author>kimberlg</author>
    <author>TI23070</author>
    <author>MB33100</author>
    <author>kgreenbe</author>
    <author>KG51925</author>
    <author>yc63845</author>
    <author>SB</author>
  </authors>
  <commentList>
    <comment ref="CT6" authorId="0">
      <text>
        <r>
          <rPr>
            <b/>
            <sz val="8"/>
            <color indexed="81"/>
            <rFont val="Tahoma"/>
            <family val="2"/>
          </rPr>
          <t>turleamb:</t>
        </r>
        <r>
          <rPr>
            <sz val="8"/>
            <color indexed="81"/>
            <rFont val="Tahoma"/>
            <family val="2"/>
          </rPr>
          <t xml:space="preserve">
~14% of sales from online and ~18% of sales from intl. </t>
        </r>
      </text>
    </comment>
    <comment ref="CV6" authorId="0">
      <text>
        <r>
          <rPr>
            <b/>
            <sz val="8"/>
            <color indexed="81"/>
            <rFont val="Tahoma"/>
            <family val="2"/>
          </rPr>
          <t>turleamb:</t>
        </r>
        <r>
          <rPr>
            <sz val="8"/>
            <color indexed="81"/>
            <rFont val="Tahoma"/>
            <family val="2"/>
          </rPr>
          <t xml:space="preserve">
The calculation of total Company Comp sales includes the results of Athleta stores and online and the Piperlime store, but excludes the results of our franchise business, Piperlime online, and Intermix.</t>
        </r>
      </text>
    </comment>
    <comment ref="CY6" authorId="0">
      <text>
        <r>
          <rPr>
            <b/>
            <sz val="9"/>
            <color indexed="81"/>
            <rFont val="Tahoma"/>
            <family val="2"/>
          </rPr>
          <t>turleamb:</t>
        </r>
        <r>
          <rPr>
            <sz val="9"/>
            <color indexed="81"/>
            <rFont val="Tahoma"/>
            <family val="2"/>
          </rPr>
          <t xml:space="preserve">
Our business and financial priorities for fiscal 2014 are as follows:
•
grow sales;
•
manage our expenses in a disciplined manner;
•
deliver earnings per share growth; and
•
return excess cash to shareholders.
In addition to increasing sales within our existing business, we also plan to grow revenues through our newer brands, channels, and geographies, including the following:
•
growing global online sales, driven by continued investments in our omni-channel capabilities;
•
opening additional stores in Asia with a focus on Gap China, Old Navy China, and Old Navy Japan;
•
expanding our global outlet presence;
•
opening additional Athleta stores; and
•
continuing to expand our franchise presence worldwide</t>
        </r>
      </text>
    </comment>
    <comment ref="BR10" authorId="1">
      <text>
        <r>
          <rPr>
            <b/>
            <sz val="8"/>
            <color indexed="81"/>
            <rFont val="Tahoma"/>
            <family val="2"/>
          </rPr>
          <t>oc48540:</t>
        </r>
        <r>
          <rPr>
            <sz val="8"/>
            <color indexed="81"/>
            <rFont val="Tahoma"/>
            <family val="2"/>
          </rPr>
          <t xml:space="preserve">
$3441.4 before taking out F&amp;T</t>
        </r>
      </text>
    </comment>
    <comment ref="CJ10" authorId="2">
      <text>
        <r>
          <rPr>
            <b/>
            <sz val="8"/>
            <color indexed="81"/>
            <rFont val="Tahoma"/>
            <family val="2"/>
          </rPr>
          <t>nicholjs:</t>
        </r>
        <r>
          <rPr>
            <sz val="8"/>
            <color indexed="81"/>
            <rFont val="Tahoma"/>
            <family val="2"/>
          </rPr>
          <t xml:space="preserve">
+5% including e-comm</t>
        </r>
      </text>
    </comment>
    <comment ref="CN10" authorId="2">
      <text>
        <r>
          <rPr>
            <b/>
            <sz val="8"/>
            <color indexed="81"/>
            <rFont val="Tahoma"/>
            <family val="2"/>
          </rPr>
          <t>nicholjs:</t>
        </r>
        <r>
          <rPr>
            <sz val="8"/>
            <color indexed="81"/>
            <rFont val="Tahoma"/>
            <family val="2"/>
          </rPr>
          <t xml:space="preserve">
e-comm sales boosted comp by 2%, thus stores comps -5% in 1Q
includes favorable impact of F/X of $42mm </t>
        </r>
      </text>
    </comment>
    <comment ref="CX10" authorId="0">
      <text>
        <r>
          <rPr>
            <b/>
            <sz val="9"/>
            <color indexed="81"/>
            <rFont val="Tahoma"/>
            <family val="2"/>
          </rPr>
          <t>turleamb:</t>
        </r>
        <r>
          <rPr>
            <sz val="9"/>
            <color indexed="81"/>
            <rFont val="Tahoma"/>
            <family val="2"/>
          </rPr>
          <t xml:space="preserve">
5/21/14: F/X has a negative $20m impact</t>
        </r>
      </text>
    </comment>
    <comment ref="CY10" authorId="0">
      <text>
        <r>
          <rPr>
            <b/>
            <sz val="9"/>
            <color indexed="81"/>
            <rFont val="Tahoma"/>
            <family val="2"/>
          </rPr>
          <t>turleamb:</t>
        </r>
        <r>
          <rPr>
            <sz val="9"/>
            <color indexed="81"/>
            <rFont val="Tahoma"/>
            <family val="2"/>
          </rPr>
          <t xml:space="preserve">
+2% CC</t>
        </r>
      </text>
    </comment>
    <comment ref="DC10" authorId="3">
      <text>
        <r>
          <rPr>
            <b/>
            <sz val="9"/>
            <color indexed="81"/>
            <rFont val="Tahoma"/>
            <family val="2"/>
          </rPr>
          <t>Mains, Spencer (Research):</t>
        </r>
        <r>
          <rPr>
            <sz val="9"/>
            <color indexed="81"/>
            <rFont val="Tahoma"/>
            <family val="2"/>
          </rPr>
          <t xml:space="preserve">
5/11/15: constant currency -1% ($90mm impact)</t>
        </r>
      </text>
    </comment>
    <comment ref="DH10" authorId="4">
      <text>
        <r>
          <rPr>
            <b/>
            <sz val="9"/>
            <color indexed="81"/>
            <rFont val="Tahoma"/>
            <family val="2"/>
          </rPr>
          <t>Baglione, Gregory  (Research):</t>
        </r>
        <r>
          <rPr>
            <sz val="9"/>
            <color indexed="81"/>
            <rFont val="Tahoma"/>
            <family val="2"/>
          </rPr>
          <t xml:space="preserve">
5/9/16: Lowering comps to -5% from -3%
FX impacted sales by $20M</t>
        </r>
      </text>
    </comment>
    <comment ref="DK10" authorId="5">
      <text>
        <r>
          <rPr>
            <b/>
            <sz val="9"/>
            <color indexed="81"/>
            <rFont val="Tahoma"/>
            <family val="2"/>
          </rPr>
          <t>Cassel, Lauren (Research):</t>
        </r>
        <r>
          <rPr>
            <sz val="9"/>
            <color indexed="81"/>
            <rFont val="Tahoma"/>
            <family val="2"/>
          </rPr>
          <t xml:space="preserve">
5/18/17: FX negatively impacted the company's net sales by $11M</t>
        </r>
      </text>
    </comment>
    <comment ref="DL10" authorId="5">
      <text>
        <r>
          <rPr>
            <b/>
            <sz val="9"/>
            <color indexed="81"/>
            <rFont val="Tahoma"/>
            <family val="2"/>
          </rPr>
          <t>Cassel, Lauren (Research):</t>
        </r>
        <r>
          <rPr>
            <sz val="9"/>
            <color indexed="81"/>
            <rFont val="Tahoma"/>
            <family val="2"/>
          </rPr>
          <t xml:space="preserve">
5/18/17: AUR up at all brands</t>
        </r>
      </text>
    </comment>
    <comment ref="DP10" authorId="6">
      <text>
        <r>
          <rPr>
            <b/>
            <sz val="9"/>
            <color indexed="81"/>
            <rFont val="Tahoma"/>
            <family val="2"/>
          </rPr>
          <t>De Courreges, Edouard (Research):</t>
        </r>
        <r>
          <rPr>
            <sz val="9"/>
            <color indexed="81"/>
            <rFont val="Tahoma"/>
            <family val="2"/>
          </rPr>
          <t xml:space="preserve">
2/28/18: Expect benefit from calendar shift (MGMT)</t>
        </r>
      </text>
    </comment>
    <comment ref="BV11" authorId="1">
      <text>
        <r>
          <rPr>
            <b/>
            <sz val="8"/>
            <color indexed="81"/>
            <rFont val="Tahoma"/>
            <family val="2"/>
          </rPr>
          <t>oc48540:</t>
        </r>
        <r>
          <rPr>
            <sz val="8"/>
            <color indexed="81"/>
            <rFont val="Tahoma"/>
            <family val="2"/>
          </rPr>
          <t xml:space="preserve">
est $3,722.6</t>
        </r>
      </text>
    </comment>
    <comment ref="CN11" authorId="2">
      <text>
        <r>
          <rPr>
            <b/>
            <sz val="8"/>
            <color indexed="81"/>
            <rFont val="Tahoma"/>
            <family val="2"/>
          </rPr>
          <t>nicholjs:</t>
        </r>
        <r>
          <rPr>
            <sz val="8"/>
            <color indexed="81"/>
            <rFont val="Tahoma"/>
            <family val="2"/>
          </rPr>
          <t xml:space="preserve">
e-commerce positively impacted the comp by 2 points, or -4% stores only</t>
        </r>
      </text>
    </comment>
    <comment ref="CR11" authorId="7">
      <text>
        <r>
          <rPr>
            <b/>
            <sz val="8"/>
            <color indexed="81"/>
            <rFont val="Tahoma"/>
            <family val="2"/>
          </rPr>
          <t>P Kahng:</t>
        </r>
        <r>
          <rPr>
            <sz val="8"/>
            <color indexed="81"/>
            <rFont val="Tahoma"/>
            <family val="2"/>
          </rPr>
          <t xml:space="preserve">
8/2/12: est was 4%</t>
        </r>
      </text>
    </comment>
    <comment ref="CU11" authorId="0">
      <text>
        <r>
          <rPr>
            <b/>
            <sz val="8"/>
            <color indexed="81"/>
            <rFont val="Tahoma"/>
            <family val="2"/>
          </rPr>
          <t>turleamb:</t>
        </r>
        <r>
          <rPr>
            <sz val="8"/>
            <color indexed="81"/>
            <rFont val="Tahoma"/>
            <family val="2"/>
          </rPr>
          <t xml:space="preserve">
eComm + 27%</t>
        </r>
      </text>
    </comment>
    <comment ref="CX11" authorId="8">
      <text>
        <r>
          <rPr>
            <b/>
            <sz val="9"/>
            <color indexed="81"/>
            <rFont val="Tahoma"/>
            <family val="2"/>
          </rPr>
          <t>Turley, Amber (Research):</t>
        </r>
        <r>
          <rPr>
            <sz val="9"/>
            <color indexed="81"/>
            <rFont val="Tahoma"/>
            <family val="2"/>
          </rPr>
          <t xml:space="preserve">
8-21-14: F/X reduced sales by $1M</t>
        </r>
      </text>
    </comment>
    <comment ref="DC11" authorId="3">
      <text>
        <r>
          <rPr>
            <b/>
            <sz val="9"/>
            <color indexed="81"/>
            <rFont val="Tahoma"/>
            <family val="2"/>
          </rPr>
          <t>Mains, Spencer (Research):</t>
        </r>
        <r>
          <rPr>
            <sz val="9"/>
            <color indexed="81"/>
            <rFont val="Tahoma"/>
            <family val="2"/>
          </rPr>
          <t xml:space="preserve">
8/10/15: about flat on a constant currency basis (hurt sales by ~$100M)</t>
        </r>
      </text>
    </comment>
    <comment ref="DK11" authorId="5">
      <text>
        <r>
          <rPr>
            <b/>
            <sz val="9"/>
            <color indexed="81"/>
            <rFont val="Tahoma"/>
            <family val="2"/>
          </rPr>
          <t>Cassel, Lauren (Research):</t>
        </r>
        <r>
          <rPr>
            <sz val="9"/>
            <color indexed="81"/>
            <rFont val="Tahoma"/>
            <family val="2"/>
          </rPr>
          <t xml:space="preserve">
8/17/17: The translation of foreign currencies into U.S. dollars negatively impacted the company’s net sales for the second quarter of fiscal year 2017 by about $37 million or 1%; spread largely largely due to our international closures last year</t>
        </r>
      </text>
    </comment>
    <comment ref="DL11" authorId="5">
      <text>
        <r>
          <rPr>
            <b/>
            <sz val="9"/>
            <color indexed="81"/>
            <rFont val="Tahoma"/>
            <family val="2"/>
          </rPr>
          <t xml:space="preserve">Cassel, Lauren (Research):
8/17/17: </t>
        </r>
        <r>
          <rPr>
            <sz val="9"/>
            <color indexed="81"/>
            <rFont val="Tahoma"/>
            <family val="2"/>
          </rPr>
          <t>Old Navy driven by positive AUR and conversion and the brands traffic trends meaningfully outpaced industry metrics; Gap: driven by improved product acceptance resulting in positive AUR; traffic at Gap and Old Navy -LSD</t>
        </r>
      </text>
    </comment>
    <comment ref="BN12" authorId="9">
      <text>
        <r>
          <rPr>
            <b/>
            <sz val="8"/>
            <color indexed="81"/>
            <rFont val="Tahoma"/>
            <family val="2"/>
          </rPr>
          <t>Morry Brown:</t>
        </r>
        <r>
          <rPr>
            <sz val="8"/>
            <color indexed="81"/>
            <rFont val="Tahoma"/>
            <family val="2"/>
          </rPr>
          <t xml:space="preserve">
3816.8</t>
        </r>
      </text>
    </comment>
    <comment ref="BR12" authorId="1">
      <text>
        <r>
          <rPr>
            <b/>
            <sz val="8"/>
            <color indexed="81"/>
            <rFont val="Tahoma"/>
            <family val="2"/>
          </rPr>
          <t>oc48540:</t>
        </r>
        <r>
          <rPr>
            <sz val="8"/>
            <color indexed="81"/>
            <rFont val="Tahoma"/>
            <family val="2"/>
          </rPr>
          <t xml:space="preserve">
$3856.0 before taking out F&amp;T</t>
        </r>
      </text>
    </comment>
    <comment ref="BT12" authorId="10">
      <text>
        <r>
          <rPr>
            <b/>
            <sz val="8"/>
            <color indexed="81"/>
            <rFont val="Tahoma"/>
            <family val="2"/>
          </rPr>
          <t>mm98285:</t>
        </r>
        <r>
          <rPr>
            <sz val="8"/>
            <color indexed="81"/>
            <rFont val="Tahoma"/>
            <family val="2"/>
          </rPr>
          <t xml:space="preserve">
5/06: expect comps to turn modestly positive in 2H06</t>
        </r>
      </text>
    </comment>
    <comment ref="BV12" authorId="11">
      <text>
        <r>
          <rPr>
            <b/>
            <sz val="8"/>
            <color indexed="81"/>
            <rFont val="Tahoma"/>
            <family val="2"/>
          </rPr>
          <t>OC48540:</t>
        </r>
        <r>
          <rPr>
            <sz val="8"/>
            <color indexed="81"/>
            <rFont val="Tahoma"/>
            <family val="2"/>
          </rPr>
          <t xml:space="preserve">
We est $3,798.7</t>
        </r>
      </text>
    </comment>
    <comment ref="CR12" authorId="12">
      <text>
        <r>
          <rPr>
            <b/>
            <sz val="8"/>
            <color indexed="81"/>
            <rFont val="Tahoma"/>
            <family val="2"/>
          </rPr>
          <t>antons:</t>
        </r>
        <r>
          <rPr>
            <sz val="8"/>
            <color indexed="81"/>
            <rFont val="Tahoma"/>
            <family val="2"/>
          </rPr>
          <t xml:space="preserve">
From 3Q12 Conf Call- EVP &amp; CFO- Net sales were up 8% with comp sales up 6% - "...comparable sales were up 6% with all North American divisions continuing to post positive comps." (NA +7%, BR +6%, ON +9%, Int’l -3%). Comparable online sales favorably impacted total Company Comp sales by 2%</t>
        </r>
      </text>
    </comment>
    <comment ref="CT12" authorId="0">
      <text>
        <r>
          <rPr>
            <b/>
            <sz val="8"/>
            <color indexed="81"/>
            <rFont val="Tahoma"/>
            <family val="2"/>
          </rPr>
          <t>turleamb:</t>
        </r>
        <r>
          <rPr>
            <sz val="8"/>
            <color indexed="81"/>
            <rFont val="Tahoma"/>
            <family val="2"/>
          </rPr>
          <t xml:space="preserve">
11/21/13: translation of foreign revenues into dollars negatively impacted our reported sales by $61 million, primarily due to the weakening of the yen. YTD sales have been negatively impacted by $162 million or an average of $54 million per quarter due to the weaker Yen.</t>
        </r>
      </text>
    </comment>
    <comment ref="CU12" authorId="0">
      <text>
        <r>
          <rPr>
            <b/>
            <sz val="8"/>
            <color indexed="81"/>
            <rFont val="Tahoma"/>
            <family val="2"/>
          </rPr>
          <t>turleamb:</t>
        </r>
        <r>
          <rPr>
            <sz val="8"/>
            <color indexed="81"/>
            <rFont val="Tahoma"/>
            <family val="2"/>
          </rPr>
          <t xml:space="preserve">
+5% CC</t>
        </r>
      </text>
    </comment>
    <comment ref="CV12" authorId="0">
      <text>
        <r>
          <rPr>
            <b/>
            <sz val="8"/>
            <color indexed="81"/>
            <rFont val="Tahoma"/>
            <family val="2"/>
          </rPr>
          <t>turleamb:</t>
        </r>
        <r>
          <rPr>
            <sz val="8"/>
            <color indexed="81"/>
            <rFont val="Tahoma"/>
            <family val="2"/>
          </rPr>
          <t xml:space="preserve">
10-q: Comparable online sales favorably impacted total Company Comp sales by 4 percent</t>
        </r>
      </text>
    </comment>
    <comment ref="CX12" authorId="8">
      <text>
        <r>
          <rPr>
            <b/>
            <sz val="9"/>
            <color indexed="81"/>
            <rFont val="Tahoma"/>
            <family val="2"/>
          </rPr>
          <t>Turley, Amber (Research):</t>
        </r>
        <r>
          <rPr>
            <sz val="9"/>
            <color indexed="81"/>
            <rFont val="Tahoma"/>
            <family val="2"/>
          </rPr>
          <t xml:space="preserve">
11/20/14: F/X had a -$31M impact; 
Sales +1% CC</t>
        </r>
      </text>
    </comment>
    <comment ref="CY12" authorId="8">
      <text>
        <r>
          <rPr>
            <b/>
            <sz val="9"/>
            <color indexed="81"/>
            <rFont val="Tahoma"/>
            <family val="2"/>
          </rPr>
          <t>Turley, Amber (Research):</t>
        </r>
        <r>
          <rPr>
            <sz val="9"/>
            <color indexed="81"/>
            <rFont val="Tahoma"/>
            <family val="2"/>
          </rPr>
          <t xml:space="preserve">
+1% CC
MS note: Yen fell ~9% during 3Q and impacted sales $31M. Japan and Canada combined comprise ~12-13% of sales. </t>
        </r>
      </text>
    </comment>
    <comment ref="DC12" authorId="4">
      <text>
        <r>
          <rPr>
            <b/>
            <sz val="9"/>
            <color indexed="81"/>
            <rFont val="Tahoma"/>
            <family val="2"/>
          </rPr>
          <t>Baglione, Gregory  (Research):</t>
        </r>
        <r>
          <rPr>
            <sz val="9"/>
            <color indexed="81"/>
            <rFont val="Tahoma"/>
            <family val="2"/>
          </rPr>
          <t xml:space="preserve">
FX negatively imapcted sales by about $98 M, CC net sales would have been flat
</t>
        </r>
      </text>
    </comment>
    <comment ref="DF12" authorId="13">
      <text>
        <r>
          <rPr>
            <b/>
            <sz val="9"/>
            <color indexed="81"/>
            <rFont val="Tahoma"/>
            <family val="2"/>
          </rPr>
          <t>Roberts, Cynthia (Research):</t>
        </r>
        <r>
          <rPr>
            <sz val="9"/>
            <color indexed="81"/>
            <rFont val="Tahoma"/>
            <family val="2"/>
          </rPr>
          <t xml:space="preserve">
11/17/16
FX positive impact of approx $17mln
</t>
        </r>
      </text>
    </comment>
    <comment ref="DH12" authorId="4">
      <text>
        <r>
          <rPr>
            <b/>
            <sz val="9"/>
            <color indexed="81"/>
            <rFont val="Tahoma"/>
            <family val="2"/>
          </rPr>
          <t>Baglione, Gregory  (Research):</t>
        </r>
        <r>
          <rPr>
            <sz val="9"/>
            <color indexed="81"/>
            <rFont val="Tahoma"/>
            <family val="2"/>
          </rPr>
          <t xml:space="preserve">
10/7/16
Model a similar spread to 2Q
9/7/16
Lowering comp to -2.8% from -2.7% on comp model adjustments</t>
        </r>
      </text>
    </comment>
    <comment ref="DK12" authorId="6">
      <text>
        <r>
          <rPr>
            <b/>
            <sz val="9"/>
            <color indexed="81"/>
            <rFont val="Tahoma"/>
            <family val="2"/>
          </rPr>
          <t>De Courreges, Edouard (Research):</t>
        </r>
        <r>
          <rPr>
            <sz val="9"/>
            <color indexed="81"/>
            <rFont val="Tahoma"/>
            <family val="2"/>
          </rPr>
          <t xml:space="preserve">
as a result of Hurricanes Harvey, Irma and Maria, a combined total of 277 stores were closed for an average of approximately 6 days</t>
        </r>
      </text>
    </comment>
    <comment ref="DL12" authorId="6">
      <text>
        <r>
          <rPr>
            <b/>
            <sz val="9"/>
            <color indexed="81"/>
            <rFont val="Tahoma"/>
            <family val="2"/>
          </rPr>
          <t>De Courreges, Edouard (Research):</t>
        </r>
        <r>
          <rPr>
            <sz val="9"/>
            <color indexed="81"/>
            <rFont val="Tahoma"/>
            <family val="2"/>
          </rPr>
          <t xml:space="preserve">
all brands outpace industry traffic for the quarter. This marks the third consecutive quarter that Gap and Old Navy traffic
outpaced the industry. We attribute this strength to improved and more consistent advertising. Additionally, we were pleased to deliver our fourth
consecutive quarter of positive AUR</t>
        </r>
      </text>
    </comment>
    <comment ref="BB13" authorId="14">
      <text>
        <r>
          <rPr>
            <sz val="8"/>
            <color indexed="81"/>
            <rFont val="Tahoma"/>
            <family val="2"/>
          </rPr>
          <t xml:space="preserve">
4456.4</t>
        </r>
      </text>
    </comment>
    <comment ref="BD13" authorId="14">
      <text>
        <r>
          <rPr>
            <sz val="8"/>
            <color indexed="81"/>
            <rFont val="Tahoma"/>
            <family val="2"/>
          </rPr>
          <t xml:space="preserve">
+6</t>
        </r>
      </text>
    </comment>
    <comment ref="BJ13" authorId="15">
      <text>
        <r>
          <rPr>
            <b/>
            <sz val="8"/>
            <color indexed="81"/>
            <rFont val="Tahoma"/>
            <family val="2"/>
          </rPr>
          <t>Corinna Freedman:</t>
        </r>
        <r>
          <rPr>
            <sz val="8"/>
            <color indexed="81"/>
            <rFont val="Tahoma"/>
            <family val="2"/>
          </rPr>
          <t xml:space="preserve">
4959.6</t>
        </r>
      </text>
    </comment>
    <comment ref="BR13" authorId="1">
      <text>
        <r>
          <rPr>
            <b/>
            <sz val="8"/>
            <color indexed="81"/>
            <rFont val="Tahoma"/>
            <family val="2"/>
          </rPr>
          <t>oc48540:</t>
        </r>
        <r>
          <rPr>
            <sz val="8"/>
            <color indexed="81"/>
            <rFont val="Tahoma"/>
            <family val="2"/>
          </rPr>
          <t xml:space="preserve">
$4930 before stripping out F&amp;T</t>
        </r>
      </text>
    </comment>
    <comment ref="BT13" authorId="10">
      <text>
        <r>
          <rPr>
            <b/>
            <sz val="8"/>
            <color indexed="81"/>
            <rFont val="Tahoma"/>
            <family val="2"/>
          </rPr>
          <t>mm98285:</t>
        </r>
        <r>
          <rPr>
            <sz val="8"/>
            <color indexed="81"/>
            <rFont val="Tahoma"/>
            <family val="2"/>
          </rPr>
          <t xml:space="preserve">
5/06: expect comps to turn modestly positive in 2H06</t>
        </r>
      </text>
    </comment>
    <comment ref="CX13" authorId="8">
      <text>
        <r>
          <rPr>
            <b/>
            <sz val="9"/>
            <color indexed="81"/>
            <rFont val="Tahoma"/>
            <family val="2"/>
          </rPr>
          <t>Turley, Amber (Research):</t>
        </r>
        <r>
          <rPr>
            <sz val="9"/>
            <color indexed="81"/>
            <rFont val="Tahoma"/>
            <family val="2"/>
          </rPr>
          <t xml:space="preserve">
assumes that ex-F/X the comp to sales spread would be ~300 bps (similar to 3Q ex 1% hit to sales on weaker F/X)</t>
        </r>
      </text>
    </comment>
    <comment ref="CY13" authorId="8">
      <text>
        <r>
          <rPr>
            <b/>
            <sz val="9"/>
            <color indexed="81"/>
            <rFont val="Tahoma"/>
            <family val="2"/>
          </rPr>
          <t>Turley, Amber (Research):</t>
        </r>
        <r>
          <rPr>
            <sz val="9"/>
            <color indexed="81"/>
            <rFont val="Tahoma"/>
            <family val="2"/>
          </rPr>
          <t xml:space="preserve">
11/20/14: assumes current F/X rates continue. F/X likely to have a bigger negative impact on 4Q than 3Q. Japan/Canada combined 12-13% of sales and Yen has declined additional 13% y/y (as of 11/20) in 4Q</t>
        </r>
      </text>
    </comment>
    <comment ref="CZ13" authorId="8">
      <text>
        <r>
          <rPr>
            <b/>
            <sz val="9"/>
            <color indexed="81"/>
            <rFont val="Tahoma"/>
            <family val="2"/>
          </rPr>
          <t>Turley, Amber (Research):</t>
        </r>
        <r>
          <rPr>
            <sz val="9"/>
            <color indexed="81"/>
            <rFont val="Tahoma"/>
            <family val="2"/>
          </rPr>
          <t xml:space="preserve">
11/20/14: commentary from the call suggests guidance was predicated on YTD trends continuing. YTD comp weighted by quarter is -1%. </t>
        </r>
      </text>
    </comment>
    <comment ref="DB13" authorId="4">
      <text>
        <r>
          <rPr>
            <b/>
            <sz val="9"/>
            <color indexed="81"/>
            <rFont val="Tahoma"/>
            <family val="2"/>
          </rPr>
          <t>Baglione, Gregory  (Research):</t>
        </r>
        <r>
          <rPr>
            <sz val="9"/>
            <color indexed="81"/>
            <rFont val="Tahoma"/>
            <family val="2"/>
          </rPr>
          <t xml:space="preserve">
2/8/16
Sales release $4.39B sales</t>
        </r>
      </text>
    </comment>
    <comment ref="DD13" authorId="4">
      <text>
        <r>
          <rPr>
            <b/>
            <sz val="9"/>
            <color indexed="81"/>
            <rFont val="Tahoma"/>
            <family val="2"/>
          </rPr>
          <t>Baglione, Gregory  (Research):</t>
        </r>
        <r>
          <rPr>
            <sz val="9"/>
            <color indexed="81"/>
            <rFont val="Tahoma"/>
            <family val="2"/>
          </rPr>
          <t xml:space="preserve">
2/8/16
4Q Comp -7%</t>
        </r>
      </text>
    </comment>
    <comment ref="DF13" authorId="5">
      <text>
        <r>
          <rPr>
            <b/>
            <sz val="9"/>
            <color indexed="81"/>
            <rFont val="Tahoma"/>
            <family val="2"/>
          </rPr>
          <t>Cassel, Lauren (Research):</t>
        </r>
        <r>
          <rPr>
            <sz val="9"/>
            <color indexed="81"/>
            <rFont val="Tahoma"/>
            <family val="2"/>
          </rPr>
          <t xml:space="preserve">
2/23/17: FX negatively impacted net sales by $20M</t>
        </r>
      </text>
    </comment>
    <comment ref="DH13" authorId="4">
      <text>
        <r>
          <rPr>
            <b/>
            <sz val="9"/>
            <color indexed="81"/>
            <rFont val="Tahoma"/>
            <family val="2"/>
          </rPr>
          <t>Baglione, Gregory  (Research):</t>
        </r>
        <r>
          <rPr>
            <sz val="9"/>
            <color indexed="81"/>
            <rFont val="Tahoma"/>
            <family val="2"/>
          </rPr>
          <t xml:space="preserve">
12/1/16
Slightly adjusting our comp estimates, lowering ON and raising Gap/ BR slightly. Please see monthly sales tab for more color.
11/17/16
Management noted: "guidance: about </t>
        </r>
        <r>
          <rPr>
            <b/>
            <sz val="9"/>
            <color indexed="81"/>
            <rFont val="Tahoma"/>
            <family val="2"/>
          </rPr>
          <t>1 pt</t>
        </r>
        <r>
          <rPr>
            <sz val="9"/>
            <color indexed="81"/>
            <rFont val="Tahoma"/>
            <family val="2"/>
          </rPr>
          <t xml:space="preserve"> of comp negative impact from fishkill fire"
"Second, as Art mentioned, given that challenging traffic trends have continued, we are investing meaningfully in marketing across our portfolio
brands during the holiday season. We are not necessarily expecting an immediate payback from these investments, but consider them to be
important for the longer term health of the business."
-We model  4Qe -1.3% comp
</t>
        </r>
      </text>
    </comment>
    <comment ref="DK13" authorId="6">
      <text>
        <r>
          <rPr>
            <b/>
            <sz val="9"/>
            <color indexed="81"/>
            <rFont val="Tahoma"/>
            <family val="2"/>
          </rPr>
          <t>De Courreges, Edouard (Research):</t>
        </r>
        <r>
          <rPr>
            <sz val="9"/>
            <color indexed="81"/>
            <rFont val="Tahoma"/>
            <family val="2"/>
          </rPr>
          <t xml:space="preserve">
Positive spread due to the 53rd week; ROST called for +5-6 from spread to 53rd wk, store closures have a ~-2 impact to spread, thus ~~3-4 total</t>
        </r>
      </text>
    </comment>
    <comment ref="DP13" authorId="6">
      <text>
        <r>
          <rPr>
            <b/>
            <sz val="9"/>
            <color indexed="81"/>
            <rFont val="Tahoma"/>
            <family val="2"/>
          </rPr>
          <t>De Courreges, Edouard (Research):</t>
        </r>
        <r>
          <rPr>
            <sz val="9"/>
            <color indexed="81"/>
            <rFont val="Tahoma"/>
            <family val="2"/>
          </rPr>
          <t xml:space="preserve">
2/28/18: 2/28/18: Expect negative impact from calendar shift (MGMT)</t>
        </r>
      </text>
    </comment>
    <comment ref="CJ14" authorId="2">
      <text>
        <r>
          <rPr>
            <b/>
            <sz val="8"/>
            <color indexed="81"/>
            <rFont val="Tahoma"/>
            <family val="2"/>
          </rPr>
          <t>nicholjs:</t>
        </r>
        <r>
          <rPr>
            <sz val="8"/>
            <color indexed="81"/>
            <rFont val="Tahoma"/>
            <family val="2"/>
          </rPr>
          <t xml:space="preserve">
10K: comparable sales including the associated comparable online sales increased 2 percent for fiscal 2010.</t>
        </r>
      </text>
    </comment>
    <comment ref="CM14" authorId="16">
      <text>
        <r>
          <rPr>
            <b/>
            <sz val="8"/>
            <color indexed="81"/>
            <rFont val="Tahoma"/>
            <family val="2"/>
          </rPr>
          <t>2/23/2012:</t>
        </r>
        <r>
          <rPr>
            <sz val="8"/>
            <color indexed="81"/>
            <rFont val="Tahoma"/>
            <family val="2"/>
          </rPr>
          <t xml:space="preserve">
In fiscal year 2011, Gap Inc. improved its performance in a number of areas, including a 20 percent increase in net sales in its Direct division and a 45 percent net sales increase in its franchise business. The company now operates stores in 39 countries having entered eight new franchise markets in fiscal year 2011. Specific initiatives also began to gain steam, with 14 Gap stores in China, on the way to a total of about 45 stores by the end of fiscal year 2012, and 10 Athleta stores on the way to a total of 50 by the end of fiscal year 2013.
  * The International and Direct divisions together represented 26 percent of
    net sales for the year, indicating progress on the company’s stated goal
    of reaching 30 percent of net sales from these divisions by the end of
    2013.
  * Delivered higher Average Unit Retails throughout the year enabled by
    disciplined inventory management.</t>
        </r>
      </text>
    </comment>
    <comment ref="CN14" authorId="2">
      <text>
        <r>
          <rPr>
            <b/>
            <sz val="8"/>
            <color indexed="81"/>
            <rFont val="Tahoma"/>
            <family val="2"/>
          </rPr>
          <t>nicholjs:</t>
        </r>
        <r>
          <rPr>
            <sz val="8"/>
            <color indexed="81"/>
            <rFont val="Tahoma"/>
            <family val="2"/>
          </rPr>
          <t xml:space="preserve">
8/2011: still planning on total revenue growth.  Comp piece is challenging since they bought units down, but will aspire to that.
2/2011: will focus on delivering a modest full-year positive comp, total sales should grow in excess of the comp driven by global growth initiatives</t>
        </r>
      </text>
    </comment>
    <comment ref="CP14" authorId="0">
      <text>
        <r>
          <rPr>
            <b/>
            <sz val="9"/>
            <color indexed="81"/>
            <rFont val="Tahoma"/>
            <family val="2"/>
          </rPr>
          <t>turleamb:</t>
        </r>
        <r>
          <rPr>
            <sz val="9"/>
            <color indexed="81"/>
            <rFont val="Tahoma"/>
            <family val="2"/>
          </rPr>
          <t xml:space="preserve">
Weak Yen and Euro had a $43m negative impact</t>
        </r>
      </text>
    </comment>
    <comment ref="CQ14" authorId="16">
      <text>
        <r>
          <rPr>
            <sz val="8"/>
            <color indexed="81"/>
            <rFont val="Tahoma"/>
            <family val="2"/>
          </rPr>
          <t>5/17/2012: "...our framework for the year... includes the following. It's our objective to continue to drive modest top-line growth through the stabilization of our base business and a continuation of our global growth initiatives. At the same time, we plan to deliver healthy merchandise margins through better product acceptance, inventory discipline, and improved average unit costs.</t>
        </r>
      </text>
    </comment>
    <comment ref="CT14" authorId="0">
      <text>
        <r>
          <rPr>
            <b/>
            <sz val="8"/>
            <color indexed="81"/>
            <rFont val="Tahoma"/>
            <family val="2"/>
          </rPr>
          <t>turleamb:</t>
        </r>
        <r>
          <rPr>
            <sz val="8"/>
            <color indexed="81"/>
            <rFont val="Tahoma"/>
            <family val="2"/>
          </rPr>
          <t xml:space="preserve">
F/X had a $240m negative impact
2014 Investor Day: 31% of revenue is from outlet, franchise and online implying $2385 from outlets</t>
        </r>
      </text>
    </comment>
    <comment ref="CU14" authorId="0">
      <text>
        <r>
          <rPr>
            <b/>
            <sz val="8"/>
            <color indexed="81"/>
            <rFont val="Tahoma"/>
            <family val="2"/>
          </rPr>
          <t>turleamb:</t>
        </r>
        <r>
          <rPr>
            <sz val="8"/>
            <color indexed="81"/>
            <rFont val="Tahoma"/>
            <family val="2"/>
          </rPr>
          <t xml:space="preserve">
2/27/14: +5%CC (~$240m F/X impact)
8/23/13: Regarding the $150 FX, Dave (IR) said that in the call it was given more directionally in comments but that $150 is in the ballpark. Also, they have not publically provided the EPS impact although of course it would be a headwind assuming the yen remains weak. He said to get to the impact, they assumed the same FX as 1H (yen down 20% vs. LY) and that should get you in the ballpark. This assumes growth in Japan sales and continued weak yen
</t>
        </r>
      </text>
    </comment>
    <comment ref="CX14" authorId="0">
      <text>
        <r>
          <rPr>
            <b/>
            <sz val="9"/>
            <color indexed="81"/>
            <rFont val="Tahoma"/>
            <family val="2"/>
          </rPr>
          <t>turleamb:</t>
        </r>
        <r>
          <rPr>
            <sz val="9"/>
            <color indexed="81"/>
            <rFont val="Tahoma"/>
            <family val="2"/>
          </rPr>
          <t xml:space="preserve">
10-K: In fiscal 2014, we expect foreign exchange rate fluctuations to have a meaningful negative impact on the results of our largest foreign subsidiaries in Canada and Japan. With the continuing depreciation of the Canadian dollar and Japanese yen, we expect net sales in Canadian dollars and Japanese yen translated into U.S. dollars will decrease and negatively impact our total Company net sales growth. In addition, we expect gross margins for our largest foreign subsidiaries to be negatively impacted as our merchandise purchases are primarily in U.S. dollars.</t>
        </r>
      </text>
    </comment>
    <comment ref="CZ14" authorId="0">
      <text>
        <r>
          <rPr>
            <b/>
            <sz val="9"/>
            <color indexed="81"/>
            <rFont val="Tahoma"/>
            <family val="2"/>
          </rPr>
          <t>turleamb:</t>
        </r>
        <r>
          <rPr>
            <sz val="9"/>
            <color indexed="81"/>
            <rFont val="Tahoma"/>
            <family val="2"/>
          </rPr>
          <t xml:space="preserve">
5/21/14: guidance "modest positive comps"</t>
        </r>
      </text>
    </comment>
    <comment ref="DG14" authorId="17">
      <text>
        <r>
          <rPr>
            <b/>
            <sz val="9"/>
            <color indexed="81"/>
            <rFont val="Tahoma"/>
            <family val="2"/>
          </rPr>
          <t>Baglione, Gregory (Research):</t>
        </r>
        <r>
          <rPr>
            <sz val="9"/>
            <color indexed="81"/>
            <rFont val="Tahoma"/>
            <family val="2"/>
          </rPr>
          <t xml:space="preserve">
11/17/16
FY16 Guidance
Regarding other guidance metrics, we expect the negative impact from the fire at our distribution center to be just over 1 comp point in the fourth quarter. Similar to Q3, the impact will be highest at Gap brand and lowest at Old Navy. Regarding square footage, we now expect to end the year
down 3%, a reduction from our earlier guidance of down 2% driven by additional Gap store closures.</t>
        </r>
      </text>
    </comment>
    <comment ref="DH14" authorId="4">
      <text>
        <r>
          <rPr>
            <b/>
            <sz val="9"/>
            <color indexed="81"/>
            <rFont val="Tahoma"/>
            <family val="2"/>
          </rPr>
          <t>Baglione, Gregory  (Research):</t>
        </r>
        <r>
          <rPr>
            <sz val="9"/>
            <color indexed="81"/>
            <rFont val="Tahoma"/>
            <family val="2"/>
          </rPr>
          <t xml:space="preserve">
11/17/16
</t>
        </r>
        <r>
          <rPr>
            <b/>
            <sz val="9"/>
            <color indexed="81"/>
            <rFont val="Tahoma"/>
            <family val="2"/>
          </rPr>
          <t>FY16 Guidance</t>
        </r>
        <r>
          <rPr>
            <sz val="9"/>
            <color indexed="81"/>
            <rFont val="Tahoma"/>
            <family val="2"/>
          </rPr>
          <t xml:space="preserve">
Regarding other guidance metrics, we expect the negative impact from the fire at our distribution center to be just over 1 comp point in the fourth quarter. Similar to Q3, the impact will be highest at Gap brand and lowest at Old Navy. Regarding square footage, we now expect to end the year
down 3%, a reduction from our earlier guidance of down 2% driven by additional Gap store closures.</t>
        </r>
      </text>
    </comment>
    <comment ref="DK14" authorId="5">
      <text>
        <r>
          <rPr>
            <b/>
            <sz val="9"/>
            <color indexed="81"/>
            <rFont val="Tahoma"/>
            <family val="2"/>
          </rPr>
          <t xml:space="preserve">Cassel, Lauren (Research):
2/28/18: </t>
        </r>
        <r>
          <rPr>
            <sz val="9"/>
            <color indexed="81"/>
            <rFont val="Tahoma"/>
            <family val="2"/>
          </rPr>
          <t xml:space="preserve">Regarding the sales growth for the year, the impact of the 53rd week was largely offset by the impact of our international closures last year. </t>
        </r>
        <r>
          <rPr>
            <b/>
            <sz val="9"/>
            <color indexed="81"/>
            <rFont val="Tahoma"/>
            <family val="2"/>
          </rPr>
          <t xml:space="preserve">
8/17/17: expect sales slightly below comp driven by an expected negative impact from foreign currency fluctuations year-over-year as well as the impact from international closures in fiscal year 2016</t>
        </r>
        <r>
          <rPr>
            <sz val="9"/>
            <color indexed="81"/>
            <rFont val="Tahoma"/>
            <family val="2"/>
          </rPr>
          <t xml:space="preserve">
2/23/17: net sales are expected to be slightly below comps driven by a negative impact from foreign currency fluctuations y/y</t>
        </r>
      </text>
    </comment>
    <comment ref="DL14" authorId="5">
      <text>
        <r>
          <rPr>
            <b/>
            <sz val="9"/>
            <color indexed="81"/>
            <rFont val="Tahoma"/>
            <family val="2"/>
          </rPr>
          <t>Cassel, Lauren (Research):
8/17/17: guidance: flat to up slightly</t>
        </r>
        <r>
          <rPr>
            <sz val="9"/>
            <color indexed="81"/>
            <rFont val="Tahoma"/>
            <family val="2"/>
          </rPr>
          <t xml:space="preserve">
2/23/17: guidance comps flat to +1%</t>
        </r>
      </text>
    </comment>
    <comment ref="DO14" authorId="6">
      <text>
        <r>
          <rPr>
            <b/>
            <sz val="9"/>
            <color indexed="81"/>
            <rFont val="Tahoma"/>
            <family val="2"/>
          </rPr>
          <t>De Courreges, Edouard (Research):</t>
        </r>
        <r>
          <rPr>
            <sz val="9"/>
            <color indexed="81"/>
            <rFont val="Tahoma"/>
            <family val="2"/>
          </rPr>
          <t xml:space="preserve">
2/28/18: Spread flat to up slightly guide as loss of 53rd week offset by FX</t>
        </r>
      </text>
    </comment>
    <comment ref="DP14" authorId="6">
      <text>
        <r>
          <rPr>
            <b/>
            <sz val="9"/>
            <color indexed="81"/>
            <rFont val="Tahoma"/>
            <family val="2"/>
          </rPr>
          <t>De Courreges, Edouard (Research):</t>
        </r>
        <r>
          <rPr>
            <sz val="9"/>
            <color indexed="81"/>
            <rFont val="Tahoma"/>
            <family val="2"/>
          </rPr>
          <t xml:space="preserve">
2/28/18: flat to up slightly guide</t>
        </r>
      </text>
    </comment>
    <comment ref="BV18" authorId="0">
      <text>
        <r>
          <rPr>
            <b/>
            <sz val="8"/>
            <color indexed="81"/>
            <rFont val="Tahoma"/>
            <family val="2"/>
          </rPr>
          <t>turleamb:</t>
        </r>
        <r>
          <rPr>
            <sz val="8"/>
            <color indexed="81"/>
            <rFont val="Tahoma"/>
            <family val="2"/>
          </rPr>
          <t xml:space="preserve">
Rent, Occupancy &amp; Depreciation should leverage on positive comps - likely more modest moving forward since NA store optimization is behind them (before they closed unproductive square footage helping to leverage ROD) and also as they focus Internationally rent per sq.ft. is higher
Includes: cost of merchandise, inventory shortage and valuation adjustments, freight charges, shipping/handling, costs associated with sorucing operations including payroll and related benefits, production costs, insurance costs related to merchandise, rent, occupancy, depreciation and amortization related to store operations, DCs and certain corporate functions</t>
        </r>
      </text>
    </comment>
    <comment ref="CX18" authorId="0">
      <text>
        <r>
          <rPr>
            <b/>
            <sz val="9"/>
            <color indexed="81"/>
            <rFont val="Tahoma"/>
            <family val="2"/>
          </rPr>
          <t>turleamb:</t>
        </r>
        <r>
          <rPr>
            <sz val="9"/>
            <color indexed="81"/>
            <rFont val="Tahoma"/>
            <family val="2"/>
          </rPr>
          <t xml:space="preserve">
cost of goods sold and occupancy expenses include the following: cost of merchandise, inventory shortage and valuation adjustments, freight charges, shipping and handling costs, costs associated with sourcing operations including payroll and related benefits, production costs, insurance costs related to merchandise and rent, occupancy, depreciation and amortization related to store operations, DCs, and certain corporate functions
2014 Investor Day: Harder to leverage ROD now that they are expanding more in China (higher rent) and have finished fleet optimization. Don't expect leverage on flat or slightly negative comps, likely requires higher (definitely positive) comp to leverage ROD starting in 2014 and they will get less leverage at every level of positive comp than they used to</t>
        </r>
      </text>
    </comment>
    <comment ref="CY19" authorId="0">
      <text>
        <r>
          <rPr>
            <b/>
            <sz val="9"/>
            <color indexed="81"/>
            <rFont val="Tahoma"/>
            <family val="2"/>
          </rPr>
          <t>turleamb:</t>
        </r>
        <r>
          <rPr>
            <sz val="9"/>
            <color indexed="81"/>
            <rFont val="Tahoma"/>
            <family val="2"/>
          </rPr>
          <t xml:space="preserve">
2014 Investor Day: ROD sales mix shift towards regions with higher ROD costs (China), also finished with fleet closures so less room to benefit from optimization therefore the threshold for ROD leverage likely higher going forward and expect more modest leverage on each point of positive comp than in years past</t>
        </r>
      </text>
    </comment>
    <comment ref="AY20" authorId="14">
      <text>
        <r>
          <rPr>
            <sz val="8"/>
            <color indexed="81"/>
            <rFont val="Tahoma"/>
            <family val="2"/>
          </rPr>
          <t xml:space="preserve">
500 bps decline - 260 mdse margin, 240 neg lev on occ</t>
        </r>
      </text>
    </comment>
    <comment ref="BF20" authorId="9">
      <text>
        <r>
          <rPr>
            <b/>
            <sz val="8"/>
            <color indexed="81"/>
            <rFont val="Tahoma"/>
            <family val="2"/>
          </rPr>
          <t>Morry Brown:</t>
        </r>
        <r>
          <rPr>
            <sz val="8"/>
            <color indexed="81"/>
            <rFont val="Tahoma"/>
            <family val="2"/>
          </rPr>
          <t xml:space="preserve">
1075.519 prior to restate</t>
        </r>
      </text>
    </comment>
    <comment ref="BG20" authorId="18">
      <text>
        <r>
          <rPr>
            <sz val="8"/>
            <color indexed="81"/>
            <rFont val="Tahoma"/>
            <family val="2"/>
          </rPr>
          <t xml:space="preserve">
in 1Q 600 bps increase in MM and 200 bps of leverage on occ</t>
        </r>
      </text>
    </comment>
    <comment ref="BJ20" authorId="9">
      <text>
        <r>
          <rPr>
            <b/>
            <sz val="8"/>
            <color indexed="81"/>
            <rFont val="Tahoma"/>
            <family val="2"/>
          </rPr>
          <t>Morry Brown:</t>
        </r>
        <r>
          <rPr>
            <sz val="8"/>
            <color indexed="81"/>
            <rFont val="Tahoma"/>
            <family val="2"/>
          </rPr>
          <t xml:space="preserve">
2089.083 prior to restate</t>
        </r>
      </text>
    </comment>
    <comment ref="BK20" authorId="19">
      <text>
        <r>
          <rPr>
            <b/>
            <sz val="8"/>
            <color indexed="81"/>
            <rFont val="Arial"/>
            <family val="2"/>
          </rPr>
          <t>MS:</t>
        </r>
        <r>
          <rPr>
            <sz val="8"/>
            <color indexed="81"/>
            <rFont val="Arial"/>
            <family val="2"/>
          </rPr>
          <t xml:space="preserve">
300 bps increase in MM due to higher reg price selling and better markdown margins, remainder lev on ROD incl reallocation of workers comp savings</t>
        </r>
      </text>
    </comment>
    <comment ref="BO20" authorId="9">
      <text>
        <r>
          <rPr>
            <b/>
            <sz val="8"/>
            <color indexed="81"/>
            <rFont val="Tahoma"/>
            <family val="2"/>
          </rPr>
          <t>Morry Brown:</t>
        </r>
        <r>
          <rPr>
            <sz val="8"/>
            <color indexed="81"/>
            <rFont val="Tahoma"/>
            <family val="2"/>
          </rPr>
          <t xml:space="preserve">
40.8</t>
        </r>
      </text>
    </comment>
    <comment ref="BP20" authorId="20">
      <text>
        <r>
          <rPr>
            <b/>
            <sz val="8"/>
            <color indexed="81"/>
            <rFont val="Tahoma"/>
            <family val="2"/>
          </rPr>
          <t>Kimberly Greenberger:</t>
        </r>
        <r>
          <rPr>
            <sz val="8"/>
            <color indexed="81"/>
            <rFont val="Tahoma"/>
            <family val="2"/>
          </rPr>
          <t xml:space="preserve">
-230 bps lower mdse marg
ROD flat as % to sales</t>
        </r>
      </text>
    </comment>
    <comment ref="BR20" authorId="1">
      <text>
        <r>
          <rPr>
            <b/>
            <sz val="8"/>
            <color indexed="81"/>
            <rFont val="Tahoma"/>
            <family val="2"/>
          </rPr>
          <t>oc48540:</t>
        </r>
        <r>
          <rPr>
            <sz val="8"/>
            <color indexed="81"/>
            <rFont val="Tahoma"/>
            <family val="2"/>
          </rPr>
          <t xml:space="preserve">
$2059.2 before taking out F&amp;T</t>
        </r>
      </text>
    </comment>
    <comment ref="BS20" authorId="10">
      <text>
        <r>
          <rPr>
            <sz val="8"/>
            <color indexed="81"/>
            <rFont val="Tahoma"/>
            <family val="2"/>
          </rPr>
          <t>-60bps: Deterioration due to 20bps decrease in merchandise margins and remainder due to rent/occupancy/depr deleverage</t>
        </r>
        <r>
          <rPr>
            <b/>
            <sz val="8"/>
            <color indexed="81"/>
            <rFont val="Tahoma"/>
            <family val="2"/>
          </rPr>
          <t xml:space="preserve">
mm98285:</t>
        </r>
        <r>
          <rPr>
            <sz val="8"/>
            <color indexed="81"/>
            <rFont val="Tahoma"/>
            <family val="2"/>
          </rPr>
          <t xml:space="preserve">
5/06:  -20 bps mdse margins
~-40 bps delvg on rent, occup, &amp; dep. exp. </t>
        </r>
      </text>
    </comment>
    <comment ref="BV20" authorId="1">
      <text>
        <r>
          <rPr>
            <b/>
            <sz val="8"/>
            <color indexed="81"/>
            <rFont val="Tahoma"/>
            <family val="2"/>
          </rPr>
          <t>oc48540:</t>
        </r>
        <r>
          <rPr>
            <sz val="8"/>
            <color indexed="81"/>
            <rFont val="Tahoma"/>
            <family val="2"/>
          </rPr>
          <t xml:space="preserve">
Rext exp: 269
Advertising exp: 114</t>
        </r>
      </text>
    </comment>
    <comment ref="BW20" authorId="21">
      <text>
        <r>
          <rPr>
            <b/>
            <sz val="8"/>
            <color indexed="81"/>
            <rFont val="Tahoma"/>
            <family val="2"/>
          </rPr>
          <t>GM declined ~-210bps</t>
        </r>
        <r>
          <rPr>
            <sz val="8"/>
            <color indexed="81"/>
            <rFont val="Tahoma"/>
            <family val="2"/>
          </rPr>
          <t xml:space="preserve"> based on 30 bps from occupancy expense deleveraging and 180 bps from lower merchandise margins (markdown activity at the Gap brand as a result of bloated beginning of quarter inventory).
FEB MM flat
MAR MM down (spring clearance at BR+Gap)
APR: MM down signficantly (Gap Big Sale)</t>
        </r>
        <r>
          <rPr>
            <b/>
            <sz val="8"/>
            <color indexed="81"/>
            <rFont val="Tahoma"/>
            <family val="2"/>
          </rPr>
          <t xml:space="preserve">
kg51925:</t>
        </r>
        <r>
          <rPr>
            <sz val="8"/>
            <color indexed="81"/>
            <rFont val="Tahoma"/>
            <family val="2"/>
          </rPr>
          <t xml:space="preserve">
assume recover 20 bps lost mdse marg from 1Q06</t>
        </r>
      </text>
    </comment>
    <comment ref="BZ20" authorId="1">
      <text>
        <r>
          <rPr>
            <b/>
            <sz val="8"/>
            <color indexed="81"/>
            <rFont val="Tahoma"/>
            <family val="2"/>
          </rPr>
          <t>oc48540:</t>
        </r>
        <r>
          <rPr>
            <sz val="8"/>
            <color indexed="81"/>
            <rFont val="Tahoma"/>
            <family val="2"/>
          </rPr>
          <t xml:space="preserve">
Rext exp: 277
Advertising exp: 93</t>
        </r>
      </text>
    </comment>
    <comment ref="CA20" authorId="11">
      <text>
        <r>
          <rPr>
            <sz val="8"/>
            <color indexed="81"/>
            <rFont val="Tahoma"/>
            <family val="2"/>
          </rPr>
          <t>Gross margin increased +150 bps to 39.7%. Gross margins benefited from ~+310bps of merchandise margins which were partially offset by ~-160 bps occupancy deleverage (on the -11%
comp).</t>
        </r>
        <r>
          <rPr>
            <b/>
            <sz val="8"/>
            <color indexed="81"/>
            <rFont val="Tahoma"/>
            <family val="2"/>
          </rPr>
          <t xml:space="preserve">
OC48540:</t>
        </r>
        <r>
          <rPr>
            <sz val="8"/>
            <color indexed="81"/>
            <rFont val="Tahoma"/>
            <family val="2"/>
          </rPr>
          <t xml:space="preserve">
3/6/08: Feb Results are "Above" LY
4/11/08: Mar Results are "Above" LY
5/8/08: Apr Results are "Significantly above" LY</t>
        </r>
      </text>
    </comment>
    <comment ref="CD20" authorId="1">
      <text>
        <r>
          <rPr>
            <b/>
            <sz val="8"/>
            <color indexed="81"/>
            <rFont val="Tahoma"/>
            <family val="2"/>
          </rPr>
          <t>oc48540:</t>
        </r>
        <r>
          <rPr>
            <sz val="8"/>
            <color indexed="81"/>
            <rFont val="Tahoma"/>
            <family val="2"/>
          </rPr>
          <t xml:space="preserve">
Rext exp: 270
Advertising exp: 96</t>
        </r>
      </text>
    </comment>
    <comment ref="CE20" authorId="21">
      <text>
        <r>
          <rPr>
            <sz val="8"/>
            <color indexed="81"/>
            <rFont val="Tahoma"/>
            <family val="2"/>
          </rPr>
          <t>Gross margin decreased -3bps to 39.6%. Merchandise margins rose
+100bps based on lower average unit costs and was more than offset by an
unfavorable ~-110bps from occupancy deleverage.</t>
        </r>
        <r>
          <rPr>
            <b/>
            <sz val="8"/>
            <color indexed="81"/>
            <rFont val="Tahoma"/>
            <family val="2"/>
          </rPr>
          <t xml:space="preserve">
kg51925:</t>
        </r>
        <r>
          <rPr>
            <sz val="8"/>
            <color indexed="81"/>
            <rFont val="Tahoma"/>
            <family val="2"/>
          </rPr>
          <t xml:space="preserve">
February MM flat (higher promos offset by lower cost of goods)
March MM up (higher promos more than offset by lower cost of goods)
April MM up
2/26/09: expect neg lvg occup of 125-150bps
expect mdse marg impvmt from lower costs we think +100bps
4/09 maybe -90bps occup and +40bps mdse marg = -50 total co if we assume April MM flat
5/09: April MM above LY</t>
        </r>
      </text>
    </comment>
    <comment ref="CI20" authorId="22">
      <text>
        <r>
          <rPr>
            <sz val="8"/>
            <color indexed="81"/>
            <rFont val="Tahoma"/>
            <family val="2"/>
          </rPr>
          <t xml:space="preserve">+160 merchandise margin, +90 B+O
MM:
March: significantly above
</t>
        </r>
      </text>
    </comment>
    <comment ref="CJ20" authorId="1">
      <text>
        <r>
          <rPr>
            <b/>
            <sz val="8"/>
            <color indexed="81"/>
            <rFont val="Tahoma"/>
            <family val="2"/>
          </rPr>
          <t xml:space="preserve">oc48540:
</t>
        </r>
        <r>
          <rPr>
            <sz val="8"/>
            <color indexed="81"/>
            <rFont val="Tahoma"/>
            <family val="2"/>
          </rPr>
          <t>Feb &amp; Mar: Merch margins significantly above LY
Apr: we est +10-30 bps to get to +160 bps for Q</t>
        </r>
        <r>
          <rPr>
            <sz val="8"/>
            <color indexed="81"/>
            <rFont val="Tahoma"/>
            <family val="2"/>
          </rPr>
          <t xml:space="preserve">
11/19: IMU benefit in 1H10</t>
        </r>
      </text>
    </comment>
    <comment ref="CM20" authorId="23">
      <text>
        <r>
          <rPr>
            <b/>
            <sz val="8"/>
            <color indexed="81"/>
            <rFont val="Tahoma"/>
            <family val="2"/>
          </rPr>
          <t>sancfa:</t>
        </r>
        <r>
          <rPr>
            <sz val="8"/>
            <color indexed="81"/>
            <rFont val="Tahoma"/>
            <family val="2"/>
          </rPr>
          <t xml:space="preserve">
1Q11: Merchandise margins were down 240 basis points, driven by rising cotton prices, which in turn increased average unit costs.
ROD deleveraged 10 bps
MM -240 bps on higher AUC
Down significantly
(we est. down &gt;200bps)</t>
        </r>
      </text>
    </comment>
    <comment ref="CQ20" authorId="16">
      <text>
        <r>
          <rPr>
            <b/>
            <sz val="8"/>
            <color indexed="81"/>
            <rFont val="Tahoma"/>
            <family val="2"/>
          </rPr>
          <t xml:space="preserve">KG 5/3/12: </t>
        </r>
        <r>
          <rPr>
            <sz val="8"/>
            <color indexed="81"/>
            <rFont val="Tahoma"/>
            <family val="2"/>
          </rPr>
          <t>achieved significant B&amp;O lvg on 4% comp and lower markdowns/promos vs. LY, offset by higher COGS/cotton inflation</t>
        </r>
        <r>
          <rPr>
            <b/>
            <sz val="8"/>
            <color indexed="81"/>
            <rFont val="Tahoma"/>
            <family val="2"/>
          </rPr>
          <t xml:space="preserve">
solejay:</t>
        </r>
        <r>
          <rPr>
            <sz val="8"/>
            <color indexed="81"/>
            <rFont val="Tahoma"/>
            <family val="2"/>
          </rPr>
          <t xml:space="preserve">
expect 1Q sourcing cost pressures similar to 3Q.  Result should be an additional 200 bps hit to GM (1Q11 was down 250 and 3Q was down 450, so assume that if 1Q12 looks like 3Q, then there must be another 200 bps of GM erosion ($0.09 hit to EPS). </t>
        </r>
      </text>
    </comment>
    <comment ref="CR20" authorId="16">
      <text>
        <r>
          <rPr>
            <sz val="8"/>
            <color indexed="81"/>
            <rFont val="Tahoma"/>
            <family val="2"/>
          </rPr>
          <t>5/17/12: Sabrina Simmons:
• First quarter gross margin was down to 39.4%, while average unit retails continued to be up over last year
• Our merchandise margins were down 150BPS, driven by higher average unit costs
• Rent and occupancy leveraged 130BPS
• As a reminder, the amount of leverage in any given quarter is dependent on a number of factors.  Some examples include the timing of store openings and closures, landlord settlements, and rent escalation dates.
• Although we remain confident that we will leverage rent and occupancy on a positive comp, we would caution against extrapolating this magnitude of leverage.</t>
        </r>
      </text>
    </comment>
    <comment ref="CU20" authorId="24">
      <text>
        <r>
          <rPr>
            <b/>
            <sz val="8"/>
            <color indexed="81"/>
            <rFont val="Tahoma"/>
            <family val="2"/>
          </rPr>
          <t>casselau:</t>
        </r>
        <r>
          <rPr>
            <sz val="8"/>
            <color indexed="81"/>
            <rFont val="Tahoma"/>
            <family val="2"/>
          </rPr>
          <t xml:space="preserve">
2/28/13: last quarter of AUC tailwind</t>
        </r>
      </text>
    </comment>
    <comment ref="CX20" authorId="8">
      <text>
        <r>
          <rPr>
            <b/>
            <sz val="9"/>
            <color indexed="81"/>
            <rFont val="Tahoma"/>
            <family val="2"/>
          </rPr>
          <t>Turley, Amber (Research):</t>
        </r>
        <r>
          <rPr>
            <sz val="9"/>
            <color indexed="81"/>
            <rFont val="Tahoma"/>
            <family val="2"/>
          </rPr>
          <t xml:space="preserve">
Credit card reclassification benefitted GP by $9m, adding 23 bps to GM. </t>
        </r>
      </text>
    </comment>
    <comment ref="CY20" authorId="0">
      <text>
        <r>
          <rPr>
            <b/>
            <sz val="8"/>
            <color indexed="81"/>
            <rFont val="Tahoma"/>
            <family val="2"/>
          </rPr>
          <t xml:space="preserve">turleamb:
5/21/14: </t>
        </r>
        <r>
          <rPr>
            <sz val="8"/>
            <color indexed="81"/>
            <rFont val="Tahoma"/>
            <family val="2"/>
          </rPr>
          <t>merch margins -230 bps y/y driven by Feb/Mar pressuring ability to move as many units early in the quarter. Ended 1Q with inventory in-line with their guidance. ROD de-leveraged 30 bps. Need positive comps to leverage ROD. Threshold for ROD leverage this year is likely +LSD comp due to mix shift to markets such as China that have higher ROD costs. 
5/8/14: guidance: gross margins will decline less than the y/y 4Q13 decline. Re-classification of credit card income to GM from SG&amp;A offset of about $30-$40m increases GM, otherwise w/o the re-classification GM would have still been below 4Q's 280 bps decline. 
Our prior estimate assumed -290 bps y/y. To arrive at current estimate took midpoint ($35m) and added to prior GM estimate
4/10/14: Guidance Expect 1Q GM will be below the prior year by more than the 4Q decline of 280 bps. Gap brand is putting the greatest pressure on GM for the Q. The GM pressure is largely driven by the following 
1) Severe storms drove store closures and lost sales in Feb
2) Entered 1Q with inventory levels above current sales and traffic trends and Feb made matters worse. March traffic was well below expectations and remains negative
assume the promotional environment persits
assume ~6.5% of revenue comes from Japan (% of stores in JPY) therefore increased that % of COGS by 8% due to weaker yen ($12m difference). Same for 7% of COGS from CAD (CAD weaker by 6%) ($9m difference)</t>
        </r>
      </text>
    </comment>
    <comment ref="DB20" authorId="4">
      <text>
        <r>
          <rPr>
            <b/>
            <sz val="9"/>
            <color indexed="81"/>
            <rFont val="Tahoma"/>
            <family val="2"/>
          </rPr>
          <t>Baglione, Gregory  (Research):</t>
        </r>
        <r>
          <rPr>
            <sz val="9"/>
            <color indexed="81"/>
            <rFont val="Tahoma"/>
            <family val="2"/>
          </rPr>
          <t xml:space="preserve">
Per 2/26/16
Per mangement call back, $9M in COGS that was not disclosed originally</t>
        </r>
      </text>
    </comment>
    <comment ref="DC20" authorId="24">
      <text>
        <r>
          <rPr>
            <b/>
            <sz val="9"/>
            <color indexed="81"/>
            <rFont val="Tahoma"/>
            <family val="2"/>
          </rPr>
          <t xml:space="preserve">casselau:
5/21/15: </t>
        </r>
        <r>
          <rPr>
            <sz val="9"/>
            <color indexed="81"/>
            <rFont val="Tahoma"/>
            <family val="2"/>
          </rPr>
          <t>merch margins flat driven by strong performance at Old Navy, offset by  Gap brand and FX; B&amp;O deleverage 100 bps 
assume Old Navy up merch margin (45% of business) offset by Gap and BR</t>
        </r>
      </text>
    </comment>
    <comment ref="DG20" authorId="4">
      <text>
        <r>
          <rPr>
            <b/>
            <sz val="9"/>
            <color indexed="81"/>
            <rFont val="Tahoma"/>
            <family val="2"/>
          </rPr>
          <t>Baglione, Gregory  (Research):</t>
        </r>
        <r>
          <rPr>
            <sz val="9"/>
            <color indexed="81"/>
            <rFont val="Tahoma"/>
            <family val="2"/>
          </rPr>
          <t xml:space="preserve">
1Q16A: Moving to gross margin, first-quarter gross profit totaled $1.2 billion, and gross margin contracted 260 basis points to 35.2%. Merchandise margins
were down 170 basis points, driven by Old Navy and Banana Republic. Rent and occupancy deleveraged 90 basis points.
*Note: -280 bps y/y including $9M COGS excluded in 1Q15 per mgmt
5/19/16
Moving to gross margin, first-quarter gross profit totaled $1.2 billion, and gross margin contracted 260 basis points to 35.2%. 
Merchandise margins were down 170 basis points, driven by Old Navy and Banana Republic. Rent and occupancy deleveraged 90 basis points.
5/9/16
As previously disclosed, gross margins were pressured as the company entered
April with more inventory than planned as a result of weaker than expected
traffic, which began in late March 2016 and continued into April. 
</t>
        </r>
      </text>
    </comment>
    <comment ref="DK20" authorId="5">
      <text>
        <r>
          <rPr>
            <b/>
            <sz val="9"/>
            <color indexed="81"/>
            <rFont val="Tahoma"/>
            <family val="2"/>
          </rPr>
          <t>Cassel, Lauren (Research):</t>
        </r>
        <r>
          <rPr>
            <sz val="9"/>
            <color indexed="81"/>
            <rFont val="Tahoma"/>
            <family val="2"/>
          </rPr>
          <t xml:space="preserve">
2/23/17: ROD will include preopening costs of flasghip Times Square which will open in 2H  </t>
        </r>
      </text>
    </comment>
    <comment ref="DL20" authorId="5">
      <text>
        <r>
          <rPr>
            <b/>
            <sz val="9"/>
            <color indexed="81"/>
            <rFont val="Tahoma"/>
            <family val="2"/>
          </rPr>
          <t>Cassel, Lauren (Research):</t>
        </r>
        <r>
          <rPr>
            <sz val="9"/>
            <color indexed="81"/>
            <rFont val="Tahoma"/>
            <family val="2"/>
          </rPr>
          <t xml:space="preserve">
5/18/17: Merchandise margin +220 bps; ROD +50 bps leverage despite pre-opening times square costs helped by international store closings LY; positive AUR in all brands; merch margins highest since 2013; higher percentage of sales at full price; markdown margin was improved as well</t>
        </r>
      </text>
    </comment>
    <comment ref="BC21" authorId="19">
      <text>
        <r>
          <rPr>
            <b/>
            <sz val="8"/>
            <color indexed="81"/>
            <rFont val="Tahoma"/>
            <family val="2"/>
          </rPr>
          <t>MS:</t>
        </r>
        <r>
          <rPr>
            <sz val="8"/>
            <color indexed="81"/>
            <rFont val="Tahoma"/>
            <family val="2"/>
          </rPr>
          <t xml:space="preserve">
MM up 210 bps offset by 80 bps neg lev on ROD</t>
        </r>
      </text>
    </comment>
    <comment ref="BF21" authorId="9">
      <text>
        <r>
          <rPr>
            <b/>
            <sz val="8"/>
            <color indexed="81"/>
            <rFont val="Tahoma"/>
            <family val="2"/>
          </rPr>
          <t>Morry Brown:</t>
        </r>
        <r>
          <rPr>
            <sz val="8"/>
            <color indexed="81"/>
            <rFont val="Tahoma"/>
            <family val="2"/>
          </rPr>
          <t xml:space="preserve">
2359.588 prior to restate</t>
        </r>
      </text>
    </comment>
    <comment ref="BG21" authorId="18">
      <text>
        <r>
          <rPr>
            <sz val="8"/>
            <color indexed="81"/>
            <rFont val="Tahoma"/>
            <family val="2"/>
          </rPr>
          <t>7/10/03 had 37. changed to 35.4 or +200 bps over LY as co indicated that both May and June mdse margins flat to LY. Pos comp s/b lvg to B&amp;O.
8/7/03 On July call indicated that MM above LY during the month, Modeling 100 bps of improvement now
11/6 in 2Q, 100 bps increase MM, 200 bps lev on occ, depre</t>
        </r>
      </text>
    </comment>
    <comment ref="BJ21" authorId="9">
      <text>
        <r>
          <rPr>
            <b/>
            <sz val="8"/>
            <color indexed="81"/>
            <rFont val="Tahoma"/>
            <family val="2"/>
          </rPr>
          <t>Morry Brown:</t>
        </r>
        <r>
          <rPr>
            <sz val="8"/>
            <color indexed="81"/>
            <rFont val="Tahoma"/>
            <family val="2"/>
          </rPr>
          <t xml:space="preserve">
2290.053 prior to restatement
</t>
        </r>
      </text>
    </comment>
    <comment ref="BK21" authorId="25">
      <text>
        <r>
          <rPr>
            <b/>
            <sz val="8"/>
            <color indexed="81"/>
            <rFont val="Tahoma"/>
            <family val="2"/>
          </rPr>
          <t>MS:</t>
        </r>
        <r>
          <rPr>
            <sz val="8"/>
            <color indexed="81"/>
            <rFont val="Tahoma"/>
            <family val="2"/>
          </rPr>
          <t xml:space="preserve">
38.0 est
MM up 190 bps (better margins on reg price and markdown sales, sold more reg price)</t>
        </r>
      </text>
    </comment>
    <comment ref="BO21" authorId="9">
      <text>
        <r>
          <rPr>
            <b/>
            <sz val="8"/>
            <color indexed="81"/>
            <rFont val="Tahoma"/>
            <family val="2"/>
          </rPr>
          <t>Morry Brown:</t>
        </r>
        <r>
          <rPr>
            <sz val="8"/>
            <color indexed="81"/>
            <rFont val="Tahoma"/>
            <family val="2"/>
          </rPr>
          <t xml:space="preserve">
36.5 est</t>
        </r>
      </text>
    </comment>
    <comment ref="BP21" authorId="20">
      <text>
        <r>
          <rPr>
            <b/>
            <sz val="8"/>
            <color indexed="81"/>
            <rFont val="Tahoma"/>
            <family val="2"/>
          </rPr>
          <t>Kimberly Greenberger:</t>
        </r>
        <r>
          <rPr>
            <sz val="8"/>
            <color indexed="81"/>
            <rFont val="Tahoma"/>
            <family val="2"/>
          </rPr>
          <t xml:space="preserve">
-180 bps mdse marg
+60 bps non-recurring adj to lease acctg (final adj)</t>
        </r>
      </text>
    </comment>
    <comment ref="BS21" authorId="10">
      <text>
        <r>
          <rPr>
            <sz val="8"/>
            <color indexed="81"/>
            <rFont val="Tahoma"/>
            <family val="2"/>
          </rPr>
          <t>-440bps: Deterioration due to 330bps decrease in mercha margins and 110bps rent, occupancy, and depreciation delevrge</t>
        </r>
        <r>
          <rPr>
            <b/>
            <sz val="8"/>
            <color indexed="81"/>
            <rFont val="Tahoma"/>
            <family val="2"/>
          </rPr>
          <t xml:space="preserve">
mm98285:</t>
        </r>
        <r>
          <rPr>
            <sz val="8"/>
            <color indexed="81"/>
            <rFont val="Tahoma"/>
            <family val="2"/>
          </rPr>
          <t xml:space="preserve">
8/06: -330 bps mdse margins 
-110 bps delvg on rent, occup &amp; depc'n  </t>
        </r>
      </text>
    </comment>
    <comment ref="BV21" authorId="1">
      <text>
        <r>
          <rPr>
            <b/>
            <sz val="8"/>
            <color indexed="81"/>
            <rFont val="Tahoma"/>
            <family val="2"/>
          </rPr>
          <t>oc48540:</t>
        </r>
        <r>
          <rPr>
            <sz val="8"/>
            <color indexed="81"/>
            <rFont val="Tahoma"/>
            <family val="2"/>
          </rPr>
          <t xml:space="preserve">
Rext exp: 272
Advertising exp: 88</t>
        </r>
      </text>
    </comment>
    <comment ref="BW21" authorId="21">
      <text>
        <r>
          <rPr>
            <sz val="8"/>
            <color indexed="81"/>
            <rFont val="Tahoma"/>
            <family val="2"/>
          </rPr>
          <t xml:space="preserve">up ~+130 bps compared to LY. 170 bps from higher merchandise margins were offset by 40 bps of occupancy deleverage.
May: Up (ON driver on better inv. control)
June: MM flat
July: Up sig.
</t>
        </r>
        <r>
          <rPr>
            <b/>
            <sz val="8"/>
            <color indexed="81"/>
            <rFont val="Tahoma"/>
            <family val="2"/>
          </rPr>
          <t xml:space="preserve">
kg51925:</t>
        </r>
        <r>
          <rPr>
            <sz val="8"/>
            <color indexed="81"/>
            <rFont val="Tahoma"/>
            <family val="2"/>
          </rPr>
          <t xml:space="preserve">
assume get 110 bps back of the 330 bps lost in 2Q06</t>
        </r>
      </text>
    </comment>
    <comment ref="BZ21" authorId="1">
      <text>
        <r>
          <rPr>
            <b/>
            <sz val="8"/>
            <color indexed="81"/>
            <rFont val="Tahoma"/>
            <family val="2"/>
          </rPr>
          <t>oc48540:</t>
        </r>
        <r>
          <rPr>
            <sz val="8"/>
            <color indexed="81"/>
            <rFont val="Tahoma"/>
            <family val="2"/>
          </rPr>
          <t xml:space="preserve">
Rext exp: 279
Advertising exp: 82</t>
        </r>
      </text>
    </comment>
    <comment ref="CA21" authorId="11">
      <text>
        <r>
          <rPr>
            <sz val="8"/>
            <color indexed="81"/>
            <rFont val="Tahoma"/>
            <family val="2"/>
          </rPr>
          <t>Gross margin increased +390 bps to 38.2%. Gross margin benefited from ~+560 bps of merchandise margin improvement which was partially offset by ~-170 bps occupancy deleverage (on the -10% comp).
May = Sig. Above
June = Sig. Above
July = Sig. Above LY
+320 bps of Merch margin less -160 bps of occ. Delvg.</t>
        </r>
        <r>
          <rPr>
            <b/>
            <sz val="8"/>
            <color indexed="81"/>
            <rFont val="Tahoma"/>
            <family val="2"/>
          </rPr>
          <t xml:space="preserve">
OC48540:</t>
        </r>
        <r>
          <rPr>
            <sz val="8"/>
            <color indexed="81"/>
            <rFont val="Tahoma"/>
            <family val="2"/>
          </rPr>
          <t xml:space="preserve">
May: Merch. Margins significantly above LY</t>
        </r>
      </text>
    </comment>
    <comment ref="CD21" authorId="1">
      <text>
        <r>
          <rPr>
            <b/>
            <sz val="8"/>
            <color indexed="81"/>
            <rFont val="Tahoma"/>
            <family val="2"/>
          </rPr>
          <t>oc48540:</t>
        </r>
        <r>
          <rPr>
            <sz val="8"/>
            <color indexed="81"/>
            <rFont val="Tahoma"/>
            <family val="2"/>
          </rPr>
          <t xml:space="preserve">
Rext exp: 272
Advertising exp: 94</t>
        </r>
      </text>
    </comment>
    <comment ref="CE21" authorId="21">
      <text>
        <r>
          <rPr>
            <sz val="8"/>
            <color indexed="81"/>
            <rFont val="Tahoma"/>
            <family val="2"/>
          </rPr>
          <t>8/09: Gross margin increased +145bps to 39.7%.  Merchandise margins rose +210bps primarily driven by better markdown margins and less inventories sold at markdown and was partially offset by an unfavorable ~-60bps from occupancy deleverage (in 2Q GPS had more co-tenancy savings and utility savings than in 1Q).
Merch Margin assumes May flat, June &amp; July -150 for blend -100bps
5/21/09: expect ~70-80bps occup (ROD) delvg
May MM flat (higher MDs offset by lower average unit cost)
June MM above LY
July MM "significantly above"</t>
        </r>
      </text>
    </comment>
    <comment ref="CI21" authorId="26">
      <text>
        <r>
          <rPr>
            <sz val="8"/>
            <color indexed="81"/>
            <rFont val="Tahoma"/>
            <family val="2"/>
          </rPr>
          <t>-50 merch margin
+40 occupancy leverage
clearance "pressured" July merchandise margins
5/10: expect less B+O leverage when compared to 1Q's 90 bps. 
We estimate 2Q mdse margin +20 bps plus 50 bps est B&amp;O lvg = 70bps</t>
        </r>
      </text>
    </comment>
    <comment ref="CM21" authorId="2">
      <text>
        <r>
          <rPr>
            <b/>
            <sz val="8"/>
            <color indexed="81"/>
            <rFont val="Tahoma"/>
            <family val="2"/>
          </rPr>
          <t>nicholjs:</t>
        </r>
        <r>
          <rPr>
            <sz val="8"/>
            <color indexed="81"/>
            <rFont val="Tahoma"/>
            <family val="2"/>
          </rPr>
          <t xml:space="preserve">
10Q: increase primarily driven by increased cost of merchandise. Occupancy expenses were flat as a % of sales.</t>
        </r>
      </text>
    </comment>
    <comment ref="CQ21" authorId="7">
      <text>
        <r>
          <rPr>
            <b/>
            <sz val="8"/>
            <color indexed="81"/>
            <rFont val="Tahoma"/>
            <family val="2"/>
          </rPr>
          <t>P Kahng:</t>
        </r>
        <r>
          <rPr>
            <sz val="8"/>
            <color indexed="81"/>
            <rFont val="Tahoma"/>
            <family val="2"/>
          </rPr>
          <t xml:space="preserve">
8/2/12: raised GM to from 37.2 on lower inventory</t>
        </r>
      </text>
    </comment>
    <comment ref="CU21" authorId="27">
      <text>
        <r>
          <rPr>
            <b/>
            <sz val="8"/>
            <color indexed="81"/>
            <rFont val="Tahoma"/>
            <family val="2"/>
          </rPr>
          <t>kimberlg:</t>
        </r>
        <r>
          <rPr>
            <sz val="8"/>
            <color indexed="81"/>
            <rFont val="Tahoma"/>
            <family val="2"/>
          </rPr>
          <t xml:space="preserve">
8/22/13: Our merchandise
margins were down 30-basis points, and rent and occupancy leveraged 90-basis points.
7/11/13: typically 2Q GM is 200bps below 1Q (sequential decline). We have only ~100bps sequential decline in our model b/c we think on a 5% comp they can leverage B&amp;O significantly (lvg'd 130bps in 1Q on a 2% comp) </t>
        </r>
      </text>
    </comment>
    <comment ref="CY21" authorId="8">
      <text>
        <r>
          <rPr>
            <b/>
            <sz val="9"/>
            <color indexed="81"/>
            <rFont val="Tahoma"/>
            <family val="2"/>
          </rPr>
          <t xml:space="preserve">merch margins -90 bps, ROD -20 bps, +100 bps credit card impact 
Turley, Amber (Research)
8/21/14: </t>
        </r>
        <r>
          <rPr>
            <sz val="9"/>
            <color indexed="81"/>
            <rFont val="Tahoma"/>
            <family val="2"/>
          </rPr>
          <t>90 bps decline due to merch margin (elevated promos) and 20 bps decline from ROD. Note that the credit card loyalty program shifts into merchandise margin and likley contributed +$40m to merch margin (100 bps benefit)</t>
        </r>
        <r>
          <rPr>
            <b/>
            <sz val="9"/>
            <color indexed="81"/>
            <rFont val="Tahoma"/>
            <family val="2"/>
          </rPr>
          <t xml:space="preserve">
</t>
        </r>
        <r>
          <rPr>
            <sz val="9"/>
            <color indexed="81"/>
            <rFont val="Tahoma"/>
            <family val="2"/>
          </rPr>
          <t>estimate: Credit card reclassification of $35m would benefit GM by 88 bps; GM pressure shouldn't be the magnitude of 1Q14 since they don't have the inventory overhang that resulted from 4Q store closures and they are beginning to anniversary more promotional environment.</t>
        </r>
      </text>
    </comment>
    <comment ref="DB21" authorId="4">
      <text>
        <r>
          <rPr>
            <b/>
            <sz val="9"/>
            <color indexed="81"/>
            <rFont val="Tahoma"/>
            <family val="2"/>
          </rPr>
          <t>Baglione, Gregory  (Research):</t>
        </r>
        <r>
          <rPr>
            <sz val="9"/>
            <color indexed="81"/>
            <rFont val="Tahoma"/>
            <family val="2"/>
          </rPr>
          <t xml:space="preserve">
2/25/16
Company noted that the 2Q charge was $83M: $12M COGS $71M SG&amp;A</t>
        </r>
      </text>
    </comment>
    <comment ref="DC21" authorId="3">
      <text>
        <r>
          <rPr>
            <b/>
            <sz val="9"/>
            <color indexed="81"/>
            <rFont val="Tahoma"/>
            <family val="2"/>
          </rPr>
          <t>Mains, Spencer (Research):</t>
        </r>
        <r>
          <rPr>
            <sz val="9"/>
            <color indexed="81"/>
            <rFont val="Tahoma"/>
            <family val="2"/>
          </rPr>
          <t xml:space="preserve">
11/19/15: 60 bps of y/y decline driven by FX.  Merchandise margin deleveraged 240 bps (greatest pressure at BR). Rent &amp; occupancy deleveraged 50 bps.
8/20/15: rent and occupancy deleveraged 40 bps.  Merchandise margin decreased 160 bps, and was negatively impacted by ports and FX.</t>
        </r>
      </text>
    </comment>
    <comment ref="DF21" authorId="4">
      <text>
        <r>
          <rPr>
            <b/>
            <sz val="9"/>
            <color indexed="81"/>
            <rFont val="Tahoma"/>
            <family val="2"/>
          </rPr>
          <t>Baglione, Gregory  (Research):</t>
        </r>
        <r>
          <rPr>
            <sz val="9"/>
            <color indexed="81"/>
            <rFont val="Tahoma"/>
            <family val="2"/>
          </rPr>
          <t xml:space="preserve">
$15M  restructuring adjustment</t>
        </r>
      </text>
    </comment>
    <comment ref="DG21" authorId="4">
      <text>
        <r>
          <rPr>
            <b/>
            <sz val="9"/>
            <color indexed="81"/>
            <rFont val="Tahoma"/>
            <family val="2"/>
          </rPr>
          <t>Baglione, Gregory  (Research):</t>
        </r>
        <r>
          <rPr>
            <sz val="9"/>
            <color indexed="81"/>
            <rFont val="Tahoma"/>
            <family val="2"/>
          </rPr>
          <t xml:space="preserve">
</t>
        </r>
        <r>
          <rPr>
            <b/>
            <sz val="9"/>
            <color indexed="81"/>
            <rFont val="Tahoma"/>
            <family val="2"/>
          </rPr>
          <t>2Q16A:</t>
        </r>
        <r>
          <rPr>
            <sz val="9"/>
            <color indexed="81"/>
            <rFont val="Tahoma"/>
            <family val="2"/>
          </rPr>
          <t xml:space="preserve">  Merchandise margins in the quarter were up versus last year with positive average unit retail. And Old Navy, our largest brand, began to see signs of stabilization with a six-point improvement in comp versus Q1. Ad
</t>
        </r>
      </text>
    </comment>
    <comment ref="DH21" authorId="5">
      <text>
        <r>
          <rPr>
            <b/>
            <sz val="9"/>
            <color indexed="81"/>
            <rFont val="Tahoma"/>
            <family val="2"/>
          </rPr>
          <t>Cassel, Lauren (Research):</t>
        </r>
        <r>
          <rPr>
            <sz val="9"/>
            <color indexed="81"/>
            <rFont val="Tahoma"/>
            <family val="2"/>
          </rPr>
          <t xml:space="preserve">
5/17/17: merchandise margin +20 bps; ROD deleveraged -20 bps</t>
        </r>
      </text>
    </comment>
    <comment ref="DK21" authorId="5">
      <text>
        <r>
          <rPr>
            <b/>
            <sz val="9"/>
            <color indexed="81"/>
            <rFont val="Tahoma"/>
            <family val="2"/>
          </rPr>
          <t>Cassel, Lauren (Research):</t>
        </r>
        <r>
          <rPr>
            <sz val="9"/>
            <color indexed="81"/>
            <rFont val="Tahoma"/>
            <family val="2"/>
          </rPr>
          <t xml:space="preserve">
2/23/17: ROD will include preopening costs of flasghip Times Square which will open in 2H  </t>
        </r>
      </text>
    </comment>
    <comment ref="DL21" authorId="5">
      <text>
        <r>
          <rPr>
            <b/>
            <sz val="9"/>
            <color indexed="81"/>
            <rFont val="Tahoma"/>
            <family val="2"/>
          </rPr>
          <t>Cassel, Lauren (Research):</t>
        </r>
        <r>
          <rPr>
            <sz val="9"/>
            <color indexed="81"/>
            <rFont val="Tahoma"/>
            <family val="2"/>
          </rPr>
          <t xml:space="preserve">
8/17/17: merchandise margin +110 bps driven by positive AUR at gap and old navy; ROD leveraged 10 bps primarily driven by lower rent and occupancy costs as a result of international store closures, partially offset by the preopening costs associated with our Times Square flagship locations scheduled to open in 2H17 </t>
        </r>
      </text>
    </comment>
    <comment ref="BC22" authorId="18">
      <text>
        <r>
          <rPr>
            <sz val="8"/>
            <color indexed="81"/>
            <rFont val="Tahoma"/>
            <family val="2"/>
          </rPr>
          <t xml:space="preserve">
610 bps of MM improvement (Lack of $52 mm fabric writoff LY impact 140 bps)
150 bps decline in occupancy</t>
        </r>
      </text>
    </comment>
    <comment ref="BF22" authorId="9">
      <text>
        <r>
          <rPr>
            <b/>
            <sz val="8"/>
            <color indexed="81"/>
            <rFont val="Tahoma"/>
            <family val="2"/>
          </rPr>
          <t>Morry Brown:</t>
        </r>
        <r>
          <rPr>
            <sz val="8"/>
            <color indexed="81"/>
            <rFont val="Tahoma"/>
            <family val="2"/>
          </rPr>
          <t xml:space="preserve">
2402.027 prior to restate</t>
        </r>
      </text>
    </comment>
    <comment ref="BG22" authorId="18">
      <text>
        <r>
          <rPr>
            <sz val="8"/>
            <color indexed="81"/>
            <rFont val="Arial"/>
            <family val="2"/>
          </rPr>
          <t>38.5 est
MM improved 200 bps from more reg priced vs markdown selling, better reg price margins (less promos) and higher IMU, 80 bps lev of occ, depr</t>
        </r>
      </text>
    </comment>
    <comment ref="BJ22" authorId="9">
      <text>
        <r>
          <rPr>
            <b/>
            <sz val="8"/>
            <color indexed="81"/>
            <rFont val="Tahoma"/>
            <family val="2"/>
          </rPr>
          <t>Morry Brown:</t>
        </r>
        <r>
          <rPr>
            <sz val="8"/>
            <color indexed="81"/>
            <rFont val="Tahoma"/>
            <family val="2"/>
          </rPr>
          <t xml:space="preserve">
2413 prior to restatement</t>
        </r>
      </text>
    </comment>
    <comment ref="BK22" authorId="25">
      <text>
        <r>
          <rPr>
            <b/>
            <sz val="8"/>
            <color indexed="81"/>
            <rFont val="Tahoma"/>
            <family val="2"/>
          </rPr>
          <t>MS:</t>
        </r>
        <r>
          <rPr>
            <sz val="8"/>
            <color indexed="81"/>
            <rFont val="Tahoma"/>
            <family val="2"/>
          </rPr>
          <t xml:space="preserve">
8/19 had est 41.2
10/7 had 41.4 est, lowered due to lower comp and MM assumption (flat in Aug-Sept)</t>
        </r>
      </text>
    </comment>
    <comment ref="BL22" authorId="20">
      <text>
        <r>
          <rPr>
            <b/>
            <sz val="8"/>
            <color indexed="81"/>
            <rFont val="Tahoma"/>
            <family val="2"/>
          </rPr>
          <t>Kimberly Greenberger:</t>
        </r>
        <r>
          <rPr>
            <sz val="8"/>
            <color indexed="81"/>
            <rFont val="Tahoma"/>
            <family val="2"/>
          </rPr>
          <t xml:space="preserve">
+10 bps mdse margin
+40 bps lvg ROD</t>
        </r>
      </text>
    </comment>
    <comment ref="BO22" authorId="9">
      <text>
        <r>
          <rPr>
            <b/>
            <sz val="8"/>
            <color indexed="81"/>
            <rFont val="Tahoma"/>
            <family val="2"/>
          </rPr>
          <t>Morry Brown:</t>
        </r>
        <r>
          <rPr>
            <sz val="8"/>
            <color indexed="81"/>
            <rFont val="Tahoma"/>
            <family val="2"/>
          </rPr>
          <t xml:space="preserve">
-240 bps merch margin 
-80 bps rent, occ'cy &amp; depr'n delvgd 
-80 bps reclassification of select sourcing costs from SG&amp;A to COGS (~$30 million)
36.5 est</t>
        </r>
      </text>
    </comment>
    <comment ref="BP22" authorId="20">
      <text>
        <r>
          <rPr>
            <b/>
            <sz val="8"/>
            <color indexed="81"/>
            <rFont val="Tahoma"/>
            <family val="2"/>
          </rPr>
          <t>Kimberly Greenberger:</t>
        </r>
        <r>
          <rPr>
            <sz val="8"/>
            <color indexed="81"/>
            <rFont val="Tahoma"/>
            <family val="2"/>
          </rPr>
          <t xml:space="preserve">
8/19/05 assume -180 bps in line w/ 2Q deterioration
11/3/05 Sept and Oct sales calls indicated "mdse marg" meaningfully and significantly below LY, respectively, so lower to -285 bps</t>
        </r>
      </text>
    </comment>
    <comment ref="BR22" authorId="1">
      <text>
        <r>
          <rPr>
            <b/>
            <sz val="8"/>
            <color indexed="81"/>
            <rFont val="Tahoma"/>
            <family val="2"/>
          </rPr>
          <t>oc48540:</t>
        </r>
        <r>
          <rPr>
            <sz val="8"/>
            <color indexed="81"/>
            <rFont val="Tahoma"/>
            <family val="2"/>
          </rPr>
          <t xml:space="preserve">
$2415.5 before taking out F&amp;T</t>
        </r>
      </text>
    </comment>
    <comment ref="BS22" authorId="10">
      <text>
        <r>
          <rPr>
            <u/>
            <sz val="8"/>
            <color indexed="81"/>
            <rFont val="Tahoma"/>
            <family val="2"/>
          </rPr>
          <t>Aug Sept Oct (MM)</t>
        </r>
        <r>
          <rPr>
            <sz val="8"/>
            <color indexed="81"/>
            <rFont val="Tahoma"/>
            <family val="2"/>
          </rPr>
          <t xml:space="preserve">
Up /  Up / Up
+210bps:  Improvement from 20bps leverage on rent, occupancy and depr and 190bps from higher merchandise margins (60bps related to impact of reclassification of sourcing costs from op. expenses to COGS LY)</t>
        </r>
        <r>
          <rPr>
            <b/>
            <sz val="8"/>
            <color indexed="81"/>
            <rFont val="Tahoma"/>
            <family val="2"/>
          </rPr>
          <t xml:space="preserve">
mm98285:</t>
        </r>
        <r>
          <rPr>
            <sz val="8"/>
            <color indexed="81"/>
            <rFont val="Tahoma"/>
            <family val="2"/>
          </rPr>
          <t xml:space="preserve">
+130 bps merch margin
+20 bps leverage on rent, occ'cy, and depreciation
+60 bps reclassification of sourcing costs from SG&amp;A
to GM in 3Q05
RE: mdse marg - "up" Aug, "up" Sept, "up" Oct</t>
        </r>
      </text>
    </comment>
    <comment ref="BT22" authorId="21">
      <text>
        <r>
          <rPr>
            <b/>
            <sz val="8"/>
            <color indexed="81"/>
            <rFont val="Tahoma"/>
            <family val="2"/>
          </rPr>
          <t>kg51925:</t>
        </r>
        <r>
          <rPr>
            <sz val="8"/>
            <color indexed="81"/>
            <rFont val="Tahoma"/>
            <family val="2"/>
          </rPr>
          <t xml:space="preserve">
+130 bps if excl 3Q05 $30mm reclass b/t sg&amp;a and gm on sourcing costs</t>
        </r>
      </text>
    </comment>
    <comment ref="BV22" authorId="1">
      <text>
        <r>
          <rPr>
            <b/>
            <sz val="8"/>
            <color indexed="81"/>
            <rFont val="Tahoma"/>
            <family val="2"/>
          </rPr>
          <t>oc48540:</t>
        </r>
        <r>
          <rPr>
            <sz val="8"/>
            <color indexed="81"/>
            <rFont val="Tahoma"/>
            <family val="2"/>
          </rPr>
          <t xml:space="preserve">
Rext exp: 273
Advertising exp: 124</t>
        </r>
      </text>
    </comment>
    <comment ref="BW22" authorId="1">
      <text>
        <r>
          <rPr>
            <sz val="8"/>
            <color indexed="81"/>
            <rFont val="Tahoma"/>
            <family val="2"/>
          </rPr>
          <t>higher merchandise margins (+100 bps) were offset by 90 bps of occupancy deleverage.</t>
        </r>
        <r>
          <rPr>
            <b/>
            <sz val="8"/>
            <color indexed="81"/>
            <rFont val="Tahoma"/>
            <family val="2"/>
          </rPr>
          <t xml:space="preserve">
Aug MM:</t>
        </r>
        <r>
          <rPr>
            <sz val="8"/>
            <color indexed="81"/>
            <rFont val="Tahoma"/>
            <family val="2"/>
          </rPr>
          <t xml:space="preserve"> Down (vs. strong full price sales LY given heavy clearance in July)
</t>
        </r>
        <r>
          <rPr>
            <b/>
            <sz val="8"/>
            <color indexed="81"/>
            <rFont val="Tahoma"/>
            <family val="2"/>
          </rPr>
          <t>Sept MM:</t>
        </r>
        <r>
          <rPr>
            <sz val="8"/>
            <color indexed="81"/>
            <rFont val="Tahoma"/>
            <family val="2"/>
          </rPr>
          <t xml:space="preserve"> flat (promo activity ~in line with LY)
</t>
        </r>
        <r>
          <rPr>
            <b/>
            <sz val="8"/>
            <color indexed="81"/>
            <rFont val="Tahoma"/>
            <family val="2"/>
          </rPr>
          <t>Oct MM:</t>
        </r>
        <r>
          <rPr>
            <sz val="8"/>
            <color indexed="81"/>
            <rFont val="Tahoma"/>
            <family val="2"/>
          </rPr>
          <t xml:space="preserve"> "Up Signficantly"        we est down on incremental ON promo (2 more promos than Lmonth)  (Stuff and Save moved from 11-1 to 10-26)</t>
        </r>
      </text>
    </comment>
    <comment ref="BZ22" authorId="1">
      <text>
        <r>
          <rPr>
            <b/>
            <sz val="8"/>
            <color indexed="81"/>
            <rFont val="Tahoma"/>
            <family val="2"/>
          </rPr>
          <t>oc48540:</t>
        </r>
        <r>
          <rPr>
            <sz val="8"/>
            <color indexed="81"/>
            <rFont val="Tahoma"/>
            <family val="2"/>
          </rPr>
          <t xml:space="preserve">
Rext exp: 279
Advertising exp: 121</t>
        </r>
      </text>
    </comment>
    <comment ref="CA22" authorId="1">
      <text>
        <r>
          <rPr>
            <sz val="8"/>
            <color indexed="81"/>
            <rFont val="Tahoma"/>
            <family val="2"/>
          </rPr>
          <t>Gross margin increased +115 bps to 38.7%. Gross margin benefited from
~+270 bps of merchandise margin improvement which was partially offset
by ~-150 bps occupancy deleverage (on the -12% comp).</t>
        </r>
        <r>
          <rPr>
            <b/>
            <sz val="8"/>
            <color indexed="81"/>
            <rFont val="Tahoma"/>
            <family val="2"/>
          </rPr>
          <t xml:space="preserve">
oc48540:</t>
        </r>
        <r>
          <rPr>
            <sz val="8"/>
            <color indexed="81"/>
            <rFont val="Tahoma"/>
            <family val="2"/>
          </rPr>
          <t xml:space="preserve">
Aug MM = "Above" LY We believe "up"
Sept MM = "Signficantly Above" LY
Oct MM = "Signficantly Above"
</t>
        </r>
      </text>
    </comment>
    <comment ref="CD22" authorId="1">
      <text>
        <r>
          <rPr>
            <b/>
            <sz val="8"/>
            <color indexed="81"/>
            <rFont val="Tahoma"/>
            <family val="2"/>
          </rPr>
          <t>oc48540:</t>
        </r>
        <r>
          <rPr>
            <sz val="8"/>
            <color indexed="81"/>
            <rFont val="Tahoma"/>
            <family val="2"/>
          </rPr>
          <t xml:space="preserve">
Rext exp: 278
Advertising exp: 141</t>
        </r>
      </text>
    </comment>
    <comment ref="CE22" authorId="28">
      <text>
        <r>
          <rPr>
            <sz val="8"/>
            <color indexed="81"/>
            <rFont val="Tahoma"/>
            <family val="2"/>
          </rPr>
          <t>GM: +380bps  
Merchandise margins rose +360bps (on greater full price selling and higher margins on promotions)
favorable occupancy leverage +20bps
(impressive on flat comp)</t>
        </r>
        <r>
          <rPr>
            <b/>
            <sz val="8"/>
            <color indexed="81"/>
            <rFont val="Tahoma"/>
            <family val="2"/>
          </rPr>
          <t xml:space="preserve">
</t>
        </r>
        <r>
          <rPr>
            <sz val="8"/>
            <color indexed="81"/>
            <rFont val="Tahoma"/>
            <family val="2"/>
          </rPr>
          <t xml:space="preserve">
MM:
Oct: sign. above LY 
Sept sign above ly (we est &gt; 200 bps)
August: sign above ly</t>
        </r>
      </text>
    </comment>
    <comment ref="CI22" authorId="2">
      <text>
        <r>
          <rPr>
            <b/>
            <sz val="8"/>
            <color indexed="81"/>
            <rFont val="Tahoma"/>
            <family val="2"/>
          </rPr>
          <t>nicholjs:</t>
        </r>
        <r>
          <rPr>
            <sz val="8"/>
            <color indexed="81"/>
            <rFont val="Tahoma"/>
            <family val="2"/>
          </rPr>
          <t xml:space="preserve">
-180 bps MM, +50 bps occupancy leverage
11/2010: est +20 bps occup lvg offset by mdse margin erosion -75 bps
merchandise margins below LY for the quarter
10/2010: as a result of softer sales in  (Sept), will experience some pressure in Oct as we clear through fall inventory, maybe offset by ~20bps of leverage B+O on flat 3Q comp </t>
        </r>
      </text>
    </comment>
    <comment ref="CM22" authorId="2">
      <text>
        <r>
          <rPr>
            <sz val="8"/>
            <color indexed="81"/>
            <rFont val="Tahoma"/>
            <family val="2"/>
          </rPr>
          <t>merchandise margins were down 400 bps and rent and occupancy deleveraged 50 bps.  "As we foreshadowed all year, though our average unitl retails were up, the increase was not enough to offset even higher average unit costs.</t>
        </r>
      </text>
    </comment>
    <comment ref="CQ22" authorId="24">
      <text>
        <r>
          <rPr>
            <b/>
            <sz val="8"/>
            <color indexed="81"/>
            <rFont val="Tahoma"/>
            <family val="2"/>
          </rPr>
          <t>casselau:</t>
        </r>
        <r>
          <rPr>
            <sz val="8"/>
            <color indexed="81"/>
            <rFont val="Tahoma"/>
            <family val="2"/>
          </rPr>
          <t xml:space="preserve">
11/15: merchandise margins +330bps driven primarily by decreases in AUC; rent and occupancy leveraged 120 bps; AURs up very slightly (Gap and Banana better than ON) 
</t>
        </r>
        <r>
          <rPr>
            <b/>
            <sz val="8"/>
            <color indexed="81"/>
            <rFont val="Tahoma"/>
            <family val="2"/>
          </rPr>
          <t xml:space="preserve">antons: 
</t>
        </r>
        <r>
          <rPr>
            <sz val="8"/>
            <color indexed="81"/>
            <rFont val="Tahoma"/>
            <family val="2"/>
          </rPr>
          <t>From 3Q12 Conf. call - CFO - GM up 450 bps on merch. Margins (+330 bps) and R&amp;O leverage (+120 bps). "Gross profit dollars grew by 21% to $1.6 billion. Third quarter gross margin was up 450 basis points to 41.2%. Our merchandise margins were up 330 basis points driven primarily by decreases in average unit costs. Rent and occupancy leveraged 120 basis points."</t>
        </r>
      </text>
    </comment>
    <comment ref="CR22" authorId="16">
      <text>
        <r>
          <rPr>
            <sz val="8"/>
            <color indexed="81"/>
            <rFont val="Tahoma"/>
            <family val="2"/>
          </rPr>
          <t>5/17/2012: "While we're confident that our average unit costs on like-for-like product will improve in the second half of 2012, as we noted on our last earnings call, this benefit will be partially offset by select reinvestments into product quality as well as changes in the mix of our product assortment. With regard to occupancy costs, we continue to expect leverage on positive comps, but as I just mentioned, we would caution against extrapolating the magnitude of leverage in the first quarter."</t>
        </r>
      </text>
    </comment>
    <comment ref="CU22" authorId="0">
      <text>
        <r>
          <rPr>
            <b/>
            <sz val="8"/>
            <color indexed="81"/>
            <rFont val="Tahoma"/>
            <family val="2"/>
          </rPr>
          <t>turleamb:</t>
        </r>
        <r>
          <rPr>
            <sz val="8"/>
            <color indexed="81"/>
            <rFont val="Tahoma"/>
            <family val="2"/>
          </rPr>
          <t xml:space="preserve">
11/21/13: merch margins -140 bps driven by promotional activity. Partially offset by rent and occupancy leverage of 20 bps. AUR down. Traffic, driven largely by stronger dip in Sept, also negative. Levers that supported comp were conversion and UPT</t>
        </r>
      </text>
    </comment>
    <comment ref="CY22" authorId="8">
      <text>
        <r>
          <rPr>
            <b/>
            <sz val="9"/>
            <color indexed="81"/>
            <rFont val="Tahoma"/>
            <family val="2"/>
          </rPr>
          <t>Turley, Amber (Research):</t>
        </r>
        <r>
          <rPr>
            <sz val="9"/>
            <color indexed="81"/>
            <rFont val="Tahoma"/>
            <family val="2"/>
          </rPr>
          <t xml:space="preserve">
11/20/14: Merch margin in 3Q +90 bps (Old Navy drove it), ROD -70 bps y/y. Note that $40M credit card income moved into gross margin this year but wasn't in last year and accounted for +100 bps increase. Underlying GM fell 80 bps. Also, merchandise margin benefited from better than expected shrink and shipping (likely due to lower eComm sales) and aren't expected be replicated in 4Q.
11/6/14: Expect GM to be better compared to guidance given in Sept sales announcement. 
10/9/14: GPS pre-announced GM moderately below LY drive by under-performance at Gap brand. 
This estiamte assumes 30-40 bps ROD de-leverage and ~10-20 bps merch margin decline (150 -160 bps merch mergin decline on a 2 yr stack)</t>
        </r>
      </text>
    </comment>
    <comment ref="DB22" authorId="4">
      <text>
        <r>
          <rPr>
            <b/>
            <sz val="9"/>
            <color indexed="81"/>
            <rFont val="Tahoma"/>
            <family val="2"/>
          </rPr>
          <t>Baglione, Gregory  (Research):</t>
        </r>
        <r>
          <rPr>
            <sz val="9"/>
            <color indexed="81"/>
            <rFont val="Tahoma"/>
            <family val="2"/>
          </rPr>
          <t xml:space="preserve">
11/19/15
includes $6M from strategic actions </t>
        </r>
      </text>
    </comment>
    <comment ref="DC22" authorId="4">
      <text>
        <r>
          <rPr>
            <b/>
            <sz val="9"/>
            <color indexed="81"/>
            <rFont val="Tahoma"/>
            <family val="2"/>
          </rPr>
          <t>Baglione, Gregory  (Research):</t>
        </r>
        <r>
          <rPr>
            <sz val="9"/>
            <color indexed="81"/>
            <rFont val="Tahoma"/>
            <family val="2"/>
          </rPr>
          <t xml:space="preserve">
10/9/15- Per updated guidance on the Sept sales call back, 3Q GM likely similar rate to 2Q's  37.4% Reducing GM to 37.4% from 39.7%
11/9/15
Lowered from 37.4% due to weaker than expected October sales and greater promotional activity than anticipated.
11/19/15
FX 60 bps
MM -240 bps
B&amp;O 50 bps</t>
        </r>
      </text>
    </comment>
    <comment ref="DG22" authorId="4">
      <text>
        <r>
          <rPr>
            <b/>
            <sz val="9"/>
            <color indexed="81"/>
            <rFont val="Tahoma"/>
            <family val="2"/>
          </rPr>
          <t>Baglione, Gregory  (Research):</t>
        </r>
        <r>
          <rPr>
            <sz val="9"/>
            <color indexed="81"/>
            <rFont val="Tahoma"/>
            <family val="2"/>
          </rPr>
          <t xml:space="preserve">
11/17/16
We were pleased that third-quarter gross margin was up 200 basis points over last year, largely driven by Old Navy. Merchandise margins expanded 220 basis points and rent and occupancy deleveraged 20 basis points.
**includes $7M credit. Confirmed with management. Excluding this GM was only up +160 bps
10/6/16
</t>
        </r>
        <r>
          <rPr>
            <b/>
            <sz val="9"/>
            <color indexed="81"/>
            <rFont val="Tahoma"/>
            <family val="2"/>
          </rPr>
          <t xml:space="preserve">September Monthly Sales </t>
        </r>
        <r>
          <rPr>
            <sz val="9"/>
            <color indexed="81"/>
            <rFont val="Tahoma"/>
            <family val="2"/>
          </rPr>
          <t xml:space="preserve">
The company noted that September merchandise margin rates actualized significantly higher than previously forecasted, which more than offset the estimated earnings impact from lost sales and increased logistics costs during the month that resulted from the Fishkill distribution center fire.
-We are raising our GM guidance given September's positive merchandise margin, which we think will likely continue into October.
Previous GM: 37.2%
Updated GM: 37.6
</t>
        </r>
      </text>
    </comment>
    <comment ref="DK22" authorId="6">
      <text>
        <r>
          <rPr>
            <b/>
            <sz val="9"/>
            <color indexed="81"/>
            <rFont val="Tahoma"/>
            <family val="2"/>
          </rPr>
          <t>De Courreges, Edouard (Research):</t>
        </r>
        <r>
          <rPr>
            <sz val="9"/>
            <color indexed="81"/>
            <rFont val="Tahoma"/>
            <family val="2"/>
          </rPr>
          <t xml:space="preserve">
merchandise margin flat, 60 bps leverage ROD; 3c insurance proceeds benefit flows through GM (intended to offset elevated logistic costs)</t>
        </r>
      </text>
    </comment>
    <comment ref="DL22" authorId="5">
      <text>
        <r>
          <rPr>
            <b/>
            <sz val="9"/>
            <color indexed="81"/>
            <rFont val="Tahoma"/>
            <family val="2"/>
          </rPr>
          <t xml:space="preserve">Cassel, Lauren (Research):
8/17/17: assume +50 bps ROD leverage offset by -20 bps merch margin decline </t>
        </r>
      </text>
    </comment>
    <comment ref="AY23" authorId="18">
      <text>
        <r>
          <rPr>
            <sz val="8"/>
            <color indexed="81"/>
            <rFont val="Tahoma"/>
            <family val="2"/>
          </rPr>
          <t xml:space="preserve">
MM down 710 bps</t>
        </r>
      </text>
    </comment>
    <comment ref="BC23" authorId="14">
      <text>
        <r>
          <rPr>
            <sz val="8"/>
            <color indexed="81"/>
            <rFont val="Tahoma"/>
            <family val="2"/>
          </rPr>
          <t xml:space="preserve">
incl 75 bps neg lvg or 2c from extra freight due to dock strike, had 34 
800 bps of increase in MM and 190 from leverage of occupancy and depreciation</t>
        </r>
      </text>
    </comment>
    <comment ref="BF23" authorId="9">
      <text>
        <r>
          <rPr>
            <b/>
            <sz val="8"/>
            <color indexed="81"/>
            <rFont val="Tahoma"/>
            <family val="2"/>
          </rPr>
          <t>Morry Brown:</t>
        </r>
        <r>
          <rPr>
            <sz val="8"/>
            <color indexed="81"/>
            <rFont val="Tahoma"/>
            <family val="2"/>
          </rPr>
          <t xml:space="preserve">
3049.225 prior to restate</t>
        </r>
      </text>
    </comment>
    <comment ref="BG23" authorId="18">
      <text>
        <r>
          <rPr>
            <sz val="8"/>
            <color indexed="81"/>
            <rFont val="Tahoma"/>
            <family val="2"/>
          </rPr>
          <t>38.5
200 bps incrase in MM, remainder from lev of ROD</t>
        </r>
      </text>
    </comment>
    <comment ref="BJ23" authorId="9">
      <text>
        <r>
          <rPr>
            <b/>
            <sz val="8"/>
            <color indexed="81"/>
            <rFont val="Tahoma"/>
            <family val="2"/>
          </rPr>
          <t>Morry Brown:</t>
        </r>
        <r>
          <rPr>
            <sz val="8"/>
            <color indexed="81"/>
            <rFont val="Tahoma"/>
            <family val="2"/>
          </rPr>
          <t xml:space="preserve">
3108 prior to restatement</t>
        </r>
      </text>
    </comment>
    <comment ref="BK23" authorId="25">
      <text>
        <r>
          <rPr>
            <b/>
            <sz val="8"/>
            <color indexed="81"/>
            <rFont val="Tahoma"/>
            <family val="2"/>
          </rPr>
          <t>MS:</t>
        </r>
        <r>
          <rPr>
            <sz val="8"/>
            <color indexed="81"/>
            <rFont val="Tahoma"/>
            <family val="2"/>
          </rPr>
          <t xml:space="preserve">
8/19 had est 40.0
11/17 Had 39.4 est, lowered to reflect more conservative assumption given 3Q
12/2 had 39.1%</t>
        </r>
      </text>
    </comment>
    <comment ref="BL23" authorId="20">
      <text>
        <r>
          <rPr>
            <b/>
            <sz val="8"/>
            <color indexed="81"/>
            <rFont val="Tahoma"/>
            <family val="2"/>
          </rPr>
          <t>Kimberly Greenberger:</t>
        </r>
        <r>
          <rPr>
            <sz val="8"/>
            <color indexed="81"/>
            <rFont val="Tahoma"/>
            <family val="2"/>
          </rPr>
          <t xml:space="preserve">
-50 bps mdse marg
-50 bps neg lvg ROD</t>
        </r>
      </text>
    </comment>
    <comment ref="BO23" authorId="10">
      <text>
        <r>
          <rPr>
            <b/>
            <sz val="8"/>
            <color indexed="81"/>
            <rFont val="Tahoma"/>
            <family val="2"/>
          </rPr>
          <t>mm98285:</t>
        </r>
        <r>
          <rPr>
            <sz val="8"/>
            <color indexed="81"/>
            <rFont val="Tahoma"/>
            <family val="2"/>
          </rPr>
          <t xml:space="preserve">
-150 bps merchandise margin
-130 bps rent, occp'cy, dept'n delvg
(incl. 100 bps of which was due to a change in amortization of lease rights of stores in France).  </t>
        </r>
      </text>
    </comment>
    <comment ref="BR23" authorId="1">
      <text>
        <r>
          <rPr>
            <b/>
            <sz val="8"/>
            <color indexed="81"/>
            <rFont val="Tahoma"/>
            <family val="2"/>
          </rPr>
          <t>oc48540:</t>
        </r>
        <r>
          <rPr>
            <sz val="8"/>
            <color indexed="81"/>
            <rFont val="Tahoma"/>
            <family val="2"/>
          </rPr>
          <t xml:space="preserve">
$3327 before stripping out F&amp;T</t>
        </r>
      </text>
    </comment>
    <comment ref="BS23" authorId="21">
      <text>
        <r>
          <rPr>
            <sz val="8"/>
            <color indexed="81"/>
            <rFont val="Tahoma"/>
            <family val="2"/>
          </rPr>
          <t>-150bps: GM decrease due to 290bps from lower merch margins partially offset by 140bps from occupancy expense leveraging driven by 53rd week and $50mm 4Q05 from change in amort of lease rights in France</t>
        </r>
        <r>
          <rPr>
            <b/>
            <sz val="8"/>
            <color indexed="81"/>
            <rFont val="Tahoma"/>
            <family val="2"/>
          </rPr>
          <t xml:space="preserve">
kg51925: </t>
        </r>
        <r>
          <rPr>
            <sz val="8"/>
            <color indexed="81"/>
            <rFont val="Tahoma"/>
            <family val="2"/>
          </rPr>
          <t>We estimate:
-300 bps mdse marg
+20 bps rent, occup, depc'n lvg = 3Q
+100 bps occup elim 1x charge France lease amort change acctg in 4Q05
EQUALS -180bps est GM
RE: mdse marg - "down" Nov, "down sig." Dec, "down sig." Jan</t>
        </r>
      </text>
    </comment>
    <comment ref="BT23" authorId="21">
      <text>
        <r>
          <rPr>
            <b/>
            <sz val="8"/>
            <color indexed="81"/>
            <rFont val="Tahoma"/>
            <family val="2"/>
          </rPr>
          <t>kg51925:</t>
        </r>
        <r>
          <rPr>
            <sz val="8"/>
            <color indexed="81"/>
            <rFont val="Tahoma"/>
            <family val="2"/>
          </rPr>
          <t xml:space="preserve">
assume GM +120 bps on reclass b/t sg&amp;a and gm for sourcing costs partially OFFSET by a 70 bps decline in merch margin</t>
        </r>
      </text>
    </comment>
    <comment ref="BV23" authorId="11">
      <text>
        <r>
          <rPr>
            <sz val="8"/>
            <color indexed="81"/>
            <rFont val="Tahoma"/>
            <family val="2"/>
          </rPr>
          <t>Rext exp: 283
Advertising exp: 149</t>
        </r>
        <r>
          <rPr>
            <b/>
            <sz val="8"/>
            <color indexed="81"/>
            <rFont val="Tahoma"/>
            <family val="2"/>
          </rPr>
          <t xml:space="preserve">
OC48540:</t>
        </r>
        <r>
          <rPr>
            <sz val="8"/>
            <color indexed="81"/>
            <rFont val="Tahoma"/>
            <family val="2"/>
          </rPr>
          <t xml:space="preserve">
Old Navy December sales = margin headwinds took action in Jan… 2 weeks of additional action</t>
        </r>
      </text>
    </comment>
    <comment ref="BW23" authorId="11">
      <text>
        <r>
          <rPr>
            <sz val="8"/>
            <color indexed="81"/>
            <rFont val="Tahoma"/>
            <family val="2"/>
          </rPr>
          <t>Gross margin increased +215 bps to 34.8% as an impressive ~+370bps increase in merchandise margin was partially offset by ~-150 bps of occupancy
deleverage (-80 bps of the occupancy deleverage was due to not having the
extra week of sales vs. LY).
Nov: merch margins "up significantly"
Dec: merc margins "up significantly"
Jan: merc margins "up slightly"
Assume +30bps overall ties to +130MM and -100bps occupancy deleverage (35bps ROD delvg for loss of extra week and 65bps avg ROD delvg run rate from 2Q-3Q)</t>
        </r>
      </text>
    </comment>
    <comment ref="BZ23" authorId="1">
      <text>
        <r>
          <rPr>
            <b/>
            <sz val="8"/>
            <color indexed="81"/>
            <rFont val="Tahoma"/>
            <family val="2"/>
          </rPr>
          <t>oc48540:</t>
        </r>
        <r>
          <rPr>
            <sz val="8"/>
            <color indexed="81"/>
            <rFont val="Tahoma"/>
            <family val="2"/>
          </rPr>
          <t xml:space="preserve">
Rext exp: 277
Advertising exp: 139</t>
        </r>
      </text>
    </comment>
    <comment ref="CA23" authorId="28">
      <text>
        <r>
          <rPr>
            <sz val="8"/>
            <color indexed="81"/>
            <rFont val="Tahoma"/>
            <family val="2"/>
          </rPr>
          <t>Gross margin decreased -75 bps to 34.0%. Gross margin benefited from
~+80 bps of merchandise margin improvement which was partially offset by
~-160 bps occupancy deleverage (on the -14% comp).</t>
        </r>
        <r>
          <rPr>
            <b/>
            <sz val="8"/>
            <color indexed="81"/>
            <rFont val="Tahoma"/>
            <family val="2"/>
          </rPr>
          <t xml:space="preserve">
TI23070:</t>
        </r>
        <r>
          <rPr>
            <sz val="8"/>
            <color indexed="81"/>
            <rFont val="Tahoma"/>
            <family val="2"/>
          </rPr>
          <t xml:space="preserve">
December: Merch marg below last year
November merch marg: Below LY. Nov 07 was highest in at least 8 years.
Jan: Merch margin sign. Above LY</t>
        </r>
      </text>
    </comment>
    <comment ref="CB23" authorId="21">
      <text>
        <r>
          <rPr>
            <b/>
            <sz val="8"/>
            <color indexed="81"/>
            <rFont val="Tahoma"/>
            <family val="2"/>
          </rPr>
          <t>kg51925:</t>
        </r>
        <r>
          <rPr>
            <sz val="8"/>
            <color indexed="81"/>
            <rFont val="Tahoma"/>
            <family val="2"/>
          </rPr>
          <t xml:space="preserve">
we assume -105bps occup delvg &amp; flat mdse margin (Nov &amp; Dec "down", Jan "up signif"
we est -100, -100, +400</t>
        </r>
      </text>
    </comment>
    <comment ref="CE23" authorId="28">
      <text>
        <r>
          <rPr>
            <sz val="8"/>
            <color indexed="81"/>
            <rFont val="Tahoma"/>
            <family val="2"/>
          </rPr>
          <t xml:space="preserve">GM increased +550bps to 39.5%.  Merchandise margins rose 500bps and the company also achieved 50bps of occupancy leverage. 
</t>
        </r>
        <r>
          <rPr>
            <sz val="8"/>
            <color indexed="81"/>
            <rFont val="Tahoma"/>
            <family val="2"/>
          </rPr>
          <t xml:space="preserve">
MM:
November: significantly above LY
December: significantly above LY
January: significantly above LY</t>
        </r>
      </text>
    </comment>
    <comment ref="CI23" authorId="2">
      <text>
        <r>
          <rPr>
            <b/>
            <sz val="8"/>
            <color indexed="81"/>
            <rFont val="Tahoma"/>
            <family val="2"/>
          </rPr>
          <t>nicholjs:</t>
        </r>
        <r>
          <rPr>
            <sz val="8"/>
            <color indexed="81"/>
            <rFont val="Tahoma"/>
            <family val="2"/>
          </rPr>
          <t xml:space="preserve">
-160 bps MM
+40 bps rent and occupancy leverage</t>
        </r>
      </text>
    </comment>
    <comment ref="CN23" authorId="16">
      <text>
        <r>
          <rPr>
            <sz val="8"/>
            <color indexed="81"/>
            <rFont val="Tahoma"/>
            <family val="2"/>
          </rPr>
          <t>2/24/12: "For the fourth quarter, gross margin was down 540 basis points, to 32.8%. Merchandise margins were down 500 basis points, while rent and occupancy deleveraged by 40 basis points"</t>
        </r>
      </text>
    </comment>
    <comment ref="CQ23" authorId="16">
      <text>
        <r>
          <rPr>
            <b/>
            <sz val="8"/>
            <color indexed="81"/>
            <rFont val="Tahoma"/>
            <family val="2"/>
          </rPr>
          <t>solejay:</t>
        </r>
        <r>
          <rPr>
            <sz val="8"/>
            <color indexed="81"/>
            <rFont val="Tahoma"/>
            <family val="2"/>
          </rPr>
          <t xml:space="preserve">
GPS gained 140 bps of leverage during the 53rd week in 2006, so we are giving the same credit here (split between COGS and SG&amp;A).  It amounts to a $70mn benefit and assumes fixed costs are leveraged (rent, marketing, and corp):  ~27.5% of costs are leveraged.</t>
        </r>
      </text>
    </comment>
    <comment ref="CR23" authorId="16">
      <text>
        <r>
          <rPr>
            <sz val="8"/>
            <color indexed="81"/>
            <rFont val="Tahoma"/>
            <family val="2"/>
          </rPr>
          <t>5/17/2012: "While we're confident that our average unit costs on like-for-like product will improve in the second half of 2012, as we noted on our last earnings call, this benefit will be partially offset by select reinvestments into product quality as well as changes in the mix of our product assortment. With regard to occupancy costs, we continue to expect leverage on positive comps, but as I just mentioned, we would caution against extrapolating the magnitude of leverage in the first quarter."</t>
        </r>
      </text>
    </comment>
    <comment ref="CU23" authorId="0">
      <text>
        <r>
          <rPr>
            <b/>
            <sz val="8"/>
            <color indexed="81"/>
            <rFont val="Tahoma"/>
            <family val="2"/>
          </rPr>
          <t xml:space="preserve">turleamb:
</t>
        </r>
        <r>
          <rPr>
            <sz val="8"/>
            <color indexed="81"/>
            <rFont val="Tahoma"/>
            <family val="2"/>
          </rPr>
          <t>2/27/14: merch margins -220 bps driven by promotional holiday, ROD de-levered 60 bps due to lack of 53rd week</t>
        </r>
        <r>
          <rPr>
            <sz val="8"/>
            <color indexed="81"/>
            <rFont val="Tahoma"/>
            <family val="2"/>
          </rPr>
          <t xml:space="preserve">
11/21/13: assume continuation of promotional environment. Unlikely to leverage rent &amp; occupancy due to lack of sales in 53rd week LY</t>
        </r>
      </text>
    </comment>
    <comment ref="CY23" authorId="8">
      <text>
        <r>
          <rPr>
            <b/>
            <sz val="9"/>
            <color indexed="81"/>
            <rFont val="Tahoma"/>
            <family val="2"/>
          </rPr>
          <t>Turley, Amber (Research):</t>
        </r>
        <r>
          <rPr>
            <sz val="9"/>
            <color indexed="81"/>
            <rFont val="Tahoma"/>
            <family val="2"/>
          </rPr>
          <t xml:space="preserve">
2/26/15: merch margin +60 bps (note ~$40M credit card income boosted merch margin 85 bps) and occupancy de-leveraged 20 bps
Yen 12% depreciation from 3Q so they expect F/X to more negatively impact 4Q GM than 3Q. 
This estimate assumes ~30 bps merch margin de-leverage and 60 bps merch margin improvement (160 bps merch margin decline on a 2 yr stack)</t>
        </r>
      </text>
    </comment>
    <comment ref="DB23" authorId="4">
      <text>
        <r>
          <rPr>
            <b/>
            <sz val="9"/>
            <color indexed="81"/>
            <rFont val="Tahoma"/>
            <family val="2"/>
          </rPr>
          <t>Baglione, Gregory  (Research):</t>
        </r>
        <r>
          <rPr>
            <sz val="9"/>
            <color indexed="81"/>
            <rFont val="Tahoma"/>
            <family val="2"/>
          </rPr>
          <t xml:space="preserve">
2/25/16
$6M COGS Charge</t>
        </r>
      </text>
    </comment>
    <comment ref="DC23" authorId="4">
      <text>
        <r>
          <rPr>
            <b/>
            <sz val="9"/>
            <color indexed="81"/>
            <rFont val="Tahoma"/>
            <family val="2"/>
          </rPr>
          <t>Baglione, Gregory  (Research):</t>
        </r>
        <r>
          <rPr>
            <sz val="9"/>
            <color indexed="81"/>
            <rFont val="Tahoma"/>
            <family val="2"/>
          </rPr>
          <t xml:space="preserve">
2/25/16
-Merchandise margin decline 140 bps (-80 bps elss strategic actions and FX)
Rent and occupancy deleverage 100 bps
-
11/9/15
Lowering 4Q GM to 33.9% from 34.2% to reflect greater GM pressure YTD.
11/19/15
Updating 3Q GM to 33.0% vs. 33.9%</t>
        </r>
      </text>
    </comment>
    <comment ref="DG23" authorId="4">
      <text>
        <r>
          <rPr>
            <b/>
            <sz val="9"/>
            <color indexed="81"/>
            <rFont val="Tahoma"/>
            <family val="2"/>
          </rPr>
          <t>2/23/17: merchandise margin +50 bps; ROD leveraged 60 bps; positive AUR at all brands
Baglione, Gregory  (Research):</t>
        </r>
        <r>
          <rPr>
            <sz val="9"/>
            <color indexed="81"/>
            <rFont val="Tahoma"/>
            <family val="2"/>
          </rPr>
          <t xml:space="preserve">
</t>
        </r>
        <r>
          <rPr>
            <b/>
            <sz val="9"/>
            <color indexed="81"/>
            <rFont val="Tahoma"/>
            <family val="2"/>
          </rPr>
          <t xml:space="preserve">2/6/17 - Jan Sales </t>
        </r>
        <r>
          <rPr>
            <sz val="9"/>
            <color indexed="81"/>
            <rFont val="Tahoma"/>
            <family val="2"/>
          </rPr>
          <t xml:space="preserve">
previous: 33.3%
current: 33.6% 
We model:
+130 bps MM 
-60 bps occupancy
-10 to 20 bps of pre opening expenses related to Flag ship stores. 
11/17/16
Updated gross margin forecast= 33.3% (+30 bps)
We model: 
+100 bps MM
- 60 bps occupancy
-10 to 20 bps of pre opening expenses related to Flag ship stores. 
11/18/15
~30 bps B&amp;O pressure
~30 bps FX pressure
~150 bps MM recovery (more meaningful here due to potential product recovery)
2/25/16 3-year stack -100 bps</t>
        </r>
      </text>
    </comment>
    <comment ref="DK23" authorId="6">
      <text>
        <r>
          <rPr>
            <b/>
            <sz val="9"/>
            <color indexed="81"/>
            <rFont val="Tahoma"/>
            <family val="2"/>
          </rPr>
          <t>De Courreges, Edouard (Research):</t>
        </r>
        <r>
          <rPr>
            <sz val="9"/>
            <color indexed="81"/>
            <rFont val="Tahoma"/>
            <family val="2"/>
          </rPr>
          <t xml:space="preserve">
2/28/18
GM an adjusted rate at the highest fourth quarter level since 2012. When excluding 2016 restructuring costs, fourth quarter gross margin was up 310 basis points from last year to 36.8%. Excluding 2016 restructuring costs, merchandise margin expanded 180 basis points versus last year. 
We saw a higher percentage of sales at reg price, an indicator of underlying health in the business. Excluding 2016 restructuring costs, rent and occupancy leveraged 130 basis points, primarily driven by sales growth. For the full year, gross profit was $6.1 billion and gross margin was up 200 basis points to last year excluding the 2016 restructuring costs. On the same basis, merch margin was up 120 basis points and rent and occupancy leveraged 80 basis points. 
</t>
        </r>
      </text>
    </comment>
    <comment ref="BF24" authorId="1">
      <text>
        <r>
          <rPr>
            <b/>
            <sz val="8"/>
            <color indexed="81"/>
            <rFont val="Tahoma"/>
            <family val="2"/>
          </rPr>
          <t>oc48540:</t>
        </r>
        <r>
          <rPr>
            <sz val="8"/>
            <color indexed="81"/>
            <rFont val="Tahoma"/>
            <family val="2"/>
          </rPr>
          <t xml:space="preserve">
Rext exp: 954
Advertising exp: 509</t>
        </r>
      </text>
    </comment>
    <comment ref="BJ24" authorId="1">
      <text>
        <r>
          <rPr>
            <b/>
            <sz val="8"/>
            <color indexed="81"/>
            <rFont val="Tahoma"/>
            <family val="2"/>
          </rPr>
          <t>oc48540:</t>
        </r>
        <r>
          <rPr>
            <sz val="8"/>
            <color indexed="81"/>
            <rFont val="Tahoma"/>
            <family val="2"/>
          </rPr>
          <t xml:space="preserve">
Rext exp: 967
Advertising exp: 528</t>
        </r>
      </text>
    </comment>
    <comment ref="BN24" authorId="1">
      <text>
        <r>
          <rPr>
            <b/>
            <sz val="8"/>
            <color indexed="81"/>
            <rFont val="Tahoma"/>
            <family val="2"/>
          </rPr>
          <t>oc48540:</t>
        </r>
        <r>
          <rPr>
            <sz val="8"/>
            <color indexed="81"/>
            <rFont val="Tahoma"/>
            <family val="2"/>
          </rPr>
          <t xml:space="preserve">
Rext exp: 1005
Advertising exp: 510</t>
        </r>
      </text>
    </comment>
    <comment ref="BR24" authorId="1">
      <text>
        <r>
          <rPr>
            <b/>
            <sz val="8"/>
            <color indexed="81"/>
            <rFont val="Tahoma"/>
            <family val="2"/>
          </rPr>
          <t>oc48540:</t>
        </r>
        <r>
          <rPr>
            <sz val="8"/>
            <color indexed="81"/>
            <rFont val="Tahoma"/>
            <family val="2"/>
          </rPr>
          <t xml:space="preserve">
Rext exp: 1046
Advertising exp: 573</t>
        </r>
      </text>
    </comment>
    <comment ref="BV24" authorId="1">
      <text>
        <r>
          <rPr>
            <b/>
            <sz val="8"/>
            <color indexed="81"/>
            <rFont val="Tahoma"/>
            <family val="2"/>
          </rPr>
          <t>oc48540:</t>
        </r>
        <r>
          <rPr>
            <sz val="8"/>
            <color indexed="81"/>
            <rFont val="Tahoma"/>
            <family val="2"/>
          </rPr>
          <t xml:space="preserve">
Rext exp: 1097
Advertising exp: 476</t>
        </r>
      </text>
    </comment>
    <comment ref="BW24" authorId="1">
      <text>
        <r>
          <rPr>
            <b/>
            <sz val="8"/>
            <color indexed="81"/>
            <rFont val="Tahoma"/>
            <family val="2"/>
          </rPr>
          <t>oc48540:</t>
        </r>
        <r>
          <rPr>
            <sz val="8"/>
            <color indexed="81"/>
            <rFont val="Tahoma"/>
            <family val="2"/>
          </rPr>
          <t xml:space="preserve">
Cost of goods sold and occupancy expenses as a percentage of net sales decreased 0.6 percentage points in fiscal 2007 compared with fiscal 2006. Cost of goods sold decreased $307 million, or 1.4 percentage points as a percentage of net sales, in fiscal 2007 compared with fiscal 2006. Occupancy expenses increased $112 million, or 0.8 percentage points as a percentage of net sales, in fiscal 2007 compared with fiscal 2006.</t>
        </r>
      </text>
    </comment>
    <comment ref="BZ24" authorId="1">
      <text>
        <r>
          <rPr>
            <b/>
            <sz val="8"/>
            <color indexed="81"/>
            <rFont val="Tahoma"/>
            <family val="2"/>
          </rPr>
          <t>oc48540:</t>
        </r>
        <r>
          <rPr>
            <sz val="8"/>
            <color indexed="81"/>
            <rFont val="Tahoma"/>
            <family val="2"/>
          </rPr>
          <t xml:space="preserve">
Rext exp: 1112
Advertising exp: 435</t>
        </r>
      </text>
    </comment>
    <comment ref="CA24" authorId="1">
      <text>
        <r>
          <rPr>
            <b/>
            <sz val="8"/>
            <color indexed="81"/>
            <rFont val="Tahoma"/>
            <family val="2"/>
          </rPr>
          <t>oc48540:</t>
        </r>
        <r>
          <rPr>
            <sz val="8"/>
            <color indexed="81"/>
            <rFont val="Tahoma"/>
            <family val="2"/>
          </rPr>
          <t xml:space="preserve">
Cost of goods sold and occupancy expenses as a percentage of net sales decreased 1.4 percentage points in fiscal 2008 compared with fiscal 2007. Cost of goods sold decreased $1.1 billion, or 3.1 percentage points as a percentage of net sales, in fiscal 2008 compared with fiscal 2007. Occupancy expenses increased $60 million, or 1.7 percentage points as a percentage of net sales, in fiscal 2008 compared with fiscal 2007.</t>
        </r>
      </text>
    </comment>
    <comment ref="CI24" authorId="2">
      <text>
        <r>
          <rPr>
            <b/>
            <sz val="8"/>
            <color indexed="81"/>
            <rFont val="Tahoma"/>
            <family val="2"/>
          </rPr>
          <t>nicholjs:</t>
        </r>
        <r>
          <rPr>
            <sz val="8"/>
            <color indexed="81"/>
            <rFont val="Tahoma"/>
            <family val="2"/>
          </rPr>
          <t xml:space="preserve">
8/2010: going forward, on any positive comp can leverage ROD</t>
        </r>
      </text>
    </comment>
    <comment ref="CM24" authorId="2">
      <text>
        <r>
          <rPr>
            <b/>
            <sz val="8"/>
            <color indexed="81"/>
            <rFont val="Tahoma"/>
            <family val="2"/>
          </rPr>
          <t>nicholjs:</t>
        </r>
        <r>
          <rPr>
            <sz val="8"/>
            <color indexed="81"/>
            <rFont val="Tahoma"/>
            <family val="2"/>
          </rPr>
          <t xml:space="preserve">
2/2011: feel comfortable that w/ total sales growth, will leverage ROD on a full year basis</t>
        </r>
      </text>
    </comment>
    <comment ref="CN24" authorId="16">
      <text>
        <r>
          <rPr>
            <sz val="8"/>
            <color indexed="81"/>
            <rFont val="Tahoma"/>
            <family val="2"/>
          </rPr>
          <t>2/24/12: Merchandise margins were down 370 basis points, and rent and occupancy deleveraged by 30 basis points.</t>
        </r>
      </text>
    </comment>
    <comment ref="CQ24" authorId="16">
      <text>
        <r>
          <rPr>
            <b/>
            <sz val="8"/>
            <color indexed="81"/>
            <rFont val="Tahoma"/>
            <family val="2"/>
          </rPr>
          <t>solejay:</t>
        </r>
        <r>
          <rPr>
            <sz val="8"/>
            <color indexed="81"/>
            <rFont val="Tahoma"/>
            <family val="2"/>
          </rPr>
          <t xml:space="preserve">
53rd week adding 40 bps</t>
        </r>
      </text>
    </comment>
    <comment ref="CU24" authorId="24">
      <text>
        <r>
          <rPr>
            <b/>
            <sz val="8"/>
            <color indexed="81"/>
            <rFont val="Tahoma"/>
            <family val="2"/>
          </rPr>
          <t>casselau:</t>
        </r>
        <r>
          <rPr>
            <sz val="8"/>
            <color indexed="81"/>
            <rFont val="Tahoma"/>
            <family val="2"/>
          </rPr>
          <t xml:space="preserve">
2/27/14: merch margins -50 bps and ROD leveraged +10 bps
can leverage ROD costs on a positive comp 
11/21/13: expect conversion and UPT to drive comp</t>
        </r>
      </text>
    </comment>
    <comment ref="CY24" authorId="0">
      <text>
        <r>
          <rPr>
            <b/>
            <sz val="9"/>
            <color indexed="81"/>
            <rFont val="Tahoma"/>
            <family val="2"/>
          </rPr>
          <t>turleamb:</t>
        </r>
        <r>
          <rPr>
            <sz val="9"/>
            <color indexed="81"/>
            <rFont val="Tahoma"/>
            <family val="2"/>
          </rPr>
          <t xml:space="preserve">
2/26/15: merch margin 
ROD de-leveraged 30 bps
11/20/14: assume holiday to be challenging
10-K: expect gross margins for our largest foreign subsidiaries to be negatively impacted by weaken Yen and CAD as our merchandise purchases are primarily in U.S. dollars.
-leveraged ROD 140 bps over the past 5 yrs</t>
        </r>
      </text>
    </comment>
    <comment ref="DC24" authorId="4">
      <text>
        <r>
          <rPr>
            <b/>
            <sz val="9"/>
            <color indexed="81"/>
            <rFont val="Tahoma"/>
            <family val="2"/>
          </rPr>
          <t>Baglione, Gregory  (Research):</t>
        </r>
        <r>
          <rPr>
            <sz val="9"/>
            <color indexed="81"/>
            <rFont val="Tahoma"/>
            <family val="2"/>
          </rPr>
          <t xml:space="preserve">
2/25/16
FY merchandise margin declined 130 bps, 60 excluding impact of strategic actions
</t>
        </r>
      </text>
    </comment>
    <comment ref="DG24" authorId="4">
      <text>
        <r>
          <rPr>
            <b/>
            <sz val="9"/>
            <color indexed="81"/>
            <rFont val="Tahoma"/>
            <family val="2"/>
          </rPr>
          <t>2/23/17: merchandise margin +30 bps, ROD deleverage 20 bps; -50 bps FX impact
Baglione, Gregory  (Research):</t>
        </r>
        <r>
          <rPr>
            <sz val="9"/>
            <color indexed="81"/>
            <rFont val="Tahoma"/>
            <family val="2"/>
          </rPr>
          <t xml:space="preserve">
5/9/2016: Lowering GM to 35.1% from 36.2%</t>
        </r>
      </text>
    </comment>
    <comment ref="DJ24" authorId="6">
      <text>
        <r>
          <rPr>
            <b/>
            <sz val="9"/>
            <color indexed="81"/>
            <rFont val="Tahoma"/>
            <family val="2"/>
          </rPr>
          <t>De Courreges, Edouard (Research):</t>
        </r>
        <r>
          <rPr>
            <sz val="9"/>
            <color indexed="81"/>
            <rFont val="Tahoma"/>
            <family val="2"/>
          </rPr>
          <t xml:space="preserve">
Cost of goods sold decreased 1.3 percentage points as a percentage of net sales in fiscal 2017 compared with fiscal 2016, primarily driven by
higher margins achieved as a result of improved average selling price per unit at all global brands; partially offset by higher average unit cost at
all global brands. This was offset by a negative foreign exchange impact for our foreign subsidiaries as our merchandise purchases are primarily
in U.S. dollars.
• Occupancy expenses decreased 0.7 percentage points as a percentage of net sales in fiscal 2017 compared with fiscal 2016, primarily driven by
an increase in online sales without a corresponding increase in occupancy expenses, international store closures, and higher sales from the
impact of the 53rd week; partially offset by real estate expenses for the Times Square New York location for Gap and Old Navy.</t>
        </r>
      </text>
    </comment>
    <comment ref="DK24" authorId="5">
      <text>
        <r>
          <rPr>
            <b/>
            <sz val="9"/>
            <color indexed="81"/>
            <rFont val="Tahoma"/>
            <family val="2"/>
          </rPr>
          <t>Cassel, Lauren (Research):</t>
        </r>
        <r>
          <rPr>
            <sz val="9"/>
            <color indexed="81"/>
            <rFont val="Tahoma"/>
            <family val="2"/>
          </rPr>
          <t xml:space="preserve">
2/23/17: -50 bps FX impact to gross margin in 2016, expect similar impact in 2017</t>
        </r>
      </text>
    </comment>
    <comment ref="DL24" authorId="5">
      <text>
        <r>
          <rPr>
            <b/>
            <sz val="9"/>
            <color indexed="81"/>
            <rFont val="Tahoma"/>
            <family val="2"/>
          </rPr>
          <t>Cassel, Lauren (Research):</t>
        </r>
        <r>
          <rPr>
            <sz val="9"/>
            <color indexed="81"/>
            <rFont val="Tahoma"/>
            <family val="2"/>
          </rPr>
          <t xml:space="preserve">
8/17/17: need a +L-MSD comp to leverage ROD</t>
        </r>
      </text>
    </comment>
    <comment ref="CY27" authorId="8">
      <text>
        <r>
          <rPr>
            <b/>
            <sz val="9"/>
            <color indexed="81"/>
            <rFont val="Tahoma"/>
            <family val="2"/>
          </rPr>
          <t>Turley, Amber (Research):</t>
        </r>
        <r>
          <rPr>
            <sz val="9"/>
            <color indexed="81"/>
            <rFont val="Tahoma"/>
            <family val="2"/>
          </rPr>
          <t xml:space="preserve">
2/26/15: merch margin +60 bps and occupancy de-leveraged 20 bps
Yen 12% depreciation from 3Q so they expect F/X to more negatively impact 4Q GM than 3Q. 
This estimate assumes ~30 bps merch margin de-leverage and 60 bps merch margin improvement (160 bps merch margin decline on a 2 yr stack)</t>
        </r>
      </text>
    </comment>
    <comment ref="BV28" authorId="0">
      <text>
        <r>
          <rPr>
            <b/>
            <sz val="8"/>
            <color indexed="81"/>
            <rFont val="Tahoma"/>
            <family val="2"/>
          </rPr>
          <t>turleamb:</t>
        </r>
        <r>
          <rPr>
            <sz val="8"/>
            <color indexed="81"/>
            <rFont val="Tahoma"/>
            <family val="2"/>
          </rPr>
          <t xml:space="preserve">
OpEx: ~50% is store related (over half of which is variable with sales), ~10-15% is marketing, ~35-40% is overhead</t>
        </r>
      </text>
    </comment>
    <comment ref="CX28" authorId="0">
      <text>
        <r>
          <rPr>
            <b/>
            <sz val="8"/>
            <color indexed="81"/>
            <rFont val="Tahoma"/>
            <family val="2"/>
          </rPr>
          <t>turleamb:</t>
        </r>
        <r>
          <rPr>
            <sz val="8"/>
            <color indexed="81"/>
            <rFont val="Tahoma"/>
            <family val="2"/>
          </rPr>
          <t xml:space="preserve">
OpEx: ~50% is store related (over half of which is variable with sales), ~10-15% is marketing, ~35-40% is overhead
They likely can leverage SG&amp;A regardless of comp within a reasonable range (+/- 3% comp or so)
Includes: payroll and related benefits for store operations field management DCs and corporate functions, marketing, general and administrative expenses, costs to design and develop products, merchandise handling and receiving in DCs, DC general and admin expenses, ROD for corporate facilities</t>
        </r>
      </text>
    </comment>
    <comment ref="BF30" authorId="9">
      <text>
        <r>
          <rPr>
            <b/>
            <sz val="8"/>
            <color indexed="81"/>
            <rFont val="Tahoma"/>
            <family val="2"/>
          </rPr>
          <t>Morry Brown:</t>
        </r>
        <r>
          <rPr>
            <sz val="8"/>
            <color indexed="81"/>
            <rFont val="Tahoma"/>
            <family val="2"/>
          </rPr>
          <t xml:space="preserve">
888.519 prior to restate</t>
        </r>
      </text>
    </comment>
    <comment ref="BG30" authorId="18">
      <text>
        <r>
          <rPr>
            <sz val="8"/>
            <color indexed="81"/>
            <rFont val="Tahoma"/>
            <family val="2"/>
          </rPr>
          <t xml:space="preserve">
25.9</t>
        </r>
      </text>
    </comment>
    <comment ref="BJ30" authorId="18">
      <text>
        <r>
          <rPr>
            <sz val="8"/>
            <color indexed="81"/>
            <rFont val="Tahoma"/>
            <family val="2"/>
          </rPr>
          <t>1027.739 prior to restate
Includes 30 million in expenses or 80 bps related to early retirment of $170M in debt</t>
        </r>
      </text>
    </comment>
    <comment ref="BK30" authorId="18">
      <text>
        <r>
          <rPr>
            <sz val="8"/>
            <color indexed="81"/>
            <rFont val="Tahoma"/>
            <family val="2"/>
          </rPr>
          <t xml:space="preserve">
Includes 30 million in expenses or 80 bps related to early retirment of $170M in debt</t>
        </r>
      </text>
    </comment>
    <comment ref="BL30" authorId="18">
      <text>
        <r>
          <rPr>
            <sz val="8"/>
            <color indexed="81"/>
            <rFont val="Tahoma"/>
            <family val="2"/>
          </rPr>
          <t xml:space="preserve">
Includes 30 million in expenses or 80 bps related to early retirment of $170M in debt. SG&amp;A growth rate would have been 12.4%.</t>
        </r>
      </text>
    </comment>
    <comment ref="BN30" authorId="20">
      <text>
        <r>
          <rPr>
            <b/>
            <sz val="8"/>
            <color indexed="81"/>
            <rFont val="Tahoma"/>
            <family val="2"/>
          </rPr>
          <t>Kimberly Greenberger:</t>
        </r>
        <r>
          <rPr>
            <sz val="8"/>
            <color indexed="81"/>
            <rFont val="Tahoma"/>
            <family val="2"/>
          </rPr>
          <t xml:space="preserve">
won't incur $30mm debt retire exp TY. 
2/24/05: est SG&amp;A $1,037.7 b/c grow LY SG&amp;A 4% after elim $30mm debt retire exp</t>
        </r>
      </text>
    </comment>
    <comment ref="BO30" authorId="9">
      <text>
        <r>
          <rPr>
            <b/>
            <sz val="8"/>
            <color indexed="81"/>
            <rFont val="Tahoma"/>
            <family val="2"/>
          </rPr>
          <t>Morry Brown:</t>
        </r>
        <r>
          <rPr>
            <sz val="8"/>
            <color indexed="81"/>
            <rFont val="Tahoma"/>
            <family val="2"/>
          </rPr>
          <t xml:space="preserve">
28.2</t>
        </r>
      </text>
    </comment>
    <comment ref="BP30" authorId="20">
      <text>
        <r>
          <rPr>
            <b/>
            <sz val="8"/>
            <color indexed="81"/>
            <rFont val="Tahoma"/>
            <family val="2"/>
          </rPr>
          <t>Kimberly Greenberger:</t>
        </r>
        <r>
          <rPr>
            <sz val="8"/>
            <color indexed="81"/>
            <rFont val="Tahoma"/>
            <family val="2"/>
          </rPr>
          <t xml:space="preserve">
yoy growth rate +1.7% ex $30mm early debt retire exp LY</t>
        </r>
      </text>
    </comment>
    <comment ref="BR30" authorId="29">
      <text>
        <r>
          <rPr>
            <sz val="8"/>
            <color indexed="81"/>
            <rFont val="Tahoma"/>
            <family val="2"/>
          </rPr>
          <t>$1,009.6 before taking out F&amp;T</t>
        </r>
        <r>
          <rPr>
            <b/>
            <sz val="8"/>
            <color indexed="81"/>
            <rFont val="Tahoma"/>
            <family val="2"/>
          </rPr>
          <t xml:space="preserve">
MB33100:</t>
        </r>
        <r>
          <rPr>
            <sz val="8"/>
            <color indexed="81"/>
            <rFont val="Tahoma"/>
            <family val="2"/>
          </rPr>
          <t xml:space="preserve">
expect reduction in SG&amp;A on lower Gap mktg spending in 1Q</t>
        </r>
      </text>
    </comment>
    <comment ref="BS30" authorId="10">
      <text>
        <r>
          <rPr>
            <sz val="8"/>
            <color indexed="81"/>
            <rFont val="Tahoma"/>
            <family val="2"/>
          </rPr>
          <t>+130bps: 5/06: increased investments in growth strategies and store experience, partially offset by lower marketing exp.</t>
        </r>
      </text>
    </comment>
    <comment ref="BW30" authorId="1">
      <text>
        <r>
          <rPr>
            <b/>
            <sz val="8"/>
            <color indexed="81"/>
            <rFont val="Tahoma"/>
            <family val="2"/>
          </rPr>
          <t>SG&amp;A as a % of sales grew by 140bps in 1Q07</t>
        </r>
        <r>
          <rPr>
            <sz val="8"/>
            <color indexed="81"/>
            <rFont val="Tahoma"/>
            <family val="2"/>
          </rPr>
          <t xml:space="preserve"> based on $44M of Forth &amp; Towne related charges (~+120bps) and marketing expenses of $116M vs. $97 LY (~+50bps) due to an incremental Gap brand TV campaign.</t>
        </r>
      </text>
    </comment>
    <comment ref="BZ30" authorId="1">
      <text>
        <r>
          <rPr>
            <b/>
            <sz val="8"/>
            <color indexed="81"/>
            <rFont val="Tahoma"/>
            <family val="2"/>
          </rPr>
          <t>oc48540:</t>
        </r>
        <r>
          <rPr>
            <sz val="8"/>
            <color indexed="81"/>
            <rFont val="Tahoma"/>
            <family val="2"/>
          </rPr>
          <t xml:space="preserve">
marketing exp. $91mm </t>
        </r>
      </text>
    </comment>
    <comment ref="CA30" authorId="11">
      <text>
        <r>
          <rPr>
            <sz val="8"/>
            <color indexed="81"/>
            <rFont val="Tahoma"/>
            <family val="2"/>
          </rPr>
          <t>SG&amp;A expenses as % of sales favorably decreased -100 bps to
28.3%. 1Q08 operating expenses were down $92mm vs. LY driven by lower store payroll related to the decline in sales, and less remodel related expenses due to fewer remodels, and a $21mm reduction in marketing expenses to $93mm from $114mm LY.</t>
        </r>
      </text>
    </comment>
    <comment ref="CB30" authorId="21">
      <text>
        <r>
          <rPr>
            <b/>
            <sz val="8"/>
            <color indexed="81"/>
            <rFont val="Tahoma"/>
            <family val="2"/>
          </rPr>
          <t>kg51925:</t>
        </r>
        <r>
          <rPr>
            <sz val="8"/>
            <color indexed="81"/>
            <rFont val="Tahoma"/>
            <family val="2"/>
          </rPr>
          <t xml:space="preserve">
+1.5% growth to $1060</t>
        </r>
      </text>
    </comment>
    <comment ref="CD30" authorId="1">
      <text>
        <r>
          <rPr>
            <b/>
            <sz val="8"/>
            <color indexed="81"/>
            <rFont val="Tahoma"/>
            <family val="2"/>
          </rPr>
          <t>oc48540:</t>
        </r>
        <r>
          <rPr>
            <sz val="8"/>
            <color indexed="81"/>
            <rFont val="Tahoma"/>
            <family val="2"/>
          </rPr>
          <t xml:space="preserve">
2/26/09: Guided to down $10-$30mm, Marketing will be up slightly due to athleta</t>
        </r>
      </text>
    </comment>
    <comment ref="CE30" authorId="1">
      <text>
        <r>
          <rPr>
            <sz val="8"/>
            <color indexed="81"/>
            <rFont val="Tahoma"/>
            <family val="2"/>
          </rPr>
          <t>SG&amp;A expenses as a percent of sales decreased -54bps to 28.3% or by $73mm to $886mm. 1Q09’s marketing expenses were $96mm vs. $93mm LY. Of the $73mm decrease in overall SG&amp;A 50% of the savings was due to lower store related expenses (primarily as a result of the decline in sales). The balance was driven by lower corporate headquarter expenses and ~$16mm of foreign exchange benefits (transferring international division expenses into fewer US dollars).</t>
        </r>
      </text>
    </comment>
    <comment ref="CH30" authorId="2">
      <text>
        <r>
          <rPr>
            <b/>
            <sz val="8"/>
            <color indexed="81"/>
            <rFont val="Tahoma"/>
            <family val="2"/>
          </rPr>
          <t>nicholjs:</t>
        </r>
        <r>
          <rPr>
            <sz val="8"/>
            <color indexed="81"/>
            <rFont val="Tahoma"/>
            <family val="2"/>
          </rPr>
          <t xml:space="preserve">
marketing +$17mm to $113mm</t>
        </r>
      </text>
    </comment>
    <comment ref="CL30" authorId="2">
      <text>
        <r>
          <rPr>
            <b/>
            <sz val="8"/>
            <color indexed="81"/>
            <rFont val="Tahoma"/>
            <family val="2"/>
          </rPr>
          <t>nicholjs:</t>
        </r>
        <r>
          <rPr>
            <sz val="8"/>
            <color indexed="81"/>
            <rFont val="Tahoma"/>
            <family val="2"/>
          </rPr>
          <t xml:space="preserve">
includes $119 in marketing, or +$6 vs. LY (Athleta, China)
The decrease was mainly due to higher income related to customer credit card usage, partially offset by an increase in marketing expenses.</t>
        </r>
      </text>
    </comment>
    <comment ref="CP30" authorId="16">
      <text>
        <r>
          <rPr>
            <sz val="8"/>
            <color indexed="81"/>
            <rFont val="Tahoma"/>
            <family val="2"/>
          </rPr>
          <t>11/17: Marketing expenses for the quarter were $139 million, up $20 compared with last year, , driven primarily by increased investments in customer relationship marketing and Gap brand marketing.</t>
        </r>
      </text>
    </comment>
    <comment ref="CQ30" authorId="27">
      <text>
        <r>
          <rPr>
            <b/>
            <sz val="8"/>
            <color indexed="81"/>
            <rFont val="Tahoma"/>
            <family val="2"/>
          </rPr>
          <t>kimberlg:</t>
        </r>
        <r>
          <rPr>
            <sz val="8"/>
            <color indexed="81"/>
            <rFont val="Tahoma"/>
            <family val="2"/>
          </rPr>
          <t xml:space="preserve">
5/3/12: they said they expected to delever SG&amp;A this year
Marketing = $139m, 14% of SG&amp;A and 4% of sales</t>
        </r>
      </text>
    </comment>
    <comment ref="CR30" authorId="16">
      <text>
        <r>
          <rPr>
            <sz val="8"/>
            <color indexed="81"/>
            <rFont val="Tahoma"/>
            <family val="2"/>
          </rPr>
          <t>5/17/12 Conf call -
Sabrina Simmons - "We noted on last quarter’s call that we plan to invest more in our domestic businesses in 2012, and highlighted that it’s unlikely we will leverage operating expenses."
• In line with that framework, first quarter total operating expenses were $980mm, up $62mm from the prior year, due primarily to investments in marketing and store payroll.
• Marketing expenses grew $20mm, to $139mm, driven by increases in CRM and Gap Brand marketing.</t>
        </r>
      </text>
    </comment>
    <comment ref="CT30" authorId="16">
      <text>
        <r>
          <rPr>
            <b/>
            <sz val="8"/>
            <color indexed="81"/>
            <rFont val="Tahoma"/>
            <family val="2"/>
          </rPr>
          <t>solejay:</t>
        </r>
        <r>
          <rPr>
            <sz val="8"/>
            <color indexed="81"/>
            <rFont val="Tahoma"/>
            <family val="2"/>
          </rPr>
          <t xml:space="preserve">
Marketing expenses for the quarter were $143 million, up $4 million compared with the first
quarter of last year</t>
        </r>
      </text>
    </comment>
    <comment ref="CU30" authorId="0">
      <text>
        <r>
          <rPr>
            <b/>
            <sz val="8"/>
            <color indexed="81"/>
            <rFont val="Tahoma"/>
            <family val="2"/>
          </rPr>
          <t>turleamb:</t>
        </r>
        <r>
          <rPr>
            <sz val="8"/>
            <color indexed="81"/>
            <rFont val="Tahoma"/>
            <family val="2"/>
          </rPr>
          <t xml:space="preserve">
marketing was $143m (14% of SG&amp;A $ and 3.8% of sales)</t>
        </r>
      </text>
    </comment>
    <comment ref="CY30" authorId="0">
      <text>
        <r>
          <rPr>
            <b/>
            <sz val="9"/>
            <color indexed="81"/>
            <rFont val="Tahoma"/>
            <family val="2"/>
          </rPr>
          <t>turleamb:</t>
        </r>
        <r>
          <rPr>
            <sz val="9"/>
            <color indexed="81"/>
            <rFont val="Tahoma"/>
            <family val="2"/>
          </rPr>
          <t xml:space="preserve">
5/21/14: company tightly managed operating expenses. marketing expenses were $143m, flat y/y. 
5/8/14: Guidance: expect OpEx to be slightly above LY. Re-classifying credit card income that was an SG&amp;A offset to GM from SG&amp;A equating to about $30-$40m per quarter. Ex this re-classification SG&amp;A would have been flat. 
4/10/14: Guidance Expect SG&amp;A dollar expense to be about flat to LY in 1Q</t>
        </r>
      </text>
    </comment>
    <comment ref="DB30" authorId="4">
      <text>
        <r>
          <rPr>
            <b/>
            <sz val="9"/>
            <color indexed="81"/>
            <rFont val="Tahoma"/>
            <family val="2"/>
          </rPr>
          <t>Baglione, Gregory  (Research):</t>
        </r>
        <r>
          <rPr>
            <sz val="9"/>
            <color indexed="81"/>
            <rFont val="Tahoma"/>
            <family val="2"/>
          </rPr>
          <t xml:space="preserve">
2/25/16
Per management call back after 4Q, $2M SG&amp;A benefit from their strategic plan announced in June</t>
        </r>
      </text>
    </comment>
    <comment ref="DD30" authorId="24">
      <text>
        <r>
          <rPr>
            <b/>
            <sz val="9"/>
            <color indexed="81"/>
            <rFont val="Tahoma"/>
            <family val="2"/>
          </rPr>
          <t>casselau:</t>
        </r>
        <r>
          <rPr>
            <sz val="9"/>
            <color indexed="81"/>
            <rFont val="Tahoma"/>
            <family val="2"/>
          </rPr>
          <t xml:space="preserve">
5/21/15: driven by FX favorability; marketing -$7M to $136M</t>
        </r>
      </text>
    </comment>
    <comment ref="DG30" authorId="4">
      <text>
        <r>
          <rPr>
            <b/>
            <sz val="9"/>
            <color indexed="81"/>
            <rFont val="Tahoma"/>
            <family val="2"/>
          </rPr>
          <t xml:space="preserve">Baglione, Gregory  (Research):
5/19/16: 1Q16A
Marketing expenses were down about $9 million versus last year, to $127 million. Operating income for the first quarter was $222 million, and net earnings were $127 million. 
</t>
        </r>
        <r>
          <rPr>
            <sz val="9"/>
            <color indexed="81"/>
            <rFont val="Tahoma"/>
            <family val="2"/>
          </rPr>
          <t xml:space="preserve">
5/9/16: Lowering SG&amp;A rate to 27.7% from 27.9%</t>
        </r>
        <r>
          <rPr>
            <b/>
            <sz val="9"/>
            <color indexed="81"/>
            <rFont val="Tahoma"/>
            <family val="2"/>
          </rPr>
          <t xml:space="preserve">
</t>
        </r>
        <r>
          <rPr>
            <sz val="9"/>
            <color indexed="81"/>
            <rFont val="Tahoma"/>
            <family val="2"/>
          </rPr>
          <t xml:space="preserve">
2/8/16
Will face full quarter of $10 wage hike
</t>
        </r>
      </text>
    </comment>
    <comment ref="DH30" authorId="4">
      <text>
        <r>
          <rPr>
            <b/>
            <sz val="9"/>
            <color indexed="81"/>
            <rFont val="Tahoma"/>
            <family val="2"/>
          </rPr>
          <t>Baglione, Gregory  (Research):</t>
        </r>
        <r>
          <rPr>
            <sz val="9"/>
            <color indexed="81"/>
            <rFont val="Tahoma"/>
            <family val="2"/>
          </rPr>
          <t xml:space="preserve">
2/8/16
Face 1 quarter of SG&amp;A headwind from wage increase instituded June-15
</t>
        </r>
      </text>
    </comment>
    <comment ref="DK30" authorId="5">
      <text>
        <r>
          <rPr>
            <b/>
            <sz val="9"/>
            <color indexed="81"/>
            <rFont val="Tahoma"/>
            <family val="2"/>
          </rPr>
          <t>Cassel, Lauren (Research):
5/18/17: due to increased payroll primarily bonus accruals drove most of the increase, marketing (25% of overall increase); includes $14M insurance proceedes</t>
        </r>
        <r>
          <rPr>
            <sz val="9"/>
            <color indexed="81"/>
            <rFont val="Tahoma"/>
            <family val="2"/>
          </rPr>
          <t xml:space="preserve">
2/23/17: expect continued investments in marketing especially at Gap brand; continuing to invest in omni-strategy; lapping minimal incentive comp compares; R</t>
        </r>
        <r>
          <rPr>
            <b/>
            <sz val="9"/>
            <color indexed="81"/>
            <rFont val="Tahoma"/>
            <family val="2"/>
          </rPr>
          <t>**did not accrue any bonuses in 1H16</t>
        </r>
      </text>
    </comment>
    <comment ref="AX31" authorId="14">
      <text>
        <r>
          <rPr>
            <sz val="8"/>
            <color indexed="81"/>
            <rFont val="Tahoma"/>
            <family val="2"/>
          </rPr>
          <t xml:space="preserve">
$70 million advertising expense</t>
        </r>
      </text>
    </comment>
    <comment ref="BB31" authorId="14">
      <text>
        <r>
          <rPr>
            <sz val="8"/>
            <color indexed="81"/>
            <rFont val="Gill Sans"/>
            <family val="2"/>
          </rPr>
          <t xml:space="preserve">
$117 million advertising expense</t>
        </r>
      </text>
    </comment>
    <comment ref="BF31" authorId="18">
      <text>
        <r>
          <rPr>
            <sz val="8"/>
            <color indexed="81"/>
            <rFont val="Tahoma"/>
            <family val="2"/>
          </rPr>
          <t>929.985 prior to restate
968.1</t>
        </r>
      </text>
    </comment>
    <comment ref="BG31" authorId="18">
      <text>
        <r>
          <rPr>
            <sz val="8"/>
            <color indexed="81"/>
            <rFont val="Tahoma"/>
            <family val="2"/>
          </rPr>
          <t xml:space="preserve">
7/10/03 had 27.5, lowered rate to keep in line with guidance total increase in mid single digit range provided on 1Q call
8/7/03 26.3. Lowered to maintain 5% growth rate in sga dollars
26.2</t>
        </r>
      </text>
    </comment>
    <comment ref="BH31" authorId="30">
      <text>
        <r>
          <rPr>
            <b/>
            <sz val="10"/>
            <color indexed="81"/>
            <rFont val="Tahoma"/>
            <family val="2"/>
          </rPr>
          <t>kgreenbe:</t>
        </r>
        <r>
          <rPr>
            <sz val="10"/>
            <color indexed="81"/>
            <rFont val="Tahoma"/>
            <family val="2"/>
          </rPr>
          <t xml:space="preserve">
target 5.0% growth</t>
        </r>
      </text>
    </comment>
    <comment ref="BJ31" authorId="15">
      <text>
        <r>
          <rPr>
            <b/>
            <sz val="8"/>
            <color indexed="81"/>
            <rFont val="Tahoma"/>
            <family val="2"/>
          </rPr>
          <t>Morry Brown:</t>
        </r>
        <r>
          <rPr>
            <sz val="8"/>
            <color indexed="81"/>
            <rFont val="Tahoma"/>
            <family val="2"/>
          </rPr>
          <t xml:space="preserve">
1081.029
includes 65mm in debt retirement costs or 180 bps of additional expense</t>
        </r>
      </text>
    </comment>
    <comment ref="BK31" authorId="15">
      <text>
        <r>
          <rPr>
            <b/>
            <sz val="8"/>
            <color indexed="81"/>
            <rFont val="Tahoma"/>
            <family val="2"/>
          </rPr>
          <t>CF:</t>
        </r>
        <r>
          <rPr>
            <sz val="8"/>
            <color indexed="81"/>
            <rFont val="Tahoma"/>
            <family val="2"/>
          </rPr>
          <t xml:space="preserve">
includes 65mm in debt retirement costs or 180 bps of additional expense
8/17 28.3 est</t>
        </r>
      </text>
    </comment>
    <comment ref="BL31" authorId="15">
      <text>
        <r>
          <rPr>
            <b/>
            <sz val="8"/>
            <color indexed="81"/>
            <rFont val="Tahoma"/>
            <family val="2"/>
          </rPr>
          <t>CF:</t>
        </r>
        <r>
          <rPr>
            <sz val="8"/>
            <color indexed="81"/>
            <rFont val="Tahoma"/>
            <family val="2"/>
          </rPr>
          <t xml:space="preserve">
includes 65mm in debt retirement costs or 180 bps of additional expense. Assume only 5.5% SG&amp;A growth excl $65mm extra.</t>
        </r>
      </text>
    </comment>
    <comment ref="BN31" authorId="20">
      <text>
        <r>
          <rPr>
            <b/>
            <sz val="8"/>
            <color indexed="81"/>
            <rFont val="Tahoma"/>
            <family val="2"/>
          </rPr>
          <t>Kimberly Greenberger:</t>
        </r>
        <r>
          <rPr>
            <sz val="8"/>
            <color indexed="81"/>
            <rFont val="Tahoma"/>
            <family val="2"/>
          </rPr>
          <t xml:space="preserve">
includes $58m reserve reversal
won't incur $65mm debt retire exp TY. 
2/24/05: est SG&amp;A $1,056.7 b/c grow LY SG&amp;A 4% after elim $65mm debt retire exp</t>
        </r>
      </text>
    </comment>
    <comment ref="BO31" authorId="9">
      <text>
        <r>
          <rPr>
            <b/>
            <sz val="8"/>
            <color indexed="81"/>
            <rFont val="Tahoma"/>
            <family val="2"/>
          </rPr>
          <t>Morry Brown:</t>
        </r>
        <r>
          <rPr>
            <sz val="8"/>
            <color indexed="81"/>
            <rFont val="Tahoma"/>
            <family val="2"/>
          </rPr>
          <t xml:space="preserve">
includes $58mm pre tax lease loss reserve reversal</t>
        </r>
      </text>
    </comment>
    <comment ref="BP31" authorId="20">
      <text>
        <r>
          <rPr>
            <b/>
            <sz val="8"/>
            <color indexed="81"/>
            <rFont val="Tahoma"/>
            <family val="2"/>
          </rPr>
          <t>Kimberly Greenberger:</t>
        </r>
        <r>
          <rPr>
            <sz val="8"/>
            <color indexed="81"/>
            <rFont val="Tahoma"/>
            <family val="2"/>
          </rPr>
          <t xml:space="preserve">
excl $65mm debt retire expense LY and excl $58mm rent reserve reversal TY, YOY growth rate is -0.2%</t>
        </r>
      </text>
    </comment>
    <comment ref="BR31" authorId="20">
      <text>
        <r>
          <rPr>
            <b/>
            <sz val="8"/>
            <color indexed="81"/>
            <rFont val="Tahoma"/>
            <family val="2"/>
          </rPr>
          <t>Kimberly Greenberger:</t>
        </r>
        <r>
          <rPr>
            <sz val="8"/>
            <color indexed="81"/>
            <rFont val="Tahoma"/>
            <family val="2"/>
          </rPr>
          <t xml:space="preserve">
8/06: includes benefit of $14mm in income from Visa/Mastercard settlement and $31mm from sublease loss reserves
-LY SG&amp;A includes $58m reserve reversal. Target flat SG&amp;A $ growth ex reversal impact LY.</t>
        </r>
      </text>
    </comment>
    <comment ref="BS31" authorId="10">
      <text>
        <r>
          <rPr>
            <sz val="8"/>
            <color indexed="81"/>
            <rFont val="Tahoma"/>
            <family val="2"/>
          </rPr>
          <t>+230bps:Increased investments in growth strategies, store experience (store payroll), and marketing expenses</t>
        </r>
        <r>
          <rPr>
            <b/>
            <sz val="8"/>
            <color indexed="81"/>
            <rFont val="Tahoma"/>
            <family val="2"/>
          </rPr>
          <t xml:space="preserve">
mm98285:</t>
        </r>
        <r>
          <rPr>
            <sz val="8"/>
            <color indexed="81"/>
            <rFont val="Tahoma"/>
            <family val="2"/>
          </rPr>
          <t xml:space="preserve">
8/06: +180 bps invst's in growth strategies, store experience (store payroll), &amp; marketing exp's
-30 bps Visa/Mastercard settlement
-80 bps unredeemed gift cards
+160 bps absense of $58m sublease loss reserves in 2Q05,</t>
        </r>
      </text>
    </comment>
    <comment ref="BW31" authorId="1">
      <text>
        <r>
          <rPr>
            <sz val="8"/>
            <color indexed="81"/>
            <rFont val="Tahoma"/>
            <family val="2"/>
          </rPr>
          <t>~+40bps higher than LY and up only $8mm
from LY (+0.8%). 2Q07’s results also include ~$20mm of pre-tax expenses
related to cost reduction initiatives. Marketing expenses in 2Q07 were $88mm vs. $119mm LY, this decrease was driven by a reduction in advertising at Old Navy and Gap.</t>
        </r>
      </text>
    </comment>
    <comment ref="CA31" authorId="1">
      <text>
        <r>
          <rPr>
            <sz val="8"/>
            <color indexed="81"/>
            <rFont val="Tahoma"/>
            <family val="2"/>
          </rPr>
          <t>SG&amp;A expenses as % of sales increased +20 bps to 27.6%. 2Q08 operating expenses were down $45mm vs. LY driven by lower store payroll related to the decline in sales, and less remodel related expenses due to fewer remodels, and a slight decrease in marketing
expenses to $82mm from $88mm LY.</t>
        </r>
      </text>
    </comment>
    <comment ref="CB31" authorId="21">
      <text>
        <r>
          <rPr>
            <b/>
            <sz val="8"/>
            <color indexed="81"/>
            <rFont val="Tahoma"/>
            <family val="2"/>
          </rPr>
          <t>kg51925:</t>
        </r>
        <r>
          <rPr>
            <sz val="8"/>
            <color indexed="81"/>
            <rFont val="Tahoma"/>
            <family val="2"/>
          </rPr>
          <t xml:space="preserve">
+1.3% growth rate to $1032 excl. $20mm restructuring costs 2Q07</t>
        </r>
      </text>
    </comment>
    <comment ref="CD31" authorId="1">
      <text>
        <r>
          <rPr>
            <b/>
            <sz val="8"/>
            <color indexed="81"/>
            <rFont val="Tahoma"/>
            <family val="2"/>
          </rPr>
          <t>oc48540:</t>
        </r>
        <r>
          <rPr>
            <sz val="8"/>
            <color indexed="81"/>
            <rFont val="Tahoma"/>
            <family val="2"/>
          </rPr>
          <t xml:space="preserve">
5/21/09: Exp 2Q09 operating exp to be down $30-$50mm vs. LY (including 2Q09 marketing expenses which are expected to increase $10-15mm vs. LY’s $82mm).</t>
        </r>
      </text>
    </comment>
    <comment ref="CE31" authorId="28">
      <text>
        <r>
          <rPr>
            <b/>
            <sz val="8"/>
            <color indexed="81"/>
            <rFont val="Tahoma"/>
            <family val="2"/>
          </rPr>
          <t>TI23070:</t>
        </r>
        <r>
          <rPr>
            <sz val="8"/>
            <color indexed="81"/>
            <rFont val="Tahoma"/>
            <family val="2"/>
          </rPr>
          <t xml:space="preserve">
8/09:  SG&amp;A declined (5.4)% or by $52mm to $913mm (on top of a $45mm decline LY). SG&amp;A expenses as a percent of sales decreased -56bps to 28.1%. The majority of SG&amp;A savings were driven by lower variable store related expenses which flexed lower due to GPS’ sales decline (total sales declined -7.3%) and also benefited by ~$10mm from F/X. Marketing expenses rose to $94mm from $82mm LY (with the increase driven by Old Navy).</t>
        </r>
      </text>
    </comment>
    <comment ref="CH31" authorId="26">
      <text>
        <r>
          <rPr>
            <b/>
            <sz val="8"/>
            <color indexed="81"/>
            <rFont val="Tahoma"/>
            <family val="2"/>
          </rPr>
          <t>ns66486:</t>
        </r>
        <r>
          <rPr>
            <sz val="8"/>
            <color indexed="81"/>
            <rFont val="Tahoma"/>
            <family val="2"/>
          </rPr>
          <t xml:space="preserve">
included in opex is $101mm for marketing, +$7mm vs LY driven by online brands Athleta and Piperlime
5/10: total operating expenses including growth investments may slightly de-lever in the second quarter</t>
        </r>
      </text>
    </comment>
    <comment ref="CI31" authorId="31">
      <text>
        <r>
          <rPr>
            <b/>
            <sz val="8"/>
            <color indexed="81"/>
            <rFont val="Tahoma"/>
            <family val="2"/>
          </rPr>
          <t>KG51925:</t>
        </r>
        <r>
          <rPr>
            <sz val="8"/>
            <color indexed="81"/>
            <rFont val="Tahoma"/>
            <family val="2"/>
          </rPr>
          <t xml:space="preserve">
5/20/10 Sabrina indicated "slight deleverage" expected in 2Q</t>
        </r>
      </text>
    </comment>
    <comment ref="CL31" authorId="2">
      <text>
        <r>
          <rPr>
            <b/>
            <sz val="8"/>
            <color indexed="81"/>
            <rFont val="Tahoma"/>
            <family val="2"/>
          </rPr>
          <t>nicholjs:</t>
        </r>
        <r>
          <rPr>
            <sz val="8"/>
            <color indexed="81"/>
            <rFont val="Tahoma"/>
            <family val="2"/>
          </rPr>
          <t xml:space="preserve">
marketing expenses +$13mm to $114mm, driven primarily by Old Navy and the company's online businesses</t>
        </r>
      </text>
    </comment>
    <comment ref="CP31" authorId="27">
      <text>
        <r>
          <rPr>
            <sz val="8"/>
            <color indexed="81"/>
            <rFont val="Tahoma"/>
            <family val="2"/>
          </rPr>
          <t>8/16/12: Marketing $147, up $33 mn y/y
8/2/12: Was 979. Adj SGA rate down due to unexpected 10% comp in 2Q
5/17/12: Sabrina Simmons - "we expect the increase in marketing in the second quarter to be at least as large as it was in the first quarter."</t>
        </r>
      </text>
    </comment>
    <comment ref="CQ31" authorId="27">
      <text>
        <r>
          <rPr>
            <sz val="8"/>
            <color indexed="81"/>
            <rFont val="Tahoma"/>
            <family val="2"/>
          </rPr>
          <t>8/2/12: Was 979. Adj SGA rate down due to unexpected 10% comp in 2Q. Maintain SGA dollars.
5/17/12: Sabrina Simmons - "we expect the increase in marketing in the second quarter to be at least as large as it was in the first quarter."
Marketing was $147m (15% of SG&amp;A $ and 4% of sales)</t>
        </r>
      </text>
    </comment>
    <comment ref="CR31" authorId="27">
      <text>
        <r>
          <rPr>
            <b/>
            <sz val="8"/>
            <color indexed="81"/>
            <rFont val="Tahoma"/>
            <family val="2"/>
          </rPr>
          <t>kimberlg:</t>
        </r>
        <r>
          <rPr>
            <sz val="8"/>
            <color indexed="81"/>
            <rFont val="Tahoma"/>
            <family val="2"/>
          </rPr>
          <t xml:space="preserve">
5/17/12: my est. = target around 6% growth</t>
        </r>
      </text>
    </comment>
    <comment ref="CT31" authorId="0">
      <text>
        <r>
          <rPr>
            <b/>
            <sz val="8"/>
            <color indexed="81"/>
            <rFont val="Tahoma"/>
            <family val="2"/>
          </rPr>
          <t>turleamb:</t>
        </r>
        <r>
          <rPr>
            <sz val="8"/>
            <color indexed="81"/>
            <rFont val="Tahoma"/>
            <family val="2"/>
          </rPr>
          <t xml:space="preserve">
marketing expenses $148m, +$1m y/y</t>
        </r>
      </text>
    </comment>
    <comment ref="CU31" authorId="0">
      <text>
        <r>
          <rPr>
            <b/>
            <sz val="8"/>
            <color indexed="81"/>
            <rFont val="Tahoma"/>
            <family val="2"/>
          </rPr>
          <t>turleamb:</t>
        </r>
        <r>
          <rPr>
            <sz val="8"/>
            <color indexed="81"/>
            <rFont val="Tahoma"/>
            <family val="2"/>
          </rPr>
          <t xml:space="preserve">
marketing was $148m (14% of SG&amp;A $ and 3.8% of sales)</t>
        </r>
      </text>
    </comment>
    <comment ref="CV31" authorId="0">
      <text>
        <r>
          <rPr>
            <b/>
            <sz val="8"/>
            <color indexed="81"/>
            <rFont val="Tahoma"/>
            <family val="2"/>
          </rPr>
          <t>turleamb:</t>
        </r>
        <r>
          <rPr>
            <sz val="8"/>
            <color indexed="81"/>
            <rFont val="Tahoma"/>
            <family val="2"/>
          </rPr>
          <t xml:space="preserve">
8/22/13: Marketing up $1 million </t>
        </r>
      </text>
    </comment>
    <comment ref="CX31" authorId="8">
      <text>
        <r>
          <rPr>
            <b/>
            <sz val="9"/>
            <color indexed="81"/>
            <rFont val="Tahoma"/>
            <family val="2"/>
          </rPr>
          <t>Turley, Amber (Research):</t>
        </r>
        <r>
          <rPr>
            <sz val="9"/>
            <color indexed="81"/>
            <rFont val="Tahoma"/>
            <family val="2"/>
          </rPr>
          <t xml:space="preserve">
gain of the building sale had a $39m benefit to SG&amp;A. 
2Q Mkt expenses $142m down $6m y/y</t>
        </r>
      </text>
    </comment>
    <comment ref="CY31" authorId="8">
      <text>
        <r>
          <rPr>
            <b/>
            <sz val="9"/>
            <color indexed="81"/>
            <rFont val="Tahoma"/>
            <family val="2"/>
          </rPr>
          <t>Turley, Amber (Research):</t>
        </r>
        <r>
          <rPr>
            <sz val="9"/>
            <color indexed="81"/>
            <rFont val="Tahoma"/>
            <family val="2"/>
          </rPr>
          <t xml:space="preserve">
8/7/14:the sale of a building benefits SG&amp;A by 100 bps (~$39m) --&gt; excluded from Street estimate</t>
        </r>
      </text>
    </comment>
    <comment ref="DB31" authorId="3">
      <text>
        <r>
          <rPr>
            <b/>
            <sz val="9"/>
            <color indexed="81"/>
            <rFont val="Tahoma"/>
            <family val="2"/>
          </rPr>
          <t>Mains, Spencer (Research):</t>
        </r>
        <r>
          <rPr>
            <sz val="9"/>
            <color indexed="81"/>
            <rFont val="Tahoma"/>
            <family val="2"/>
          </rPr>
          <t xml:space="preserve">
8/20/15: marketing expenses $131M, down $11M from LY
8/20/15
$71M SG&amp;A Charge</t>
        </r>
      </text>
    </comment>
    <comment ref="DC31" authorId="24">
      <text>
        <r>
          <rPr>
            <b/>
            <sz val="9"/>
            <color indexed="81"/>
            <rFont val="Tahoma"/>
            <family val="2"/>
          </rPr>
          <t>casselau:</t>
        </r>
        <r>
          <rPr>
            <sz val="9"/>
            <color indexed="81"/>
            <rFont val="Tahoma"/>
            <family val="2"/>
          </rPr>
          <t xml:space="preserve">
5/21/15: expect greater deleverage than 1Q due to gain on sale LY
June 2015 raise wages to $10</t>
        </r>
      </text>
    </comment>
    <comment ref="DD31" authorId="8">
      <text>
        <r>
          <rPr>
            <b/>
            <sz val="9"/>
            <color indexed="81"/>
            <rFont val="Tahoma"/>
            <family val="2"/>
          </rPr>
          <t>Turley, Amber (Research):</t>
        </r>
        <r>
          <rPr>
            <sz val="9"/>
            <color indexed="81"/>
            <rFont val="Tahoma"/>
            <family val="2"/>
          </rPr>
          <t xml:space="preserve">
Note that LY SG&amp;A benefitted from $39M gain on the sale of a building</t>
        </r>
      </text>
    </comment>
    <comment ref="DF31" authorId="4">
      <text>
        <r>
          <rPr>
            <b/>
            <sz val="9"/>
            <color indexed="81"/>
            <rFont val="Tahoma"/>
            <family val="2"/>
          </rPr>
          <t>Baglione, Gregory  (Research):</t>
        </r>
        <r>
          <rPr>
            <sz val="9"/>
            <color indexed="81"/>
            <rFont val="Tahoma"/>
            <family val="2"/>
          </rPr>
          <t xml:space="preserve">
$135M restructuring</t>
        </r>
      </text>
    </comment>
    <comment ref="DG31" authorId="4">
      <text>
        <r>
          <rPr>
            <b/>
            <sz val="9"/>
            <color indexed="81"/>
            <rFont val="Tahoma"/>
            <family val="2"/>
          </rPr>
          <t>Baglione, Gregory  (Research):</t>
        </r>
        <r>
          <rPr>
            <sz val="9"/>
            <color indexed="81"/>
            <rFont val="Tahoma"/>
            <family val="2"/>
          </rPr>
          <t xml:space="preserve">
8/19/16
Marketing $131M flat y/y; Additionally, both marketing expenses and adjusted total operating expense dollars were about flat year-over-year.
8/9/16
Previously modeled flat SG&amp;A. Revising to -1.3% post discussion w/ management
7/29/16
Cutting SG&amp;A dollar growth to flat vs. +1%. 
</t>
        </r>
      </text>
    </comment>
    <comment ref="DH31" authorId="4">
      <text>
        <r>
          <rPr>
            <b/>
            <sz val="9"/>
            <color indexed="81"/>
            <rFont val="Tahoma"/>
            <family val="2"/>
          </rPr>
          <t>Baglione, Gregory  (Research):</t>
        </r>
        <r>
          <rPr>
            <sz val="9"/>
            <color indexed="81"/>
            <rFont val="Tahoma"/>
            <family val="2"/>
          </rPr>
          <t xml:space="preserve">
8/9/16
Previously modeled flat SG&amp;A. Revising to -1.3% post discussion w/ management
7/29/16
Lowering SG&amp;A growth to flat , reflecting tighter expense discipline than previously modeled and a similar 3-year run-rate to 1Q.
7/7/16
Model SG&amp;A +1%, expect most of cost cutting initatives to materialize in 2H16/2017
2/8/16
Model essentially flat SG&amp;A as company faces 1 month of wage hike headweinds, likely offset by tight expense control
8/16/16
Excluding restructuring costs SG&amp;A was ~flat </t>
        </r>
      </text>
    </comment>
    <comment ref="DJ31" authorId="5">
      <text>
        <r>
          <rPr>
            <b/>
            <sz val="9"/>
            <color indexed="81"/>
            <rFont val="Tahoma"/>
            <family val="2"/>
          </rPr>
          <t>Cassel, Lauren (Research):</t>
        </r>
        <r>
          <rPr>
            <sz val="9"/>
            <color indexed="81"/>
            <rFont val="Tahoma"/>
            <family val="2"/>
          </rPr>
          <t xml:space="preserve">
8/17/17: removing $64M of insurance proceeds</t>
        </r>
      </text>
    </comment>
    <comment ref="DK31" authorId="5">
      <text>
        <r>
          <rPr>
            <b/>
            <sz val="9"/>
            <color indexed="81"/>
            <rFont val="Tahoma"/>
            <family val="2"/>
          </rPr>
          <t>Cassel, Lauren (Research):
8/17/17:</t>
        </r>
        <r>
          <rPr>
            <sz val="9"/>
            <color indexed="81"/>
            <rFont val="Tahoma"/>
            <family val="2"/>
          </rPr>
          <t xml:space="preserve"> increase in adjusted operating expenses was primarily driven by an increase in payroll, largely due to bonus accruals, as well as investments in digital and customer initiatives that support the company’s long term growth (together over half of the increase); modest increase in advertising (increase was lower than 1Q and plan as they decided to shift more ad dollars into 3Q)</t>
        </r>
        <r>
          <rPr>
            <b/>
            <sz val="9"/>
            <color indexed="81"/>
            <rFont val="Tahoma"/>
            <family val="2"/>
          </rPr>
          <t xml:space="preserve">
</t>
        </r>
        <r>
          <rPr>
            <sz val="9"/>
            <color indexed="81"/>
            <rFont val="Tahoma"/>
            <family val="2"/>
          </rPr>
          <t xml:space="preserve">
2/23/17: expect continued investments in marketing especially at Gap brand; lapping minimal incentive comp compares; ROD will include preopening costs of flasghip Times Square which will open in 2H </t>
        </r>
        <r>
          <rPr>
            <b/>
            <sz val="9"/>
            <color indexed="81"/>
            <rFont val="Tahoma"/>
            <family val="2"/>
          </rPr>
          <t>**did not accrue any bonuses in 1H16</t>
        </r>
      </text>
    </comment>
    <comment ref="EP31" authorId="8">
      <text>
        <r>
          <rPr>
            <b/>
            <sz val="9"/>
            <color indexed="81"/>
            <rFont val="Tahoma"/>
            <family val="2"/>
          </rPr>
          <t>Turley, Amber (Research):</t>
        </r>
        <r>
          <rPr>
            <sz val="9"/>
            <color indexed="81"/>
            <rFont val="Tahoma"/>
            <family val="2"/>
          </rPr>
          <t xml:space="preserve">
note LY benefitted from $39M gain on the sale of a building. </t>
        </r>
      </text>
    </comment>
    <comment ref="BF32" authorId="30">
      <text>
        <r>
          <rPr>
            <b/>
            <sz val="8"/>
            <color indexed="81"/>
            <rFont val="Tahoma"/>
            <family val="2"/>
          </rPr>
          <t>kgreenbe:</t>
        </r>
        <r>
          <rPr>
            <sz val="8"/>
            <color indexed="81"/>
            <rFont val="Tahoma"/>
            <family val="2"/>
          </rPr>
          <t xml:space="preserve">
1053.667 prior to restate
guidance sg&amp;a $1.1bil</t>
        </r>
      </text>
    </comment>
    <comment ref="BG32" authorId="18">
      <text>
        <r>
          <rPr>
            <sz val="8"/>
            <color indexed="81"/>
            <rFont val="Tahoma"/>
            <family val="2"/>
          </rPr>
          <t xml:space="preserve">
28.2</t>
        </r>
      </text>
    </comment>
    <comment ref="BH32" authorId="30">
      <text>
        <r>
          <rPr>
            <b/>
            <sz val="10"/>
            <color indexed="81"/>
            <rFont val="Tahoma"/>
            <family val="2"/>
          </rPr>
          <t>kgreenbe:</t>
        </r>
        <r>
          <rPr>
            <sz val="10"/>
            <color indexed="81"/>
            <rFont val="Tahoma"/>
            <family val="2"/>
          </rPr>
          <t xml:space="preserve">
5/03 kg - target 8% SG&amp;A growth in 2H03</t>
        </r>
      </text>
    </comment>
    <comment ref="BJ32" authorId="9">
      <text>
        <r>
          <rPr>
            <b/>
            <sz val="8"/>
            <color indexed="81"/>
            <rFont val="Tahoma"/>
            <family val="2"/>
          </rPr>
          <t>Morry Brown:</t>
        </r>
        <r>
          <rPr>
            <sz val="8"/>
            <color indexed="81"/>
            <rFont val="Tahoma"/>
            <family val="2"/>
          </rPr>
          <t xml:space="preserve">
1110 prior to restate</t>
        </r>
      </text>
    </comment>
    <comment ref="BK32" authorId="25">
      <text>
        <r>
          <rPr>
            <sz val="8"/>
            <color indexed="81"/>
            <rFont val="Tahoma"/>
            <family val="2"/>
          </rPr>
          <t>8/19 Had est. 27.2, with 5.5% yoy ch. Updated per conf call guidance of +11% SG&amp;A 3Q and +3% 4Q. 
On 9/2 updated to increase $10mm SG&amp;A for debt retirement exp, or approx 30 bps
11/4 Lowered to reflect 11% growth guidance plus 1% for debt charge (S/B 12% total growth). Had 29.8% rate. Then assume had some savings and did not grow full 11%, so now 29.2% rate.</t>
        </r>
      </text>
    </comment>
    <comment ref="BN32" authorId="20">
      <text>
        <r>
          <rPr>
            <b/>
            <sz val="8"/>
            <color indexed="81"/>
            <rFont val="Tahoma"/>
            <family val="2"/>
          </rPr>
          <t>Kimberly Greenberger:</t>
        </r>
        <r>
          <rPr>
            <sz val="8"/>
            <color indexed="81"/>
            <rFont val="Tahoma"/>
            <family val="2"/>
          </rPr>
          <t xml:space="preserve">
9/05 target to be flat $$ yoy ex LY $10mm early debt retirement expense</t>
        </r>
      </text>
    </comment>
    <comment ref="BO32" authorId="9">
      <text>
        <r>
          <rPr>
            <b/>
            <sz val="8"/>
            <color indexed="81"/>
            <rFont val="Tahoma"/>
            <family val="2"/>
          </rPr>
          <t>Morry Brown:</t>
        </r>
        <r>
          <rPr>
            <sz val="8"/>
            <color indexed="81"/>
            <rFont val="Tahoma"/>
            <family val="2"/>
          </rPr>
          <t xml:space="preserve">
SGA down on lower bonus accruals &amp; no early debt retirement charges, which were incl LY
-80 bps, benefit from reclassification of select sourcing costs from SG&amp;A to COGS (~$30 million)
-28.3 estimate</t>
        </r>
      </text>
    </comment>
    <comment ref="BP32" authorId="20">
      <text>
        <r>
          <rPr>
            <b/>
            <sz val="8"/>
            <color indexed="81"/>
            <rFont val="Tahoma"/>
            <family val="2"/>
          </rPr>
          <t>Kimberly Greenberger:</t>
        </r>
        <r>
          <rPr>
            <sz val="8"/>
            <color indexed="81"/>
            <rFont val="Tahoma"/>
            <family val="2"/>
          </rPr>
          <t xml:space="preserve">
assume +0.4% $ growth excl. $10mm early debt retire exp LY</t>
        </r>
      </text>
    </comment>
    <comment ref="BR32" authorId="20">
      <text>
        <r>
          <rPr>
            <sz val="8"/>
            <color indexed="81"/>
            <rFont val="Tahoma"/>
            <family val="2"/>
          </rPr>
          <t xml:space="preserve">$1,172.4 before taking out F&amp;T
</t>
        </r>
        <r>
          <rPr>
            <b/>
            <sz val="8"/>
            <color indexed="81"/>
            <rFont val="Tahoma"/>
            <family val="2"/>
          </rPr>
          <t xml:space="preserve">
Kimberly Greenberger:</t>
        </r>
        <r>
          <rPr>
            <sz val="8"/>
            <color indexed="81"/>
            <rFont val="Tahoma"/>
            <family val="2"/>
          </rPr>
          <t xml:space="preserve">
I assume 4.6% sg&amp;a growth to$1102 excl the $30mm benefit from reclass of sourcing exp b/t sg&amp;a and gm in 3Q05</t>
        </r>
      </text>
    </comment>
    <comment ref="BS32" authorId="10">
      <text>
        <r>
          <rPr>
            <sz val="8"/>
            <color indexed="81"/>
            <rFont val="Tahoma"/>
            <family val="2"/>
          </rPr>
          <t>+390bps: Driven by inc. invest in growth strategies, incremental new store payroll, increase in mkt exp (+33% to $202m), and reclassify of select sourcing</t>
        </r>
        <r>
          <rPr>
            <b/>
            <sz val="8"/>
            <color indexed="81"/>
            <rFont val="Tahoma"/>
            <family val="2"/>
          </rPr>
          <t xml:space="preserve">
mm98285:</t>
        </r>
        <r>
          <rPr>
            <sz val="8"/>
            <color indexed="81"/>
            <rFont val="Tahoma"/>
            <family val="2"/>
          </rPr>
          <t xml:space="preserve">
+increased investments in growth strategies
+incremental store payroll 
+increased marketing exp. (+33% to $202)
+reclassification of select sourcing costs mentioned previously. 
</t>
        </r>
      </text>
    </comment>
    <comment ref="BV32" authorId="11">
      <text>
        <r>
          <rPr>
            <b/>
            <sz val="8"/>
            <color indexed="81"/>
            <rFont val="Tahoma"/>
            <family val="2"/>
          </rPr>
          <t>OC48540:</t>
        </r>
        <r>
          <rPr>
            <sz val="8"/>
            <color indexed="81"/>
            <rFont val="Tahoma"/>
            <family val="2"/>
          </rPr>
          <t xml:space="preserve">
6mm in non-recurring severage included in our number… (should we exclude??)</t>
        </r>
      </text>
    </comment>
    <comment ref="BW32" authorId="11">
      <text>
        <r>
          <rPr>
            <sz val="8"/>
            <color indexed="81"/>
            <rFont val="Tahoma"/>
            <family val="2"/>
          </rPr>
          <t>SG&amp;A expenses as a percent of sales declined 210 bps to 28.0% (50 bps above our estimate), given a $75mm reduction in marketing expenses (-200 bps).</t>
        </r>
      </text>
    </comment>
    <comment ref="CA32" authorId="1">
      <text>
        <r>
          <rPr>
            <sz val="8"/>
            <color indexed="81"/>
            <rFont val="Tahoma"/>
            <family val="2"/>
          </rPr>
          <t>SG&amp;A expenses as a percent of sales decreased -40 bps to 27.6%. 3Q08’s
operating expenses were down $95mm vs. LY driven by lower corporate
overhead and reduced store related expenses (including payroll, packaging,
and supplies).</t>
        </r>
      </text>
    </comment>
    <comment ref="CD32" authorId="1">
      <text>
        <r>
          <rPr>
            <b/>
            <sz val="8"/>
            <color indexed="81"/>
            <rFont val="Tahoma"/>
            <family val="2"/>
          </rPr>
          <t xml:space="preserve">oc48540:
11/5: given the magnitude of the sales trend improvement, GPS now expects operating expense to be higher than its previous guidance range of flat to up about $20mm.
</t>
        </r>
        <r>
          <rPr>
            <sz val="8"/>
            <color indexed="81"/>
            <rFont val="Tahoma"/>
            <family val="2"/>
          </rPr>
          <t xml:space="preserve">
is expected to be up $25mm 3Q &amp; $45mm 4Q given incremental investments at Gap &amp; Old Navy (incl. integrated Holiday TV ads for Gap). </t>
        </r>
      </text>
    </comment>
    <comment ref="CE32" authorId="28">
      <text>
        <r>
          <rPr>
            <sz val="8"/>
            <color indexed="81"/>
            <rFont val="Tahoma"/>
            <family val="2"/>
          </rPr>
          <t>SG&amp;A increased due
largely to investments in fall marketing at Gap and Old Navy (marketing was
$141mm vs. $121mm LY).</t>
        </r>
        <r>
          <rPr>
            <b/>
            <sz val="8"/>
            <color indexed="81"/>
            <rFont val="Tahoma"/>
            <family val="2"/>
          </rPr>
          <t xml:space="preserve">
</t>
        </r>
        <r>
          <rPr>
            <sz val="8"/>
            <color indexed="81"/>
            <rFont val="Tahoma"/>
            <family val="2"/>
          </rPr>
          <t xml:space="preserve">
8/09: Expect Operating Expenses to be ~flat to up $20mmvs. LY</t>
        </r>
      </text>
    </comment>
    <comment ref="CH32" authorId="21">
      <text>
        <r>
          <rPr>
            <b/>
            <sz val="8"/>
            <color indexed="81"/>
            <rFont val="Tahoma"/>
            <family val="2"/>
          </rPr>
          <t>kg51925:</t>
        </r>
        <r>
          <rPr>
            <sz val="8"/>
            <color indexed="81"/>
            <rFont val="Tahoma"/>
            <family val="2"/>
          </rPr>
          <t xml:space="preserve">
includes $142mm of marketing
8/10: our investments in growth initiatives increased quarter-over-quarter in the fiscal year, and this could put some
pressure on our ability to leverage total operating expenses in Q3.
expect 3Q TV ads for Gap</t>
        </r>
      </text>
    </comment>
    <comment ref="CL32" authorId="16">
      <text>
        <r>
          <rPr>
            <sz val="8"/>
            <color indexed="81"/>
            <rFont val="Tahoma"/>
            <family val="2"/>
          </rPr>
          <t>11/17: Marketing expenses for the quarter were $149 million, up slightly compared with last year.</t>
        </r>
      </text>
    </comment>
    <comment ref="CP32" authorId="24">
      <text>
        <r>
          <rPr>
            <b/>
            <sz val="8"/>
            <color indexed="81"/>
            <rFont val="Tahoma"/>
            <family val="2"/>
          </rPr>
          <t>casselau:</t>
        </r>
        <r>
          <rPr>
            <sz val="8"/>
            <color indexed="81"/>
            <rFont val="Tahoma"/>
            <family val="2"/>
          </rPr>
          <t xml:space="preserve">
11/15: continued investments in market and store payroll; marketing expenses for the Q were 178M, up $29M vs LY, driven primarily by investments in Gap brand marketing and customer relationship marketing  </t>
        </r>
      </text>
    </comment>
    <comment ref="CQ32" authorId="16">
      <text>
        <r>
          <rPr>
            <sz val="8"/>
            <color indexed="81"/>
            <rFont val="Tahoma"/>
            <family val="2"/>
          </rPr>
          <t>11/15: ongoing focus on marketing and store payroll; marketing expenses grew $29M to $178M driven primarily by ongoing investments in Gap brand marketing and CRM. Marketing was 17% of SG&amp;A $ and 4.6% of sales
8/17/12: The company plans to continue investing in its businesses and expects operating expenses in each of the remaining quarters of fiscal year 2012 to increase, on a year-over-year basis, by at least as much as the increase in the second quarter. As a result, the company continues to expect operating expense deleverage in the second half of fiscal year 2012.</t>
        </r>
      </text>
    </comment>
    <comment ref="CR32" authorId="27">
      <text>
        <r>
          <rPr>
            <b/>
            <sz val="8"/>
            <color indexed="81"/>
            <rFont val="Tahoma"/>
            <family val="2"/>
          </rPr>
          <t>kimberlg:</t>
        </r>
        <r>
          <rPr>
            <sz val="8"/>
            <color indexed="81"/>
            <rFont val="Tahoma"/>
            <family val="2"/>
          </rPr>
          <t xml:space="preserve">
5/17/12: my est. = target around 6% growth
5/17/12: Sabrina Simmons - "we expect to continue to prudently invest more in our domestic businesses and our growth initiatives; therefore, we do not expect operating expense leverage for the full year. In addition to continued international growth, areas of investment this year include global IT, eCommerce, store payroll, and marketing. Specifically, we expect the increase in marketing in the second quarter to be at least as large as it was in the first quarter." 
and 
"if our momentum continues as we had in the first quarter, we definitely plan on continuing investments in these areas like store payroll, store-related expense, and marketing."
</t>
        </r>
        <r>
          <rPr>
            <b/>
            <sz val="8"/>
            <color indexed="81"/>
            <rFont val="Tahoma"/>
            <family val="2"/>
          </rPr>
          <t>antons:</t>
        </r>
        <r>
          <rPr>
            <sz val="8"/>
            <color indexed="81"/>
            <rFont val="Tahoma"/>
            <family val="2"/>
          </rPr>
          <t xml:space="preserve">
From 3Q12 Conf. Call - CFO - Op. expenses deleveraged 80 bps y/y on marketing and payroll expenses."- third quarter total operating expenses were $1.1 billion, up $105 million from the prior year with an ongoing focus on the areas of marketing and store payroll. As a percent of sales, total operating expenses deleveraged by 80 basis points. Marketing expenses grew $29 million to $178 million, driven primarily by ongoing investments in Gap brand marketing and CRM."</t>
        </r>
      </text>
    </comment>
    <comment ref="CT32" authorId="0">
      <text>
        <r>
          <rPr>
            <b/>
            <sz val="8"/>
            <color indexed="81"/>
            <rFont val="Tahoma"/>
            <family val="2"/>
          </rPr>
          <t>turleamb:</t>
        </r>
        <r>
          <rPr>
            <sz val="8"/>
            <color indexed="81"/>
            <rFont val="Tahoma"/>
            <family val="2"/>
          </rPr>
          <t xml:space="preserve">
11/21/13: company tightly managed operating expenses and achieved 230 bps of leverage as a percent of sales. Marketing expenses $162m (-$16m y/y)</t>
        </r>
      </text>
    </comment>
    <comment ref="CU32" authorId="0">
      <text>
        <r>
          <rPr>
            <b/>
            <sz val="8"/>
            <color indexed="81"/>
            <rFont val="Tahoma"/>
            <family val="2"/>
          </rPr>
          <t>turleamb:</t>
        </r>
        <r>
          <rPr>
            <sz val="8"/>
            <color indexed="81"/>
            <rFont val="Tahoma"/>
            <family val="2"/>
          </rPr>
          <t xml:space="preserve">
leveraged OpEx by 230 bps. Marketing down $16m to $162m primarily due to lower spending at Gap and ON. Marketing was 16% of SG&amp;A $ and 4% of sales
</t>
        </r>
      </text>
    </comment>
    <comment ref="CX32" authorId="8">
      <text>
        <r>
          <rPr>
            <b/>
            <sz val="9"/>
            <color indexed="81"/>
            <rFont val="Tahoma"/>
            <family val="2"/>
          </rPr>
          <t>Turley, Amber (Research):</t>
        </r>
        <r>
          <rPr>
            <sz val="9"/>
            <color indexed="81"/>
            <rFont val="Tahoma"/>
            <family val="2"/>
          </rPr>
          <t xml:space="preserve">
11/20/14: marketing expenses up $14 million to $176 million,
compared with last year, driven primarily by increased spending at Gap brand. Excluding credit card income shift expenses would have been lower than LY. 
8/21/14: guidnace mrktg +$25m y/y driven primarily by increased spending at Gap brand to support its new Fall mrktg.</t>
        </r>
      </text>
    </comment>
    <comment ref="CY32" authorId="8">
      <text>
        <r>
          <rPr>
            <b/>
            <sz val="9"/>
            <color indexed="81"/>
            <rFont val="Tahoma"/>
            <family val="2"/>
          </rPr>
          <t>Turley, Amber (Research):</t>
        </r>
        <r>
          <rPr>
            <sz val="9"/>
            <color indexed="81"/>
            <rFont val="Tahoma"/>
            <family val="2"/>
          </rPr>
          <t xml:space="preserve">
11/6/14: Expect SG&amp;A to be better compared to guidance given in Sept sales announcement. 
10/9/14: GPS pre-announced SG&amp;A +~8 due to:
 Over $40M credit card income will move out of SG&amp;A and into gross margin (previously announced)
 Marketing expense up $20-25M vs last year
 Will lack savings of $60M from SG&amp;A from last year, or 230 bps of leverage
8/21/14:  $25m incremental marketing y/y to support Gap Fall campaign. commetnary on call suggests SG&amp;A leverage less likely sine lapping difficult comparisons from expense savings last year and investing to support marketing at Gap brand</t>
        </r>
      </text>
    </comment>
    <comment ref="DB32" authorId="4">
      <text>
        <r>
          <rPr>
            <b/>
            <sz val="9"/>
            <color indexed="81"/>
            <rFont val="Tahoma"/>
            <family val="2"/>
          </rPr>
          <t>Baglione, Gregory  (Research):</t>
        </r>
        <r>
          <rPr>
            <sz val="9"/>
            <color indexed="81"/>
            <rFont val="Tahoma"/>
            <family val="2"/>
          </rPr>
          <t xml:space="preserve">
11/9/15: Includes $7m related to strategic actions.
$26M benefit from FX
Marketing expense $142M, down $34M y/y driven by decreased spending at Gap brand</t>
        </r>
      </text>
    </comment>
    <comment ref="DC32" authorId="4">
      <text>
        <r>
          <rPr>
            <b/>
            <sz val="9"/>
            <color indexed="81"/>
            <rFont val="Tahoma"/>
            <family val="2"/>
          </rPr>
          <t>Baglione, Gregory  (Research):</t>
        </r>
        <r>
          <rPr>
            <sz val="9"/>
            <color indexed="81"/>
            <rFont val="Tahoma"/>
            <family val="2"/>
          </rPr>
          <t xml:space="preserve">
11/19/15: 
11/9/15-No real change in $ amount from September sales
10/9/15- Expect company to partially offset GM decline with SG&amp;A cuts. Taking SG&amp;A rate down to 25.5% from 25.9%
</t>
        </r>
      </text>
    </comment>
    <comment ref="DG32" authorId="17">
      <text>
        <r>
          <rPr>
            <b/>
            <sz val="9"/>
            <color indexed="81"/>
            <rFont val="Tahoma"/>
            <family val="2"/>
          </rPr>
          <t>Baglione, Gregory (Research):</t>
        </r>
        <r>
          <rPr>
            <sz val="9"/>
            <color indexed="81"/>
            <rFont val="Tahoma"/>
            <family val="2"/>
          </rPr>
          <t xml:space="preserve">
11/17/16
Third-quarter total operating expenses were up $78 million to $1.1 billion, including about $35 million related to restructuring
charges. Marketing expenses were up $6 million to $148 million. </t>
        </r>
      </text>
    </comment>
    <comment ref="DH32" authorId="4">
      <text>
        <r>
          <rPr>
            <b/>
            <sz val="9"/>
            <color indexed="81"/>
            <rFont val="Tahoma"/>
            <family val="2"/>
          </rPr>
          <t>Baglione, Gregory  (Research):</t>
        </r>
        <r>
          <rPr>
            <sz val="9"/>
            <color indexed="81"/>
            <rFont val="Tahoma"/>
            <family val="2"/>
          </rPr>
          <t xml:space="preserve">
11/17/16
Third-quarter total operating expenses were up $78 million to $1.1 billion, including about $35 million related to restructuring
charges. Marketing expenses were up $6 million to $148 million. 
10/6/16
Guidance not provided. We model SG&amp;A dollars to grow ~2.5%.
8/19/16
*Per management expect marketing to be up, less opportunity to keep SG&amp;A as lean as 2Q.
8/9/16
Model SG&amp;A dollars decline vs. prior -0.2%
</t>
        </r>
      </text>
    </comment>
    <comment ref="DJ32" authorId="5">
      <text>
        <r>
          <rPr>
            <b/>
            <sz val="9"/>
            <color indexed="81"/>
            <rFont val="Tahoma"/>
            <family val="2"/>
          </rPr>
          <t>Cassel, Lauren (Research):</t>
        </r>
        <r>
          <rPr>
            <sz val="9"/>
            <color indexed="81"/>
            <rFont val="Tahoma"/>
            <family val="2"/>
          </rPr>
          <t xml:space="preserve">
8/17/17: full 8-9c of insurance proceeds will occur in 2H</t>
        </r>
      </text>
    </comment>
    <comment ref="DK32" authorId="5">
      <text>
        <r>
          <rPr>
            <b/>
            <sz val="9"/>
            <color indexed="81"/>
            <rFont val="Tahoma"/>
            <family val="2"/>
          </rPr>
          <t>Cassel, Lauren (Research):</t>
        </r>
        <r>
          <rPr>
            <sz val="9"/>
            <color indexed="81"/>
            <rFont val="Tahoma"/>
            <family val="2"/>
          </rPr>
          <t xml:space="preserve">
11/17:rimarily driven by payroll-related expenses largely due to bonus
accruals. We also saw an increase in investments to support the business, namely marketing and resources added to support our customer and
digital efforts.
8/17/17: Regarding SG&amp;A, in the current year, we have incremental investments that we're making in the brands, largely marketing but also investments in the store environment and the digital and customer capabilities we mentioned. </t>
        </r>
        <r>
          <rPr>
            <b/>
            <sz val="9"/>
            <color indexed="81"/>
            <rFont val="Tahoma"/>
            <family val="2"/>
          </rPr>
          <t>These have a disproportionate effect on the Q3 compares. And for the quarter, we expect a year-over-year increase in SG&amp;A that will be slightly above the first half trend.</t>
        </r>
        <r>
          <rPr>
            <sz val="9"/>
            <color indexed="81"/>
            <rFont val="Tahoma"/>
            <family val="2"/>
          </rPr>
          <t xml:space="preserve"> The drivers in the third quarter are as follows: First, we began to increase our investments in the fourth quarter of last year, so we're comparing against a lower base of spend in Q3; and as I've said, we've shifted some of our Q2 marketing spend into Q3 to support the important back-to-school season. Beyond this, we will continue to lap minimal incentive-based comp accruals last year that will pressure SG&amp;A in the second half. In addition to these factors, we expect continued investments around omni-channel capabilities and expenses related to the work we're doing around our global inventory assortment tool and our logistics network. </t>
        </r>
      </text>
    </comment>
    <comment ref="BF33" authorId="30">
      <text>
        <r>
          <rPr>
            <sz val="8"/>
            <color indexed="81"/>
            <rFont val="Arial"/>
            <family val="2"/>
          </rPr>
          <t>1216.326 prior to the restate
guidance was flat sg&amp;a dollars
8/23 Took $14 mm asset writedown from German stores; $21 mm in expenses related to premiums paid to retire bonds early</t>
        </r>
      </text>
    </comment>
    <comment ref="BG33" authorId="18">
      <text>
        <r>
          <rPr>
            <sz val="8"/>
            <color indexed="81"/>
            <rFont val="Tahoma"/>
            <family val="2"/>
          </rPr>
          <t xml:space="preserve">
27.4</t>
        </r>
      </text>
    </comment>
    <comment ref="BH33" authorId="30">
      <text>
        <r>
          <rPr>
            <b/>
            <sz val="10"/>
            <color indexed="81"/>
            <rFont val="Tahoma"/>
            <family val="2"/>
          </rPr>
          <t>kgreenbe:</t>
        </r>
        <r>
          <rPr>
            <sz val="10"/>
            <color indexed="81"/>
            <rFont val="Tahoma"/>
            <family val="2"/>
          </rPr>
          <t xml:space="preserve">
5/03 kg - target 8% SG&amp;A growth in 2H03</t>
        </r>
      </text>
    </comment>
    <comment ref="BJ33" authorId="9">
      <text>
        <r>
          <rPr>
            <b/>
            <sz val="8"/>
            <color indexed="81"/>
            <rFont val="Tahoma"/>
            <family val="2"/>
          </rPr>
          <t>Morry Brown:</t>
        </r>
        <r>
          <rPr>
            <sz val="8"/>
            <color indexed="81"/>
            <rFont val="Tahoma"/>
            <family val="2"/>
          </rPr>
          <t xml:space="preserve">
1184 prior to restate
$143mm marketing expense… was one of the drivers of upside to quarter</t>
        </r>
      </text>
    </comment>
    <comment ref="BK33" authorId="25">
      <text>
        <r>
          <rPr>
            <b/>
            <sz val="8"/>
            <color indexed="81"/>
            <rFont val="Tahoma"/>
            <family val="2"/>
          </rPr>
          <t>MS:</t>
        </r>
        <r>
          <rPr>
            <sz val="8"/>
            <color indexed="81"/>
            <rFont val="Tahoma"/>
            <family val="2"/>
          </rPr>
          <t xml:space="preserve">
8/19 had est. 25.2 and 5.3% yoy change. Updated per guidance to +3% SG&amp;A $ growth 4Q04
11/18 24.9% rate with +3.5% increase. Management guided for +10% full year increase and +3% still for 4Q.  Variables incl bonus accrual, mkting exp
12/2 had 24.8%, raised to keep $ growth at ~3%</t>
        </r>
      </text>
    </comment>
    <comment ref="BN33" authorId="20">
      <text>
        <r>
          <rPr>
            <b/>
            <sz val="8"/>
            <color indexed="81"/>
            <rFont val="Tahoma"/>
            <family val="2"/>
          </rPr>
          <t>Kimberly Greenberger:</t>
        </r>
        <r>
          <rPr>
            <sz val="8"/>
            <color indexed="81"/>
            <rFont val="Tahoma"/>
            <family val="2"/>
          </rPr>
          <t xml:space="preserve">
target flat $$ yoy (same trend as 2Q05A and 3Q05E</t>
        </r>
      </text>
    </comment>
    <comment ref="BO33" authorId="20">
      <text>
        <r>
          <rPr>
            <b/>
            <sz val="8"/>
            <color indexed="81"/>
            <rFont val="Tahoma"/>
            <family val="2"/>
          </rPr>
          <t>Kimberly Greenberger:</t>
        </r>
        <r>
          <rPr>
            <sz val="8"/>
            <color indexed="81"/>
            <rFont val="Tahoma"/>
            <family val="2"/>
          </rPr>
          <t xml:space="preserve">
-SGA decline due to lower bonus accruals &amp; lower marketing expenses
-mgmt indicated on Oct sales call that they are eliminating Gap holiday '05 TV mktg campaign, so assume SG&amp;A $ -1.5%</t>
        </r>
      </text>
    </comment>
    <comment ref="BP33" authorId="20">
      <text>
        <r>
          <rPr>
            <b/>
            <sz val="8"/>
            <color indexed="81"/>
            <rFont val="Tahoma"/>
            <family val="2"/>
          </rPr>
          <t>Kimberly Greenberger:</t>
        </r>
        <r>
          <rPr>
            <sz val="8"/>
            <color indexed="81"/>
            <rFont val="Tahoma"/>
            <family val="2"/>
          </rPr>
          <t xml:space="preserve">
mgmt indicated on Oct sales call that they are eliminating Gap holiday '05 TV mktg campaign, so assume SG&amp;A $ -1.5%</t>
        </r>
      </text>
    </comment>
    <comment ref="BR33" authorId="20">
      <text>
        <r>
          <rPr>
            <sz val="8"/>
            <color indexed="81"/>
            <rFont val="Tahoma"/>
            <family val="2"/>
          </rPr>
          <t xml:space="preserve">$1254 before stripping out F&amp;T
</t>
        </r>
        <r>
          <rPr>
            <b/>
            <sz val="8"/>
            <color indexed="81"/>
            <rFont val="Tahoma"/>
            <family val="2"/>
          </rPr>
          <t xml:space="preserve">
Kimberly Greenberger:</t>
        </r>
        <r>
          <rPr>
            <sz val="8"/>
            <color indexed="81"/>
            <rFont val="Tahoma"/>
            <family val="2"/>
          </rPr>
          <t xml:space="preserve">
I assume Gap div will restore holiday ad campaign in '06, so assume boost sg&amp;a $'s by $30mm + $20mm cush'n</t>
        </r>
      </text>
    </comment>
    <comment ref="BS33" authorId="1">
      <text>
        <r>
          <rPr>
            <sz val="8"/>
            <color indexed="81"/>
            <rFont val="Tahoma"/>
            <family val="2"/>
          </rPr>
          <t>+200bps: Grew 11% due to increm. store payroll and mrkt exp (+28% to $161)</t>
        </r>
      </text>
    </comment>
    <comment ref="BW33" authorId="11">
      <text>
        <r>
          <rPr>
            <sz val="8"/>
            <color indexed="81"/>
            <rFont val="Tahoma"/>
            <family val="2"/>
          </rPr>
          <t>SG&amp;A expenses as a percent of sales increased +70 bps to 25.8%. SG&amp;A on an absolute dollar basis decreased -2% to $1,208mm TY vs. $1,238 LY. Lower marketing
expenses partially contributed to lower SG&amp;A as they were $149mm in 4Q07
(down $9mm vs. LY) driven by the absence of television advertisements for Gap brand.</t>
        </r>
      </text>
    </comment>
    <comment ref="BZ33" authorId="1">
      <text>
        <r>
          <rPr>
            <b/>
            <sz val="8"/>
            <color indexed="81"/>
            <rFont val="Tahoma"/>
            <family val="2"/>
          </rPr>
          <t>oc48540:</t>
        </r>
        <r>
          <rPr>
            <sz val="8"/>
            <color indexed="81"/>
            <rFont val="Tahoma"/>
            <family val="2"/>
          </rPr>
          <t xml:space="preserve">
more modest bonus accruals</t>
        </r>
      </text>
    </comment>
    <comment ref="CA33" authorId="1">
      <text>
        <r>
          <rPr>
            <sz val="8"/>
            <color indexed="81"/>
            <rFont val="Tahoma"/>
            <family val="2"/>
          </rPr>
          <t>SG&amp;A expenses as a percent of sales decreased -160 bps to 24.3% or by
$217mm to $991mm. 4Q08’s operating expenses were down primarily due
to lower store related expenses (including payroll, packaging, and supplies).
Other items that were lower included marketing ($138mm vs. $149mm LY)
and corporate overhead (on reduced bonus and payroll benefits).</t>
        </r>
      </text>
    </comment>
    <comment ref="CD33" authorId="1">
      <text>
        <r>
          <rPr>
            <sz val="8"/>
            <color indexed="81"/>
            <rFont val="Tahoma"/>
            <family val="2"/>
          </rPr>
          <t>$44 more marketing vs. LY (total mkting expenses $182mm)
11/25: Expects 4Q09 operating expenses to be up ~$100-120mm vs. LY (including 4Q09 marketing expenses which are expected to increase $45mm vs. LY’s $138mm).</t>
        </r>
      </text>
    </comment>
    <comment ref="CF33" authorId="32">
      <text>
        <r>
          <rPr>
            <b/>
            <sz val="8"/>
            <color indexed="81"/>
            <rFont val="Tahoma"/>
            <family val="2"/>
          </rPr>
          <t>kg:</t>
        </r>
        <r>
          <rPr>
            <sz val="8"/>
            <color indexed="81"/>
            <rFont val="Tahoma"/>
            <family val="2"/>
          </rPr>
          <t xml:space="preserve">
5.0% growth ex the incremental $45mm of marketing spend</t>
        </r>
      </text>
    </comment>
    <comment ref="CH33" authorId="2">
      <text>
        <r>
          <rPr>
            <b/>
            <sz val="8"/>
            <color indexed="81"/>
            <rFont val="Tahoma"/>
            <family val="2"/>
          </rPr>
          <t>nicholjs:</t>
        </r>
        <r>
          <rPr>
            <sz val="8"/>
            <color indexed="81"/>
            <rFont val="Tahoma"/>
            <family val="2"/>
          </rPr>
          <t xml:space="preserve">
include $160mm of marketing, down $22mm vs. LY driven by Gap brand
11/2010: expect marketing dollars to be down $15mm vs. 4Q LY due to decision not to use TV for Gap brand</t>
        </r>
      </text>
    </comment>
    <comment ref="CI33" authorId="2">
      <text>
        <r>
          <rPr>
            <b/>
            <sz val="8"/>
            <color indexed="81"/>
            <rFont val="Tahoma"/>
            <family val="2"/>
          </rPr>
          <t>nicholjs:</t>
        </r>
        <r>
          <rPr>
            <sz val="8"/>
            <color indexed="81"/>
            <rFont val="Tahoma"/>
            <family val="2"/>
          </rPr>
          <t xml:space="preserve">
11/2010: Sabrina, 3Q also had lower bonus accruals and reminder growth initiatives increase qtr over qtr, sounds like SG&amp;A leverage but not $ decline</t>
        </r>
      </text>
    </comment>
    <comment ref="CQ33" authorId="16">
      <text>
        <r>
          <rPr>
            <sz val="8"/>
            <color indexed="81"/>
            <rFont val="Tahoma"/>
            <family val="2"/>
          </rPr>
          <t>Marketing was $189m (16% of SG&amp;A $ and 4% of sales)
11/15: y/y expects 4Q expenses to increase by at least as much as the 11% in 3Q; expect deleverage
8/17/12: The company plans to continue investing in its businesses and expects operating expenses in each of the remaining quarters of fiscal year 2012 to increase, on a year-over-year basis, by at least as much as the increase in the second quarter. As a result, the company continues to expect operating expense deleverage in the second half of fiscal year 2012.</t>
        </r>
      </text>
    </comment>
    <comment ref="CR33" authorId="27">
      <text>
        <r>
          <rPr>
            <b/>
            <sz val="8"/>
            <color indexed="81"/>
            <rFont val="Tahoma"/>
            <family val="2"/>
          </rPr>
          <t>kimberlg:</t>
        </r>
        <r>
          <rPr>
            <sz val="8"/>
            <color indexed="81"/>
            <rFont val="Tahoma"/>
            <family val="2"/>
          </rPr>
          <t xml:space="preserve">
5/17/12: my est. = target around 6% growth
5/17/12: Sabrina Simmons - "we expect to continue to prudently invest more in our domestic businesses and our growth initiatives; therefore, we do not expect operating expense leverage for the full year. In addition to continued international growth, areas of investment this year include global IT, eCommerce, store payroll, and marketing. Specifically, we expect the increase in marketing in the second quarter to be at least as large as it was in the first quarter." 
and 
"if our momentum continues as we had in the first quarter, we definitely plan on continuing investments in these areas like store payroll, store-related expense, and marketing."</t>
        </r>
      </text>
    </comment>
    <comment ref="CT33" authorId="0">
      <text>
        <r>
          <rPr>
            <b/>
            <sz val="8"/>
            <color indexed="81"/>
            <rFont val="Tahoma"/>
            <family val="2"/>
          </rPr>
          <t>turleamb:</t>
        </r>
        <r>
          <rPr>
            <sz val="8"/>
            <color indexed="81"/>
            <rFont val="Tahoma"/>
            <family val="2"/>
          </rPr>
          <t xml:space="preserve">
2/27/14: Marketing expenses $184m. 
Reduction of $103m driven by savings in store expenses and overhead as well as positive impact from F/X translation and a lack of 53rd week</t>
        </r>
      </text>
    </comment>
    <comment ref="CU33" authorId="0">
      <text>
        <r>
          <rPr>
            <b/>
            <sz val="8"/>
            <color indexed="81"/>
            <rFont val="Tahoma"/>
            <family val="2"/>
          </rPr>
          <t>turleamb:</t>
        </r>
        <r>
          <rPr>
            <sz val="8"/>
            <color indexed="81"/>
            <rFont val="Tahoma"/>
            <family val="2"/>
          </rPr>
          <t xml:space="preserve">
2/27/14: The company tightly managed operating
expenses and achieved 140 basis points of leverage as a percentage of net sales.</t>
        </r>
      </text>
    </comment>
    <comment ref="CX33" authorId="8">
      <text>
        <r>
          <rPr>
            <b/>
            <sz val="9"/>
            <color indexed="81"/>
            <rFont val="Tahoma"/>
            <family val="2"/>
          </rPr>
          <t>Turley, Amber (Research):</t>
        </r>
        <r>
          <rPr>
            <sz val="9"/>
            <color indexed="81"/>
            <rFont val="Tahoma"/>
            <family val="2"/>
          </rPr>
          <t xml:space="preserve">
2/26/15: $178M in marketing expenses, slgihtly down from last year. 
assumes 4Q growth by similar incremental $ amount as est 3Q ex the incremental $25m marketing. We est 3Q grows $82M then ex($20-$25M marketing) gets us to ~$60M incremental SG&amp;A $</t>
        </r>
      </text>
    </comment>
    <comment ref="CY33" authorId="8">
      <text>
        <r>
          <rPr>
            <b/>
            <sz val="9"/>
            <color indexed="81"/>
            <rFont val="Tahoma"/>
            <family val="2"/>
          </rPr>
          <t>Turley, Amber (Research):</t>
        </r>
        <r>
          <rPr>
            <sz val="9"/>
            <color indexed="81"/>
            <rFont val="Tahoma"/>
            <family val="2"/>
          </rPr>
          <t xml:space="preserve">
11/20/14: expect 4Q de-leverage y/y. Note that GPS only used $14M of the incremental $25M in marketing expected in 3Q. Some of this (but not all) will get pushed into 4Q. The company is not investing incremental marketing $ at Gap brand. 
8/21/14:
commetnary on call suggests SG&amp;A leverage less likely sine lapping difficult comparisons from expense savings last year and investing to support marketing at Gap brand</t>
        </r>
      </text>
    </comment>
    <comment ref="DB33" authorId="4">
      <text>
        <r>
          <rPr>
            <b/>
            <sz val="9"/>
            <color indexed="81"/>
            <rFont val="Tahoma"/>
            <family val="2"/>
          </rPr>
          <t>Baglione, Gregory  (Research):</t>
        </r>
        <r>
          <rPr>
            <sz val="9"/>
            <color indexed="81"/>
            <rFont val="Tahoma"/>
            <family val="2"/>
          </rPr>
          <t xml:space="preserve">
4Q Marketing down $9M to $169M
</t>
        </r>
        <r>
          <rPr>
            <b/>
            <sz val="9"/>
            <color indexed="81"/>
            <rFont val="Tahoma"/>
            <family val="2"/>
          </rPr>
          <t xml:space="preserve">Strategic Actions: </t>
        </r>
        <r>
          <rPr>
            <sz val="9"/>
            <color indexed="81"/>
            <rFont val="Tahoma"/>
            <family val="2"/>
          </rPr>
          <t>in the quarter we had $25 million from the strategic actions. $19 million of that was operating expense and $6 million of that was in gross margin. And I'll just, just to be helpful I'll say again that full year was $132 million; $98 million was expense and $34 million was gross margin.</t>
        </r>
      </text>
    </comment>
    <comment ref="DC33" authorId="4">
      <text>
        <r>
          <rPr>
            <b/>
            <sz val="9"/>
            <color indexed="81"/>
            <rFont val="Tahoma"/>
            <family val="2"/>
          </rPr>
          <t xml:space="preserve">Baglione, Gregory  (Research):
2/8/16
</t>
        </r>
        <r>
          <rPr>
            <sz val="9"/>
            <color indexed="81"/>
            <rFont val="Tahoma"/>
            <family val="2"/>
          </rPr>
          <t xml:space="preserve">
10/9/15 Reducing SG&amp;A to reflect tighter expense management given challenging sales trends.
Lower SG&amp;A to 23.6% from 23.9%, down $50M y/y
11/9/15--No 
$ change from September sales</t>
        </r>
      </text>
    </comment>
    <comment ref="DF33" authorId="5">
      <text>
        <r>
          <rPr>
            <b/>
            <sz val="9"/>
            <color indexed="81"/>
            <rFont val="Tahoma"/>
            <family val="2"/>
          </rPr>
          <t>Cassel, Lauren (Research):</t>
        </r>
        <r>
          <rPr>
            <sz val="9"/>
            <color indexed="81"/>
            <rFont val="Tahoma"/>
            <family val="2"/>
          </rPr>
          <t xml:space="preserve">
2/23/17: excludes $26M restructuring costs and $71M goodwill impairment charge but includes 73M gain from insurance proceeds</t>
        </r>
      </text>
    </comment>
    <comment ref="DG33" authorId="13">
      <text>
        <r>
          <rPr>
            <b/>
            <sz val="9"/>
            <color indexed="81"/>
            <rFont val="Tahoma"/>
            <family val="2"/>
          </rPr>
          <t xml:space="preserve">2/23/17: </t>
        </r>
        <r>
          <rPr>
            <sz val="9"/>
            <color indexed="81"/>
            <rFont val="Tahoma"/>
            <family val="2"/>
          </rPr>
          <t xml:space="preserve">lapped bonus accural reversals LY; also investments in the business
</t>
        </r>
        <r>
          <rPr>
            <b/>
            <sz val="9"/>
            <color indexed="81"/>
            <rFont val="Tahoma"/>
            <family val="2"/>
          </rPr>
          <t xml:space="preserve">
Roberts, Cynthia (Research):</t>
        </r>
        <r>
          <rPr>
            <sz val="9"/>
            <color indexed="81"/>
            <rFont val="Tahoma"/>
            <family val="2"/>
          </rPr>
          <t xml:space="preserve">
</t>
        </r>
        <r>
          <rPr>
            <b/>
            <sz val="9"/>
            <color indexed="81"/>
            <rFont val="Tahoma"/>
            <family val="2"/>
          </rPr>
          <t>2/6/17 - Jan Sales</t>
        </r>
        <r>
          <rPr>
            <sz val="9"/>
            <color indexed="81"/>
            <rFont val="Tahoma"/>
            <family val="2"/>
          </rPr>
          <t xml:space="preserve">
previous: 26.0%
current: 26.1%
we model +180 bps deleverage given significant increase in spending 
11/17/16 
prev: 25.0
curr: 26.2
3Q16 guidance: expect SGA to delever in the fourth quarter and full year</t>
        </r>
      </text>
    </comment>
    <comment ref="DH33" authorId="4">
      <text>
        <r>
          <rPr>
            <b/>
            <sz val="9"/>
            <color indexed="81"/>
            <rFont val="Tahoma"/>
            <family val="2"/>
          </rPr>
          <t>Baglione, Gregory  (Research):</t>
        </r>
        <r>
          <rPr>
            <sz val="9"/>
            <color indexed="81"/>
            <rFont val="Tahoma"/>
            <family val="2"/>
          </rPr>
          <t xml:space="preserve">
11/17/16
 3Q16 guidance: expect SGA to delever in the fourth quarter and full year driven by  marketing, personnel, flagship, and bonus reversal spend 
10/6/16
SG&amp;A guidance largely unchanged
8/19/16
*Per management less opportunity to keep SG&amp;A lean in back half
8/9/16
Model 3.2% SG&amp;A dollar decline vs. prior -3.4%. 
2/8/16
We model ~1% SG&amp;A dollar growth for FY. Largest increase in Q4 given ~9% SG&amp;A dollar reduction last year.
5/19/16
$275m gross savings from store closures/ other efficencies. 
We expect them to realize $200M net of other inflationary pressures
We model 1/4 in 4Q16. $11m in COGS, $40M in SG&amp;A. Preivous SG&amp;A $1.7B current $1.3B
</t>
        </r>
      </text>
    </comment>
    <comment ref="DJ33" authorId="5">
      <text>
        <r>
          <rPr>
            <b/>
            <sz val="9"/>
            <color indexed="81"/>
            <rFont val="Tahoma"/>
            <family val="2"/>
          </rPr>
          <t>Cassel, Lauren (Research):</t>
        </r>
        <r>
          <rPr>
            <sz val="9"/>
            <color indexed="81"/>
            <rFont val="Tahoma"/>
            <family val="2"/>
          </rPr>
          <t xml:space="preserve">
2/28/18:
we saw an increase in variable store and DC expenses with the increase in sales versus our original expectations. Similarly, we saw higher bonus expense as we exceeded our internal goals for the quarter. Together, these expenses represented over half of the incremental spend. Secondly, we saw a decrease in our credit card income of about $20 million, which is an offset to SG&amp;A. Consistent with the industry, we've seen a decrease in fee and interest income as well as an increase in loss rates. Third, as I mentioned, we received the Fishkill insurance settlement. For the quarter, the excess of recovery over costs was about a $0.04 benefit in SG&amp; A as the recovery was a catchup of expenses incurred throughout the year. With our strong top line results, as well as the additional insurance proceeds, we made the decision to reinvest some of the upside to kickstart our productivity and balance growth strategy actions. 
8/17/17: full 8-9c of insurance proceeds will occur in 2H</t>
        </r>
      </text>
    </comment>
    <comment ref="DK33" authorId="6">
      <text>
        <r>
          <rPr>
            <b/>
            <sz val="9"/>
            <color indexed="81"/>
            <rFont val="Tahoma"/>
            <family val="2"/>
          </rPr>
          <t>De Courreges, Edouard (Research):</t>
        </r>
        <r>
          <rPr>
            <sz val="9"/>
            <color indexed="81"/>
            <rFont val="Tahoma"/>
            <family val="2"/>
          </rPr>
          <t xml:space="preserve">
2/28/18
The [fishkill] recovery exceeded our original expectations by about $0.03 for the year, which is recorded as an offset in SG&amp;A. The majority of proceeds offset incurred elevated costs that were recognized in either costs of goods sold or SG&amp;A, depending on their nature. We had a modest positive impact on gross margin from the Fishkill proceeds in the quarter as the costs were spread throughout the year while the recovery was concentrated in Q4. For the full year, there was no material net impact on gross margin. 
11/16: We now expect the year-over-year increase in fourth quarter SG&amp;A to be at about the same
pace of increase we've seen year-to-date. There are a couple of factors that are impacting fourth quarter SG&amp;A versus our prior expectations. First,
we now expect marketing spending to increase in the fourth quarter when compared to year-to-date trends. This is largely due to the fact that we
had some production costs move out of Q3 and into Q4. But we're also planning some incremental spend, largely digital, to support the momentum
we are seeing in the business during the important holiday season.</t>
        </r>
      </text>
    </comment>
    <comment ref="CI34" authorId="1">
      <text>
        <r>
          <rPr>
            <sz val="8"/>
            <color indexed="81"/>
            <rFont val="Tahoma"/>
            <family val="2"/>
          </rPr>
          <t>10K: The increase in operating expenses was mainly due to higher store payroll, store benefits, and other store-related expenses and higher expenses due to our New York and San Francisco headquarter office moves, partially offset by a decrease in bonus expense.
5/10: expect leverage on an annual basis
2/25/10: Lvg. On annual basis</t>
        </r>
      </text>
    </comment>
    <comment ref="CP34" authorId="24">
      <text>
        <r>
          <rPr>
            <b/>
            <sz val="8"/>
            <color indexed="81"/>
            <rFont val="Tahoma"/>
            <family val="2"/>
          </rPr>
          <t>casselau:</t>
        </r>
        <r>
          <rPr>
            <sz val="8"/>
            <color indexed="81"/>
            <rFont val="Tahoma"/>
            <family val="2"/>
          </rPr>
          <t xml:space="preserve">
marketing expenses were $653M (up $105M y/y)</t>
        </r>
      </text>
    </comment>
    <comment ref="CQ34" authorId="16">
      <text>
        <r>
          <rPr>
            <sz val="8"/>
            <color indexed="81"/>
            <rFont val="Tahoma"/>
            <family val="2"/>
          </rPr>
          <t>10-K: Operating expenses increased $393 million, or 0.6 percentage points, in fiscal 2012 compared with fiscal 2011. The increase in operating expenses was primarily due to higher marketing expenses, driven largely by investments in Gap brand marketing and customer relationship marketing, store payroll and other store-related expenses, and higher bonus expense
5/17/2012 - "The c</t>
        </r>
        <r>
          <rPr>
            <b/>
            <sz val="8"/>
            <color indexed="81"/>
            <rFont val="Tahoma"/>
            <family val="2"/>
          </rPr>
          <t>ompany does not expect to leverage operating expenses for the full year</t>
        </r>
        <r>
          <rPr>
            <sz val="8"/>
            <color indexed="81"/>
            <rFont val="Tahoma"/>
            <family val="2"/>
          </rPr>
          <t xml:space="preserve"> given its plans to invest prudently in growth initiatives and its domestic business."
2/23/12 - "Our second priority is investing in our businesses while maintaining discipline. As Glenn discussed, after five years of extremely disciplined expense management, coupled with a focus on international growth, we are going to be investing more in our domestic businesses. As a result of that,</t>
        </r>
        <r>
          <rPr>
            <b/>
            <sz val="8"/>
            <color indexed="81"/>
            <rFont val="Tahoma"/>
            <family val="2"/>
          </rPr>
          <t xml:space="preserve"> it's unlikely we will leverage operating expenses in 2012. </t>
        </r>
        <r>
          <rPr>
            <sz val="8"/>
            <color indexed="81"/>
            <rFont val="Tahoma"/>
            <family val="2"/>
          </rPr>
          <t>We'll obviously temper the level of investments depending upon our momentum and our likely returns, and we will update you as we proceed throughout the year."</t>
        </r>
      </text>
    </comment>
    <comment ref="CT34" authorId="0">
      <text>
        <r>
          <rPr>
            <b/>
            <sz val="8"/>
            <color indexed="81"/>
            <rFont val="Tahoma"/>
            <family val="2"/>
          </rPr>
          <t>turleamb:</t>
        </r>
        <r>
          <rPr>
            <sz val="8"/>
            <color indexed="81"/>
            <rFont val="Tahoma"/>
            <family val="2"/>
          </rPr>
          <t xml:space="preserve">
2/27/14: Marketing expenses $637m, down $16m compared to LY. 
OpEx decline driven by F/X. 
Merchandise handling and receiving expenses and distribution center general and administrative expenses recorded in operating expenses were $243 million</t>
        </r>
      </text>
    </comment>
    <comment ref="CU34" authorId="24">
      <text>
        <r>
          <rPr>
            <b/>
            <sz val="8"/>
            <color indexed="81"/>
            <rFont val="Tahoma"/>
            <family val="2"/>
          </rPr>
          <t xml:space="preserve">turleamb:
</t>
        </r>
        <r>
          <rPr>
            <sz val="8"/>
            <color indexed="81"/>
            <rFont val="Tahoma"/>
            <family val="2"/>
          </rPr>
          <t>10-K: Operating expenses decreased $85 million, or 1.3 percentage points, in fiscal 2013 compared with fiscal 2012. The decrease in operating expenses was primarily due to lower corporate overhead expenses and store payroll, as well as a decrease in marketing expenses.</t>
        </r>
        <r>
          <rPr>
            <b/>
            <sz val="8"/>
            <color indexed="81"/>
            <rFont val="Tahoma"/>
            <family val="2"/>
          </rPr>
          <t xml:space="preserve">
casselau:</t>
        </r>
        <r>
          <rPr>
            <sz val="8"/>
            <color indexed="81"/>
            <rFont val="Tahoma"/>
            <family val="2"/>
          </rPr>
          <t xml:space="preserve">
2/27/14: majority of the benefit driven by translation of foreign currency expenses. 
2/28/13: feel comfortable with some leverage</t>
        </r>
      </text>
    </comment>
    <comment ref="CX34" authorId="8">
      <text>
        <r>
          <rPr>
            <b/>
            <sz val="9"/>
            <color indexed="81"/>
            <rFont val="Tahoma"/>
            <family val="2"/>
          </rPr>
          <t>Turley, Amber (Research):</t>
        </r>
        <r>
          <rPr>
            <sz val="9"/>
            <color indexed="81"/>
            <rFont val="Tahoma"/>
            <family val="2"/>
          </rPr>
          <t xml:space="preserve">
2/26/15: Marketing expenses $639M, flat with last year
8/21/14: shifted $160m of income our of expense and into merchandise margin (credit card loyalty program)</t>
        </r>
      </text>
    </comment>
    <comment ref="CY34" authorId="0">
      <text>
        <r>
          <rPr>
            <b/>
            <sz val="8"/>
            <color indexed="81"/>
            <rFont val="Tahoma"/>
            <family val="2"/>
          </rPr>
          <t>turleamb:</t>
        </r>
        <r>
          <rPr>
            <sz val="8"/>
            <color indexed="81"/>
            <rFont val="Tahoma"/>
            <family val="2"/>
          </rPr>
          <t xml:space="preserve">
5/21/14: guidance implies SG&amp;A leverage likely very modest as they move a portion of credit card revenue to GM from SG&amp;A. 
2/27/14: given that they levered 2013 130 bps, it's likely 2014 leverage won't be quite as large. But if they deliver on modest positive comps and increasing revenues they expect expenses to increase nominally but always leverage
-leveraged 110 bps SG&amp;A over the past 5 yrs</t>
        </r>
      </text>
    </comment>
    <comment ref="DB34" authorId="4">
      <text>
        <r>
          <rPr>
            <b/>
            <sz val="9"/>
            <color indexed="81"/>
            <rFont val="Tahoma"/>
            <family val="2"/>
          </rPr>
          <t>Baglione, Gregory  (Research):</t>
        </r>
        <r>
          <rPr>
            <sz val="9"/>
            <color indexed="81"/>
            <rFont val="Tahoma"/>
            <family val="2"/>
          </rPr>
          <t xml:space="preserve">
2/25/16
FY: Marketing was down $61m y/y to $578M
</t>
        </r>
        <r>
          <rPr>
            <b/>
            <sz val="9"/>
            <color indexed="81"/>
            <rFont val="Tahoma"/>
            <family val="2"/>
          </rPr>
          <t>Strategic Actions</t>
        </r>
        <r>
          <rPr>
            <sz val="9"/>
            <color indexed="81"/>
            <rFont val="Tahoma"/>
            <family val="2"/>
          </rPr>
          <t>: in the quarter we had $25 million from the strategic actions. $19 million of that was operating expense and $6 million of that was in gross margin. And I'll just, just to be helpful I'll say again that full year was $132 million; $98 million was expense and $34 million was gross margin.</t>
        </r>
      </text>
    </comment>
    <comment ref="DC34" authorId="8">
      <text>
        <r>
          <rPr>
            <b/>
            <sz val="9"/>
            <color indexed="81"/>
            <rFont val="Tahoma"/>
            <family val="2"/>
          </rPr>
          <t>Turley, Amber (Research):</t>
        </r>
        <r>
          <rPr>
            <sz val="9"/>
            <color indexed="81"/>
            <rFont val="Tahoma"/>
            <family val="2"/>
          </rPr>
          <t xml:space="preserve">
2/26/15 guidance: Unlikely to leverage operating expesnes</t>
        </r>
      </text>
    </comment>
    <comment ref="DG34" authorId="4">
      <text>
        <r>
          <rPr>
            <b/>
            <sz val="9"/>
            <color indexed="81"/>
            <rFont val="Tahoma"/>
            <family val="2"/>
          </rPr>
          <t>Baglione, Gregory  (Research):</t>
        </r>
        <r>
          <rPr>
            <sz val="9"/>
            <color indexed="81"/>
            <rFont val="Tahoma"/>
            <family val="2"/>
          </rPr>
          <t xml:space="preserve">
11/17/16
FY SG&amp;A Guidance
Second, as Art mentioned, given that challenging traffic trends have continued, we are investing meaningfully in marketing across our portfolio brands during the holiday season. We are not necessarily expecting an immediate payback from these investments, but consider them to bei mportant for the longer term health of the business.
Additionally, we are lapping bonus reversals last year which are also a headwind to Q4 expense. Therefore, we expect SG&amp;A to deleverage in the fourth quarter and for the full year. Third, we expect rent and occupancy to be more pressured in the fourth quarter due to pre-opening costs associated with our Times Square flagship locations for both Gap and Old Navy, scheduled to open in the back half of 2017. Given all of these factors, we continue to feel our guidance represents a prudent range.</t>
        </r>
      </text>
    </comment>
    <comment ref="DJ34" authorId="6">
      <text>
        <r>
          <rPr>
            <b/>
            <sz val="9"/>
            <color indexed="81"/>
            <rFont val="Tahoma"/>
            <family val="2"/>
          </rPr>
          <t>De Courreges, Edouard (Research):</t>
        </r>
        <r>
          <rPr>
            <sz val="9"/>
            <color indexed="81"/>
            <rFont val="Tahoma"/>
            <family val="2"/>
          </rPr>
          <t xml:space="preserve">
an increase in variable costs, such as payroll-related costs, due to the growth in Old Navy and Athleta brands, increase in bonus expense, and
the 53rd week impact;
• an increase in advertising; and
• an increase in overhead costs related to productivity work including investments in customer and digital initiatives as well as severance
expenses and the impacts of store closures; partially offset by
• a gain from insurance proceeds of $64 million related to the Fishkill fire recorded in the second quarter of fiscal year 2017;
• a decrease of $197 million of restructuring costs incurred in fiscal year 2016; and
• a decrease of $71 million related to a goodwill impairment charges for Intermix in fiscal year 2016.</t>
        </r>
      </text>
    </comment>
    <comment ref="DK34" authorId="5">
      <text>
        <r>
          <rPr>
            <b/>
            <sz val="9"/>
            <color indexed="81"/>
            <rFont val="Tahoma"/>
            <family val="2"/>
          </rPr>
          <t>Cassel, Lauren (Research):</t>
        </r>
        <r>
          <rPr>
            <sz val="9"/>
            <color indexed="81"/>
            <rFont val="Tahoma"/>
            <family val="2"/>
          </rPr>
          <t xml:space="preserve">
2/23/17: need +L-MSD to lever expenses</t>
        </r>
      </text>
    </comment>
    <comment ref="DO34" authorId="6">
      <text>
        <r>
          <rPr>
            <b/>
            <sz val="9"/>
            <color indexed="81"/>
            <rFont val="Tahoma"/>
            <family val="2"/>
          </rPr>
          <t>De Courreges, Edouard (Research):</t>
        </r>
        <r>
          <rPr>
            <sz val="9"/>
            <color indexed="81"/>
            <rFont val="Tahoma"/>
            <family val="2"/>
          </rPr>
          <t xml:space="preserve">
2/28/18: With regards to SG&amp; A, for the full year, we expect SG&amp;A as a percent of sales to be about flat as productivity offsets increased investment</t>
        </r>
      </text>
    </comment>
    <comment ref="CD50" authorId="1">
      <text>
        <r>
          <rPr>
            <b/>
            <sz val="8"/>
            <color indexed="81"/>
            <rFont val="Tahoma"/>
            <family val="2"/>
          </rPr>
          <t>oc48540:</t>
        </r>
        <r>
          <rPr>
            <sz val="8"/>
            <color indexed="81"/>
            <rFont val="Tahoma"/>
            <family val="2"/>
          </rPr>
          <t xml:space="preserve">
For the thirteen weeks ended May 2, 2009, amortization expense for intangible assets subject to amortization was $2 million. For the remainder of fiscal 2009, we expect amortization expense to be $4 million.</t>
        </r>
      </text>
    </comment>
    <comment ref="CL51" authorId="2">
      <text>
        <r>
          <rPr>
            <b/>
            <sz val="8"/>
            <color indexed="81"/>
            <rFont val="Tahoma"/>
            <family val="2"/>
          </rPr>
          <t>nicholjs:</t>
        </r>
        <r>
          <rPr>
            <sz val="8"/>
            <color indexed="81"/>
            <rFont val="Tahoma"/>
            <family val="2"/>
          </rPr>
          <t xml:space="preserve">
5/2011: depreciation can be bumpy quarter by quarter.  Will benefit from store closures, had a lot of depreciation write-off because we were doing a lot of remodels for Old Navy in the first half. We don't have that this year. And we have some asset depletion. But that is going to be a little bumpy, but we are going to hold to our full-year guidance on that.</t>
        </r>
      </text>
    </comment>
    <comment ref="CL52" authorId="2">
      <text>
        <r>
          <rPr>
            <b/>
            <sz val="8"/>
            <color indexed="81"/>
            <rFont val="Tahoma"/>
            <family val="2"/>
          </rPr>
          <t>nicholjs:</t>
        </r>
        <r>
          <rPr>
            <sz val="8"/>
            <color indexed="81"/>
            <rFont val="Tahoma"/>
            <family val="2"/>
          </rPr>
          <t xml:space="preserve">
5/2011: depreciation can be bumpy quarter by quarter.  Will benefit from store closures, had a lot of depreciation write-off because we were doing a lot of remodels for Old Navy in the first half. We don't have that this year. And we have some asset depletion. But that is going to be a little bumpy, but we are going to hold to our full-year guidance on that.</t>
        </r>
      </text>
    </comment>
    <comment ref="CL53" authorId="2">
      <text>
        <r>
          <rPr>
            <b/>
            <sz val="8"/>
            <color indexed="81"/>
            <rFont val="Tahoma"/>
            <family val="2"/>
          </rPr>
          <t>nicholjs:</t>
        </r>
        <r>
          <rPr>
            <sz val="8"/>
            <color indexed="81"/>
            <rFont val="Tahoma"/>
            <family val="2"/>
          </rPr>
          <t xml:space="preserve">
5/2011: depreciation can be bumpy quarter by quarter.  Will benefit from store closures, had a lot of depreciation write-off because we were doing a lot of remodels for Old Navy in the first half. We don't have that this year. And we have some asset depletion. But that is going to be a little bumpy, but we are going to hold to our full-year guidance on that.</t>
        </r>
      </text>
    </comment>
    <comment ref="BB54" authorId="14">
      <text>
        <r>
          <rPr>
            <sz val="8"/>
            <color indexed="81"/>
            <rFont val="Tahoma"/>
            <family val="2"/>
          </rPr>
          <t xml:space="preserve">
in 3q 10Q, lowered full year d&amp;a to high 700s</t>
        </r>
      </text>
    </comment>
    <comment ref="BN54" authorId="20">
      <text>
        <r>
          <rPr>
            <b/>
            <sz val="8"/>
            <color indexed="81"/>
            <rFont val="Tahoma"/>
            <family val="2"/>
          </rPr>
          <t>Kimberly Greenberger:</t>
        </r>
        <r>
          <rPr>
            <sz val="8"/>
            <color indexed="81"/>
            <rFont val="Tahoma"/>
            <family val="2"/>
          </rPr>
          <t xml:space="preserve">
8/05 mgmt guided to 2005 depc'n of $550m on 2Q05 eps conf call</t>
        </r>
      </text>
    </comment>
    <comment ref="BR54" authorId="20">
      <text>
        <r>
          <rPr>
            <b/>
            <sz val="8"/>
            <color indexed="81"/>
            <rFont val="Tahoma"/>
            <family val="2"/>
          </rPr>
          <t>Kimberly Greenberger:</t>
        </r>
        <r>
          <rPr>
            <sz val="8"/>
            <color indexed="81"/>
            <rFont val="Tahoma"/>
            <family val="2"/>
          </rPr>
          <t xml:space="preserve">
8/05 mgmt guided to 2005 depc'n of $550m on 2Q05 eps conf call</t>
        </r>
      </text>
    </comment>
    <comment ref="BV54" authorId="1">
      <text>
        <r>
          <rPr>
            <sz val="8"/>
            <color indexed="81"/>
            <rFont val="Tahoma"/>
            <family val="2"/>
          </rPr>
          <t xml:space="preserve">2Q07: guided to $550M
</t>
        </r>
        <r>
          <rPr>
            <b/>
            <sz val="8"/>
            <color indexed="81"/>
            <rFont val="Tahoma"/>
            <family val="2"/>
          </rPr>
          <t xml:space="preserve">
oc48540:</t>
        </r>
        <r>
          <rPr>
            <sz val="8"/>
            <color indexed="81"/>
            <rFont val="Tahoma"/>
            <family val="2"/>
          </rPr>
          <t xml:space="preserve">
Guided to $550M in 4Q06 Earnings Release</t>
        </r>
      </text>
    </comment>
    <comment ref="BZ54" authorId="11">
      <text>
        <r>
          <rPr>
            <sz val="8"/>
            <color indexed="81"/>
            <rFont val="Tahoma"/>
            <family val="2"/>
          </rPr>
          <t>8/21: Guided to ~$550mm
5/22: Guided to ~$550mm</t>
        </r>
        <r>
          <rPr>
            <b/>
            <sz val="8"/>
            <color indexed="81"/>
            <rFont val="Tahoma"/>
            <family val="2"/>
          </rPr>
          <t xml:space="preserve">
OC48540:</t>
        </r>
        <r>
          <rPr>
            <sz val="8"/>
            <color indexed="81"/>
            <rFont val="Tahoma"/>
            <family val="2"/>
          </rPr>
          <t xml:space="preserve">
2/28: Guided to ~$550mm</t>
        </r>
      </text>
    </comment>
    <comment ref="CD54" authorId="1">
      <text>
        <r>
          <rPr>
            <b/>
            <sz val="8"/>
            <color indexed="81"/>
            <rFont val="Tahoma"/>
            <family val="2"/>
          </rPr>
          <t>11/25: Exp. $575mm
5</t>
        </r>
        <r>
          <rPr>
            <sz val="8"/>
            <color indexed="81"/>
            <rFont val="Tahoma"/>
            <family val="2"/>
          </rPr>
          <t>/21/09: D&amp;A of $550mm</t>
        </r>
        <r>
          <rPr>
            <sz val="8"/>
            <color indexed="81"/>
            <rFont val="Tahoma"/>
            <family val="2"/>
          </rPr>
          <t xml:space="preserve">
2/26/09: Guiding to $550mm</t>
        </r>
      </text>
    </comment>
    <comment ref="CH54" authorId="1">
      <text>
        <r>
          <rPr>
            <sz val="8"/>
            <color indexed="81"/>
            <rFont val="Tahoma"/>
            <family val="2"/>
          </rPr>
          <t>11/10: expects $550M
8/10: expects $550M</t>
        </r>
        <r>
          <rPr>
            <b/>
            <sz val="8"/>
            <color indexed="81"/>
            <rFont val="Tahoma"/>
            <family val="2"/>
          </rPr>
          <t xml:space="preserve">
</t>
        </r>
        <r>
          <rPr>
            <sz val="8"/>
            <color indexed="81"/>
            <rFont val="Tahoma"/>
            <family val="2"/>
          </rPr>
          <t xml:space="preserve">2/25/10 </t>
        </r>
        <r>
          <rPr>
            <sz val="8"/>
            <color indexed="81"/>
            <rFont val="Tahoma"/>
            <family val="2"/>
          </rPr>
          <t>Expects $550mm</t>
        </r>
      </text>
    </comment>
    <comment ref="CL54" authorId="2">
      <text>
        <r>
          <rPr>
            <sz val="8"/>
            <color indexed="81"/>
            <rFont val="Tahoma"/>
            <family val="2"/>
          </rPr>
          <t>11/2011: expects $510mm</t>
        </r>
        <r>
          <rPr>
            <sz val="8"/>
            <color indexed="81"/>
            <rFont val="Tahoma"/>
            <family val="2"/>
          </rPr>
          <t xml:space="preserve">
8/2011: expects $550mm
5/2011: expects $550mm
2/2011: expects $550mm</t>
        </r>
      </text>
    </comment>
    <comment ref="CP54" authorId="16">
      <text>
        <r>
          <rPr>
            <sz val="8"/>
            <color indexed="81"/>
            <rFont val="Tahoma"/>
            <family val="2"/>
          </rPr>
          <t xml:space="preserve">5/17/2012: about 475
2/23/2012: about 475
</t>
        </r>
      </text>
    </comment>
    <comment ref="CT54" authorId="24">
      <text>
        <r>
          <rPr>
            <b/>
            <sz val="8"/>
            <color indexed="81"/>
            <rFont val="Tahoma"/>
            <family val="2"/>
          </rPr>
          <t>casselau:</t>
        </r>
        <r>
          <rPr>
            <sz val="8"/>
            <color indexed="81"/>
            <rFont val="Tahoma"/>
            <family val="2"/>
          </rPr>
          <t xml:space="preserve">
11/21/13:~$475m
8/22/13: about $475m
2/28/13: guidance expects $475M
</t>
        </r>
      </text>
    </comment>
    <comment ref="CX54" authorId="0">
      <text>
        <r>
          <rPr>
            <b/>
            <sz val="8"/>
            <color indexed="81"/>
            <rFont val="Tahoma"/>
            <family val="2"/>
          </rPr>
          <t>turleamb:</t>
        </r>
        <r>
          <rPr>
            <sz val="8"/>
            <color indexed="81"/>
            <rFont val="Tahoma"/>
            <family val="2"/>
          </rPr>
          <t xml:space="preserve">
11/20/14: Lowered guidance to ~$500M
8/21/14: guidance ~$520m
5/21/14: guidance ~$520m
2/27/14: guidance ~$520m</t>
        </r>
      </text>
    </comment>
    <comment ref="DB54" authorId="8">
      <text>
        <r>
          <rPr>
            <sz val="9"/>
            <color indexed="81"/>
            <rFont val="Tahoma"/>
            <family val="2"/>
          </rPr>
          <t>11/19/15: reaffirmed $525M
8/20/15: reaffirmed $525M
2/26/15: guidance $525M</t>
        </r>
      </text>
    </comment>
    <comment ref="DF54" authorId="8">
      <text>
        <r>
          <rPr>
            <sz val="9"/>
            <color indexed="81"/>
            <rFont val="Tahoma"/>
            <family val="2"/>
          </rPr>
          <t>8/20/15: reaffirmed $525M
2/26/15: guidance $525M
2/25/16
Depreciation ~$560M
5/19/16
We now expect depreciation and amortization of about $550 million.
8/19/16
Unchanged</t>
        </r>
      </text>
    </comment>
    <comment ref="BK64" authorId="33">
      <text>
        <r>
          <rPr>
            <b/>
            <sz val="8"/>
            <color indexed="81"/>
            <rFont val="Tahoma"/>
            <family val="2"/>
          </rPr>
          <t>SB:</t>
        </r>
        <r>
          <rPr>
            <sz val="8"/>
            <color indexed="81"/>
            <rFont val="Tahoma"/>
            <family val="2"/>
          </rPr>
          <t xml:space="preserve">
12/2 $0.41 Q4 est produces 12.9% FY OM ex early debt retirment costs</t>
        </r>
      </text>
    </comment>
    <comment ref="BS64" authorId="10">
      <text>
        <r>
          <rPr>
            <b/>
            <sz val="8"/>
            <color indexed="81"/>
            <rFont val="Tahoma"/>
            <family val="2"/>
          </rPr>
          <t>mm98285:</t>
        </r>
        <r>
          <rPr>
            <sz val="8"/>
            <color indexed="81"/>
            <rFont val="Tahoma"/>
            <family val="2"/>
          </rPr>
          <t xml:space="preserve">
1/07: expect 7%
5/06: expect to be 10-10.5%</t>
        </r>
      </text>
    </comment>
    <comment ref="BW64" authorId="10">
      <text>
        <r>
          <rPr>
            <sz val="8"/>
            <color indexed="81"/>
            <rFont val="Tahoma"/>
            <family val="2"/>
          </rPr>
          <t>2Q07: full year, the company expects operating margin in the +HSD range
(implying 6.5-9.4%),
1Q07: Expects full year 2007 operating margin in the +HSD</t>
        </r>
        <r>
          <rPr>
            <b/>
            <sz val="8"/>
            <color indexed="81"/>
            <rFont val="Tahoma"/>
            <family val="2"/>
          </rPr>
          <t xml:space="preserve">
mm98285:</t>
        </r>
        <r>
          <rPr>
            <sz val="8"/>
            <color indexed="81"/>
            <rFont val="Tahoma"/>
            <family val="2"/>
          </rPr>
          <t xml:space="preserve">
2/07: expect +HSD</t>
        </r>
      </text>
    </comment>
    <comment ref="CA64" authorId="11">
      <text>
        <r>
          <rPr>
            <b/>
            <sz val="8"/>
            <color indexed="81"/>
            <rFont val="Tahoma"/>
            <family val="2"/>
          </rPr>
          <t xml:space="preserve">OC48540:
</t>
        </r>
        <r>
          <rPr>
            <sz val="8"/>
            <color indexed="81"/>
            <rFont val="Tahoma"/>
            <family val="2"/>
          </rPr>
          <t xml:space="preserve">8/21: Guided to ~10% </t>
        </r>
        <r>
          <rPr>
            <sz val="8"/>
            <color indexed="81"/>
            <rFont val="Tahoma"/>
            <family val="2"/>
          </rPr>
          <t xml:space="preserve">
5/22: Guided to 8.5%-9.5%
2/28: Guided to 8.5% to 9.5%</t>
        </r>
      </text>
    </comment>
    <comment ref="CI64" authorId="1">
      <text>
        <r>
          <rPr>
            <sz val="8"/>
            <color indexed="81"/>
            <rFont val="Tahoma"/>
            <family val="2"/>
          </rPr>
          <t>11/10: about ~13%
8/10: about ~13%
5/10: about ~13%
2/25/10: ~13%</t>
        </r>
      </text>
    </comment>
    <comment ref="CM64" authorId="2">
      <text>
        <r>
          <rPr>
            <b/>
            <sz val="8"/>
            <color indexed="81"/>
            <rFont val="Tahoma"/>
            <family val="2"/>
          </rPr>
          <t>nicholjs:</t>
        </r>
        <r>
          <rPr>
            <sz val="8"/>
            <color indexed="81"/>
            <rFont val="Tahoma"/>
            <family val="2"/>
          </rPr>
          <t xml:space="preserve">
2/2011: expects that operating margin will likely decrease driven by pressure from sourcing cost inflation</t>
        </r>
      </text>
    </comment>
    <comment ref="CQ64" authorId="16">
      <text>
        <r>
          <rPr>
            <sz val="8"/>
            <color indexed="81"/>
            <rFont val="Tahoma"/>
            <family val="2"/>
          </rPr>
          <t xml:space="preserve">11/15: ~12%
8/16/2012: about 11%
5/17/2012: about 10%
2/23/2012: about 10%
</t>
        </r>
      </text>
    </comment>
    <comment ref="CU64" authorId="24">
      <text>
        <r>
          <rPr>
            <b/>
            <sz val="8"/>
            <color indexed="81"/>
            <rFont val="Tahoma"/>
            <family val="2"/>
          </rPr>
          <t>casselau:</t>
        </r>
        <r>
          <rPr>
            <sz val="8"/>
            <color indexed="81"/>
            <rFont val="Tahoma"/>
            <family val="2"/>
          </rPr>
          <t xml:space="preserve">
11/21/13: reiterated ~13%
5/23/13: guidance about 13%
2/28/13: guidance 13%</t>
        </r>
      </text>
    </comment>
    <comment ref="CY64" authorId="0">
      <text>
        <r>
          <rPr>
            <b/>
            <sz val="8"/>
            <color indexed="81"/>
            <rFont val="Tahoma"/>
            <family val="2"/>
          </rPr>
          <t>turleamb:</t>
        </r>
        <r>
          <rPr>
            <sz val="8"/>
            <color indexed="81"/>
            <rFont val="Tahoma"/>
            <family val="2"/>
          </rPr>
          <t xml:space="preserve">
11/20/14: Guidance ~12.5%
8/21/14: reiterated flat OM guidance
5/21/14: guidance OM flat
2/27/14: guide OM flat
Excluding the estimated impact of foreign currency, the company would expect
operating margin expansion for fiscal year 2014, however, on a reported basis
the company expects operating margin to be about flat for fiscal year 2014
2014 Investor Day: EBIT margin goals ~15-17%
we estimate
30-40 bps global growth (accretive revenue, more productive stores, dominate online), 70-80 bps Responsive supply chain (increase reg price selling, lower AUC), 70-80 bps omni-channel (store conversion --30% now but should be higher, higher click through --personalization, mobile traffic), 70-80 bps Seamless inventory (reduce stranged inventory, better markdown margin) costs ~$3.75 to ship an item out of a store to fulfill an order, prefer to do that rather than sell on markdown. </t>
        </r>
      </text>
    </comment>
    <comment ref="DC64" authorId="8">
      <text>
        <r>
          <rPr>
            <sz val="9"/>
            <color indexed="81"/>
            <rFont val="Tahoma"/>
            <family val="2"/>
          </rPr>
          <t>11/19/15: Expects 10.5% operating margin for FY15
8/20/15: Continue to expect OM, ex strategic actions, down 100 bps y/y
2/26/15: guidance expect ~11.7% OM (-100 bps y/y on a GAAP basis)</t>
        </r>
      </text>
    </comment>
    <comment ref="DG64" authorId="8">
      <text>
        <r>
          <rPr>
            <sz val="9"/>
            <color indexed="81"/>
            <rFont val="Tahoma"/>
            <family val="2"/>
          </rPr>
          <t xml:space="preserve">11/17/16:
3Q16 PR guidance 8.5%
---
8/20/15: Continue to expect OM, ex strategic actions, down 100 bps y/y
2/26/15: guidance expect ~11.7% OM (-100 bps y/y on a GAAP basis)
2/25/16
Embedded in our full-year guidance is a negative impact from foreign exchange of over $120 million in EBIT, which equates to about $0.19 of EPS, or 8 percentage points of EPS growth off of 2015's $2.43.
</t>
        </r>
      </text>
    </comment>
    <comment ref="BN77" authorId="9">
      <text>
        <r>
          <rPr>
            <b/>
            <sz val="8"/>
            <color indexed="81"/>
            <rFont val="Tahoma"/>
            <family val="2"/>
          </rPr>
          <t>Morry Brown:</t>
        </r>
        <r>
          <rPr>
            <sz val="8"/>
            <color indexed="81"/>
            <rFont val="Tahoma"/>
            <family val="2"/>
          </rPr>
          <t xml:space="preserve">
-1..4</t>
        </r>
      </text>
    </comment>
    <comment ref="BZ77" authorId="11">
      <text>
        <r>
          <rPr>
            <b/>
            <sz val="8"/>
            <color indexed="81"/>
            <rFont val="Tahoma"/>
            <family val="2"/>
          </rPr>
          <t>OC48540:</t>
        </r>
        <r>
          <rPr>
            <sz val="8"/>
            <color indexed="81"/>
            <rFont val="Tahoma"/>
            <family val="2"/>
          </rPr>
          <t xml:space="preserve">
5/8/08: Included in EPS guidance of 30c-32c is $15mm pre-tax benefit from a reduction in int. exp. accrual resulting primarily from foreign tax audit events ocurring in the quarter</t>
        </r>
      </text>
    </comment>
    <comment ref="CD77" authorId="1">
      <text>
        <r>
          <rPr>
            <b/>
            <sz val="8"/>
            <color indexed="81"/>
            <rFont val="Tahoma"/>
            <family val="2"/>
          </rPr>
          <t>oc48540:</t>
        </r>
        <r>
          <rPr>
            <sz val="8"/>
            <color indexed="81"/>
            <rFont val="Tahoma"/>
            <family val="2"/>
          </rPr>
          <t xml:space="preserve">
In the first quarter of fiscal 2008, we recognized a reversal of $15 million interest expense from the reduction of interest expense accruals resulting primarily from foreign tax audit events occurring in the quarter.</t>
        </r>
      </text>
    </comment>
    <comment ref="CH77" authorId="26">
      <text>
        <r>
          <rPr>
            <b/>
            <sz val="8"/>
            <color indexed="81"/>
            <rFont val="Tahoma"/>
            <family val="2"/>
          </rPr>
          <t>ns66486:</t>
        </r>
        <r>
          <rPr>
            <sz val="8"/>
            <color indexed="81"/>
            <rFont val="Tahoma"/>
            <family val="2"/>
          </rPr>
          <t xml:space="preserve">
expect ~+1c benefit from interest income on resolution of tax uncertainties (had accrued interest expense)</t>
        </r>
      </text>
    </comment>
    <comment ref="CT77" authorId="24">
      <text>
        <r>
          <rPr>
            <b/>
            <sz val="8"/>
            <color indexed="81"/>
            <rFont val="Tahoma"/>
            <family val="2"/>
          </rPr>
          <t>casselau:</t>
        </r>
        <r>
          <rPr>
            <sz val="8"/>
            <color indexed="81"/>
            <rFont val="Tahoma"/>
            <family val="2"/>
          </rPr>
          <t xml:space="preserve">
5/9: ~2c benefit from tax settlement</t>
        </r>
      </text>
    </comment>
    <comment ref="BF78" authorId="14">
      <text>
        <r>
          <rPr>
            <sz val="8"/>
            <color indexed="81"/>
            <rFont val="Tahoma"/>
            <family val="2"/>
          </rPr>
          <t xml:space="preserve">
assume pay off 5.625% notes due 5/1/03
co guide 5/22/03 for $60-65 gross int exp excl int income </t>
        </r>
      </text>
    </comment>
    <comment ref="CX78" authorId="8">
      <text>
        <r>
          <rPr>
            <b/>
            <sz val="9"/>
            <color indexed="81"/>
            <rFont val="Tahoma"/>
            <family val="2"/>
          </rPr>
          <t>Turley, Amber (Research):</t>
        </r>
        <r>
          <rPr>
            <sz val="9"/>
            <color indexed="81"/>
            <rFont val="Tahoma"/>
            <family val="2"/>
          </rPr>
          <t xml:space="preserve">
interest on $1.25B 5.95% notes</t>
        </r>
      </text>
    </comment>
    <comment ref="BJ79" authorId="25">
      <text>
        <r>
          <rPr>
            <b/>
            <sz val="8"/>
            <color indexed="81"/>
            <rFont val="Tahoma"/>
            <family val="2"/>
          </rPr>
          <t>MS:</t>
        </r>
        <r>
          <rPr>
            <sz val="8"/>
            <color indexed="81"/>
            <rFont val="Tahoma"/>
            <family val="2"/>
          </rPr>
          <t xml:space="preserve">
8/19 had est. 38</t>
        </r>
      </text>
    </comment>
    <comment ref="BN79" authorId="9">
      <text>
        <r>
          <rPr>
            <b/>
            <sz val="8"/>
            <color indexed="81"/>
            <rFont val="Tahoma"/>
            <family val="2"/>
          </rPr>
          <t>Morry Brown:</t>
        </r>
        <r>
          <rPr>
            <sz val="8"/>
            <color indexed="81"/>
            <rFont val="Tahoma"/>
            <family val="2"/>
          </rPr>
          <t xml:space="preserve">
-13</t>
        </r>
      </text>
    </comment>
    <comment ref="BZ79" authorId="1">
      <text>
        <r>
          <rPr>
            <b/>
            <sz val="8"/>
            <color indexed="81"/>
            <rFont val="Tahoma"/>
            <family val="2"/>
          </rPr>
          <t>oc48540:</t>
        </r>
        <r>
          <rPr>
            <sz val="8"/>
            <color indexed="81"/>
            <rFont val="Tahoma"/>
            <family val="2"/>
          </rPr>
          <t xml:space="preserve">
In September 2007, we paid $326 million related to the maturity of our 6.90 percent notes payable. The remaining balance of our 8.80 percent
notes payable of </t>
        </r>
        <r>
          <rPr>
            <b/>
            <sz val="8"/>
            <color indexed="81"/>
            <rFont val="Tahoma"/>
            <family val="2"/>
          </rPr>
          <t>$138</t>
        </r>
        <r>
          <rPr>
            <sz val="8"/>
            <color indexed="81"/>
            <rFont val="Tahoma"/>
            <family val="2"/>
          </rPr>
          <t xml:space="preserve"> million, due December 2008 (“2008 Notes”), is classified as current maturities of long-term debt in our condensed
consolidated balance sheets as of August 2, 2008 and February 2, 2008, and is subject to an increasing or decreasing rate of interest based on
credit rating fluctuations. As a result of changes to our long-term senior unsecured credit ratings in prior periods, the interest rate on the 2008
Notes was </t>
        </r>
        <r>
          <rPr>
            <b/>
            <sz val="8"/>
            <color indexed="81"/>
            <rFont val="Tahoma"/>
            <family val="2"/>
          </rPr>
          <t xml:space="preserve">10.05 </t>
        </r>
        <r>
          <rPr>
            <sz val="8"/>
            <color indexed="81"/>
            <rFont val="Tahoma"/>
            <family val="2"/>
          </rPr>
          <t xml:space="preserve">percent per annum as of August 2, 2008.
We also have </t>
        </r>
        <r>
          <rPr>
            <b/>
            <sz val="8"/>
            <color indexed="81"/>
            <rFont val="Tahoma"/>
            <family val="2"/>
          </rPr>
          <t>$50</t>
        </r>
        <r>
          <rPr>
            <sz val="8"/>
            <color indexed="81"/>
            <rFont val="Tahoma"/>
            <family val="2"/>
          </rPr>
          <t xml:space="preserve"> million notes payable due March 2009 with a fixed interest rate of </t>
        </r>
        <r>
          <rPr>
            <b/>
            <sz val="8"/>
            <color indexed="81"/>
            <rFont val="Tahoma"/>
            <family val="2"/>
          </rPr>
          <t>6.25</t>
        </r>
        <r>
          <rPr>
            <sz val="8"/>
            <color indexed="81"/>
            <rFont val="Tahoma"/>
            <family val="2"/>
          </rPr>
          <t xml:space="preserve"> percent per annum, which was classified as current maturities of long-term debt in our condensed consolidated balance sheet as of August 2, 2008. In connection with this debt, we have a crosscurrency interest rate swap to swap the interest and principal payable of $50 million debt securities of our Japanese subsidiary, Gap (Japan)
KK, from a fixed interest rate of 6.25 percent, payable in U.S. dollars, to 6.1 billion Japanese yen with a fixed interest rate of 2.43 percent.</t>
        </r>
      </text>
    </comment>
    <comment ref="BJ80" authorId="25">
      <text>
        <r>
          <rPr>
            <b/>
            <sz val="8"/>
            <color indexed="81"/>
            <rFont val="Tahoma"/>
            <family val="2"/>
          </rPr>
          <t>MS:</t>
        </r>
        <r>
          <rPr>
            <sz val="8"/>
            <color indexed="81"/>
            <rFont val="Tahoma"/>
            <family val="2"/>
          </rPr>
          <t xml:space="preserve">
had 20 est</t>
        </r>
      </text>
    </comment>
    <comment ref="BR80" authorId="1">
      <text>
        <r>
          <rPr>
            <b/>
            <sz val="8"/>
            <color indexed="81"/>
            <rFont val="Tahoma"/>
            <family val="2"/>
          </rPr>
          <t>oc48540:</t>
        </r>
        <r>
          <rPr>
            <sz val="8"/>
            <color indexed="81"/>
            <rFont val="Tahoma"/>
            <family val="2"/>
          </rPr>
          <t xml:space="preserve">
-23 before stripping out F&amp;T</t>
        </r>
      </text>
    </comment>
    <comment ref="BF81" authorId="18">
      <text>
        <r>
          <rPr>
            <sz val="8"/>
            <color indexed="81"/>
            <rFont val="Tahoma"/>
            <family val="2"/>
          </rPr>
          <t xml:space="preserve">
4/19/04 Gross interest expense was $234</t>
        </r>
      </text>
    </comment>
    <comment ref="BJ81" authorId="18">
      <text>
        <r>
          <rPr>
            <sz val="8"/>
            <color indexed="81"/>
            <rFont val="Tahoma"/>
            <family val="2"/>
          </rPr>
          <t xml:space="preserve">
4/19/04 Guided to gross interest expense of $210-220</t>
        </r>
      </text>
    </comment>
    <comment ref="BR81" authorId="10">
      <text>
        <r>
          <rPr>
            <b/>
            <sz val="8"/>
            <color indexed="81"/>
            <rFont val="Tahoma"/>
            <family val="2"/>
          </rPr>
          <t>mm98285:</t>
        </r>
        <r>
          <rPr>
            <sz val="8"/>
            <color indexed="81"/>
            <rFont val="Tahoma"/>
            <family val="2"/>
          </rPr>
          <t xml:space="preserve">
5/06: guided to ($40)mm</t>
        </r>
      </text>
    </comment>
    <comment ref="BV81" authorId="1">
      <text>
        <r>
          <rPr>
            <sz val="8"/>
            <color indexed="81"/>
            <rFont val="Tahoma"/>
            <family val="2"/>
          </rPr>
          <t xml:space="preserve">11/07: expect interest expense of $28mm
</t>
        </r>
        <r>
          <rPr>
            <b/>
            <sz val="8"/>
            <color indexed="81"/>
            <rFont val="Tahoma"/>
            <family val="2"/>
          </rPr>
          <t xml:space="preserve">
2Q07:</t>
        </r>
        <r>
          <rPr>
            <sz val="8"/>
            <color indexed="81"/>
            <rFont val="Tahoma"/>
            <family val="2"/>
          </rPr>
          <t xml:space="preserve">
Guided to $35M of </t>
        </r>
        <r>
          <rPr>
            <b/>
            <sz val="8"/>
            <color indexed="81"/>
            <rFont val="Tahoma"/>
            <family val="2"/>
          </rPr>
          <t>Interest Expense</t>
        </r>
      </text>
    </comment>
    <comment ref="BZ81" authorId="11">
      <text>
        <r>
          <rPr>
            <b/>
            <sz val="8"/>
            <color indexed="81"/>
            <rFont val="Tahoma"/>
            <family val="2"/>
          </rPr>
          <t xml:space="preserve">OC48540:
</t>
        </r>
        <r>
          <rPr>
            <sz val="8"/>
            <color indexed="81"/>
            <rFont val="Tahoma"/>
            <family val="2"/>
          </rPr>
          <t>8/21: Guided to Gross Int. exp of $5mm</t>
        </r>
        <r>
          <rPr>
            <b/>
            <sz val="8"/>
            <color indexed="81"/>
            <rFont val="Tahoma"/>
            <family val="2"/>
          </rPr>
          <t xml:space="preserve">
</t>
        </r>
        <r>
          <rPr>
            <sz val="8"/>
            <color indexed="81"/>
            <rFont val="Tahoma"/>
            <family val="2"/>
          </rPr>
          <t>5/22: Guided to Gross Int. exp of $5mm</t>
        </r>
        <r>
          <rPr>
            <sz val="8"/>
            <color indexed="81"/>
            <rFont val="Tahoma"/>
            <family val="2"/>
          </rPr>
          <t xml:space="preserve">
2/28: Guided to $20mm of Gross Interest Expense</t>
        </r>
      </text>
    </comment>
    <comment ref="CA81" authorId="1">
      <text>
        <r>
          <rPr>
            <b/>
            <sz val="8"/>
            <color indexed="81"/>
            <rFont val="Tahoma"/>
            <family val="2"/>
          </rPr>
          <t>oc48540:</t>
        </r>
        <r>
          <rPr>
            <sz val="8"/>
            <color indexed="81"/>
            <rFont val="Tahoma"/>
            <family val="2"/>
          </rPr>
          <t xml:space="preserve">
We earned interest income of $37 million, $117 million, and $131 million in fiscal 2008, 2007, and 2006, respectively.</t>
        </r>
      </text>
    </comment>
    <comment ref="CL81" authorId="2">
      <text>
        <r>
          <rPr>
            <b/>
            <sz val="8"/>
            <color indexed="81"/>
            <rFont val="Tahoma"/>
            <family val="2"/>
          </rPr>
          <t>nicholjs:</t>
        </r>
        <r>
          <rPr>
            <sz val="8"/>
            <color indexed="81"/>
            <rFont val="Tahoma"/>
            <family val="2"/>
          </rPr>
          <t xml:space="preserve">
5/2011: expect $70mm</t>
        </r>
      </text>
    </comment>
    <comment ref="CU81" authorId="0">
      <text>
        <r>
          <rPr>
            <b/>
            <sz val="9"/>
            <color indexed="81"/>
            <rFont val="Tahoma"/>
            <family val="2"/>
          </rPr>
          <t>turleamb:</t>
        </r>
        <r>
          <rPr>
            <sz val="9"/>
            <color indexed="81"/>
            <rFont val="Tahoma"/>
            <family val="2"/>
          </rPr>
          <t xml:space="preserve">
10-K: Interest expense for fiscal 2013 includes $75 million of interest on overall borrowings and obligations mainly related to our $1.25 billion long-term debt, offset by a net reversal of $14 million of interest expense resulting from the favorable resolution of tax matters in fiscal 2013.</t>
        </r>
      </text>
    </comment>
    <comment ref="DF81" authorId="4">
      <text>
        <r>
          <rPr>
            <b/>
            <sz val="9"/>
            <color indexed="81"/>
            <rFont val="Tahoma"/>
            <family val="2"/>
          </rPr>
          <t>Baglione, Gregory  (Research):</t>
        </r>
        <r>
          <rPr>
            <sz val="9"/>
            <color indexed="81"/>
            <rFont val="Tahoma"/>
            <family val="2"/>
          </rPr>
          <t xml:space="preserve">
Per liz $67-68M interest TY
8/19/16
Per mgmt unchanged</t>
        </r>
      </text>
    </comment>
    <comment ref="BV87" authorId="11">
      <text>
        <r>
          <rPr>
            <b/>
            <sz val="8"/>
            <color indexed="81"/>
            <rFont val="Tahoma"/>
            <family val="2"/>
          </rPr>
          <t>OC48540:</t>
        </r>
        <r>
          <rPr>
            <sz val="8"/>
            <color indexed="81"/>
            <rFont val="Tahoma"/>
            <family val="2"/>
          </rPr>
          <t xml:space="preserve">
excludes non-recurr</t>
        </r>
      </text>
    </comment>
    <comment ref="BV88" authorId="11">
      <text>
        <r>
          <rPr>
            <b/>
            <sz val="8"/>
            <color indexed="81"/>
            <rFont val="Tahoma"/>
            <family val="2"/>
          </rPr>
          <t>OC48540:</t>
        </r>
        <r>
          <rPr>
            <sz val="8"/>
            <color indexed="81"/>
            <rFont val="Tahoma"/>
            <family val="2"/>
          </rPr>
          <t xml:space="preserve">
ex non-recurr</t>
        </r>
      </text>
    </comment>
    <comment ref="BV89" authorId="11">
      <text>
        <r>
          <rPr>
            <b/>
            <sz val="8"/>
            <color indexed="81"/>
            <rFont val="Tahoma"/>
            <family val="2"/>
          </rPr>
          <t>OC48540:</t>
        </r>
        <r>
          <rPr>
            <sz val="8"/>
            <color indexed="81"/>
            <rFont val="Tahoma"/>
            <family val="2"/>
          </rPr>
          <t xml:space="preserve">
inclu non-recurr</t>
        </r>
      </text>
    </comment>
    <comment ref="BG97" authorId="18">
      <text>
        <r>
          <rPr>
            <sz val="8"/>
            <color indexed="81"/>
            <rFont val="Tahoma"/>
            <family val="2"/>
          </rPr>
          <t xml:space="preserve">
40%</t>
        </r>
      </text>
    </comment>
    <comment ref="BK97" authorId="30">
      <text>
        <r>
          <rPr>
            <b/>
            <sz val="10"/>
            <color indexed="81"/>
            <rFont val="Tahoma"/>
            <family val="2"/>
          </rPr>
          <t>kgreenbe:</t>
        </r>
        <r>
          <rPr>
            <sz val="10"/>
            <color indexed="81"/>
            <rFont val="Tahoma"/>
            <family val="2"/>
          </rPr>
          <t xml:space="preserve">
forcast 38.5-39.5% tax rate for 2004</t>
        </r>
      </text>
    </comment>
    <comment ref="BR97" authorId="1">
      <text>
        <r>
          <rPr>
            <b/>
            <sz val="8"/>
            <color indexed="81"/>
            <rFont val="Tahoma"/>
            <family val="2"/>
          </rPr>
          <t>oc48540:</t>
        </r>
        <r>
          <rPr>
            <sz val="8"/>
            <color indexed="81"/>
            <rFont val="Tahoma"/>
            <family val="2"/>
          </rPr>
          <t xml:space="preserve">
152.1 before taking out F&amp;T</t>
        </r>
      </text>
    </comment>
    <comment ref="BS97" authorId="29">
      <text>
        <r>
          <rPr>
            <b/>
            <sz val="8"/>
            <color indexed="81"/>
            <rFont val="Tahoma"/>
            <family val="2"/>
          </rPr>
          <t>MB33100:</t>
        </r>
        <r>
          <rPr>
            <sz val="8"/>
            <color indexed="81"/>
            <rFont val="Tahoma"/>
            <family val="2"/>
          </rPr>
          <t xml:space="preserve">
2/06 guided to a 39% tax rate for 2006</t>
        </r>
      </text>
    </comment>
    <comment ref="CE97" authorId="1">
      <text>
        <r>
          <rPr>
            <b/>
            <sz val="8"/>
            <color indexed="81"/>
            <rFont val="Tahoma"/>
            <family val="2"/>
          </rPr>
          <t>oc48540:</t>
        </r>
        <r>
          <rPr>
            <sz val="8"/>
            <color indexed="81"/>
            <rFont val="Tahoma"/>
            <family val="2"/>
          </rPr>
          <t xml:space="preserve">
2/26/09: Guiding to ~39%</t>
        </r>
      </text>
    </comment>
    <comment ref="CI97" authorId="1">
      <text>
        <r>
          <rPr>
            <sz val="8"/>
            <color indexed="81"/>
            <rFont val="Tahoma"/>
            <family val="2"/>
          </rPr>
          <t>5/10: expect +1c benefit from lower tax rate, but 39% for the full year
2/25/10: Expects 39% for 2010</t>
        </r>
      </text>
    </comment>
    <comment ref="CM97" authorId="2">
      <text>
        <r>
          <rPr>
            <b/>
            <sz val="8"/>
            <color indexed="81"/>
            <rFont val="Tahoma"/>
            <family val="2"/>
          </rPr>
          <t>nicholjs:</t>
        </r>
        <r>
          <rPr>
            <sz val="8"/>
            <color indexed="81"/>
            <rFont val="Tahoma"/>
            <family val="2"/>
          </rPr>
          <t xml:space="preserve">
The increase in the effective tax rate for 1Q compared with the prior year was primarily due to projected operating losses in China and Hong Kong for 2011 (for which no tax benefit has been provided) and their greater impact due to lower expected pre-tax income for fiscal 2011, as well as the projected unfavorable impact of a change in the mix of income between domestic and foreign operations for fiscal 2011.</t>
        </r>
      </text>
    </comment>
    <comment ref="CU97" authorId="24">
      <text>
        <r>
          <rPr>
            <b/>
            <sz val="8"/>
            <color indexed="81"/>
            <rFont val="Tahoma"/>
            <family val="2"/>
          </rPr>
          <t>casselau:</t>
        </r>
        <r>
          <rPr>
            <sz val="8"/>
            <color indexed="81"/>
            <rFont val="Tahoma"/>
            <family val="2"/>
          </rPr>
          <t xml:space="preserve">
5/9: ~2c benefit from tax settlement </t>
        </r>
      </text>
    </comment>
    <comment ref="DK97" authorId="5">
      <text>
        <r>
          <rPr>
            <b/>
            <sz val="9"/>
            <color indexed="81"/>
            <rFont val="Tahoma"/>
            <family val="2"/>
          </rPr>
          <t>Cassel, Lauren (Research):</t>
        </r>
        <r>
          <rPr>
            <sz val="9"/>
            <color indexed="81"/>
            <rFont val="Tahoma"/>
            <family val="2"/>
          </rPr>
          <t xml:space="preserve">
5/18/17: The first quarter tax rate was negatively impacted by the adoption of a new accounting standard related to share-based compensation which requires all excess tax benefits and deficiencies to be recognized as a component of the income tax provision. </t>
        </r>
      </text>
    </comment>
    <comment ref="BK98" authorId="30">
      <text>
        <r>
          <rPr>
            <b/>
            <sz val="10"/>
            <color indexed="81"/>
            <rFont val="Tahoma"/>
            <family val="2"/>
          </rPr>
          <t>kgreenbe:</t>
        </r>
        <r>
          <rPr>
            <sz val="10"/>
            <color indexed="81"/>
            <rFont val="Tahoma"/>
            <family val="2"/>
          </rPr>
          <t xml:space="preserve">
forcast 38.5-39.5% tax rate for 2004</t>
        </r>
      </text>
    </comment>
    <comment ref="BS98" authorId="29">
      <text>
        <r>
          <rPr>
            <b/>
            <sz val="8"/>
            <color indexed="81"/>
            <rFont val="Tahoma"/>
            <family val="2"/>
          </rPr>
          <t>MB33100:</t>
        </r>
        <r>
          <rPr>
            <sz val="8"/>
            <color indexed="81"/>
            <rFont val="Tahoma"/>
            <family val="2"/>
          </rPr>
          <t xml:space="preserve">
2/06 guided to a 39% tax rate for 2006</t>
        </r>
      </text>
    </comment>
    <comment ref="CE98" authorId="1">
      <text>
        <r>
          <rPr>
            <b/>
            <sz val="8"/>
            <color indexed="81"/>
            <rFont val="Tahoma"/>
            <family val="2"/>
          </rPr>
          <t>oc48540:</t>
        </r>
        <r>
          <rPr>
            <sz val="8"/>
            <color indexed="81"/>
            <rFont val="Tahoma"/>
            <family val="2"/>
          </rPr>
          <t xml:space="preserve">
5/21/09: GPS reiterated: 39% effective tax rate</t>
        </r>
      </text>
    </comment>
    <comment ref="CX98" authorId="8">
      <text>
        <r>
          <rPr>
            <b/>
            <sz val="9"/>
            <color indexed="81"/>
            <rFont val="Tahoma"/>
            <family val="2"/>
          </rPr>
          <t>Turley, Amber (Research):</t>
        </r>
        <r>
          <rPr>
            <sz val="9"/>
            <color indexed="81"/>
            <rFont val="Tahoma"/>
            <family val="2"/>
          </rPr>
          <t xml:space="preserve">
they reported $217m in taxes but to get to #0.70 EPS ex the building gain I'm getting only $200m taxes ex the building gain</t>
        </r>
      </text>
    </comment>
    <comment ref="DF98" authorId="4">
      <text>
        <r>
          <rPr>
            <b/>
            <sz val="9"/>
            <color indexed="81"/>
            <rFont val="Tahoma"/>
            <family val="2"/>
          </rPr>
          <t>Baglione, Gregory  (Research):</t>
        </r>
        <r>
          <rPr>
            <sz val="9"/>
            <color indexed="81"/>
            <rFont val="Tahoma"/>
            <family val="2"/>
          </rPr>
          <t xml:space="preserve">
8/19/16
(c) The amount of tax benefit associated with the fiscal year 2016 restructuring costs is calculated using the adjusted effective tax
rate. The amount of tax benefit associated with the fiscal year 2015 strategic actions is calculated using the reported effective tax
rate. ($63M add back)
(d) Represents the incremental tax expenses related to fiscal year 2016 restructuring costs ($26M gain)</t>
        </r>
      </text>
    </comment>
    <comment ref="AX99" authorId="14">
      <text>
        <r>
          <rPr>
            <sz val="8"/>
            <color indexed="81"/>
            <rFont val="Tahoma"/>
            <family val="2"/>
          </rPr>
          <t xml:space="preserve">
excludes 131 tax charge</t>
        </r>
      </text>
    </comment>
    <comment ref="BK99" authorId="30">
      <text>
        <r>
          <rPr>
            <b/>
            <sz val="10"/>
            <color indexed="81"/>
            <rFont val="Tahoma"/>
            <family val="2"/>
          </rPr>
          <t>kgreenbe:</t>
        </r>
        <r>
          <rPr>
            <sz val="10"/>
            <color indexed="81"/>
            <rFont val="Tahoma"/>
            <family val="2"/>
          </rPr>
          <t xml:space="preserve">
forcast 38.5-39.5% tax rate for 2004</t>
        </r>
      </text>
    </comment>
    <comment ref="BO99" authorId="9">
      <text>
        <r>
          <rPr>
            <b/>
            <sz val="8"/>
            <color indexed="81"/>
            <rFont val="Tahoma"/>
            <family val="2"/>
          </rPr>
          <t>Morry Brown:</t>
        </r>
        <r>
          <rPr>
            <sz val="8"/>
            <color indexed="81"/>
            <rFont val="Tahoma"/>
            <family val="2"/>
          </rPr>
          <t xml:space="preserve">
38.9</t>
        </r>
      </text>
    </comment>
    <comment ref="BR99" authorId="1">
      <text>
        <r>
          <rPr>
            <b/>
            <sz val="8"/>
            <color indexed="81"/>
            <rFont val="Tahoma"/>
            <family val="2"/>
          </rPr>
          <t>oc48540:</t>
        </r>
        <r>
          <rPr>
            <sz val="8"/>
            <color indexed="81"/>
            <rFont val="Tahoma"/>
            <family val="2"/>
          </rPr>
          <t xml:space="preserve">
103.4 before taking out F&amp;T
</t>
        </r>
      </text>
    </comment>
    <comment ref="BS99" authorId="29">
      <text>
        <r>
          <rPr>
            <b/>
            <sz val="8"/>
            <color indexed="81"/>
            <rFont val="Tahoma"/>
            <family val="2"/>
          </rPr>
          <t>MB33100:</t>
        </r>
        <r>
          <rPr>
            <sz val="8"/>
            <color indexed="81"/>
            <rFont val="Tahoma"/>
            <family val="2"/>
          </rPr>
          <t xml:space="preserve">
2/06 guided to a 39% tax rate for 2006</t>
        </r>
      </text>
    </comment>
    <comment ref="CE99" authorId="28">
      <text>
        <r>
          <rPr>
            <b/>
            <sz val="8"/>
            <color indexed="81"/>
            <rFont val="Tahoma"/>
            <family val="2"/>
          </rPr>
          <t>TI23070:</t>
        </r>
        <r>
          <rPr>
            <sz val="8"/>
            <color indexed="81"/>
            <rFont val="Tahoma"/>
            <family val="2"/>
          </rPr>
          <t xml:space="preserve">
8/09: Expect tax rate to be ~39%.</t>
        </r>
      </text>
    </comment>
    <comment ref="CX99" authorId="8">
      <text>
        <r>
          <rPr>
            <b/>
            <sz val="9"/>
            <color indexed="81"/>
            <rFont val="Tahoma"/>
            <family val="2"/>
          </rPr>
          <t>Turley, Amber (Research):</t>
        </r>
        <r>
          <rPr>
            <sz val="9"/>
            <color indexed="81"/>
            <rFont val="Tahoma"/>
            <family val="2"/>
          </rPr>
          <t xml:space="preserve">
includes a non-recurring benefit of about
$0.06 from a lower effective tax rate versus the third quarter of fiscal year
2013, primarily due to the recognition of certain foreign tax credits</t>
        </r>
      </text>
    </comment>
    <comment ref="CY99" authorId="8">
      <text>
        <r>
          <rPr>
            <b/>
            <sz val="9"/>
            <color indexed="81"/>
            <rFont val="Tahoma"/>
            <family val="2"/>
          </rPr>
          <t>Turley, Amber (Research):</t>
        </r>
        <r>
          <rPr>
            <sz val="9"/>
            <color indexed="81"/>
            <rFont val="Tahoma"/>
            <family val="2"/>
          </rPr>
          <t xml:space="preserve">
MS note: excluding the one time 6c EPS gain from foreign tax credit, tax rate would have been 38.3%</t>
        </r>
      </text>
    </comment>
    <comment ref="DB99" authorId="4">
      <text>
        <r>
          <rPr>
            <b/>
            <sz val="9"/>
            <color indexed="81"/>
            <rFont val="Tahoma"/>
            <family val="2"/>
          </rPr>
          <t>Baglione, Gregory  (Research):</t>
        </r>
        <r>
          <rPr>
            <sz val="9"/>
            <color indexed="81"/>
            <rFont val="Tahoma"/>
            <family val="2"/>
          </rPr>
          <t xml:space="preserve">
11/19/15
Tax adjusted $13M 35% rate</t>
        </r>
      </text>
    </comment>
    <comment ref="DK99" authorId="6">
      <text>
        <r>
          <rPr>
            <b/>
            <sz val="9"/>
            <color indexed="81"/>
            <rFont val="Tahoma"/>
            <family val="2"/>
          </rPr>
          <t>De Courreges, Edouard (Research):</t>
        </r>
        <r>
          <rPr>
            <sz val="9"/>
            <color indexed="81"/>
            <rFont val="Tahoma"/>
            <family val="2"/>
          </rPr>
          <t xml:space="preserve">
Our third quarter tax rate benefited from favorable changes in the tax impact of foreign operations</t>
        </r>
      </text>
    </comment>
    <comment ref="BC100" authorId="14">
      <text>
        <r>
          <rPr>
            <sz val="8"/>
            <color indexed="81"/>
            <rFont val="Tahoma"/>
            <family val="2"/>
          </rPr>
          <t>2/6/03 had 47% based on prior guidance. Mgmt revised guidance for FY tax rate to 39-42%. 4Q rate must be adjusted to compensate for over accrual in first 3 quarters</t>
        </r>
      </text>
    </comment>
    <comment ref="BK100" authorId="30">
      <text>
        <r>
          <rPr>
            <b/>
            <sz val="10"/>
            <color indexed="81"/>
            <rFont val="Tahoma"/>
            <family val="2"/>
          </rPr>
          <t>kgreenbe:</t>
        </r>
        <r>
          <rPr>
            <sz val="10"/>
            <color indexed="81"/>
            <rFont val="Tahoma"/>
            <family val="2"/>
          </rPr>
          <t xml:space="preserve">
forcast 38.5-39.5% tax rate for 2004</t>
        </r>
      </text>
    </comment>
    <comment ref="BO100" authorId="29">
      <text>
        <r>
          <rPr>
            <b/>
            <sz val="8"/>
            <color indexed="81"/>
            <rFont val="Tahoma"/>
            <family val="2"/>
          </rPr>
          <t>MB33100:</t>
        </r>
        <r>
          <rPr>
            <sz val="8"/>
            <color indexed="81"/>
            <rFont val="Tahoma"/>
            <family val="2"/>
          </rPr>
          <t xml:space="preserve">
2/06: guided to 2005 range of 37.5-38.2%</t>
        </r>
      </text>
    </comment>
    <comment ref="BR100" authorId="1">
      <text>
        <r>
          <rPr>
            <b/>
            <sz val="8"/>
            <color indexed="81"/>
            <rFont val="Tahoma"/>
            <family val="2"/>
          </rPr>
          <t>oc48540:</t>
        </r>
        <r>
          <rPr>
            <sz val="8"/>
            <color indexed="81"/>
            <rFont val="Tahoma"/>
            <family val="2"/>
          </rPr>
          <t xml:space="preserve">
153 before stripping out F&amp;T</t>
        </r>
      </text>
    </comment>
    <comment ref="BS100" authorId="29">
      <text>
        <r>
          <rPr>
            <b/>
            <sz val="8"/>
            <color indexed="81"/>
            <rFont val="Tahoma"/>
            <family val="2"/>
          </rPr>
          <t>MB33100:</t>
        </r>
        <r>
          <rPr>
            <sz val="8"/>
            <color indexed="81"/>
            <rFont val="Tahoma"/>
            <family val="2"/>
          </rPr>
          <t xml:space="preserve">
2/06 guided to a 39% tax rate for 2006</t>
        </r>
      </text>
    </comment>
    <comment ref="BW100" authorId="11">
      <text>
        <r>
          <rPr>
            <b/>
            <sz val="8"/>
            <color indexed="81"/>
            <rFont val="Tahoma"/>
            <family val="2"/>
          </rPr>
          <t>OC48540:</t>
        </r>
        <r>
          <rPr>
            <sz val="8"/>
            <color indexed="81"/>
            <rFont val="Tahoma"/>
            <family val="2"/>
          </rPr>
          <t xml:space="preserve">
should be ~38% because YTD effective rate in 3Q's 10Q is 38.1%</t>
        </r>
      </text>
    </comment>
    <comment ref="CE100" authorId="1">
      <text>
        <r>
          <rPr>
            <b/>
            <sz val="8"/>
            <color indexed="81"/>
            <rFont val="Tahoma"/>
            <family val="2"/>
          </rPr>
          <t>oc48540:</t>
        </r>
        <r>
          <rPr>
            <sz val="8"/>
            <color indexed="81"/>
            <rFont val="Tahoma"/>
            <family val="2"/>
          </rPr>
          <t xml:space="preserve">
11/20:  Exp 39% for FY</t>
        </r>
      </text>
    </comment>
    <comment ref="CM100" authorId="16">
      <text>
        <r>
          <rPr>
            <b/>
            <sz val="8"/>
            <color indexed="81"/>
            <rFont val="Tahoma"/>
            <family val="2"/>
          </rPr>
          <t>solejay:</t>
        </r>
        <r>
          <rPr>
            <sz val="8"/>
            <color indexed="81"/>
            <rFont val="Tahoma"/>
            <family val="2"/>
          </rPr>
          <t xml:space="preserve">
11/17: The effective tax rate was 40.6 percent for the third quarter of fiscal year 2011. The company now expects that the effective tax rate will be about 40 percent for fiscal year 2011, up from the previous guidance of about 39 percent, driven primarily by greater than expected start-up costs associated with its China business.
</t>
        </r>
      </text>
    </comment>
    <comment ref="DG100" authorId="13">
      <text>
        <r>
          <rPr>
            <b/>
            <sz val="9"/>
            <color indexed="81"/>
            <rFont val="Tahoma"/>
            <family val="2"/>
          </rPr>
          <t>2/23/17: During the quarter we realigned certain aspects of our legal structure to provide additional flexibility going forward which resulted in the nonrecurring tax benefit. Our adjusted effective tax rate was about 10 points higher excluding this benefit as well as the tax impact of the restructuring and
impairment cost during the quarter. As a reminder, the adjusted Q4 tax rate benefited from changes in our geographical mix of taxable earnings.
Roberts, Cynthia (Research):</t>
        </r>
        <r>
          <rPr>
            <sz val="9"/>
            <color indexed="81"/>
            <rFont val="Tahoma"/>
            <family val="2"/>
          </rPr>
          <t xml:space="preserve">
</t>
        </r>
        <r>
          <rPr>
            <b/>
            <sz val="9"/>
            <color indexed="81"/>
            <rFont val="Tahoma"/>
            <family val="2"/>
          </rPr>
          <t xml:space="preserve">2/6/17 - Jan Sales </t>
        </r>
        <r>
          <rPr>
            <sz val="9"/>
            <color indexed="81"/>
            <rFont val="Tahoma"/>
            <family val="2"/>
          </rPr>
          <t xml:space="preserve">
"The company noted that its expected fiscal year 2016 adjusted earnings per share range includes a fourth quarter benefit of about $0.03 from a lower effective tax rate versus last year’s rate, primarily due to changes in the company’s geographical mix of earnings. As a result, Gap Inc. now expects a full-year reported effective tax rate of about 40 percent, or about 39 percent excluding restructuring costs and other one-time items." 
</t>
        </r>
      </text>
    </comment>
    <comment ref="DJ100" authorId="6">
      <text>
        <r>
          <rPr>
            <b/>
            <sz val="9"/>
            <color indexed="81"/>
            <rFont val="Tahoma"/>
            <family val="2"/>
          </rPr>
          <t>De Courreges, Edouard (Research):</t>
        </r>
        <r>
          <rPr>
            <sz val="9"/>
            <color indexed="81"/>
            <rFont val="Tahoma"/>
            <family val="2"/>
          </rPr>
          <t xml:space="preserve">
reflects a net provisional income tax charge of </t>
        </r>
        <r>
          <rPr>
            <b/>
            <sz val="9"/>
            <color indexed="81"/>
            <rFont val="Tahoma"/>
            <family val="2"/>
          </rPr>
          <t>$34 million</t>
        </r>
        <r>
          <rPr>
            <sz val="9"/>
            <color indexed="81"/>
            <rFont val="Tahoma"/>
            <family val="2"/>
          </rPr>
          <t xml:space="preserve"> for the net tax impact related to tax reform as a result of the enactment of the U.S. Tax Cuts and Jobs Act of 2017 referred to as TCJA</t>
        </r>
      </text>
    </comment>
    <comment ref="BK101" authorId="30">
      <text>
        <r>
          <rPr>
            <b/>
            <sz val="10"/>
            <color indexed="81"/>
            <rFont val="Tahoma"/>
            <family val="2"/>
          </rPr>
          <t>kgreenbe:</t>
        </r>
        <r>
          <rPr>
            <sz val="10"/>
            <color indexed="81"/>
            <rFont val="Tahoma"/>
            <family val="2"/>
          </rPr>
          <t xml:space="preserve">
forcast 38.5-39.5% tax rate for 2004</t>
        </r>
      </text>
    </comment>
    <comment ref="BO101" authorId="29">
      <text>
        <r>
          <rPr>
            <b/>
            <sz val="8"/>
            <color indexed="81"/>
            <rFont val="Tahoma"/>
            <family val="2"/>
          </rPr>
          <t>MB33100:</t>
        </r>
        <r>
          <rPr>
            <sz val="8"/>
            <color indexed="81"/>
            <rFont val="Tahoma"/>
            <family val="2"/>
          </rPr>
          <t xml:space="preserve">
2/06: guided to 2005 range of 37.5-38.2%</t>
        </r>
      </text>
    </comment>
    <comment ref="BW101" authorId="10">
      <text>
        <r>
          <rPr>
            <sz val="8"/>
            <color indexed="81"/>
            <rFont val="Tahoma"/>
            <family val="2"/>
          </rPr>
          <t>Expect to be 38% rate
2Q07: Expects a full year effective tax
rate about 39%.
1Q07: expect to be 39%</t>
        </r>
        <r>
          <rPr>
            <b/>
            <sz val="8"/>
            <color indexed="81"/>
            <rFont val="Tahoma"/>
            <family val="2"/>
          </rPr>
          <t xml:space="preserve">
mm98285:</t>
        </r>
        <r>
          <rPr>
            <sz val="8"/>
            <color indexed="81"/>
            <rFont val="Tahoma"/>
            <family val="2"/>
          </rPr>
          <t xml:space="preserve">
2/07: expect to be 39%</t>
        </r>
      </text>
    </comment>
    <comment ref="CA101" authorId="11">
      <text>
        <r>
          <rPr>
            <b/>
            <sz val="8"/>
            <color indexed="81"/>
            <rFont val="Tahoma"/>
            <family val="2"/>
          </rPr>
          <t xml:space="preserve">OC48540:
</t>
        </r>
        <r>
          <rPr>
            <sz val="8"/>
            <color indexed="81"/>
            <rFont val="Tahoma"/>
            <family val="2"/>
          </rPr>
          <t>8/21/08 &amp; 5/22: Guided to ~39%</t>
        </r>
        <r>
          <rPr>
            <sz val="8"/>
            <color indexed="81"/>
            <rFont val="Tahoma"/>
            <family val="2"/>
          </rPr>
          <t xml:space="preserve">
2/28 Guided to ~39%</t>
        </r>
      </text>
    </comment>
    <comment ref="CI101" authorId="26">
      <text>
        <r>
          <rPr>
            <sz val="8"/>
            <color indexed="81"/>
            <rFont val="Tahoma"/>
            <family val="2"/>
          </rPr>
          <t>11/10: expect full year about 39%
8/10: expect full year about 39%
5/10: expect full year about 39%</t>
        </r>
      </text>
    </comment>
    <comment ref="CM101" authorId="2">
      <text>
        <r>
          <rPr>
            <sz val="8"/>
            <color indexed="81"/>
            <rFont val="Tahoma"/>
            <family val="2"/>
          </rPr>
          <t xml:space="preserve">11/2011: expects 40%
</t>
        </r>
        <r>
          <rPr>
            <sz val="8"/>
            <color indexed="81"/>
            <rFont val="Tahoma"/>
            <family val="2"/>
          </rPr>
          <t>8/2011: expects 39%
5/2011: expects 39%
2/2011: expects 39%</t>
        </r>
      </text>
    </comment>
    <comment ref="CQ101" authorId="16">
      <text>
        <r>
          <rPr>
            <sz val="8"/>
            <color indexed="81"/>
            <rFont val="Tahoma"/>
            <family val="2"/>
          </rPr>
          <t xml:space="preserve">11/14/2012: about 39
8/16/2012: about 39.5
5/17/2012: about 39.5
2/23/2012: about 39.5
</t>
        </r>
      </text>
    </comment>
    <comment ref="CU101" authorId="24">
      <text>
        <r>
          <rPr>
            <b/>
            <sz val="8"/>
            <color indexed="81"/>
            <rFont val="Tahoma"/>
            <family val="2"/>
          </rPr>
          <t>turleamb:</t>
        </r>
        <r>
          <rPr>
            <sz val="8"/>
            <color indexed="81"/>
            <rFont val="Tahoma"/>
            <family val="2"/>
          </rPr>
          <t xml:space="preserve">
10-K: The decrease in the effective tax rate for fiscal 2013 compared with fiscal 2012 was primarily due to the favorable impact of changes in the mix of pre-tax income between our domestic and international operations, partially offset by higher federal and state tax credits recognized in fiscal 2012.
</t>
        </r>
        <r>
          <rPr>
            <b/>
            <sz val="8"/>
            <color indexed="81"/>
            <rFont val="Tahoma"/>
            <family val="2"/>
          </rPr>
          <t xml:space="preserve">
casselau:
</t>
        </r>
        <r>
          <rPr>
            <sz val="8"/>
            <color indexed="81"/>
            <rFont val="Tahoma"/>
            <family val="2"/>
          </rPr>
          <t>11/21/13: reiterated ~39%</t>
        </r>
        <r>
          <rPr>
            <b/>
            <sz val="8"/>
            <color indexed="81"/>
            <rFont val="Tahoma"/>
            <family val="2"/>
          </rPr>
          <t xml:space="preserve">
</t>
        </r>
        <r>
          <rPr>
            <sz val="8"/>
            <color indexed="81"/>
            <rFont val="Tahoma"/>
            <family val="2"/>
          </rPr>
          <t>8/22/13: about 39%</t>
        </r>
        <r>
          <rPr>
            <b/>
            <sz val="8"/>
            <color indexed="81"/>
            <rFont val="Tahoma"/>
            <family val="2"/>
          </rPr>
          <t xml:space="preserve">
5/23/13: expects 39%
5/9/13: </t>
        </r>
        <r>
          <rPr>
            <sz val="8"/>
            <color indexed="81"/>
            <rFont val="Tahoma"/>
            <family val="2"/>
          </rPr>
          <t>though the company experiences tax fovotability in the first quarter, it continues to expect and effective tax rate of about 39% for the full year</t>
        </r>
        <r>
          <rPr>
            <sz val="8"/>
            <color indexed="81"/>
            <rFont val="Tahoma"/>
            <family val="2"/>
          </rPr>
          <t xml:space="preserve">
2/28/13: expects 39%</t>
        </r>
      </text>
    </comment>
    <comment ref="CY101" authorId="0">
      <text>
        <r>
          <rPr>
            <b/>
            <sz val="8"/>
            <color indexed="81"/>
            <rFont val="Tahoma"/>
            <family val="2"/>
          </rPr>
          <t>turleamb:</t>
        </r>
        <r>
          <rPr>
            <sz val="8"/>
            <color indexed="81"/>
            <rFont val="Tahoma"/>
            <family val="2"/>
          </rPr>
          <t xml:space="preserve">
2/9/15: Guidance 37.3% FY tax rate
11/20/14: Guidance ~38%
8/21/14: guidance ~38.5% (on a reporting basis) -closer to 38.7% when adjusted for adj EPS (excluding impact of building benefit)
5/21/14: guidance ~38.5%
2/27/14: guidance 38.5%
The actual rate will ultimately depend on several variables, including the mix of income between domestic and international operations, the overall level of income, the potential resolution of outstanding tax contingencies, and changes in tax laws and rates.</t>
        </r>
      </text>
    </comment>
    <comment ref="DC101" authorId="8">
      <text>
        <r>
          <rPr>
            <sz val="9"/>
            <color indexed="81"/>
            <rFont val="Tahoma"/>
            <family val="2"/>
          </rPr>
          <t>11/19/15: reaffirmed 38%
8/20/15: reaffirmed 38%
2/26/15: guidance ~38%</t>
        </r>
      </text>
    </comment>
    <comment ref="DG101" authorId="4">
      <text>
        <r>
          <rPr>
            <b/>
            <sz val="9"/>
            <color indexed="81"/>
            <rFont val="Tahoma"/>
            <family val="2"/>
          </rPr>
          <t>Baglione, Gregory  (Research):</t>
        </r>
        <r>
          <rPr>
            <sz val="9"/>
            <color indexed="81"/>
            <rFont val="Tahoma"/>
            <family val="2"/>
          </rPr>
          <t xml:space="preserve">
2/6/17
"The company noted that its expected fiscal year 2016 adjusted earnings per share range includes a fourth quarter benefit of about $0.03 from a lower effective tax rate versus last year’s rate, primarily due to changes in the company’s geographical mix of earnings. As a result, Gap Inc. now expects a full-year reported effective tax rate of about 40 percent, or about 39 percent excluding restructuring costs and other one-time items." 
11/17/16
guidance: adj tax rate 44% 
2/25/16
FY Guide 38% tax rate
prev:40.33
curr:40.55
5/19/16
necessitate certain non-cash valuation allowances that impact our effective tax rate, we now believe the rate for the full year on continuing
operations will be about 40%.
8/19/16
FY tax rate ~40%</t>
        </r>
      </text>
    </comment>
    <comment ref="DK101" authorId="5">
      <text>
        <r>
          <rPr>
            <b/>
            <sz val="9"/>
            <color indexed="81"/>
            <rFont val="Tahoma"/>
            <family val="2"/>
          </rPr>
          <t>Cassel, Lauren (Research):</t>
        </r>
        <r>
          <rPr>
            <sz val="9"/>
            <color indexed="81"/>
            <rFont val="Tahoma"/>
            <family val="2"/>
          </rPr>
          <t xml:space="preserve">
11/16:We now expect a full year effective tax rate of about 38%.
2/23/17: Factoring in jurisdictional mix of earnings, we expect a full year effective tax rate of about 39%.</t>
        </r>
      </text>
    </comment>
    <comment ref="BR125" authorId="1">
      <text>
        <r>
          <rPr>
            <b/>
            <sz val="8"/>
            <color indexed="81"/>
            <rFont val="Tahoma"/>
            <family val="2"/>
          </rPr>
          <t>oc48540:</t>
        </r>
        <r>
          <rPr>
            <sz val="8"/>
            <color indexed="81"/>
            <rFont val="Tahoma"/>
            <family val="2"/>
          </rPr>
          <t xml:space="preserve">
Non-GAAP continuing EPS below (each quarter is before 1c of F&amp;T discont. Ops charges), See row 199 for GAAP EPS
</t>
        </r>
      </text>
    </comment>
    <comment ref="BJ126" authorId="19">
      <text>
        <r>
          <rPr>
            <b/>
            <sz val="8"/>
            <color indexed="81"/>
            <rFont val="Tahoma"/>
            <family val="2"/>
          </rPr>
          <t>MS:</t>
        </r>
        <r>
          <rPr>
            <sz val="8"/>
            <color indexed="81"/>
            <rFont val="Tahoma"/>
            <family val="2"/>
          </rPr>
          <t xml:space="preserve">
$0.02 charge from early debt retirement</t>
        </r>
      </text>
    </comment>
    <comment ref="BN126" authorId="20">
      <text>
        <r>
          <rPr>
            <b/>
            <sz val="8"/>
            <color indexed="81"/>
            <rFont val="Tahoma"/>
            <family val="2"/>
          </rPr>
          <t>Kimberly Greenberger:</t>
        </r>
        <r>
          <rPr>
            <sz val="8"/>
            <color indexed="81"/>
            <rFont val="Tahoma"/>
            <family val="2"/>
          </rPr>
          <t xml:space="preserve">
guided to 29-30c on April sales call</t>
        </r>
      </text>
    </comment>
    <comment ref="BR126" authorId="10">
      <text>
        <r>
          <rPr>
            <sz val="8"/>
            <color indexed="81"/>
            <rFont val="Tahoma"/>
            <family val="2"/>
          </rPr>
          <t>Continuing EPS = 0.29
F&amp;T Loss = -1c
GAAP EPS = 0.28</t>
        </r>
        <r>
          <rPr>
            <b/>
            <sz val="8"/>
            <color indexed="81"/>
            <rFont val="Tahoma"/>
            <family val="2"/>
          </rPr>
          <t xml:space="preserve">
mm98285:</t>
        </r>
        <r>
          <rPr>
            <sz val="8"/>
            <color indexed="81"/>
            <rFont val="Tahoma"/>
            <family val="2"/>
          </rPr>
          <t xml:space="preserve">
5/06: mgmt guided to 26-27c</t>
        </r>
      </text>
    </comment>
    <comment ref="BV126" authorId="1">
      <text>
        <r>
          <rPr>
            <sz val="8"/>
            <color indexed="81"/>
            <rFont val="Tahoma"/>
            <family val="2"/>
          </rPr>
          <t>GAAP EPS was 22c 
First Call at 25c
We are at 26c from 3c F&amp;T and 1c Cost Initiative Exp
5/07: Guidance of $0.20-$0.22</t>
        </r>
        <r>
          <rPr>
            <b/>
            <sz val="8"/>
            <color indexed="81"/>
            <rFont val="Tahoma"/>
            <family val="2"/>
          </rPr>
          <t xml:space="preserve">
</t>
        </r>
        <r>
          <rPr>
            <sz val="8"/>
            <color indexed="81"/>
            <rFont val="Tahoma"/>
            <family val="2"/>
          </rPr>
          <t xml:space="preserve">
</t>
        </r>
      </text>
    </comment>
    <comment ref="BZ126" authorId="11">
      <text>
        <r>
          <rPr>
            <b/>
            <sz val="8"/>
            <color indexed="81"/>
            <rFont val="Tahoma"/>
            <family val="2"/>
          </rPr>
          <t>OC48540:</t>
        </r>
        <r>
          <rPr>
            <sz val="8"/>
            <color indexed="81"/>
            <rFont val="Tahoma"/>
            <family val="2"/>
          </rPr>
          <t xml:space="preserve">
5/8/08: Expects $0.30-$0.32 (incl. $15mm int. exp accrual pre-tax benefit) &amp; Reit. FY $1.20-$1.27
</t>
        </r>
      </text>
    </comment>
    <comment ref="CD126" authorId="1">
      <text>
        <r>
          <rPr>
            <b/>
            <sz val="8"/>
            <color indexed="81"/>
            <rFont val="Tahoma"/>
            <family val="2"/>
          </rPr>
          <t>oc48540:</t>
        </r>
        <r>
          <rPr>
            <sz val="8"/>
            <color indexed="81"/>
            <rFont val="Tahoma"/>
            <family val="2"/>
          </rPr>
          <t xml:space="preserve">
2/26/09: GPS’ fiscal 2009 outlook did not include EPS guidance.  The company does however expect: 1Q09 inventory PSF ~-HSD, 1Q09 operating expense down $10-30mm vs LY, 2009 capital expenditures ~$350mm, 2009 net square footage change of down ~-2% (on opening 50 stores and closing 100 stores), 2009 D&amp;A of ~$550mm, and a 2009 effective tax rate of ~39%.
5/09: Expect EPS 29-30c, now expect 1Q09 operating exp. to be $70mm lower than 1Q08 (vs. prev. guid down $10-30mm)</t>
        </r>
      </text>
    </comment>
    <comment ref="CH126" authorId="26">
      <text>
        <r>
          <rPr>
            <b/>
            <sz val="8"/>
            <color indexed="81"/>
            <rFont val="Tahoma"/>
            <family val="2"/>
          </rPr>
          <t>ns66486:</t>
        </r>
        <r>
          <rPr>
            <sz val="8"/>
            <color indexed="81"/>
            <rFont val="Tahoma"/>
            <family val="2"/>
          </rPr>
          <t xml:space="preserve">
5/10: expect $0.43-$0.44, including benefit of $0.02 related to resolution of tax uncertainties</t>
        </r>
      </text>
    </comment>
    <comment ref="CL126" authorId="2">
      <text>
        <r>
          <rPr>
            <b/>
            <sz val="8"/>
            <color indexed="81"/>
            <rFont val="Tahoma"/>
            <family val="2"/>
          </rPr>
          <t>nicholjs:</t>
        </r>
        <r>
          <rPr>
            <sz val="8"/>
            <color indexed="81"/>
            <rFont val="Tahoma"/>
            <family val="2"/>
          </rPr>
          <t xml:space="preserve">
Japan hit was about 4c or so
5/2011: expect $0.38-0.39
4/2011: Japan to negatively impact EPS by $0.04; internal view is below consensus estimate of $0.44</t>
        </r>
      </text>
    </comment>
    <comment ref="CP126" authorId="16">
      <text>
        <r>
          <rPr>
            <sz val="8"/>
            <color indexed="81"/>
            <rFont val="Tahoma"/>
            <family val="2"/>
          </rPr>
          <t>5/2/2012 - $0.44-$0.46</t>
        </r>
      </text>
    </comment>
    <comment ref="CT126" authorId="24">
      <text>
        <r>
          <rPr>
            <b/>
            <sz val="8"/>
            <color indexed="81"/>
            <rFont val="Tahoma"/>
            <family val="2"/>
          </rPr>
          <t>casselau:</t>
        </r>
        <r>
          <rPr>
            <sz val="8"/>
            <color indexed="81"/>
            <rFont val="Tahoma"/>
            <family val="2"/>
          </rPr>
          <t xml:space="preserve">
5/9: 68-69c; includes a 4c benefit related to the favorable resolution of tax matters (2c reflected in interest and 2c in tax rate)</t>
        </r>
      </text>
    </comment>
    <comment ref="CX126" authorId="0">
      <text>
        <r>
          <rPr>
            <b/>
            <sz val="9"/>
            <color indexed="81"/>
            <rFont val="Tahoma"/>
            <family val="2"/>
          </rPr>
          <t>turleamb:</t>
        </r>
        <r>
          <rPr>
            <sz val="9"/>
            <color indexed="81"/>
            <rFont val="Tahoma"/>
            <family val="2"/>
          </rPr>
          <t xml:space="preserve">
5/8/14: guidance: $0.56- $0.57</t>
        </r>
      </text>
    </comment>
    <comment ref="DB126" authorId="3">
      <text>
        <r>
          <rPr>
            <sz val="9"/>
            <color indexed="81"/>
            <rFont val="Tahoma"/>
            <family val="2"/>
          </rPr>
          <t>5/20/15: estimate FX negatively impact by `3% (implied 2c on 2Q call - 6c in 1H and 4c in 2Q)</t>
        </r>
        <r>
          <rPr>
            <sz val="9"/>
            <color indexed="81"/>
            <rFont val="Tahoma"/>
            <family val="2"/>
          </rPr>
          <t xml:space="preserve">
5/11/15: expect 55-56c, incl. benefit of 2c related to a reversal of interest expense from the favorable resolution of tax matters in the qtr</t>
        </r>
      </text>
    </comment>
    <comment ref="DF126" authorId="4">
      <text>
        <r>
          <rPr>
            <b/>
            <sz val="9"/>
            <color indexed="81"/>
            <rFont val="Tahoma"/>
            <family val="2"/>
          </rPr>
          <t xml:space="preserve">Baglione, Gregory  (Research):
</t>
        </r>
        <r>
          <rPr>
            <sz val="9"/>
            <color indexed="81"/>
            <rFont val="Tahoma"/>
            <family val="2"/>
          </rPr>
          <t xml:space="preserve">
5/9/16: Lowering EPS to $0.32 from $0.44.</t>
        </r>
        <r>
          <rPr>
            <b/>
            <sz val="9"/>
            <color indexed="81"/>
            <rFont val="Tahoma"/>
            <family val="2"/>
          </rPr>
          <t xml:space="preserve">
</t>
        </r>
        <r>
          <rPr>
            <sz val="9"/>
            <color indexed="81"/>
            <rFont val="Tahoma"/>
            <family val="2"/>
          </rPr>
          <t xml:space="preserve">
5/9/16
The company expects diluted earnings per share for the first quarter of fiscal
year 2016 to be in the range of $0.31 to $0.32. 
</t>
        </r>
      </text>
    </comment>
    <comment ref="DJ126" authorId="5">
      <text>
        <r>
          <rPr>
            <b/>
            <sz val="9"/>
            <color indexed="81"/>
            <rFont val="Tahoma"/>
            <family val="2"/>
          </rPr>
          <t>Cassel, Lauren (Research):
5/18/17: FX negatively impacted 1Q EPS by 3c or 9%</t>
        </r>
        <r>
          <rPr>
            <sz val="9"/>
            <color indexed="81"/>
            <rFont val="Tahoma"/>
            <family val="2"/>
          </rPr>
          <t xml:space="preserve">
2/23/17: expect EPS -HSD% in 1H</t>
        </r>
      </text>
    </comment>
    <comment ref="BJ127" authorId="19">
      <text>
        <r>
          <rPr>
            <b/>
            <sz val="8"/>
            <color indexed="81"/>
            <rFont val="Tahoma"/>
            <family val="2"/>
          </rPr>
          <t>MS:</t>
        </r>
        <r>
          <rPr>
            <sz val="8"/>
            <color indexed="81"/>
            <rFont val="Tahoma"/>
            <family val="2"/>
          </rPr>
          <t xml:space="preserve">
$0.04 charge from early debt retirement</t>
        </r>
      </text>
    </comment>
    <comment ref="BR127" authorId="10">
      <text>
        <r>
          <rPr>
            <sz val="8"/>
            <color indexed="81"/>
            <rFont val="Tahoma"/>
            <family val="2"/>
          </rPr>
          <t xml:space="preserve">Continuing EPS = 0.16
F&amp;T Loss = -1c
GAAP EPS = 0.15
</t>
        </r>
        <r>
          <rPr>
            <b/>
            <sz val="8"/>
            <color indexed="81"/>
            <rFont val="Tahoma"/>
            <family val="2"/>
          </rPr>
          <t xml:space="preserve">
mm98285:</t>
        </r>
        <r>
          <rPr>
            <sz val="8"/>
            <color indexed="81"/>
            <rFont val="Tahoma"/>
            <family val="2"/>
          </rPr>
          <t xml:space="preserve">
8/06: Guided 2Q EPS to $0.13-$0.15</t>
        </r>
      </text>
    </comment>
    <comment ref="BV127" authorId="1">
      <text>
        <r>
          <rPr>
            <sz val="8"/>
            <color indexed="81"/>
            <rFont val="Tahoma"/>
            <family val="2"/>
          </rPr>
          <t>19c is GAAP earnings number, 19c + 2c of cost reduction initiative charge = 21c is non-GAAP diluted EPS first call is using
July sales: 18-19c guidance</t>
        </r>
        <r>
          <rPr>
            <b/>
            <sz val="8"/>
            <color indexed="81"/>
            <rFont val="Tahoma"/>
            <family val="2"/>
          </rPr>
          <t xml:space="preserve">
oc48540:</t>
        </r>
        <r>
          <rPr>
            <sz val="8"/>
            <color indexed="81"/>
            <rFont val="Tahoma"/>
            <family val="2"/>
          </rPr>
          <t xml:space="preserve">
Adds back F&amp;T closure costs but includes 1c charge assoc. w/ cost reduction initiatives</t>
        </r>
      </text>
    </comment>
    <comment ref="BZ127" authorId="1">
      <text>
        <r>
          <rPr>
            <b/>
            <sz val="8"/>
            <color indexed="81"/>
            <rFont val="Tahoma"/>
            <family val="2"/>
          </rPr>
          <t>oc48540:</t>
        </r>
        <r>
          <rPr>
            <sz val="8"/>
            <color indexed="81"/>
            <rFont val="Tahoma"/>
            <family val="2"/>
          </rPr>
          <t xml:space="preserve">
8/7: Exp. diluted EPS $0.30-$0.31 &amp; FY EPS $1.30-$1.35 (from $1.20-$1.27)</t>
        </r>
      </text>
    </comment>
    <comment ref="CD127" authorId="28">
      <text>
        <r>
          <rPr>
            <b/>
            <sz val="8"/>
            <color indexed="81"/>
            <rFont val="Tahoma"/>
            <family val="2"/>
          </rPr>
          <t>TI23070:</t>
        </r>
        <r>
          <rPr>
            <sz val="8"/>
            <color indexed="81"/>
            <rFont val="Tahoma"/>
            <family val="2"/>
          </rPr>
          <t xml:space="preserve">
8/09: 30-32c</t>
        </r>
      </text>
    </comment>
    <comment ref="CH127" authorId="2">
      <text>
        <r>
          <rPr>
            <b/>
            <sz val="8"/>
            <color indexed="81"/>
            <rFont val="Tahoma"/>
            <family val="2"/>
          </rPr>
          <t>nicholjs:</t>
        </r>
        <r>
          <rPr>
            <sz val="8"/>
            <color indexed="81"/>
            <rFont val="Tahoma"/>
            <family val="2"/>
          </rPr>
          <t xml:space="preserve">
8/10: $0.34-$0.35</t>
        </r>
      </text>
    </comment>
    <comment ref="CL127" authorId="2">
      <text>
        <r>
          <rPr>
            <b/>
            <sz val="8"/>
            <color indexed="81"/>
            <rFont val="Tahoma"/>
            <family val="2"/>
          </rPr>
          <t>nicholjs:</t>
        </r>
        <r>
          <rPr>
            <sz val="8"/>
            <color indexed="81"/>
            <rFont val="Tahoma"/>
            <family val="2"/>
          </rPr>
          <t xml:space="preserve">
8/11: expects $0.33-0.34</t>
        </r>
      </text>
    </comment>
    <comment ref="CP127" authorId="7">
      <text>
        <r>
          <rPr>
            <b/>
            <sz val="8"/>
            <color indexed="81"/>
            <rFont val="Tahoma"/>
            <family val="2"/>
          </rPr>
          <t>P Kahng:</t>
        </r>
        <r>
          <rPr>
            <sz val="8"/>
            <color indexed="81"/>
            <rFont val="Tahoma"/>
            <family val="2"/>
          </rPr>
          <t xml:space="preserve">
8/2/12: guidance 47-48c</t>
        </r>
      </text>
    </comment>
    <comment ref="CT127" authorId="24">
      <text>
        <r>
          <rPr>
            <b/>
            <sz val="8"/>
            <color indexed="81"/>
            <rFont val="Tahoma"/>
            <family val="2"/>
          </rPr>
          <t>casselau:</t>
        </r>
        <r>
          <rPr>
            <sz val="8"/>
            <color indexed="81"/>
            <rFont val="Tahoma"/>
            <family val="2"/>
          </rPr>
          <t xml:space="preserve">
8/8/13: $0.62-$0.64</t>
        </r>
      </text>
    </comment>
    <comment ref="CX127" authorId="8">
      <text>
        <r>
          <rPr>
            <b/>
            <sz val="9"/>
            <color indexed="81"/>
            <rFont val="Tahoma"/>
            <family val="2"/>
          </rPr>
          <t>Turley, Amber (Research):</t>
        </r>
        <r>
          <rPr>
            <sz val="9"/>
            <color indexed="81"/>
            <rFont val="Tahoma"/>
            <family val="2"/>
          </rPr>
          <t xml:space="preserve">
11/21/14: $0.75 including 5c gain from the sale on an asset. 
8/7/14: Guidance $0.73-$0.74 including 5c from a gain on the sale of a building owned but not occupied by the company. Excluding the benefit expect EPS $0.68-$0.69.</t>
        </r>
      </text>
    </comment>
    <comment ref="DB127" authorId="3">
      <text>
        <r>
          <rPr>
            <b/>
            <sz val="9"/>
            <color indexed="81"/>
            <rFont val="Tahoma"/>
            <family val="2"/>
          </rPr>
          <t>Mains, Spencer (Research):
8/20/15:</t>
        </r>
        <r>
          <rPr>
            <sz val="9"/>
            <color indexed="81"/>
            <rFont val="Tahoma"/>
            <family val="2"/>
          </rPr>
          <t xml:space="preserve"> estimate FX impact reduced EPS growth rate by 5%, or $0.04</t>
        </r>
        <r>
          <rPr>
            <b/>
            <sz val="9"/>
            <color indexed="81"/>
            <rFont val="Tahoma"/>
            <family val="2"/>
          </rPr>
          <t xml:space="preserve">
</t>
        </r>
        <r>
          <rPr>
            <sz val="9"/>
            <color indexed="81"/>
            <rFont val="Tahoma"/>
            <family val="2"/>
          </rPr>
          <t>8/10/15: Guidance: 0.63-0.64 excluding the 0.12 impact from strategic actions</t>
        </r>
      </text>
    </comment>
    <comment ref="DF127" authorId="4">
      <text>
        <r>
          <rPr>
            <b/>
            <sz val="9"/>
            <color indexed="81"/>
            <rFont val="Tahoma"/>
            <family val="2"/>
          </rPr>
          <t>Baglione, Gregory  (Research):</t>
        </r>
        <r>
          <rPr>
            <sz val="9"/>
            <color indexed="81"/>
            <rFont val="Tahoma"/>
            <family val="2"/>
          </rPr>
          <t xml:space="preserve">
8/9/16 Company expects 2Q guidance 58-59c (vs. our prior 49c)</t>
        </r>
      </text>
    </comment>
    <comment ref="DJ127" authorId="5">
      <text>
        <r>
          <rPr>
            <b/>
            <sz val="9"/>
            <color indexed="81"/>
            <rFont val="Tahoma"/>
            <family val="2"/>
          </rPr>
          <t>Cassel, Lauren (Research):
8/17/17: excludes 10c of insurance proceeds; FX negatively impacted EPS by 2c or 3%
5/18/17: now expect 1H EPS -MSD</t>
        </r>
        <r>
          <rPr>
            <sz val="9"/>
            <color indexed="81"/>
            <rFont val="Tahoma"/>
            <family val="2"/>
          </rPr>
          <t xml:space="preserve">
2/23/17: expect EPS -HSD% in 1H</t>
        </r>
      </text>
    </comment>
    <comment ref="BB128" authorId="14">
      <text>
        <r>
          <rPr>
            <sz val="7"/>
            <color indexed="81"/>
            <rFont val="Tahoma"/>
            <family val="2"/>
          </rPr>
          <t xml:space="preserve">
convert was anti-dilutive, 968 million is fully diluted share count incl. converted shares, must add back interest expense associated with convertible bond</t>
        </r>
      </text>
    </comment>
    <comment ref="BJ128" authorId="25">
      <text>
        <r>
          <rPr>
            <b/>
            <sz val="8"/>
            <color indexed="81"/>
            <rFont val="Tahoma"/>
            <family val="2"/>
          </rPr>
          <t>MS:</t>
        </r>
        <r>
          <rPr>
            <sz val="8"/>
            <color indexed="81"/>
            <rFont val="Tahoma"/>
            <family val="2"/>
          </rPr>
          <t xml:space="preserve">
8/19 had est. 34c
changed to 31c on 8/19
Mgmt expects early debt retirement to have $0.01 impact</t>
        </r>
      </text>
    </comment>
    <comment ref="BN128" authorId="9">
      <text>
        <r>
          <rPr>
            <b/>
            <sz val="8"/>
            <color indexed="81"/>
            <rFont val="Tahoma"/>
            <family val="2"/>
          </rPr>
          <t>Morry Brown:</t>
        </r>
        <r>
          <rPr>
            <sz val="8"/>
            <color indexed="81"/>
            <rFont val="Tahoma"/>
            <family val="2"/>
          </rPr>
          <t xml:space="preserve">
11-3: gave guidance of 23-24c on oct sales call</t>
        </r>
      </text>
    </comment>
    <comment ref="BR128" authorId="10">
      <text>
        <r>
          <rPr>
            <sz val="8"/>
            <color indexed="81"/>
            <rFont val="Tahoma"/>
            <family val="2"/>
          </rPr>
          <t>Continuing EPS = 0.23
F&amp;T Loss = -1c
GAAP EPS = 0.22</t>
        </r>
        <r>
          <rPr>
            <b/>
            <sz val="8"/>
            <color indexed="81"/>
            <rFont val="Tahoma"/>
            <family val="2"/>
          </rPr>
          <t xml:space="preserve">
mm98285:</t>
        </r>
        <r>
          <rPr>
            <sz val="8"/>
            <color indexed="81"/>
            <rFont val="Tahoma"/>
            <family val="2"/>
          </rPr>
          <t xml:space="preserve">
11/2: guided to 21-23c</t>
        </r>
      </text>
    </comment>
    <comment ref="BV128" authorId="11">
      <text>
        <r>
          <rPr>
            <b/>
            <sz val="8"/>
            <color indexed="81"/>
            <rFont val="Tahoma"/>
            <family val="2"/>
          </rPr>
          <t>OC48540:</t>
        </r>
        <r>
          <rPr>
            <sz val="8"/>
            <color indexed="81"/>
            <rFont val="Tahoma"/>
            <family val="2"/>
          </rPr>
          <t xml:space="preserve">
11/07 expects $0.28-$0.30 (include 1c benefit related to reduction of interest accrural resulting from tax audits and other tax resolutions completed during the quarter</t>
        </r>
      </text>
    </comment>
    <comment ref="BZ128" authorId="28">
      <text>
        <r>
          <rPr>
            <b/>
            <sz val="8"/>
            <color indexed="81"/>
            <rFont val="Tahoma"/>
            <family val="2"/>
          </rPr>
          <t>TI23070:</t>
        </r>
        <r>
          <rPr>
            <sz val="8"/>
            <color indexed="81"/>
            <rFont val="Tahoma"/>
            <family val="2"/>
          </rPr>
          <t xml:space="preserve">
11/08: Expects $0.33-$0.35 </t>
        </r>
      </text>
    </comment>
    <comment ref="CD128" authorId="28">
      <text>
        <r>
          <rPr>
            <b/>
            <sz val="8"/>
            <color indexed="81"/>
            <rFont val="Tahoma"/>
            <family val="2"/>
          </rPr>
          <t>TI23070:</t>
        </r>
        <r>
          <rPr>
            <sz val="8"/>
            <color indexed="81"/>
            <rFont val="Tahoma"/>
            <family val="2"/>
          </rPr>
          <t xml:space="preserve">
11/09: 42-44c</t>
        </r>
      </text>
    </comment>
    <comment ref="CH128" authorId="2">
      <text>
        <r>
          <rPr>
            <b/>
            <sz val="8"/>
            <color indexed="81"/>
            <rFont val="Tahoma"/>
            <family val="2"/>
          </rPr>
          <t>nicholjs:</t>
        </r>
        <r>
          <rPr>
            <sz val="8"/>
            <color indexed="81"/>
            <rFont val="Tahoma"/>
            <family val="2"/>
          </rPr>
          <t xml:space="preserve">
11/2010: expect EPS $0.47-0.48</t>
        </r>
      </text>
    </comment>
    <comment ref="CL128" authorId="16">
      <text>
        <r>
          <rPr>
            <b/>
            <sz val="8"/>
            <color indexed="81"/>
            <rFont val="Tahoma"/>
            <family val="2"/>
          </rPr>
          <t>solejay:</t>
        </r>
        <r>
          <rPr>
            <sz val="8"/>
            <color indexed="81"/>
            <rFont val="Tahoma"/>
            <family val="2"/>
          </rPr>
          <t xml:space="preserve">
11/3: $0.35-$0.37</t>
        </r>
      </text>
    </comment>
    <comment ref="CP128" authorId="16">
      <text>
        <r>
          <rPr>
            <b/>
            <sz val="8"/>
            <color indexed="81"/>
            <rFont val="Tahoma"/>
            <family val="2"/>
          </rPr>
          <t>solejay:</t>
        </r>
        <r>
          <rPr>
            <sz val="8"/>
            <color indexed="81"/>
            <rFont val="Tahoma"/>
            <family val="2"/>
          </rPr>
          <t xml:space="preserve">
11/1:  $0.61-$0.63 (includes a $0.02 tax benefit)</t>
        </r>
      </text>
    </comment>
    <comment ref="CX128" authorId="8">
      <text>
        <r>
          <rPr>
            <b/>
            <sz val="9"/>
            <color indexed="81"/>
            <rFont val="Tahoma"/>
            <family val="2"/>
          </rPr>
          <t>Turley, Amber (Research):</t>
        </r>
        <r>
          <rPr>
            <sz val="9"/>
            <color indexed="81"/>
            <rFont val="Tahoma"/>
            <family val="2"/>
          </rPr>
          <t xml:space="preserve">
11/20/14: Includes 6c benefit from one time foreign tax credit 
11/6/14: Guided 3Q to $0.78-$0.79 including a 6c gain from non-recurring tax benefit from froegin tax credits. Excluding that guidance is $0.72-$0.73</t>
        </r>
      </text>
    </comment>
    <comment ref="DB128" authorId="3">
      <text>
        <r>
          <rPr>
            <b/>
            <sz val="9"/>
            <color indexed="81"/>
            <rFont val="Tahoma"/>
            <family val="2"/>
          </rPr>
          <t>Mains, Spencer (Research):</t>
        </r>
        <r>
          <rPr>
            <sz val="9"/>
            <color indexed="81"/>
            <rFont val="Tahoma"/>
            <family val="2"/>
          </rPr>
          <t xml:space="preserve">
Co estimated impact from FX was 5c
63c excludes impact of 2c from strategic actions</t>
        </r>
      </text>
    </comment>
    <comment ref="DF128" authorId="17">
      <text>
        <r>
          <rPr>
            <b/>
            <sz val="9"/>
            <color indexed="81"/>
            <rFont val="Tahoma"/>
            <family val="2"/>
          </rPr>
          <t>Baglione, Gregory (Research):</t>
        </r>
        <r>
          <rPr>
            <sz val="9"/>
            <color indexed="81"/>
            <rFont val="Tahoma"/>
            <family val="2"/>
          </rPr>
          <t xml:space="preserve">
11/7/16
59-60c EPS guidance</t>
        </r>
      </text>
    </comment>
    <comment ref="DJ128" authorId="6">
      <text>
        <r>
          <rPr>
            <b/>
            <sz val="9"/>
            <color indexed="81"/>
            <rFont val="Tahoma"/>
            <family val="2"/>
          </rPr>
          <t>De Courreges, Edouard (Research):</t>
        </r>
        <r>
          <rPr>
            <sz val="9"/>
            <color indexed="81"/>
            <rFont val="Tahoma"/>
            <family val="2"/>
          </rPr>
          <t xml:space="preserve">
FX negatively impacted third quarter EPS by an
estimated $0.02</t>
        </r>
      </text>
    </comment>
    <comment ref="BJ129" authorId="25">
      <text>
        <r>
          <rPr>
            <b/>
            <sz val="8"/>
            <color indexed="81"/>
            <rFont val="Tahoma"/>
            <family val="2"/>
          </rPr>
          <t>MS:</t>
        </r>
        <r>
          <rPr>
            <sz val="8"/>
            <color indexed="81"/>
            <rFont val="Tahoma"/>
            <family val="2"/>
          </rPr>
          <t xml:space="preserve">
8/19 had est. 45c</t>
        </r>
      </text>
    </comment>
    <comment ref="BR129" authorId="10">
      <text>
        <r>
          <rPr>
            <sz val="8"/>
            <color indexed="81"/>
            <rFont val="Tahoma"/>
            <family val="2"/>
          </rPr>
          <t>Continuing EPS = 0.28
F&amp;T Loss = -1c
GAAP EPS = 0.27</t>
        </r>
        <r>
          <rPr>
            <b/>
            <sz val="8"/>
            <color indexed="81"/>
            <rFont val="Tahoma"/>
            <family val="2"/>
          </rPr>
          <t xml:space="preserve">
mm98285:</t>
        </r>
        <r>
          <rPr>
            <sz val="8"/>
            <color indexed="81"/>
            <rFont val="Tahoma"/>
            <family val="2"/>
          </rPr>
          <t xml:space="preserve">
2/07: 2006 guid assumes $0.23-$0.25 for 4Q
1/07: guid assumes 17-21c for 4Q</t>
        </r>
      </text>
    </comment>
    <comment ref="BV129" authorId="11">
      <text>
        <r>
          <rPr>
            <sz val="8"/>
            <color indexed="81"/>
            <rFont val="Tahoma"/>
            <family val="2"/>
          </rPr>
          <t>(Jan Sales) Expect $0.33-$0.35 
3Q07: 
full year 2007 EPS guidance is
$0.99-$1.05 vs. prior guidance of $0.90-$0.95, which implies 4Q guidance of
$0.22-$0.28 vs. consensus and our estimate of $0.30.</t>
        </r>
      </text>
    </comment>
    <comment ref="CD129" authorId="28">
      <text>
        <r>
          <rPr>
            <b/>
            <sz val="8"/>
            <color indexed="81"/>
            <rFont val="Tahoma"/>
            <family val="2"/>
          </rPr>
          <t>TI23070:</t>
        </r>
        <r>
          <rPr>
            <sz val="8"/>
            <color indexed="81"/>
            <rFont val="Tahoma"/>
            <family val="2"/>
          </rPr>
          <t xml:space="preserve">
49-51c</t>
        </r>
      </text>
    </comment>
    <comment ref="CH129" authorId="2">
      <text>
        <r>
          <rPr>
            <b/>
            <sz val="8"/>
            <color indexed="81"/>
            <rFont val="Tahoma"/>
            <family val="2"/>
          </rPr>
          <t>nicholjs:</t>
        </r>
        <r>
          <rPr>
            <sz val="8"/>
            <color indexed="81"/>
            <rFont val="Tahoma"/>
            <family val="2"/>
          </rPr>
          <t xml:space="preserve">
11/2010: implied guidance $0.48-$0.53</t>
        </r>
      </text>
    </comment>
    <comment ref="CL129" authorId="16">
      <text>
        <r>
          <rPr>
            <sz val="8"/>
            <color indexed="81"/>
            <rFont val="Tahoma"/>
            <family val="2"/>
          </rPr>
          <t xml:space="preserve">2/2/2012 - $0.41-$0.42
</t>
        </r>
      </text>
    </comment>
    <comment ref="CP129" authorId="16">
      <text>
        <r>
          <rPr>
            <sz val="8"/>
            <color indexed="81"/>
            <rFont val="Tahoma"/>
            <family val="2"/>
          </rPr>
          <t>2/7/13: $0.70-$0.71
Old estimate:</t>
        </r>
        <r>
          <rPr>
            <b/>
            <sz val="8"/>
            <color indexed="81"/>
            <rFont val="Tahoma"/>
            <family val="2"/>
          </rPr>
          <t xml:space="preserve">
</t>
        </r>
        <r>
          <rPr>
            <sz val="8"/>
            <color indexed="81"/>
            <rFont val="Tahoma"/>
            <family val="2"/>
          </rPr>
          <t>53rd week to add $0.12</t>
        </r>
      </text>
    </comment>
    <comment ref="CT129" authorId="0">
      <text>
        <r>
          <rPr>
            <b/>
            <sz val="8"/>
            <color indexed="81"/>
            <rFont val="Tahoma"/>
            <family val="2"/>
          </rPr>
          <t>turleamb:</t>
        </r>
        <r>
          <rPr>
            <sz val="8"/>
            <color indexed="81"/>
            <rFont val="Tahoma"/>
            <family val="2"/>
          </rPr>
          <t xml:space="preserve">
2/5/14: Expect 4Q $0.65-$0.66</t>
        </r>
      </text>
    </comment>
    <comment ref="CX129" authorId="8">
      <text>
        <r>
          <rPr>
            <b/>
            <sz val="9"/>
            <color indexed="81"/>
            <rFont val="Tahoma"/>
            <family val="2"/>
          </rPr>
          <t>Turley, Amber (Research):</t>
        </r>
        <r>
          <rPr>
            <sz val="9"/>
            <color indexed="81"/>
            <rFont val="Tahoma"/>
            <family val="2"/>
          </rPr>
          <t xml:space="preserve">
2/9/15: Guidance $0.73-$0.74</t>
        </r>
      </text>
    </comment>
    <comment ref="DB129" authorId="4">
      <text>
        <r>
          <rPr>
            <b/>
            <sz val="9"/>
            <color indexed="81"/>
            <rFont val="Tahoma"/>
            <family val="2"/>
          </rPr>
          <t>Baglione, Gregory  (Research):</t>
        </r>
        <r>
          <rPr>
            <sz val="9"/>
            <color indexed="81"/>
            <rFont val="Tahoma"/>
            <family val="2"/>
          </rPr>
          <t xml:space="preserve">
2/8/16
Company now expects 4Q EPS 56c-57c</t>
        </r>
      </text>
    </comment>
    <comment ref="DF129" authorId="13">
      <text>
        <r>
          <rPr>
            <b/>
            <sz val="9"/>
            <color indexed="81"/>
            <rFont val="Tahoma"/>
            <family val="2"/>
          </rPr>
          <t>2/23/17: FX negatively impacted 
Roberts, Cynthia (Research):</t>
        </r>
        <r>
          <rPr>
            <sz val="9"/>
            <color indexed="81"/>
            <rFont val="Tahoma"/>
            <family val="2"/>
          </rPr>
          <t xml:space="preserve">
</t>
        </r>
        <r>
          <rPr>
            <b/>
            <sz val="9"/>
            <color indexed="81"/>
            <rFont val="Tahoma"/>
            <family val="2"/>
          </rPr>
          <t>2/6/17- Jan Sales</t>
        </r>
        <r>
          <rPr>
            <sz val="9"/>
            <color indexed="81"/>
            <rFont val="Tahoma"/>
            <family val="2"/>
          </rPr>
          <t xml:space="preserve">
previous: 47c 
current: 51c
51c reflects updated FY16 mgmt guidance of $2.01-2.02 (vs. prior modestly above $1.87-1.92), SGA 26.1% (+180 bps y/y) , and GM 33.6% (+60 bps y/y)
Includes 3c benefit from one-time tax adjustment 
11/17/16
prev: $0.54
curr: $0.44
$0.44 reflects reaffirmed FY16 guidance of $1.82-$1.92, and guidance from 3Q16 call of expected SGA deleverage in 4Q and FY driven by  marketing, personnel, flagship, and bonus reversal spend 
</t>
        </r>
      </text>
    </comment>
    <comment ref="DJ129" authorId="5">
      <text>
        <r>
          <rPr>
            <b/>
            <sz val="9"/>
            <color indexed="81"/>
            <rFont val="Tahoma"/>
            <family val="2"/>
          </rPr>
          <t>Cassel, Lauren (Research):</t>
        </r>
        <r>
          <rPr>
            <sz val="9"/>
            <color indexed="81"/>
            <rFont val="Tahoma"/>
            <family val="2"/>
          </rPr>
          <t xml:space="preserve">
2/28/18: The 53rd week was a benefit of approximately $0.05.
2/23/17: 53rd week will add 4-5c</t>
        </r>
      </text>
    </comment>
    <comment ref="DN129" authorId="6">
      <text>
        <r>
          <rPr>
            <b/>
            <sz val="9"/>
            <color indexed="81"/>
            <rFont val="Tahoma"/>
            <family val="2"/>
          </rPr>
          <t>De Courreges, Edouard (Research):</t>
        </r>
        <r>
          <rPr>
            <sz val="9"/>
            <color indexed="81"/>
            <rFont val="Tahoma"/>
            <family val="2"/>
          </rPr>
          <t xml:space="preserve">
3/1/18: Regarding the 53rd week in 2017, our guidance range includes the negative impact from the loss of the 53rd week of about $0.06. </t>
        </r>
      </text>
    </comment>
    <comment ref="BN130" authorId="9">
      <text>
        <r>
          <rPr>
            <b/>
            <sz val="8"/>
            <color indexed="81"/>
            <rFont val="Tahoma"/>
            <family val="2"/>
          </rPr>
          <t>Morry Brown:</t>
        </r>
        <r>
          <rPr>
            <sz val="8"/>
            <color indexed="81"/>
            <rFont val="Tahoma"/>
            <family val="2"/>
          </rPr>
          <t xml:space="preserve">
2/02 updated guidance of $1.22-$1.25 on jan sales call
11/05guidance of $1.12-$1.17 on 3Q conf call</t>
        </r>
      </text>
    </comment>
    <comment ref="BR130" authorId="29">
      <text>
        <r>
          <rPr>
            <b/>
            <sz val="8"/>
            <color indexed="81"/>
            <rFont val="Tahoma"/>
            <family val="2"/>
          </rPr>
          <t>MB33100:</t>
        </r>
        <r>
          <rPr>
            <sz val="8"/>
            <color indexed="81"/>
            <rFont val="Tahoma"/>
            <family val="2"/>
          </rPr>
          <t xml:space="preserve">
2/07: guided to $0.89-$0.91
1/07: guided to $0.83-$0.87
11/06: guided to $1.01-$1.06
8/06: guided to $1.08-$1.12
5/06 mgmt reaffirmed prior guidance of $1.23-1.27
2/06 mgmt gave guidance of $1.23-$1.27</t>
        </r>
      </text>
    </comment>
    <comment ref="BV130" authorId="10">
      <text>
        <r>
          <rPr>
            <sz val="8"/>
            <color indexed="81"/>
            <rFont val="Tahoma"/>
            <family val="2"/>
          </rPr>
          <t xml:space="preserve">Jan sales: Expect $0.33-$0.35 4Q07 and FY non-GAAP EPS $1.10-$1.12 from $0.99-$1.05 (non-GAAP excludes 7c)
Dec Sales: No update to full year $0.99-$1.05 (implies 4Q of $0.23-$0.29 based on first call YTD EPS of .25+.21+.30=.76 )
@3Q07 and reit at Nov.: Expects full year 2007 diluted EPS on a GAAP  $0.92-$0.98 vs. prior guidance of $0.83-$0.88 per share. Excluding ~$0.07 expenses associated with the cost reduction initiative &amp; discontinued operation of Forth &amp; Towne, full year 2007 EPS guidance is </t>
        </r>
        <r>
          <rPr>
            <b/>
            <sz val="8"/>
            <color indexed="81"/>
            <rFont val="Tahoma"/>
            <family val="2"/>
          </rPr>
          <t>$0.99-$1.05</t>
        </r>
        <r>
          <rPr>
            <sz val="8"/>
            <color indexed="81"/>
            <rFont val="Tahoma"/>
            <family val="2"/>
          </rPr>
          <t xml:space="preserve"> vs. prior guidance of $0.90-$0.95, which implies 4Q  </t>
        </r>
        <r>
          <rPr>
            <b/>
            <sz val="8"/>
            <color indexed="81"/>
            <rFont val="Tahoma"/>
            <family val="2"/>
          </rPr>
          <t>$0.22-$0.28</t>
        </r>
        <r>
          <rPr>
            <sz val="8"/>
            <color indexed="81"/>
            <rFont val="Tahoma"/>
            <family val="2"/>
          </rPr>
          <t xml:space="preserve"> vs. consensus and our estimate of $0.30.
@2Q07: Guided to GAAP eps of $0.83-$0.88
</t>
        </r>
        <r>
          <rPr>
            <b/>
            <sz val="8"/>
            <color indexed="81"/>
            <rFont val="Tahoma"/>
            <family val="2"/>
          </rPr>
          <t>Guided to non-GAAP eps of $0.90-$0.95 ex F&amp;T+cost reduction</t>
        </r>
        <r>
          <rPr>
            <sz val="8"/>
            <color indexed="81"/>
            <rFont val="Tahoma"/>
            <family val="2"/>
          </rPr>
          <t xml:space="preserve">
Implied non-GAAP eps just ex F&amp;T 4c is $0.87-$0.92
May sales: (no update) $0.80-$0.90 ex $0.04 impact for loss associated with F&amp;T or incl. on GAAP basis $0.76-$0.86
1Q07: $0.80-$0.90 ex $0.04 impact for loss associated with F&amp;T or incl. on GAAP basis $0.76-$0.86</t>
        </r>
        <r>
          <rPr>
            <b/>
            <sz val="8"/>
            <color indexed="81"/>
            <rFont val="Tahoma"/>
            <family val="2"/>
          </rPr>
          <t xml:space="preserve">
</t>
        </r>
        <r>
          <rPr>
            <sz val="8"/>
            <color indexed="81"/>
            <rFont val="Tahoma"/>
            <family val="2"/>
          </rPr>
          <t>2/07: expect $0.80-$0.90 (excl 4c loss from closure of F&amp;T)</t>
        </r>
      </text>
    </comment>
    <comment ref="BZ130" authorId="11">
      <text>
        <r>
          <rPr>
            <b/>
            <sz val="8"/>
            <color indexed="81"/>
            <rFont val="Tahoma"/>
            <family val="2"/>
          </rPr>
          <t xml:space="preserve">OC48540:
2/09: Raised to $1.32-$1.33 driven by January expense savings 
</t>
        </r>
        <r>
          <rPr>
            <sz val="8"/>
            <color indexed="81"/>
            <rFont val="Tahoma"/>
            <family val="2"/>
          </rPr>
          <t>1/09: 1.27-1.30
12/08: Reit $1.30-$1.35</t>
        </r>
        <r>
          <rPr>
            <b/>
            <sz val="8"/>
            <color indexed="81"/>
            <rFont val="Tahoma"/>
            <family val="2"/>
          </rPr>
          <t xml:space="preserve">
</t>
        </r>
        <r>
          <rPr>
            <sz val="8"/>
            <color indexed="81"/>
            <rFont val="Tahoma"/>
            <family val="2"/>
          </rPr>
          <t>11/20:  Reaffirming $1.30-$1.35</t>
        </r>
        <r>
          <rPr>
            <b/>
            <sz val="8"/>
            <color indexed="81"/>
            <rFont val="Tahoma"/>
            <family val="2"/>
          </rPr>
          <t xml:space="preserve">
</t>
        </r>
        <r>
          <rPr>
            <sz val="8"/>
            <color indexed="81"/>
            <rFont val="Tahoma"/>
            <family val="2"/>
          </rPr>
          <t>11/08: Reaffirming $1.30-$1.35</t>
        </r>
        <r>
          <rPr>
            <b/>
            <sz val="8"/>
            <color indexed="81"/>
            <rFont val="Tahoma"/>
            <family val="2"/>
          </rPr>
          <t xml:space="preserve">
</t>
        </r>
        <r>
          <rPr>
            <sz val="8"/>
            <color indexed="81"/>
            <rFont val="Tahoma"/>
            <family val="2"/>
          </rPr>
          <t>9/4/08: Reit $1.30-$1.35</t>
        </r>
        <r>
          <rPr>
            <b/>
            <sz val="8"/>
            <color indexed="81"/>
            <rFont val="Tahoma"/>
            <family val="2"/>
          </rPr>
          <t xml:space="preserve">
</t>
        </r>
        <r>
          <rPr>
            <sz val="8"/>
            <color indexed="81"/>
            <rFont val="Tahoma"/>
            <family val="2"/>
          </rPr>
          <t>8/08: Guid. of $1.30-$1.35</t>
        </r>
        <r>
          <rPr>
            <b/>
            <sz val="8"/>
            <color indexed="81"/>
            <rFont val="Tahoma"/>
            <family val="2"/>
          </rPr>
          <t xml:space="preserve">
</t>
        </r>
        <r>
          <rPr>
            <sz val="8"/>
            <color indexed="81"/>
            <rFont val="Tahoma"/>
            <family val="2"/>
          </rPr>
          <t>5/22/08: Reit $1.20-$1.27</t>
        </r>
        <r>
          <rPr>
            <b/>
            <sz val="8"/>
            <color indexed="81"/>
            <rFont val="Tahoma"/>
            <family val="2"/>
          </rPr>
          <t xml:space="preserve">
</t>
        </r>
        <r>
          <rPr>
            <sz val="8"/>
            <color indexed="81"/>
            <rFont val="Tahoma"/>
            <family val="2"/>
          </rPr>
          <t>5/8/08: Reit $1.20-$1.27</t>
        </r>
        <r>
          <rPr>
            <sz val="8"/>
            <color indexed="81"/>
            <rFont val="Tahoma"/>
            <family val="2"/>
          </rPr>
          <t xml:space="preserve">
4/11- Reiterate $1.20-$1.27
2/28 - Guided to $1.20-$1.27</t>
        </r>
      </text>
    </comment>
    <comment ref="CH130" authorId="28">
      <text>
        <r>
          <rPr>
            <sz val="8"/>
            <color indexed="81"/>
            <rFont val="Tahoma"/>
            <family val="2"/>
          </rPr>
          <t>2/11: $1.85-$1.86
1/11: reaffirm $1.77-$1.82
8/10: $1.77-$1.82
5/10: $1.77-$1.82
2/25/10: $1.70-$1.75</t>
        </r>
      </text>
    </comment>
    <comment ref="CL130" authorId="2">
      <text>
        <r>
          <rPr>
            <sz val="8"/>
            <color indexed="81"/>
            <rFont val="Tahoma"/>
            <family val="2"/>
          </rPr>
          <t>11/2011: $1.40-1.50</t>
        </r>
        <r>
          <rPr>
            <sz val="8"/>
            <color indexed="81"/>
            <rFont val="Tahoma"/>
            <family val="2"/>
          </rPr>
          <t xml:space="preserve">
8/2011: $1.40-1.50
5/2011: $1.40-1.50
2/2011: $1.88-1.93</t>
        </r>
      </text>
    </comment>
    <comment ref="CP130" authorId="16">
      <text>
        <r>
          <rPr>
            <sz val="8"/>
            <color indexed="81"/>
            <rFont val="Tahoma"/>
            <family val="2"/>
          </rPr>
          <t xml:space="preserve">11/15: $2.20-$2.25
8/16/2012: $1.95-$2.00
5/17/2012: $1.78-$1.83
2/23/2012: $1.75-$1.80
</t>
        </r>
      </text>
    </comment>
    <comment ref="CT130" authorId="24">
      <text>
        <r>
          <rPr>
            <b/>
            <sz val="8"/>
            <color indexed="81"/>
            <rFont val="Tahoma"/>
            <family val="2"/>
          </rPr>
          <t>casselau:</t>
        </r>
        <r>
          <rPr>
            <sz val="8"/>
            <color indexed="81"/>
            <rFont val="Tahoma"/>
            <family val="2"/>
          </rPr>
          <t xml:space="preserve">
1/9/14: reaffirmed FYEPS guidance range of $2.57 to $2.65.
Having completed the majority of the holiday season, today the company noted
that it is comfortable delivering at the high end of this range
11/21/13:re-affirmed Oct retail sales guidance of $2.57 to $2.65. at its midpoint this guidance implies a growth rate of 12% for the full year on top of last year's 49% increase and this is even after absorbing the impacts of both foreign exchange and the loss of the 53rd week
8/22/13: raised guidance to $2.57-$2.65
5/23/13: guidance unchanged $2.52-$2.60
2/28/13: guidance $2.52-$2.60 (guidance contemplates some of the impact from the weakening yen)</t>
        </r>
      </text>
    </comment>
    <comment ref="CX130" authorId="0">
      <text>
        <r>
          <rPr>
            <b/>
            <sz val="8"/>
            <color indexed="81"/>
            <rFont val="Tahoma"/>
            <family val="2"/>
          </rPr>
          <t>turleamb:</t>
        </r>
        <r>
          <rPr>
            <sz val="8"/>
            <color indexed="81"/>
            <rFont val="Tahoma"/>
            <family val="2"/>
          </rPr>
          <t xml:space="preserve">
2/26/15: 14c negative EPS impact
2/9/15: Guidance $2.86-$2.87 (GAAP)
NOTE: In order to submit our model to consensus we had to strip out the one time gain in 2Q (5c) but keep in the one time tax benefit (6c) in 3Q therefore the consensus EPS lacks integrity due to the inconsistent practices by Thomson Reuters.Therefore our $2.82 consensus FY EPSe is equivalent to $2.87 GAAP (top end of GPS' guidance). 
11/20/14: Guidance lowered to $2.73-$2.78 including a one time 6c tax benefit plus the prior 2Q 5c benefit from gain on the sale of an asset. All in underlying guidance is $2.62-$2.67
8/21/14: Re-affirmed guidance $2.90-$2.95 ex the 5c EPS benefit fromt he gain on the sale of an asset. 
5/21/14: re-affirm guidance $2.90-$2.95
4/10/14: re-affirm guidance: 
2/27/14: guidance $2.90 to $2.95 
The company`s 2014 fiscal year guidance contemplates some of the expected impact
from weakening foreign currencies. As a result, the company estimates its
reported fiscal year 2014 earnings per share growth rate to be negatively
impacted by about 5 percentage points at current exchange rates. At its
midpoint, the company`s fiscal year 2014 guidance represents earnings per share
growth of 7 percent on a reported basis; without this negative 5 percentage
point impact, the company expects that the earnings per share growth would be in
the double-digits. 
</t>
        </r>
      </text>
    </comment>
    <comment ref="CY130" authorId="0">
      <text>
        <r>
          <rPr>
            <b/>
            <sz val="9"/>
            <color indexed="81"/>
            <rFont val="Tahoma"/>
            <family val="2"/>
          </rPr>
          <t>turleamb:</t>
        </r>
        <r>
          <rPr>
            <sz val="9"/>
            <color indexed="81"/>
            <rFont val="Tahoma"/>
            <family val="2"/>
          </rPr>
          <t xml:space="preserve">
11/20/14: expect F/X impacts EPS negatively ~5%
5/21/14: guidance expect "solid"+DD in CC</t>
        </r>
      </text>
    </comment>
    <comment ref="DB130" authorId="8">
      <text>
        <r>
          <rPr>
            <sz val="9"/>
            <color indexed="81"/>
            <rFont val="Tahoma"/>
            <family val="2"/>
          </rPr>
          <t xml:space="preserve">2/8/16
Company now expects 2016 EPS $2.41-$2.42
11/19/15: updated adj EPS guidance to $2.38-2.42 (excludes $130-140M from strategic actions)
8/20/15: Reaffirmed $2.75-2.80, excluding negative impact from strategic actions (but embeds FX of 6c and port of 13c)
6/16/15: reaffirmed $2.75-2.80
2/26/15 guidance: $2.75-$2.85
including 16c (6% or over $100M of pre-tax earnigns) negative F/X hit and a 13c negative hit due to West Coast ports slowdown and poor performance at Gap brand. 
</t>
        </r>
      </text>
    </comment>
    <comment ref="DF130" authorId="4">
      <text>
        <r>
          <rPr>
            <b/>
            <sz val="9"/>
            <color indexed="81"/>
            <rFont val="Tahoma"/>
            <family val="2"/>
          </rPr>
          <t xml:space="preserve">2/23/17: Full year adjusted earnings per share excludes a $0.41 impact from restructuring costs including the impact from a higher tax rate, a non-cash
goodwill impairment charge of $0.18 related to intermix, an $0.11 benefit from insurance proceeds related to the fire at our Fishkill distribution center, and a nonrecurring tax benefit of $0.15. Additionally, it's important to remember that foreign exchange negatively impacted full year adjusted EPS by an estimated $0.15 or about 6 percentage points of growth on an adjusted basis.
Baglione, Gregory  (Research):
</t>
        </r>
        <r>
          <rPr>
            <sz val="9"/>
            <color indexed="81"/>
            <rFont val="Tahoma"/>
            <family val="2"/>
          </rPr>
          <t xml:space="preserve">
</t>
        </r>
        <r>
          <rPr>
            <b/>
            <sz val="9"/>
            <color indexed="81"/>
            <rFont val="Tahoma"/>
            <family val="2"/>
          </rPr>
          <t xml:space="preserve">2/6/17 - Jan Sales
</t>
        </r>
        <r>
          <rPr>
            <sz val="9"/>
            <color indexed="81"/>
            <rFont val="Tahoma"/>
            <family val="2"/>
          </rPr>
          <t xml:space="preserve">
guidance: raised to $2.01-$2.02 (vs. prior modestly above $1.87-$1.92)
previous: $1.97
current: $2.02
$2.02 reflects -1.8% comp, 36.3% GM (-10 bps y/y), SG&amp;A 27.3% (+140 bps y/y) or +3.3% in SG&amp;A dollars 
</t>
        </r>
        <r>
          <rPr>
            <b/>
            <sz val="9"/>
            <color indexed="81"/>
            <rFont val="Tahoma"/>
            <family val="2"/>
          </rPr>
          <t>11/17/16:</t>
        </r>
        <r>
          <rPr>
            <sz val="9"/>
            <color indexed="81"/>
            <rFont val="Tahoma"/>
            <family val="2"/>
          </rPr>
          <t xml:space="preserve">
guidance: reaffirmed at $1.87 - $1.92; restructuring costs expected to be 42-46c. (vs. prior 45-50c)
Regarding our restructuring costs, we now estimate the full-year impact to be between $0.42 and $0.46, down from our previous estimate of $0.45
to $0.50. All other full-year guidance metrics remain substantially unchanged. 
prev:$2.05
curr: $1.95
$1.95 reflects  -2.7 comp, 36.2% GM (-20bps y/y), SG&amp;A 27.3% (+140 bps y/y) or +3.2% in SGA dollars
guidance from 3Q16 call of expected SGA deleverage in 4Q and FY driven by  marketing, personnel, flagship, and bonus reversal spend 
5/19/16
 Company is not providing guidance but noting that the street's $1.92 falls within a reasonable range of potential outcomes. </t>
        </r>
        <r>
          <rPr>
            <b/>
            <sz val="9"/>
            <color indexed="81"/>
            <rFont val="Tahoma"/>
            <family val="2"/>
          </rPr>
          <t xml:space="preserve">
</t>
        </r>
        <r>
          <rPr>
            <sz val="9"/>
            <color indexed="81"/>
            <rFont val="Tahoma"/>
            <family val="2"/>
          </rPr>
          <t xml:space="preserve">
8/9/16
Management is still not updating guidance as of 2Q sales release.
</t>
        </r>
        <r>
          <rPr>
            <b/>
            <sz val="9"/>
            <color indexed="81"/>
            <rFont val="Tahoma"/>
            <family val="2"/>
          </rPr>
          <t>initial guidance $2.20-2.25</t>
        </r>
      </text>
    </comment>
    <comment ref="DJ130" authorId="5">
      <text>
        <r>
          <rPr>
            <b/>
            <sz val="9"/>
            <color indexed="81"/>
            <rFont val="Tahoma"/>
            <family val="2"/>
          </rPr>
          <t xml:space="preserve">Cassel, Lauren (Research):
2/28/18: </t>
        </r>
        <r>
          <rPr>
            <sz val="9"/>
            <color indexed="81"/>
            <rFont val="Tahoma"/>
            <family val="2"/>
          </rPr>
          <t xml:space="preserve"> 53rd week is +5c. FX is 8c for the year, 2c for the </t>
        </r>
        <r>
          <rPr>
            <b/>
            <sz val="9"/>
            <color indexed="81"/>
            <rFont val="Tahoma"/>
            <family val="2"/>
          </rPr>
          <t xml:space="preserve">
</t>
        </r>
        <r>
          <rPr>
            <sz val="9"/>
            <color indexed="81"/>
            <rFont val="Tahoma"/>
            <family val="2"/>
          </rPr>
          <t xml:space="preserve">quarter
</t>
        </r>
        <r>
          <rPr>
            <b/>
            <sz val="9"/>
            <color indexed="81"/>
            <rFont val="Tahoma"/>
            <family val="2"/>
          </rPr>
          <t xml:space="preserve">
</t>
        </r>
        <r>
          <rPr>
            <sz val="9"/>
            <color indexed="81"/>
            <rFont val="Tahoma"/>
            <family val="2"/>
          </rPr>
          <t>11/16: Guidance raised to 2.08-2.12</t>
        </r>
        <r>
          <rPr>
            <b/>
            <sz val="9"/>
            <color indexed="81"/>
            <rFont val="Tahoma"/>
            <family val="2"/>
          </rPr>
          <t xml:space="preserve">
8/17/17: guidance: now expect $2.02-$2.10 ex. insurance gains vs. previous $1.95-$2.05 guidance
</t>
        </r>
        <r>
          <rPr>
            <sz val="9"/>
            <color indexed="81"/>
            <rFont val="Tahoma"/>
            <family val="2"/>
          </rPr>
          <t>5/17/17: reaffirms $1.95-$2.05 including 8-9c of insurance proceeds (1/2 of that in 2Q)
2/23/17: guidance: $1.95-2.05 EPS including 53rd week, with 1H to be -HSD%; FX will likely continue to be a headwind (9c or 5%); 53rd week will add 4-5c</t>
        </r>
      </text>
    </comment>
    <comment ref="DN130" authorId="6">
      <text>
        <r>
          <rPr>
            <b/>
            <sz val="9"/>
            <color indexed="81"/>
            <rFont val="Tahoma"/>
            <family val="2"/>
          </rPr>
          <t xml:space="preserve">De Courreges, Edouard (Research):
</t>
        </r>
        <r>
          <rPr>
            <sz val="9"/>
            <color indexed="81"/>
            <rFont val="Tahoma"/>
            <family val="2"/>
          </rPr>
          <t>2/28/18: $2.55-$2.70 guidance with 7c FX benefit</t>
        </r>
      </text>
    </comment>
    <comment ref="BB133" authorId="14">
      <text>
        <r>
          <rPr>
            <sz val="7"/>
            <color indexed="81"/>
            <rFont val="Tahoma"/>
            <family val="2"/>
          </rPr>
          <t xml:space="preserve">
convert was not anti-dilutive, 968 million is fully diluted share count incl. Converted shares, must add back interest expense associated with convertible bond</t>
        </r>
      </text>
    </comment>
    <comment ref="DJ139" authorId="5">
      <text>
        <r>
          <rPr>
            <b/>
            <sz val="9"/>
            <color indexed="81"/>
            <rFont val="Tahoma"/>
            <family val="2"/>
          </rPr>
          <t>Cassel, Lauren (Research):</t>
        </r>
        <r>
          <rPr>
            <sz val="9"/>
            <color indexed="81"/>
            <rFont val="Tahoma"/>
            <family val="2"/>
          </rPr>
          <t xml:space="preserve">
8/17/17: guidance $2.12-$2.20 including 10c in insurance gains</t>
        </r>
      </text>
    </comment>
    <comment ref="BN145" authorId="9">
      <text>
        <r>
          <rPr>
            <b/>
            <sz val="8"/>
            <color indexed="81"/>
            <rFont val="Tahoma"/>
            <family val="2"/>
          </rPr>
          <t>Morry Brown:</t>
        </r>
        <r>
          <rPr>
            <sz val="8"/>
            <color indexed="81"/>
            <rFont val="Tahoma"/>
            <family val="2"/>
          </rPr>
          <t xml:space="preserve">
937.9
repurchased 26mm shares for just over $550mm in 1Q05 on $1.5 bil authoriz'n</t>
        </r>
      </text>
    </comment>
    <comment ref="BR145" authorId="9">
      <text>
        <r>
          <rPr>
            <b/>
            <sz val="8"/>
            <color indexed="81"/>
            <rFont val="Tahoma"/>
            <family val="2"/>
          </rPr>
          <t>Morry Brown:</t>
        </r>
        <r>
          <rPr>
            <sz val="8"/>
            <color indexed="81"/>
            <rFont val="Tahoma"/>
            <family val="2"/>
          </rPr>
          <t xml:space="preserve">
2/06 $500mm authorization, expect $250 in 1H06. assumes 125mm share repurchase per Q for $500mm for the year at $20 + 1mm per Q of option creep</t>
        </r>
      </text>
    </comment>
    <comment ref="BV145" authorId="9">
      <text>
        <r>
          <rPr>
            <b/>
            <sz val="8"/>
            <color indexed="81"/>
            <rFont val="Tahoma"/>
            <family val="2"/>
          </rPr>
          <t>Morry Brown:</t>
        </r>
        <r>
          <rPr>
            <sz val="8"/>
            <color indexed="81"/>
            <rFont val="Tahoma"/>
            <family val="2"/>
          </rPr>
          <t xml:space="preserve">
$200mm remains under authorization for 2007 (divide per q)</t>
        </r>
      </text>
    </comment>
    <comment ref="BZ145" authorId="21">
      <text>
        <r>
          <rPr>
            <sz val="8"/>
            <color indexed="81"/>
            <rFont val="Tahoma"/>
            <family val="2"/>
          </rPr>
          <t>Repo $216mm and 11mm shares</t>
        </r>
        <r>
          <rPr>
            <b/>
            <sz val="8"/>
            <color indexed="81"/>
            <rFont val="Tahoma"/>
            <family val="2"/>
          </rPr>
          <t xml:space="preserve">
kg51925:</t>
        </r>
        <r>
          <rPr>
            <sz val="8"/>
            <color indexed="81"/>
            <rFont val="Tahoma"/>
            <family val="2"/>
          </rPr>
          <t xml:space="preserve">
mgmt indicated 733mm diluted shares o/s end of 4Q07
2007 10-K indicates 735.071221 Basic shares out at 3/21/08</t>
        </r>
      </text>
    </comment>
    <comment ref="CD145" authorId="1">
      <text>
        <r>
          <rPr>
            <b/>
            <sz val="8"/>
            <color indexed="81"/>
            <rFont val="Tahoma"/>
            <family val="2"/>
          </rPr>
          <t>oc48540:</t>
        </r>
        <r>
          <rPr>
            <sz val="8"/>
            <color indexed="81"/>
            <rFont val="Tahoma"/>
            <family val="2"/>
          </rPr>
          <t xml:space="preserve">
Shares out as of March 23, 2009 was 695.718239 from 10-K</t>
        </r>
      </text>
    </comment>
    <comment ref="CH145" authorId="1">
      <text>
        <r>
          <rPr>
            <sz val="8"/>
            <color indexed="81"/>
            <rFont val="Tahoma"/>
            <family val="2"/>
          </rPr>
          <t xml:space="preserve">
repo'ed 14mm shares for $296mm
Assumes $800mm repo incl. $150mm 1Q, $150mm 2Q, $250mm 3Q, and $250mm 4Q
Shares out per 10K: 667,420,104</t>
        </r>
      </text>
    </comment>
    <comment ref="CL145" authorId="2">
      <text>
        <r>
          <rPr>
            <b/>
            <sz val="8"/>
            <color indexed="81"/>
            <rFont val="Tahoma"/>
            <family val="2"/>
          </rPr>
          <t>nicholjs:</t>
        </r>
        <r>
          <rPr>
            <sz val="8"/>
            <color indexed="81"/>
            <rFont val="Tahoma"/>
            <family val="2"/>
          </rPr>
          <t xml:space="preserve">
repurchased 24.8mm shares for $548mm
3/15/2011: number of shares of common stock (basic) 584.492.  
$400mm at $22.5
$1B share repo spread evenly across quarters at $22-$23 share price</t>
        </r>
      </text>
    </comment>
    <comment ref="CP145" authorId="16">
      <text>
        <r>
          <rPr>
            <b/>
            <sz val="8"/>
            <color indexed="81"/>
            <rFont val="Tahoma"/>
            <family val="2"/>
          </rPr>
          <t>solejay:</t>
        </r>
        <r>
          <rPr>
            <sz val="8"/>
            <color indexed="81"/>
            <rFont val="Tahoma"/>
            <family val="2"/>
          </rPr>
          <t xml:space="preserve">
5/17/2012 - "First quarter share repurchases were $18 million"</t>
        </r>
      </text>
    </comment>
    <comment ref="CT145" authorId="16">
      <text>
        <r>
          <rPr>
            <b/>
            <sz val="8"/>
            <color indexed="81"/>
            <rFont val="Tahoma"/>
            <family val="2"/>
          </rPr>
          <t>solejay:</t>
        </r>
        <r>
          <rPr>
            <sz val="8"/>
            <color indexed="81"/>
            <rFont val="Tahoma"/>
            <family val="2"/>
          </rPr>
          <t xml:space="preserve">
5/23/13: First quarter share repurchases were $58 million</t>
        </r>
      </text>
    </comment>
    <comment ref="CX145" authorId="0">
      <text>
        <r>
          <rPr>
            <b/>
            <sz val="9"/>
            <color indexed="81"/>
            <rFont val="Tahoma"/>
            <family val="2"/>
          </rPr>
          <t>turleamb:</t>
        </r>
        <r>
          <rPr>
            <sz val="9"/>
            <color indexed="81"/>
            <rFont val="Tahoma"/>
            <family val="2"/>
          </rPr>
          <t xml:space="preserve">
5/21/14: Repo'd 5.6m shares for $219m and ended 1Q14 with 443m shares outstanding. (should have $747m remaining)
-----------
$966m remaining in repurchase authorization-no expiration</t>
        </r>
      </text>
    </comment>
    <comment ref="DB145" authorId="24">
      <text>
        <r>
          <rPr>
            <b/>
            <sz val="9"/>
            <color indexed="81"/>
            <rFont val="Tahoma"/>
            <family val="2"/>
          </rPr>
          <t>casselau:</t>
        </r>
        <r>
          <rPr>
            <sz val="9"/>
            <color indexed="81"/>
            <rFont val="Tahoma"/>
            <family val="2"/>
          </rPr>
          <t xml:space="preserve">
5/21/15: repurchased 5.6M shares for $230M</t>
        </r>
      </text>
    </comment>
    <comment ref="DJ145" authorId="5">
      <text>
        <r>
          <rPr>
            <b/>
            <sz val="9"/>
            <color indexed="81"/>
            <rFont val="Tahoma"/>
            <family val="2"/>
          </rPr>
          <t>Cassel, Lauren (Research):
5/17/18: repurchasde 4.2M shares for $100M</t>
        </r>
        <r>
          <rPr>
            <sz val="9"/>
            <color indexed="81"/>
            <rFont val="Tahoma"/>
            <family val="2"/>
          </rPr>
          <t xml:space="preserve">
2/23/17: guidance: repurchase $100M in 1H</t>
        </r>
      </text>
    </comment>
    <comment ref="BN146" authorId="20">
      <text>
        <r>
          <rPr>
            <b/>
            <sz val="8"/>
            <color indexed="81"/>
            <rFont val="Tahoma"/>
            <family val="2"/>
          </rPr>
          <t>Kimberly Greenberger:</t>
        </r>
        <r>
          <rPr>
            <sz val="8"/>
            <color indexed="81"/>
            <rFont val="Tahoma"/>
            <family val="2"/>
          </rPr>
          <t xml:space="preserve">
on 1Q conf call mgmt indicated ended 1Q05 w/ 932mm diluted shares o/s. Assume repo 15mm shares in each 2Q, 3Q &amp; 4Q05.
7/20: Guided to 910mm shares for 2Q in press release for additional $500mm share repo… $1.5bb repo complete</t>
        </r>
      </text>
    </comment>
    <comment ref="BR146" authorId="9">
      <text>
        <r>
          <rPr>
            <b/>
            <sz val="8"/>
            <color indexed="81"/>
            <rFont val="Tahoma"/>
            <family val="2"/>
          </rPr>
          <t>Morry Brown:</t>
        </r>
        <r>
          <rPr>
            <sz val="8"/>
            <color indexed="81"/>
            <rFont val="Tahoma"/>
            <family val="2"/>
          </rPr>
          <t xml:space="preserve">
8/06: repurch 6M shares for $111M (completed $500M auth and issued new auth for $750M share repurch)
assumes 250mm share repurchase per Q for $1B for the year at $20 + 2.5mm per Q of option creep</t>
        </r>
      </text>
    </comment>
    <comment ref="BV146" authorId="9">
      <text>
        <r>
          <rPr>
            <b/>
            <sz val="8"/>
            <color indexed="81"/>
            <rFont val="Tahoma"/>
            <family val="2"/>
          </rPr>
          <t>Morry Brown:</t>
        </r>
        <r>
          <rPr>
            <sz val="8"/>
            <color indexed="81"/>
            <rFont val="Tahoma"/>
            <family val="2"/>
          </rPr>
          <t xml:space="preserve">
2Q: repurchased about 11mm shares of stock during 2Q07 for $200mm
assumes 250mm share repurchase per Q for $1B for the year at $20 + 2.5mm per Q of option creep</t>
        </r>
      </text>
    </comment>
    <comment ref="BZ146" authorId="1">
      <text>
        <r>
          <rPr>
            <b/>
            <sz val="8"/>
            <color indexed="81"/>
            <rFont val="Tahoma"/>
            <family val="2"/>
          </rPr>
          <t>oc48540:</t>
        </r>
        <r>
          <rPr>
            <sz val="8"/>
            <color indexed="81"/>
            <rFont val="Tahoma"/>
            <family val="2"/>
          </rPr>
          <t xml:space="preserve">
repo $284mm and 16.3mm shares </t>
        </r>
      </text>
    </comment>
    <comment ref="CH146" authorId="31">
      <text>
        <r>
          <rPr>
            <sz val="8"/>
            <color indexed="81"/>
            <rFont val="Tahoma"/>
            <family val="2"/>
          </rPr>
          <t>repo'ed 52M for $1.1B throughout 1H10, so repo'ed 38M for ~$800M in 2Q
667M basic o/s begin of Q + 8M dilution - 4.5M (assumes 9M repo avgd thru quarter, so get half benefit)</t>
        </r>
      </text>
    </comment>
    <comment ref="CL146" authorId="2">
      <text>
        <r>
          <rPr>
            <b/>
            <sz val="8"/>
            <color indexed="81"/>
            <rFont val="Tahoma"/>
            <family val="2"/>
          </rPr>
          <t>nicholjs:</t>
        </r>
        <r>
          <rPr>
            <sz val="8"/>
            <color indexed="81"/>
            <rFont val="Tahoma"/>
            <family val="2"/>
          </rPr>
          <t xml:space="preserve">
repo'ed 42.5mm shares for ~$820mm</t>
        </r>
      </text>
    </comment>
    <comment ref="CP146" authorId="16">
      <text>
        <r>
          <rPr>
            <sz val="8"/>
            <color indexed="81"/>
            <rFont val="Tahoma"/>
            <family val="2"/>
          </rPr>
          <t>8/16/12: Second quarter share repurchases were $349 million, and the company ended the second quarter of fiscal year 2012 with 479 million shares outstanding.</t>
        </r>
      </text>
    </comment>
    <comment ref="CT146" authorId="0">
      <text>
        <r>
          <rPr>
            <b/>
            <sz val="8"/>
            <color indexed="81"/>
            <rFont val="Tahoma"/>
            <family val="2"/>
          </rPr>
          <t>turleamb:</t>
        </r>
        <r>
          <rPr>
            <sz val="8"/>
            <color indexed="81"/>
            <rFont val="Tahoma"/>
            <family val="2"/>
          </rPr>
          <t xml:space="preserve">
8/22/13: repurchased $27m in share in 2Q
Between November 2011 and February 2012, we announced that the Board of Directors authorized a total of $1.5 billion for share repurchases,
all of which was completed by the end of December 2012. In January 2013, we announced that the Board of Directors approved a new $1 billion
share repurchase authorization, of which $890 million was remaining as of August 3, 2013</t>
        </r>
      </text>
    </comment>
    <comment ref="CX146" authorId="8">
      <text>
        <r>
          <rPr>
            <b/>
            <sz val="9"/>
            <color indexed="81"/>
            <rFont val="Tahoma"/>
            <family val="2"/>
          </rPr>
          <t>Turley, Amber (Research):</t>
        </r>
        <r>
          <rPr>
            <sz val="9"/>
            <color indexed="81"/>
            <rFont val="Tahoma"/>
            <family val="2"/>
          </rPr>
          <t xml:space="preserve">
8/21/14: repo'd 9m shares ($364m) in 2Q. 2Q ending share count was 434m shares</t>
        </r>
      </text>
    </comment>
    <comment ref="DB146" authorId="3">
      <text>
        <r>
          <rPr>
            <b/>
            <sz val="9"/>
            <color indexed="81"/>
            <rFont val="Tahoma"/>
            <family val="2"/>
          </rPr>
          <t>Mains, Spencer (Research):</t>
        </r>
        <r>
          <rPr>
            <sz val="9"/>
            <color indexed="81"/>
            <rFont val="Tahoma"/>
            <family val="2"/>
          </rPr>
          <t xml:space="preserve">
8/20/15: repurchased 10M shares for $375M, ended quarter with 410M shares outstanding</t>
        </r>
      </text>
    </comment>
    <comment ref="DJ146" authorId="5">
      <text>
        <r>
          <rPr>
            <b/>
            <sz val="9"/>
            <color indexed="81"/>
            <rFont val="Tahoma"/>
            <family val="2"/>
          </rPr>
          <t xml:space="preserve">Cassel, Lauren (Research):
8/17/17: </t>
        </r>
        <r>
          <rPr>
            <sz val="9"/>
            <color indexed="81"/>
            <rFont val="Tahoma"/>
            <family val="2"/>
          </rPr>
          <t xml:space="preserve">repurchased 4.5M share for $100M (392M share outstanding) 
5/17/17: The company expects to spend about $100 million on share repurchases in the second quarter of fiscal 2017. </t>
        </r>
        <r>
          <rPr>
            <b/>
            <sz val="9"/>
            <color indexed="81"/>
            <rFont val="Tahoma"/>
            <family val="2"/>
          </rPr>
          <t xml:space="preserve">
</t>
        </r>
        <r>
          <rPr>
            <sz val="9"/>
            <color indexed="81"/>
            <rFont val="Tahoma"/>
            <family val="2"/>
          </rPr>
          <t xml:space="preserve">
2/23/17: guidance: repurchase $100M in 1H</t>
        </r>
      </text>
    </comment>
    <comment ref="BB147" authorId="14">
      <text>
        <r>
          <rPr>
            <sz val="8"/>
            <color indexed="81"/>
            <rFont val="Tahoma"/>
            <family val="2"/>
          </rPr>
          <t xml:space="preserve">
basic shares: 879.275933</t>
        </r>
      </text>
    </comment>
    <comment ref="BJ147" authorId="19">
      <text>
        <r>
          <rPr>
            <sz val="8"/>
            <color indexed="81"/>
            <rFont val="Tahoma"/>
            <family val="2"/>
          </rPr>
          <t>10/7 Announced 500 mil sh buyback, effective immediately. Using avg price of $20, equals 25 mil shares.  Assume buy back 5-10 mil in 3Q04, would effect shs out by about 2.5-5 mil
11/4 Authorized addtl $250 mil buyback.  In release said addition reflects nearly completed $500 program. Assuming full $500M in 3Q, bought in wk of Oct., impact to 3Q shs is (3/13)*25 mil shs (using $19.50-20 price) ~ 6 mil shs</t>
        </r>
      </text>
    </comment>
    <comment ref="BN147" authorId="20">
      <text>
        <r>
          <rPr>
            <b/>
            <sz val="8"/>
            <color indexed="81"/>
            <rFont val="Tahoma"/>
            <family val="2"/>
          </rPr>
          <t>Kimberly Greenberger:</t>
        </r>
        <r>
          <rPr>
            <sz val="8"/>
            <color indexed="81"/>
            <rFont val="Tahoma"/>
            <family val="2"/>
          </rPr>
          <t xml:space="preserve">
11/17/05 co ended 3Q w/ 872mm shares.
8/19/05 co ended 2Q w/ 881m o/s shares. Use as 3Q beg count. New auth $500m - assume 1/2 repo in each 3Q &amp; 4Q05
on 1Q conf call mgmt indicated ended 1Q05 w/ 932mm diluted shares o/s. 7/18: $1.5 bb repo complete
7/20: Assume $500mm share repo completed by year end = 12mm shares in 3Q and 4Q</t>
        </r>
      </text>
    </comment>
    <comment ref="BR147" authorId="9">
      <text>
        <r>
          <rPr>
            <b/>
            <sz val="8"/>
            <color indexed="81"/>
            <rFont val="Tahoma"/>
            <family val="2"/>
          </rPr>
          <t>Morry Brown:</t>
        </r>
        <r>
          <rPr>
            <sz val="8"/>
            <color indexed="81"/>
            <rFont val="Tahoma"/>
            <family val="2"/>
          </rPr>
          <t xml:space="preserve">
8/06 ended 2Q w/ 835mm o/s shares
assumes 250mm share repurchase per Q for $1B for the year at $20 + 2.5mm per Q of option creep</t>
        </r>
      </text>
    </comment>
    <comment ref="BV147" authorId="9">
      <text>
        <r>
          <rPr>
            <b/>
            <sz val="8"/>
            <color indexed="81"/>
            <rFont val="Tahoma"/>
            <family val="2"/>
          </rPr>
          <t>mm98285</t>
        </r>
        <r>
          <rPr>
            <sz val="8"/>
            <color indexed="81"/>
            <rFont val="Tahoma"/>
            <family val="2"/>
          </rPr>
          <t xml:space="preserve">
11/07: repurchased 48mm shares in 3Q (8mm repo'd from individual members of the Fisher family as part of prev announced purchase agreements with them) 
Est 2.25mm per qtr option creep (177mm share red'n '04-'06 on 205mm shares repo'd = 28/3 = 9/yr) then 18.75mm shares repurchased (WA so half)
 </t>
        </r>
      </text>
    </comment>
    <comment ref="CH147" authorId="31">
      <text>
        <r>
          <rPr>
            <b/>
            <sz val="8"/>
            <color indexed="81"/>
            <rFont val="Tahoma"/>
            <family val="2"/>
          </rPr>
          <t>KG51925:</t>
        </r>
        <r>
          <rPr>
            <sz val="8"/>
            <color indexed="81"/>
            <rFont val="Tahoma"/>
            <family val="2"/>
          </rPr>
          <t xml:space="preserve">
YTD repurchased 67mm shares for $1.4bn so 15mm in 3Q for $300M
11/2010: assuming $350M at $18.50/share
assumes 1M creep less 10M repo's ($200M at $18.5/share)</t>
        </r>
      </text>
    </comment>
    <comment ref="CL147" authorId="16">
      <text>
        <r>
          <rPr>
            <b/>
            <sz val="8"/>
            <color indexed="81"/>
            <rFont val="Tahoma"/>
            <family val="2"/>
          </rPr>
          <t>solejay:</t>
        </r>
        <r>
          <rPr>
            <sz val="8"/>
            <color indexed="81"/>
            <rFont val="Tahoma"/>
            <family val="2"/>
          </rPr>
          <t xml:space="preserve">
</t>
        </r>
        <r>
          <rPr>
            <sz val="8"/>
            <color indexed="81"/>
            <rFont val="Tahoma"/>
            <family val="2"/>
          </rPr>
          <t>11/17:  $645 million in share repurchases.
505M diluted shares and 503M basic shares 3Q11</t>
        </r>
      </text>
    </comment>
    <comment ref="CP147" authorId="24">
      <text>
        <r>
          <rPr>
            <b/>
            <sz val="8"/>
            <color indexed="81"/>
            <rFont val="Tahoma"/>
            <family val="2"/>
          </rPr>
          <t>casselau:</t>
        </r>
        <r>
          <rPr>
            <sz val="8"/>
            <color indexed="81"/>
            <rFont val="Tahoma"/>
            <family val="2"/>
          </rPr>
          <t xml:space="preserve">
11/15: the company has repurchase $463M in shares YTD; 3Q share repurchases were 2.7M for $96M and ended 3Q with 480M shares outstanding</t>
        </r>
      </text>
    </comment>
    <comment ref="CT147" authorId="0">
      <text>
        <r>
          <rPr>
            <b/>
            <sz val="8"/>
            <color indexed="81"/>
            <rFont val="Tahoma"/>
            <family val="2"/>
          </rPr>
          <t>turleamb:</t>
        </r>
        <r>
          <rPr>
            <sz val="8"/>
            <color indexed="81"/>
            <rFont val="Tahoma"/>
            <family val="2"/>
          </rPr>
          <t xml:space="preserve">
11/21/13: repurchases were $790 million (20m shares at avg price $38.77) and the company ended the third quarter of fiscal year
2013 with 449 million shares outstanding</t>
        </r>
      </text>
    </comment>
    <comment ref="CX147" authorId="8">
      <text>
        <r>
          <rPr>
            <b/>
            <sz val="9"/>
            <color indexed="81"/>
            <rFont val="Tahoma"/>
            <family val="2"/>
          </rPr>
          <t>Turley, Amber (Research):</t>
        </r>
        <r>
          <rPr>
            <sz val="9"/>
            <color indexed="81"/>
            <rFont val="Tahoma"/>
            <family val="2"/>
          </rPr>
          <t xml:space="preserve">
11/20/14: In 3Q used $433M to repurchase 11.4M shares @ ~$36.50, ended the quarter with 424M shares outstanding. $450M still available from share repo authorizations
10/16/14: GPS authorized an additional $500m share buybacks. Now $883m remaining to buyback shares
per 10-Q as of 8/29/14 434,865,574 basic shares outstanding
As of 8/21/14 $383m remaining in share repurchase authorization. Assuming $38 share price can repo 10m more shares</t>
        </r>
      </text>
    </comment>
    <comment ref="DJ147" authorId="17">
      <text>
        <r>
          <rPr>
            <b/>
            <sz val="9"/>
            <color indexed="81"/>
            <rFont val="Tahoma"/>
            <family val="2"/>
          </rPr>
          <t xml:space="preserve">Baglione, Gregory (Research):
8/17/17: The company expects to spend about $100 million on share repurchases in the third quarter of fiscal year 2017. </t>
        </r>
        <r>
          <rPr>
            <sz val="9"/>
            <color indexed="81"/>
            <rFont val="Tahoma"/>
            <family val="2"/>
          </rPr>
          <t xml:space="preserve">
Assumes no buybacks until term loan is repayed and operating performance improves. We add share buybacks in 3Q17 but this could prove optimistic.</t>
        </r>
      </text>
    </comment>
    <comment ref="BN148" authorId="20">
      <text>
        <r>
          <rPr>
            <b/>
            <sz val="8"/>
            <color indexed="81"/>
            <rFont val="Tahoma"/>
            <family val="2"/>
          </rPr>
          <t>Kimberly Greenberger:</t>
        </r>
        <r>
          <rPr>
            <sz val="8"/>
            <color indexed="81"/>
            <rFont val="Tahoma"/>
            <family val="2"/>
          </rPr>
          <t xml:space="preserve">
2/06 completed $500mm repo author during 4Q
8/19/05 co ended 2Q w/ 881m o/s shares. Use as 3Q beg count. New auth $500m - assume 1/2 repo in each 3Q &amp; 4Q05
on 1Q conf call mgmt indicated ended 1Q05 w/ 932mm diluted shares o/s. 7/18: $1.5 bb repo complete
7/20: Assume $500mm share repo completed by year end = 12mm shares in 3Q and 4Q</t>
        </r>
      </text>
    </comment>
    <comment ref="BR148" authorId="9">
      <text>
        <r>
          <rPr>
            <b/>
            <sz val="8"/>
            <color indexed="81"/>
            <rFont val="Tahoma"/>
            <family val="2"/>
          </rPr>
          <t>Morry Brown:</t>
        </r>
        <r>
          <rPr>
            <sz val="8"/>
            <color indexed="81"/>
            <rFont val="Tahoma"/>
            <family val="2"/>
          </rPr>
          <t xml:space="preserve">
assumes 250mm share repurchase per Q for $1B for the year at $20 + 2.5mm per Q of option creep</t>
        </r>
      </text>
    </comment>
    <comment ref="BV148" authorId="1">
      <text>
        <r>
          <rPr>
            <sz val="8"/>
            <color indexed="81"/>
            <rFont val="Tahoma"/>
            <family val="2"/>
          </rPr>
          <t>Est 2.25mm per qtr option creep (177mm share red'n '04-'06 on 205mm shares repo'd = 28/3 = 9/yr) then 18.75mm shares repurchased (WA so half) and get 20mm share reduction from 48mm repurchase in 3Q
NOTE: basic end of 3Q = 761mm+3mm dilution = 764mm, so got credit for 15mm of 30mm purchased in 4Q07</t>
        </r>
      </text>
    </comment>
    <comment ref="BX148" authorId="11">
      <text>
        <r>
          <rPr>
            <b/>
            <sz val="8"/>
            <color indexed="81"/>
            <rFont val="Tahoma"/>
            <family val="2"/>
          </rPr>
          <t>OC48540:</t>
        </r>
        <r>
          <rPr>
            <sz val="8"/>
            <color indexed="81"/>
            <rFont val="Tahoma"/>
            <family val="2"/>
          </rPr>
          <t xml:space="preserve">
3Q-10Q shares out + diff between basic and diluted</t>
        </r>
      </text>
    </comment>
    <comment ref="CH148" authorId="31">
      <text>
        <r>
          <rPr>
            <b/>
            <sz val="8"/>
            <color indexed="81"/>
            <rFont val="Tahoma"/>
            <family val="2"/>
          </rPr>
          <t>KG51925:</t>
        </r>
        <r>
          <rPr>
            <sz val="8"/>
            <color indexed="81"/>
            <rFont val="Tahoma"/>
            <family val="2"/>
          </rPr>
          <t xml:space="preserve">
repurchase 28.4mm shares for $598mm
11/2010: $300M at $20.50-$21 share price
less 1M creep</t>
        </r>
      </text>
    </comment>
    <comment ref="CL148" authorId="27">
      <text>
        <r>
          <rPr>
            <b/>
            <sz val="8"/>
            <color indexed="81"/>
            <rFont val="Tahoma"/>
            <family val="2"/>
          </rPr>
          <t>kimberlg:</t>
        </r>
        <r>
          <rPr>
            <sz val="8"/>
            <color indexed="81"/>
            <rFont val="Tahoma"/>
            <family val="2"/>
          </rPr>
          <t xml:space="preserve">
10-Q as of 11/29/11 488M basic shares outstanding. We est 3M shares of dilution = 491M shares o/s at 11/29</t>
        </r>
      </text>
    </comment>
    <comment ref="CP148" authorId="27">
      <text>
        <r>
          <rPr>
            <b/>
            <sz val="8"/>
            <color indexed="81"/>
            <rFont val="Tahoma"/>
            <family val="2"/>
          </rPr>
          <t xml:space="preserve">2/28/13: </t>
        </r>
        <r>
          <rPr>
            <sz val="8"/>
            <color indexed="81"/>
            <rFont val="Tahoma"/>
            <family val="2"/>
          </rPr>
          <t>repurchased 18M shares for $563M; announced in January new $1B share repurchase authorization. 463M basic shares + 7M dilution shares = 470M end of qtr diluted shares</t>
        </r>
        <r>
          <rPr>
            <b/>
            <sz val="8"/>
            <color indexed="81"/>
            <rFont val="Tahoma"/>
            <family val="2"/>
          </rPr>
          <t xml:space="preserve">
kimberlg:</t>
        </r>
        <r>
          <rPr>
            <sz val="8"/>
            <color indexed="81"/>
            <rFont val="Tahoma"/>
            <family val="2"/>
          </rPr>
          <t xml:space="preserve">
1/3/13: The company repurchased approximately 17 million shares for about $539 million during the fourth quarter of fiscal year 2012 to date. </t>
        </r>
      </text>
    </comment>
    <comment ref="CT148" authorId="0">
      <text>
        <r>
          <rPr>
            <b/>
            <sz val="8"/>
            <color indexed="81"/>
            <rFont val="Tahoma"/>
            <family val="2"/>
          </rPr>
          <t>turleamb:</t>
        </r>
        <r>
          <rPr>
            <sz val="8"/>
            <color indexed="81"/>
            <rFont val="Tahoma"/>
            <family val="2"/>
          </rPr>
          <t xml:space="preserve">
2/27/14: Repurchased $134m in shares in 4Q. Ended 4Q with 446m shares outstanding. As announced in November 2013, the company approved a $1 billion share
repurchase authorization, of which $966 million was still available as of the
end of fiscal year 2013 and has no expiration. 
Purchased 978,875 shares at an avg share price of $38.83 between Dec 1-Jan4. Purchased 2,553,323 shares at an avg share price of $37.60 between Jan5-Feb1. In total purchased 3,532,198 shares at avg share price of $37.94 = $134m. 
11/21/13: Announced new $1B share purchase program</t>
        </r>
      </text>
    </comment>
    <comment ref="CX148" authorId="4">
      <text>
        <r>
          <rPr>
            <b/>
            <sz val="9"/>
            <color indexed="81"/>
            <rFont val="Tahoma"/>
            <family val="2"/>
          </rPr>
          <t>Baglione, Gregory  (Research):</t>
        </r>
        <r>
          <rPr>
            <sz val="9"/>
            <color indexed="81"/>
            <rFont val="Tahoma"/>
            <family val="2"/>
          </rPr>
          <t xml:space="preserve">
2/8/16
3.7 million shares for $148 million</t>
        </r>
      </text>
    </comment>
    <comment ref="DJ148" authorId="17">
      <text>
        <r>
          <rPr>
            <b/>
            <sz val="9"/>
            <color indexed="81"/>
            <rFont val="Tahoma"/>
            <family val="2"/>
          </rPr>
          <t>Baglione, Gregory (Research):</t>
        </r>
        <r>
          <rPr>
            <sz val="9"/>
            <color indexed="81"/>
            <rFont val="Tahoma"/>
            <family val="2"/>
          </rPr>
          <t xml:space="preserve">
11/16: we plan to repurchase an additional $100 million in the fourth quarter
Assumes no buybacks until term loan is repayed and operating performance improves. We add share buybacks in 3Q17 but this could prove optimistic.</t>
        </r>
      </text>
    </comment>
    <comment ref="BN149" authorId="29">
      <text>
        <r>
          <rPr>
            <b/>
            <sz val="8"/>
            <color indexed="81"/>
            <rFont val="Tahoma"/>
            <family val="2"/>
          </rPr>
          <t>MB33100:</t>
        </r>
        <r>
          <rPr>
            <sz val="8"/>
            <color indexed="81"/>
            <rFont val="Tahoma"/>
            <family val="2"/>
          </rPr>
          <t xml:space="preserve">
2/06 guided to full year count of 902mm</t>
        </r>
      </text>
    </comment>
    <comment ref="BV149" authorId="26">
      <text>
        <r>
          <rPr>
            <b/>
            <sz val="8"/>
            <color indexed="81"/>
            <rFont val="Tahoma"/>
            <family val="2"/>
          </rPr>
          <t>ns66486:</t>
        </r>
        <r>
          <rPr>
            <sz val="8"/>
            <color indexed="81"/>
            <rFont val="Tahoma"/>
            <family val="2"/>
          </rPr>
          <t xml:space="preserve">
repurchased 89mm shares for $1,700 at avg cost of $19.05</t>
        </r>
      </text>
    </comment>
    <comment ref="BZ149" authorId="26">
      <text>
        <r>
          <rPr>
            <b/>
            <sz val="8"/>
            <color indexed="81"/>
            <rFont val="Tahoma"/>
            <family val="2"/>
          </rPr>
          <t>ns66486:</t>
        </r>
        <r>
          <rPr>
            <sz val="8"/>
            <color indexed="81"/>
            <rFont val="Tahoma"/>
            <family val="2"/>
          </rPr>
          <t xml:space="preserve">
repurchased 46mm shares for $745mm at avg cost of $16.36</t>
        </r>
      </text>
    </comment>
    <comment ref="CD149" authorId="26">
      <text>
        <r>
          <rPr>
            <b/>
            <sz val="8"/>
            <color indexed="81"/>
            <rFont val="Tahoma"/>
            <family val="2"/>
          </rPr>
          <t>ns66486:</t>
        </r>
        <r>
          <rPr>
            <sz val="8"/>
            <color indexed="81"/>
            <rFont val="Tahoma"/>
            <family val="2"/>
          </rPr>
          <t xml:space="preserve">
repurchased 24mm shares for total cost of $510 and avg price of $21.30</t>
        </r>
      </text>
    </comment>
    <comment ref="CP149" authorId="27">
      <text>
        <r>
          <rPr>
            <sz val="8"/>
            <color indexed="81"/>
            <rFont val="Tahoma"/>
            <family val="2"/>
          </rPr>
          <t>2/28/13: the company repurchased ~34M shares for $1B
5/17/2012 - "The level of share repurchase activity in fiscal year 2012 is expected to be more modest than in fiscal year 2011."
2/23/12 - announced $1B repo plan.  Can buy back 43-44 mil shares at current prices.</t>
        </r>
        <r>
          <rPr>
            <b/>
            <sz val="8"/>
            <color indexed="81"/>
            <rFont val="Tahoma"/>
            <family val="2"/>
          </rPr>
          <t xml:space="preserve">
kimberlg:</t>
        </r>
        <r>
          <rPr>
            <sz val="8"/>
            <color indexed="81"/>
            <rFont val="Tahoma"/>
            <family val="2"/>
          </rPr>
          <t xml:space="preserve">
1/20/12: assumes diluted share count falls from 490M as of 11/29/11 to 460M by year end 2012 (1/31/13). 30M shares at $20 = $600M repurchases</t>
        </r>
      </text>
    </comment>
    <comment ref="CT149" authorId="0">
      <text>
        <r>
          <rPr>
            <b/>
            <sz val="8"/>
            <color indexed="81"/>
            <rFont val="Tahoma"/>
            <family val="2"/>
          </rPr>
          <t>turleamb:</t>
        </r>
        <r>
          <rPr>
            <sz val="8"/>
            <color indexed="81"/>
            <rFont val="Tahoma"/>
            <family val="2"/>
          </rPr>
          <t xml:space="preserve">
10-K: repurchased approximately 26 million shares for $1.0 billion, including commissions, at an average price per share of $38.42
8/22/13: If we assumed $890 remains in the share repurchase and an avg price of $38, GPS can repurchase 23m shares
2014 Investor Day: 630M shares repo'd since 2004 @ $21 avg purchase price</t>
        </r>
      </text>
    </comment>
    <comment ref="DB149" authorId="8">
      <text>
        <r>
          <rPr>
            <b/>
            <sz val="9"/>
            <color indexed="81"/>
            <rFont val="Tahoma"/>
            <family val="2"/>
          </rPr>
          <t>Turley, Amber (Research):</t>
        </r>
        <r>
          <rPr>
            <sz val="9"/>
            <color indexed="81"/>
            <rFont val="Tahoma"/>
            <family val="2"/>
          </rPr>
          <t xml:space="preserve">
on 2/26/15 BoD approved $1B share repo authorization</t>
        </r>
      </text>
    </comment>
    <comment ref="BZ157" authorId="10">
      <text>
        <r>
          <rPr>
            <b/>
            <sz val="8"/>
            <color indexed="81"/>
            <rFont val="Tahoma"/>
            <family val="2"/>
          </rPr>
          <t>mm98285:</t>
        </r>
        <r>
          <rPr>
            <sz val="8"/>
            <color indexed="81"/>
            <rFont val="Tahoma"/>
            <family val="2"/>
          </rPr>
          <t xml:space="preserve">
11/27/07 – announced that its board of directors voted a quarterly dividend of $0.08 per share payable on January 30, 2008 to shareholders of record at the close of business on January 9, 2008. 
</t>
        </r>
      </text>
    </comment>
    <comment ref="CH157" authorId="1">
      <text>
        <r>
          <rPr>
            <b/>
            <sz val="8"/>
            <color indexed="81"/>
            <rFont val="Tahoma"/>
            <family val="2"/>
          </rPr>
          <t>oc48540:</t>
        </r>
        <r>
          <rPr>
            <sz val="8"/>
            <color indexed="81"/>
            <rFont val="Tahoma"/>
            <family val="2"/>
          </rPr>
          <t xml:space="preserve">
2/25/10: Raised annual div. to 40c from 34c</t>
        </r>
      </text>
    </comment>
    <comment ref="CL157" authorId="2">
      <text>
        <r>
          <rPr>
            <b/>
            <sz val="8"/>
            <color indexed="81"/>
            <rFont val="Tahoma"/>
            <family val="2"/>
          </rPr>
          <t>nicholjs:</t>
        </r>
        <r>
          <rPr>
            <sz val="8"/>
            <color indexed="81"/>
            <rFont val="Tahoma"/>
            <family val="2"/>
          </rPr>
          <t xml:space="preserve">
2/2011: in 2011, increasing annual dividend by 13% to $0.45 per share</t>
        </r>
      </text>
    </comment>
    <comment ref="CP157" authorId="16">
      <text>
        <r>
          <rPr>
            <sz val="8"/>
            <color indexed="81"/>
            <rFont val="Tahoma"/>
            <family val="2"/>
          </rPr>
          <t xml:space="preserve">2/23/12 - increased div to $0.50 for FY
</t>
        </r>
      </text>
    </comment>
    <comment ref="BZ158" authorId="10">
      <text>
        <r>
          <rPr>
            <b/>
            <sz val="8"/>
            <color indexed="81"/>
            <rFont val="Tahoma"/>
            <family val="2"/>
          </rPr>
          <t>mm98285:</t>
        </r>
        <r>
          <rPr>
            <sz val="8"/>
            <color indexed="81"/>
            <rFont val="Tahoma"/>
            <family val="2"/>
          </rPr>
          <t xml:space="preserve">
3/26/08 – announced its board of directors voted a quarterly dividend of $0.085 per share payable on April 29, 2008 to shareholders of record at the close of business on April 8, 2008. 
</t>
        </r>
      </text>
    </comment>
    <comment ref="CH158" authorId="26">
      <text>
        <r>
          <rPr>
            <b/>
            <sz val="8"/>
            <color indexed="81"/>
            <rFont val="Tahoma"/>
            <family val="2"/>
          </rPr>
          <t>ns66486:</t>
        </r>
        <r>
          <rPr>
            <sz val="8"/>
            <color indexed="81"/>
            <rFont val="Tahoma"/>
            <family val="2"/>
          </rPr>
          <t xml:space="preserve">
5/2010: qtrly dividend of $0.10 payable on July 28 to shareholders of record at close of business on July 7</t>
        </r>
      </text>
    </comment>
    <comment ref="BV159" authorId="11">
      <text>
        <r>
          <rPr>
            <sz val="8"/>
            <color indexed="81"/>
            <rFont val="Tahoma"/>
            <family val="2"/>
          </rPr>
          <t xml:space="preserve">October 2, 2007 – Announced that its board of directors voted a quarterly dividend of $0.08 per share payable on October 30, 2007 to shareholders of record at the close of business on October 16, 2007. </t>
        </r>
      </text>
    </comment>
    <comment ref="BZ159" authorId="10">
      <text>
        <r>
          <rPr>
            <b/>
            <sz val="8"/>
            <color indexed="81"/>
            <rFont val="Tahoma"/>
            <family val="2"/>
          </rPr>
          <t>mm98285:</t>
        </r>
        <r>
          <rPr>
            <sz val="8"/>
            <color indexed="81"/>
            <rFont val="Tahoma"/>
            <family val="2"/>
          </rPr>
          <t xml:space="preserve">
6/3/08: announced board of directors voted a quarterly dividend of $0.085 per share payable on 7/29/08 to shareholders of record at the close of business on 7/8/08
SAN FRANCISCO – October 1, 2008 – Gap Inc. (NYSE: GPS) today announced that its board of directors voted a quarterly dividend of $0.085 per share payable on October 28, 2008 to shareholders of record at the close of business on October 14, 2008. </t>
        </r>
      </text>
    </comment>
    <comment ref="CD159" authorId="1">
      <text>
        <r>
          <rPr>
            <b/>
            <sz val="8"/>
            <color indexed="81"/>
            <rFont val="Tahoma"/>
            <family val="2"/>
          </rPr>
          <t>oc48540:</t>
        </r>
        <r>
          <rPr>
            <sz val="8"/>
            <color indexed="81"/>
            <rFont val="Tahoma"/>
            <family val="2"/>
          </rPr>
          <t xml:space="preserve">
October 2, 2009 – Gap Inc. (NYSE: GPS) today announced that its Board of Directors voted a quarterly dividend of $0.085 per share payable on October 28, 2009 to shareholders of record at the close of business on October 14, 2009.
</t>
        </r>
      </text>
    </comment>
    <comment ref="CH159" authorId="2">
      <text>
        <r>
          <rPr>
            <b/>
            <sz val="8"/>
            <color indexed="81"/>
            <rFont val="Tahoma"/>
            <family val="2"/>
          </rPr>
          <t>nicholjs:</t>
        </r>
        <r>
          <rPr>
            <sz val="8"/>
            <color indexed="81"/>
            <rFont val="Tahoma"/>
            <family val="2"/>
          </rPr>
          <t xml:space="preserve">
today announced that its Board of Directors voted a quarterly dividend of $0.10 per share payable on October 27, 2010 to shareholders of record at the close of business on October 13, 2010.</t>
        </r>
      </text>
    </comment>
    <comment ref="CL159" authorId="2">
      <text>
        <r>
          <rPr>
            <b/>
            <sz val="8"/>
            <color indexed="81"/>
            <rFont val="Tahoma"/>
            <family val="2"/>
          </rPr>
          <t>nicholjs:</t>
        </r>
        <r>
          <rPr>
            <sz val="8"/>
            <color indexed="81"/>
            <rFont val="Tahoma"/>
            <family val="2"/>
          </rPr>
          <t xml:space="preserve">
August 17, 2011 – Gap Inc. (NYSE: GPS) today announced that its Board of Directors authorized a quarterly dividend of $0.1125 per share payable on or after October 26, 2011 to shareholders of record at the close of business on October 12, 2011.
</t>
        </r>
      </text>
    </comment>
    <comment ref="CT159" authorId="0">
      <text>
        <r>
          <rPr>
            <b/>
            <sz val="8"/>
            <color indexed="81"/>
            <rFont val="Tahoma"/>
            <family val="2"/>
          </rPr>
          <t>turleamb:</t>
        </r>
        <r>
          <rPr>
            <sz val="8"/>
            <color indexed="81"/>
            <rFont val="Tahoma"/>
            <family val="2"/>
          </rPr>
          <t xml:space="preserve">
8/22/13: Beginning in 3Q increased dividend to $0.80 per year</t>
        </r>
      </text>
    </comment>
    <comment ref="CH160" authorId="2">
      <text>
        <r>
          <rPr>
            <b/>
            <sz val="8"/>
            <color indexed="81"/>
            <rFont val="Tahoma"/>
            <family val="2"/>
          </rPr>
          <t>nicholjs:</t>
        </r>
        <r>
          <rPr>
            <sz val="8"/>
            <color indexed="81"/>
            <rFont val="Tahoma"/>
            <family val="2"/>
          </rPr>
          <t xml:space="preserve">
11/2010: today announced that its Board of Directors voted a quarterly dividend of $0.10 per share payable on January 26, 2011 to shareholders of record at the close of business on January 5, 2011.  
</t>
        </r>
      </text>
    </comment>
    <comment ref="BV161" authorId="1">
      <text>
        <r>
          <rPr>
            <b/>
            <sz val="8"/>
            <color indexed="81"/>
            <rFont val="Tahoma"/>
            <family val="2"/>
          </rPr>
          <t>oc48540:</t>
        </r>
        <r>
          <rPr>
            <sz val="8"/>
            <color indexed="81"/>
            <rFont val="Tahoma"/>
            <family val="2"/>
          </rPr>
          <t xml:space="preserve">
10-K 2006: Intend to maintain our annual dividend of $0.32 for fiscal 2007</t>
        </r>
      </text>
    </comment>
    <comment ref="CP161" authorId="16">
      <text>
        <r>
          <rPr>
            <sz val="8"/>
            <color indexed="81"/>
            <rFont val="Tahoma"/>
            <family val="2"/>
          </rPr>
          <t xml:space="preserve">5/17/2012 - "Including this first quarter dividend, the company expects to pay $0.50 per share in dividends for fiscal year 2012."
2/23/12 - increased div to $0.50 for FY
</t>
        </r>
      </text>
    </comment>
    <comment ref="CT161" authorId="16">
      <text>
        <r>
          <rPr>
            <b/>
            <sz val="8"/>
            <color indexed="81"/>
            <rFont val="Tahoma"/>
            <family val="2"/>
          </rPr>
          <t>solejay:</t>
        </r>
        <r>
          <rPr>
            <sz val="8"/>
            <color indexed="81"/>
            <rFont val="Tahoma"/>
            <family val="2"/>
          </rPr>
          <t xml:space="preserve">
5/23/13: The company paid a dividend of $0.15 per share during the first quarter of fiscal year 2013.
Including this first quarter dividend, the company expects to pay $0.60 per share in dividends in fiscal year 2013.
2014 Investor Day: 25% CAGR on dividend growth since 2004</t>
        </r>
      </text>
    </comment>
    <comment ref="BR167" authorId="1">
      <text>
        <r>
          <rPr>
            <b/>
            <sz val="8"/>
            <color indexed="81"/>
            <rFont val="Tahoma"/>
            <family val="2"/>
          </rPr>
          <t>oc48540:</t>
        </r>
        <r>
          <rPr>
            <sz val="8"/>
            <color indexed="81"/>
            <rFont val="Tahoma"/>
            <family val="2"/>
          </rPr>
          <t xml:space="preserve">
Beginning with second quarter of fiscal year 2007, Forth &amp; Town is recognized as a discontinued operation</t>
        </r>
      </text>
    </comment>
    <comment ref="BV168" authorId="1">
      <text>
        <r>
          <rPr>
            <b/>
            <sz val="8"/>
            <color indexed="81"/>
            <rFont val="Tahoma"/>
            <family val="2"/>
          </rPr>
          <t>oc48540:</t>
        </r>
        <r>
          <rPr>
            <sz val="8"/>
            <color indexed="81"/>
            <rFont val="Tahoma"/>
            <family val="2"/>
          </rPr>
          <t xml:space="preserve">
Also in DataCiti</t>
        </r>
      </text>
    </comment>
    <comment ref="BN180" authorId="20">
      <text>
        <r>
          <rPr>
            <b/>
            <sz val="8"/>
            <color indexed="81"/>
            <rFont val="Tahoma"/>
            <family val="2"/>
          </rPr>
          <t>Kimberly Greenberger:</t>
        </r>
        <r>
          <rPr>
            <sz val="8"/>
            <color indexed="81"/>
            <rFont val="Tahoma"/>
            <family val="2"/>
          </rPr>
          <t xml:space="preserve">
assumes +11mm stock options in the money,</t>
        </r>
      </text>
    </comment>
    <comment ref="BN181" authorId="20">
      <text>
        <r>
          <rPr>
            <b/>
            <sz val="8"/>
            <color indexed="81"/>
            <rFont val="Tahoma"/>
            <family val="2"/>
          </rPr>
          <t>Kimberly Greenberger:</t>
        </r>
        <r>
          <rPr>
            <sz val="8"/>
            <color indexed="81"/>
            <rFont val="Tahoma"/>
            <family val="2"/>
          </rPr>
          <t xml:space="preserve">
assume 12mm share differential b/t 4Q basic avg weighted o/s vs. end of qtr basic o/s,  less 18mm shares assumed repurchased in 1Q05 for $375mm at $21</t>
        </r>
      </text>
    </comment>
    <comment ref="BJ184" authorId="33">
      <text>
        <r>
          <rPr>
            <b/>
            <sz val="8"/>
            <color indexed="81"/>
            <rFont val="Tahoma"/>
            <family val="2"/>
          </rPr>
          <t>SB:</t>
        </r>
        <r>
          <rPr>
            <sz val="8"/>
            <color indexed="81"/>
            <rFont val="Tahoma"/>
            <family val="2"/>
          </rPr>
          <t xml:space="preserve">
12/2 17 million shares repurchased affecting share count 5-6 million at cost of $338 million</t>
        </r>
      </text>
    </comment>
    <comment ref="BJ187" authorId="33">
      <text>
        <r>
          <rPr>
            <b/>
            <sz val="8"/>
            <color indexed="81"/>
            <rFont val="Tahoma"/>
            <family val="2"/>
          </rPr>
          <t>SB:</t>
        </r>
        <r>
          <rPr>
            <sz val="8"/>
            <color indexed="81"/>
            <rFont val="Tahoma"/>
            <family val="2"/>
          </rPr>
          <t xml:space="preserve">
12/2Thru 12/1 had repurchased 33 million shares for $686 million. Added another $250 mil to program for total $1 billion. Assuming repurchase another 5-10 mil in quarter, total affect to share count about 30 million</t>
        </r>
      </text>
    </comment>
    <comment ref="AT198" authorId="23">
      <text>
        <r>
          <rPr>
            <b/>
            <sz val="8"/>
            <color indexed="81"/>
            <rFont val="Tahoma"/>
            <family val="2"/>
          </rPr>
          <t>sancfa:</t>
        </r>
        <r>
          <rPr>
            <sz val="8"/>
            <color indexed="81"/>
            <rFont val="Tahoma"/>
            <family val="2"/>
          </rPr>
          <t xml:space="preserve">
Common Stock, $0.05 par value, 850,084,219 shares as of May 26, 2000.</t>
        </r>
      </text>
    </comment>
    <comment ref="AX198" authorId="23">
      <text>
        <r>
          <rPr>
            <b/>
            <sz val="8"/>
            <color indexed="81"/>
            <rFont val="Tahoma"/>
            <family val="2"/>
          </rPr>
          <t>sancfa:</t>
        </r>
        <r>
          <rPr>
            <sz val="8"/>
            <color indexed="81"/>
            <rFont val="Tahoma"/>
            <family val="2"/>
          </rPr>
          <t xml:space="preserve">
Common Stock, $0.05 par value, 859,493,042 shares as of June 2, 2001.</t>
        </r>
      </text>
    </comment>
    <comment ref="BB198" authorId="23">
      <text>
        <r>
          <rPr>
            <b/>
            <sz val="8"/>
            <color indexed="81"/>
            <rFont val="Tahoma"/>
            <family val="2"/>
          </rPr>
          <t>sancfa:</t>
        </r>
        <r>
          <rPr>
            <sz val="8"/>
            <color indexed="81"/>
            <rFont val="Tahoma"/>
            <family val="2"/>
          </rPr>
          <t xml:space="preserve">
Common Stock, $0.05 par value, 869,819,282 shares as of June 1, 2002.</t>
        </r>
      </text>
    </comment>
    <comment ref="BF198" authorId="23">
      <text>
        <r>
          <rPr>
            <b/>
            <sz val="8"/>
            <color indexed="81"/>
            <rFont val="Tahoma"/>
            <family val="2"/>
          </rPr>
          <t>sancfa:</t>
        </r>
        <r>
          <rPr>
            <sz val="8"/>
            <color indexed="81"/>
            <rFont val="Tahoma"/>
            <family val="2"/>
          </rPr>
          <t xml:space="preserve">
Common Stock, $0.05 par value, 890,601,385 shares as of May 27, 2003.</t>
        </r>
      </text>
    </comment>
    <comment ref="BJ198" authorId="23">
      <text>
        <r>
          <rPr>
            <b/>
            <sz val="8"/>
            <color indexed="81"/>
            <rFont val="Tahoma"/>
            <family val="2"/>
          </rPr>
          <t>sancfa:</t>
        </r>
        <r>
          <rPr>
            <sz val="8"/>
            <color indexed="81"/>
            <rFont val="Tahoma"/>
            <family val="2"/>
          </rPr>
          <t xml:space="preserve">
Common Stock, $0.05 par value, 900,233,152 shares as of May 25, 2004.</t>
        </r>
      </text>
    </comment>
    <comment ref="BN198" authorId="23">
      <text>
        <r>
          <rPr>
            <b/>
            <sz val="8"/>
            <color indexed="81"/>
            <rFont val="Tahoma"/>
            <family val="2"/>
          </rPr>
          <t>sancfa:</t>
        </r>
        <r>
          <rPr>
            <sz val="8"/>
            <color indexed="81"/>
            <rFont val="Tahoma"/>
            <family val="2"/>
          </rPr>
          <t xml:space="preserve">
Common Stock, $0.05 par value, 902,105,234 shares as of May 28, 2005.</t>
        </r>
      </text>
    </comment>
    <comment ref="BR198" authorId="23">
      <text>
        <r>
          <rPr>
            <b/>
            <sz val="8"/>
            <color indexed="81"/>
            <rFont val="Tahoma"/>
            <family val="2"/>
          </rPr>
          <t>sancfa:</t>
        </r>
        <r>
          <rPr>
            <sz val="8"/>
            <color indexed="81"/>
            <rFont val="Tahoma"/>
            <family val="2"/>
          </rPr>
          <t xml:space="preserve">
Common Stock, $0.05 par value, 833,363,137 shares as of May 30, 2006.</t>
        </r>
      </text>
    </comment>
    <comment ref="BV198" authorId="23">
      <text>
        <r>
          <rPr>
            <b/>
            <sz val="8"/>
            <color indexed="81"/>
            <rFont val="Tahoma"/>
            <family val="2"/>
          </rPr>
          <t>sancfa:</t>
        </r>
        <r>
          <rPr>
            <sz val="8"/>
            <color indexed="81"/>
            <rFont val="Tahoma"/>
            <family val="2"/>
          </rPr>
          <t xml:space="preserve">
Common Stock, $0.05 par value, 815,925,471 shares as of June 8, 2007.</t>
        </r>
      </text>
    </comment>
    <comment ref="BZ198" authorId="23">
      <text>
        <r>
          <rPr>
            <b/>
            <sz val="8"/>
            <color indexed="81"/>
            <rFont val="Tahoma"/>
            <family val="2"/>
          </rPr>
          <t>sancfa:</t>
        </r>
        <r>
          <rPr>
            <sz val="8"/>
            <color indexed="81"/>
            <rFont val="Tahoma"/>
            <family val="2"/>
          </rPr>
          <t xml:space="preserve">
Common Stock, $0.05 par value, 723,956,578 shares as of June 6, 2008.</t>
        </r>
      </text>
    </comment>
    <comment ref="CD198" authorId="23">
      <text>
        <r>
          <rPr>
            <b/>
            <sz val="8"/>
            <color indexed="81"/>
            <rFont val="Tahoma"/>
            <family val="2"/>
          </rPr>
          <t>sancfa:</t>
        </r>
        <r>
          <rPr>
            <sz val="8"/>
            <color indexed="81"/>
            <rFont val="Tahoma"/>
            <family val="2"/>
          </rPr>
          <t xml:space="preserve">
Common Stock, $0.05 par value, 696,819,282 shares as of June 5, 2009.</t>
        </r>
      </text>
    </comment>
    <comment ref="CH198" authorId="23">
      <text>
        <r>
          <rPr>
            <b/>
            <sz val="8"/>
            <color indexed="81"/>
            <rFont val="Tahoma"/>
            <family val="2"/>
          </rPr>
          <t>sancfa:</t>
        </r>
        <r>
          <rPr>
            <sz val="8"/>
            <color indexed="81"/>
            <rFont val="Tahoma"/>
            <family val="2"/>
          </rPr>
          <t xml:space="preserve">
The number of shares of the registrant’s common stock outstanding as of June 4, 2010 was 650,593,147.</t>
        </r>
      </text>
    </comment>
    <comment ref="CL198" authorId="23">
      <text>
        <r>
          <rPr>
            <b/>
            <sz val="8"/>
            <color indexed="81"/>
            <rFont val="Tahoma"/>
            <family val="2"/>
          </rPr>
          <t>sancfa:</t>
        </r>
        <r>
          <rPr>
            <sz val="8"/>
            <color indexed="81"/>
            <rFont val="Tahoma"/>
            <family val="2"/>
          </rPr>
          <t xml:space="preserve">
The number of shares of the registrant’s common stock outstanding as of May 31, 2011 was 550,426,338.</t>
        </r>
      </text>
    </comment>
    <comment ref="CP198" authorId="23">
      <text>
        <r>
          <rPr>
            <b/>
            <sz val="8"/>
            <color indexed="81"/>
            <rFont val="Tahoma"/>
            <family val="2"/>
          </rPr>
          <t>solejay:</t>
        </r>
        <r>
          <rPr>
            <sz val="8"/>
            <color indexed="81"/>
            <rFont val="Tahoma"/>
            <family val="2"/>
          </rPr>
          <t xml:space="preserve">
The number of shares of the registrant’s common stock outstanding as of May 29, 2012 was 489,217,615.</t>
        </r>
      </text>
    </comment>
    <comment ref="CT198" authorId="0">
      <text>
        <r>
          <rPr>
            <b/>
            <sz val="8"/>
            <color indexed="81"/>
            <rFont val="Tahoma"/>
            <family val="2"/>
          </rPr>
          <t>turleamb:</t>
        </r>
        <r>
          <rPr>
            <sz val="8"/>
            <color indexed="81"/>
            <rFont val="Tahoma"/>
            <family val="2"/>
          </rPr>
          <t xml:space="preserve">
10-Q: number of shares of the registrant’s common stock outstanding as of June 5, 2013 was 467,699,8</t>
        </r>
      </text>
    </comment>
    <comment ref="CX198" authorId="0">
      <text>
        <r>
          <rPr>
            <b/>
            <sz val="9"/>
            <color indexed="81"/>
            <rFont val="Tahoma"/>
            <family val="2"/>
          </rPr>
          <t>turleamb:</t>
        </r>
        <r>
          <rPr>
            <sz val="9"/>
            <color indexed="81"/>
            <rFont val="Tahoma"/>
            <family val="2"/>
          </rPr>
          <t xml:space="preserve">
5/21/14: 443m shares outstanding by end of 1Q
10-K: The number of shares of the registrant’s common stock outstanding as of March 18, 2014 was 447,001,764</t>
        </r>
      </text>
    </comment>
    <comment ref="DC198" authorId="24">
      <text>
        <r>
          <rPr>
            <b/>
            <sz val="9"/>
            <color indexed="81"/>
            <rFont val="Tahoma"/>
            <family val="2"/>
          </rPr>
          <t>casselau:</t>
        </r>
        <r>
          <rPr>
            <sz val="9"/>
            <color indexed="81"/>
            <rFont val="Tahoma"/>
            <family val="2"/>
          </rPr>
          <t xml:space="preserve">
5/21/15: repurchased 5.6M shares for $230M</t>
        </r>
      </text>
    </comment>
    <comment ref="AT199" authorId="23">
      <text>
        <r>
          <rPr>
            <b/>
            <sz val="8"/>
            <color indexed="81"/>
            <rFont val="Tahoma"/>
            <family val="2"/>
          </rPr>
          <t>sancfa:</t>
        </r>
        <r>
          <rPr>
            <sz val="8"/>
            <color indexed="81"/>
            <rFont val="Tahoma"/>
            <family val="2"/>
          </rPr>
          <t xml:space="preserve">
Common Stock, $0.05 par value, 849,451,709 shares as of August 26, 2000.</t>
        </r>
      </text>
    </comment>
    <comment ref="AX199" authorId="23">
      <text>
        <r>
          <rPr>
            <b/>
            <sz val="8"/>
            <color indexed="81"/>
            <rFont val="Tahoma"/>
            <family val="2"/>
          </rPr>
          <t>sancfa:</t>
        </r>
        <r>
          <rPr>
            <sz val="8"/>
            <color indexed="81"/>
            <rFont val="Tahoma"/>
            <family val="2"/>
          </rPr>
          <t xml:space="preserve">
Common Stock, $0.05 par value, 862,435,229 shares as of September 1, 2001.</t>
        </r>
      </text>
    </comment>
    <comment ref="BB199" authorId="23">
      <text>
        <r>
          <rPr>
            <b/>
            <sz val="8"/>
            <color indexed="81"/>
            <rFont val="Tahoma"/>
            <family val="2"/>
          </rPr>
          <t>sancfa:</t>
        </r>
        <r>
          <rPr>
            <sz val="8"/>
            <color indexed="81"/>
            <rFont val="Tahoma"/>
            <family val="2"/>
          </rPr>
          <t xml:space="preserve">
Common Stock, $0.05 par value, 870,460,193 shares as of September 6, 2002.</t>
        </r>
      </text>
    </comment>
    <comment ref="BF199" authorId="23">
      <text>
        <r>
          <rPr>
            <b/>
            <sz val="8"/>
            <color indexed="81"/>
            <rFont val="Tahoma"/>
            <family val="2"/>
          </rPr>
          <t>sancfa:</t>
        </r>
        <r>
          <rPr>
            <sz val="8"/>
            <color indexed="81"/>
            <rFont val="Tahoma"/>
            <family val="2"/>
          </rPr>
          <t xml:space="preserve">
Common Stock, $0.05 par value, 893,443,208 shares as of August 27, 2003.</t>
        </r>
      </text>
    </comment>
    <comment ref="BJ199" authorId="23">
      <text>
        <r>
          <rPr>
            <b/>
            <sz val="8"/>
            <color indexed="81"/>
            <rFont val="Tahoma"/>
            <family val="2"/>
          </rPr>
          <t>sancfa:</t>
        </r>
        <r>
          <rPr>
            <sz val="8"/>
            <color indexed="81"/>
            <rFont val="Tahoma"/>
            <family val="2"/>
          </rPr>
          <t xml:space="preserve">
Common Stock, $0.05 par value, 903,758,820 shares as of August 31, 2004.</t>
        </r>
      </text>
    </comment>
    <comment ref="BN199" authorId="23">
      <text>
        <r>
          <rPr>
            <b/>
            <sz val="8"/>
            <color indexed="81"/>
            <rFont val="Tahoma"/>
            <family val="2"/>
          </rPr>
          <t>sancfa:</t>
        </r>
        <r>
          <rPr>
            <sz val="8"/>
            <color indexed="81"/>
            <rFont val="Tahoma"/>
            <family val="2"/>
          </rPr>
          <t xml:space="preserve">
Common Stock, $0.05 par value, 878,009,209 shares as of August 27, 2005.</t>
        </r>
      </text>
    </comment>
    <comment ref="BR199" authorId="23">
      <text>
        <r>
          <rPr>
            <b/>
            <sz val="8"/>
            <color indexed="81"/>
            <rFont val="Tahoma"/>
            <family val="2"/>
          </rPr>
          <t>sancfa:</t>
        </r>
        <r>
          <rPr>
            <sz val="8"/>
            <color indexed="81"/>
            <rFont val="Tahoma"/>
            <family val="2"/>
          </rPr>
          <t xml:space="preserve">
Common Stock, $0.05 par value, 828,504,127 shares as of August 26, 2006.</t>
        </r>
      </text>
    </comment>
    <comment ref="BV199" authorId="23">
      <text>
        <r>
          <rPr>
            <b/>
            <sz val="8"/>
            <color indexed="81"/>
            <rFont val="Tahoma"/>
            <family val="2"/>
          </rPr>
          <t>sancfa:</t>
        </r>
        <r>
          <rPr>
            <sz val="8"/>
            <color indexed="81"/>
            <rFont val="Tahoma"/>
            <family val="2"/>
          </rPr>
          <t xml:space="preserve">
Common Stock, $0.05 par value, 798,224,337 shares as of September 7, 2007.</t>
        </r>
      </text>
    </comment>
    <comment ref="BZ199" authorId="23">
      <text>
        <r>
          <rPr>
            <b/>
            <sz val="8"/>
            <color indexed="81"/>
            <rFont val="Tahoma"/>
            <family val="2"/>
          </rPr>
          <t>sancfa:</t>
        </r>
        <r>
          <rPr>
            <sz val="8"/>
            <color indexed="81"/>
            <rFont val="Tahoma"/>
            <family val="2"/>
          </rPr>
          <t xml:space="preserve">
Common Stock, $0.05 par value, 711,417,598 shares as of September 5, 2008.</t>
        </r>
      </text>
    </comment>
    <comment ref="CD199" authorId="23">
      <text>
        <r>
          <rPr>
            <b/>
            <sz val="8"/>
            <color indexed="81"/>
            <rFont val="Tahoma"/>
            <family val="2"/>
          </rPr>
          <t>sancfa:</t>
        </r>
        <r>
          <rPr>
            <sz val="8"/>
            <color indexed="81"/>
            <rFont val="Tahoma"/>
            <family val="2"/>
          </rPr>
          <t xml:space="preserve">
Common Stock, $0.05 par value, 697,841,367 shares as of September 3, 2009.</t>
        </r>
      </text>
    </comment>
    <comment ref="CH199" authorId="23">
      <text>
        <r>
          <rPr>
            <b/>
            <sz val="8"/>
            <color indexed="81"/>
            <rFont val="Tahoma"/>
            <family val="2"/>
          </rPr>
          <t>sancfa:</t>
        </r>
        <r>
          <rPr>
            <sz val="8"/>
            <color indexed="81"/>
            <rFont val="Tahoma"/>
            <family val="2"/>
          </rPr>
          <t xml:space="preserve">
The number of shares of the registrant’s common stock outstanding as of September 2, 2010 was 618,883,001.</t>
        </r>
      </text>
    </comment>
    <comment ref="CL199" authorId="23">
      <text>
        <r>
          <rPr>
            <b/>
            <sz val="8"/>
            <color indexed="81"/>
            <rFont val="Tahoma"/>
            <family val="2"/>
          </rPr>
          <t>sancfa:</t>
        </r>
        <r>
          <rPr>
            <sz val="8"/>
            <color indexed="81"/>
            <rFont val="Tahoma"/>
            <family val="2"/>
          </rPr>
          <t xml:space="preserve">
The number of shares of the registrant’s common stock outstanding as of August 30, 2011 was 510,206,631.</t>
        </r>
      </text>
    </comment>
    <comment ref="CP199" authorId="23">
      <text>
        <r>
          <rPr>
            <b/>
            <sz val="8"/>
            <color indexed="81"/>
            <rFont val="Tahoma"/>
            <family val="2"/>
          </rPr>
          <t>solejay:</t>
        </r>
        <r>
          <rPr>
            <sz val="8"/>
            <color indexed="81"/>
            <rFont val="Tahoma"/>
            <family val="2"/>
          </rPr>
          <t xml:space="preserve">
The number of shares of the registrant’s common stock outstanding as of August 20, 2012 was 480,935,170.</t>
        </r>
      </text>
    </comment>
    <comment ref="CT199" authorId="0">
      <text>
        <r>
          <rPr>
            <b/>
            <sz val="8"/>
            <color indexed="81"/>
            <rFont val="Tahoma"/>
            <family val="2"/>
          </rPr>
          <t>turleamb:</t>
        </r>
        <r>
          <rPr>
            <sz val="8"/>
            <color indexed="81"/>
            <rFont val="Tahoma"/>
            <family val="2"/>
          </rPr>
          <t xml:space="preserve">
10-Q: number of shares of the registrant’s common stock outstanding as of August 30, 2013 was 467,502,700</t>
        </r>
      </text>
    </comment>
    <comment ref="CX199" authorId="8">
      <text>
        <r>
          <rPr>
            <b/>
            <sz val="9"/>
            <color indexed="81"/>
            <rFont val="Tahoma"/>
            <family val="2"/>
          </rPr>
          <t>Turley, Amber (Research):</t>
        </r>
        <r>
          <rPr>
            <sz val="9"/>
            <color indexed="81"/>
            <rFont val="Tahoma"/>
            <family val="2"/>
          </rPr>
          <t xml:space="preserve">
As of 8/29/14 there were 434,865,574 basic shares outstanding. </t>
        </r>
      </text>
    </comment>
    <comment ref="DC199" authorId="3">
      <text>
        <r>
          <rPr>
            <b/>
            <sz val="9"/>
            <color indexed="81"/>
            <rFont val="Tahoma"/>
            <family val="2"/>
          </rPr>
          <t>Mains, Spencer (Research):</t>
        </r>
        <r>
          <rPr>
            <sz val="9"/>
            <color indexed="81"/>
            <rFont val="Tahoma"/>
            <family val="2"/>
          </rPr>
          <t xml:space="preserve">
8/20/15: repurchased 10M shares for $375M, ended quarter with 410M shares outstanding</t>
        </r>
      </text>
    </comment>
    <comment ref="DG199" authorId="4">
      <text>
        <r>
          <rPr>
            <b/>
            <sz val="9"/>
            <color indexed="81"/>
            <rFont val="Tahoma"/>
            <family val="2"/>
          </rPr>
          <t>Baglione, Gregory  (Research):</t>
        </r>
        <r>
          <rPr>
            <sz val="9"/>
            <color indexed="81"/>
            <rFont val="Tahoma"/>
            <family val="2"/>
          </rPr>
          <t xml:space="preserve">
Removing all share repurchases from 2016 given declining FCF and current cash balance</t>
        </r>
      </text>
    </comment>
    <comment ref="DK199" authorId="5">
      <text>
        <r>
          <rPr>
            <b/>
            <sz val="9"/>
            <color indexed="81"/>
            <rFont val="Tahoma"/>
            <family val="2"/>
          </rPr>
          <t>Cassel, Lauren (Research):</t>
        </r>
        <r>
          <rPr>
            <sz val="9"/>
            <color indexed="81"/>
            <rFont val="Tahoma"/>
            <family val="2"/>
          </rPr>
          <t xml:space="preserve">
5/18/17: The company expects to spend about $100 million on share repurchases in the second quarter of fiscal 2017. </t>
        </r>
      </text>
    </comment>
    <comment ref="AT200" authorId="23">
      <text>
        <r>
          <rPr>
            <b/>
            <sz val="8"/>
            <color indexed="81"/>
            <rFont val="Tahoma"/>
            <family val="2"/>
          </rPr>
          <t>sancfa:</t>
        </r>
        <r>
          <rPr>
            <sz val="8"/>
            <color indexed="81"/>
            <rFont val="Tahoma"/>
            <family val="2"/>
          </rPr>
          <t xml:space="preserve">
Common Stock, $0.05 par value, 849,695,146 shares as of November 25, 2000.</t>
        </r>
      </text>
    </comment>
    <comment ref="AX200" authorId="23">
      <text>
        <r>
          <rPr>
            <b/>
            <sz val="8"/>
            <color indexed="81"/>
            <rFont val="Tahoma"/>
            <family val="2"/>
          </rPr>
          <t>sancfa:</t>
        </r>
        <r>
          <rPr>
            <sz val="8"/>
            <color indexed="81"/>
            <rFont val="Tahoma"/>
            <family val="2"/>
          </rPr>
          <t xml:space="preserve">
Common Stock, $0.05 par value, 864,847,941 shares as of December 1, 2001.</t>
        </r>
      </text>
    </comment>
    <comment ref="BB200" authorId="23">
      <text>
        <r>
          <rPr>
            <b/>
            <sz val="8"/>
            <color indexed="81"/>
            <rFont val="Tahoma"/>
            <family val="2"/>
          </rPr>
          <t>sancfa:</t>
        </r>
        <r>
          <rPr>
            <sz val="8"/>
            <color indexed="81"/>
            <rFont val="Tahoma"/>
            <family val="2"/>
          </rPr>
          <t xml:space="preserve">
Common Stock, $0.05 par value, 883,899,858 shares as of November 22, 2002.</t>
        </r>
      </text>
    </comment>
    <comment ref="BF200" authorId="23">
      <text>
        <r>
          <rPr>
            <b/>
            <sz val="8"/>
            <color indexed="81"/>
            <rFont val="Tahoma"/>
            <family val="2"/>
          </rPr>
          <t>sancfa:</t>
        </r>
        <r>
          <rPr>
            <sz val="8"/>
            <color indexed="81"/>
            <rFont val="Tahoma"/>
            <family val="2"/>
          </rPr>
          <t xml:space="preserve">
Common Stock, $0.05 par value, 895,834,143 shares as of December 2, 2003.</t>
        </r>
      </text>
    </comment>
    <comment ref="BJ200" authorId="23">
      <text>
        <r>
          <rPr>
            <b/>
            <sz val="8"/>
            <color indexed="81"/>
            <rFont val="Tahoma"/>
            <family val="2"/>
          </rPr>
          <t>sancfa:</t>
        </r>
        <r>
          <rPr>
            <sz val="8"/>
            <color indexed="81"/>
            <rFont val="Tahoma"/>
            <family val="2"/>
          </rPr>
          <t xml:space="preserve">
Common Stock, $0.05 par value, 876,738,375 shares as of November 29, 2004.</t>
        </r>
      </text>
    </comment>
    <comment ref="BN200" authorId="23">
      <text>
        <r>
          <rPr>
            <b/>
            <sz val="8"/>
            <color indexed="81"/>
            <rFont val="Tahoma"/>
            <family val="2"/>
          </rPr>
          <t>sancfa:</t>
        </r>
        <r>
          <rPr>
            <sz val="8"/>
            <color indexed="81"/>
            <rFont val="Tahoma"/>
            <family val="2"/>
          </rPr>
          <t xml:space="preserve">
Common Stock, $0.05 par value, 869,625,962 shares as of November 26, 2005.</t>
        </r>
      </text>
    </comment>
    <comment ref="BR200" authorId="23">
      <text>
        <r>
          <rPr>
            <b/>
            <sz val="8"/>
            <color indexed="81"/>
            <rFont val="Tahoma"/>
            <family val="2"/>
          </rPr>
          <t>sancfa:</t>
        </r>
        <r>
          <rPr>
            <sz val="8"/>
            <color indexed="81"/>
            <rFont val="Tahoma"/>
            <family val="2"/>
          </rPr>
          <t xml:space="preserve">
Common Stock, $0.05 par value, 810,622,757 shares as of November 29, 2006.</t>
        </r>
      </text>
    </comment>
    <comment ref="BV200" authorId="23">
      <text>
        <r>
          <rPr>
            <b/>
            <sz val="8"/>
            <color indexed="81"/>
            <rFont val="Tahoma"/>
            <family val="2"/>
          </rPr>
          <t>sancfa:</t>
        </r>
        <r>
          <rPr>
            <sz val="8"/>
            <color indexed="81"/>
            <rFont val="Tahoma"/>
            <family val="2"/>
          </rPr>
          <t xml:space="preserve">
Common Stock, $0.05 par value, 751,203,743 shares as of December 7, 2007.</t>
        </r>
      </text>
    </comment>
    <comment ref="BZ200" authorId="23">
      <text>
        <r>
          <rPr>
            <b/>
            <sz val="8"/>
            <color indexed="81"/>
            <rFont val="Tahoma"/>
            <family val="2"/>
          </rPr>
          <t>sancfa:</t>
        </r>
        <r>
          <rPr>
            <sz val="8"/>
            <color indexed="81"/>
            <rFont val="Tahoma"/>
            <family val="2"/>
          </rPr>
          <t xml:space="preserve">
Common Stock, $0.05 par value, 706,483,075 shares as of December 5, 2008.</t>
        </r>
      </text>
    </comment>
    <comment ref="CD200" authorId="23">
      <text>
        <r>
          <rPr>
            <b/>
            <sz val="8"/>
            <color indexed="81"/>
            <rFont val="Tahoma"/>
            <family val="2"/>
          </rPr>
          <t>sancfa:</t>
        </r>
        <r>
          <rPr>
            <sz val="8"/>
            <color indexed="81"/>
            <rFont val="Tahoma"/>
            <family val="2"/>
          </rPr>
          <t xml:space="preserve">
Common Stock, $0.05 par value, 689,992,899 shares as of December 4, 2009.</t>
        </r>
      </text>
    </comment>
    <comment ref="CH200" authorId="23">
      <text>
        <r>
          <rPr>
            <b/>
            <sz val="8"/>
            <color indexed="81"/>
            <rFont val="Tahoma"/>
            <family val="2"/>
          </rPr>
          <t>sancfa:</t>
        </r>
        <r>
          <rPr>
            <sz val="8"/>
            <color indexed="81"/>
            <rFont val="Tahoma"/>
            <family val="2"/>
          </rPr>
          <t xml:space="preserve">
The number of shares of the registrant’s common stock outstanding as of November 30, 2010 was 614,360,393.</t>
        </r>
      </text>
    </comment>
    <comment ref="CL200" authorId="23">
      <text>
        <r>
          <rPr>
            <b/>
            <sz val="8"/>
            <color indexed="81"/>
            <rFont val="Tahoma"/>
            <family val="2"/>
          </rPr>
          <t>sancfa:</t>
        </r>
        <r>
          <rPr>
            <sz val="8"/>
            <color indexed="81"/>
            <rFont val="Tahoma"/>
            <family val="2"/>
          </rPr>
          <t xml:space="preserve">
The number of shares of the registrant’s common stock outstanding as of November 29, 2011 was 488,305,236.</t>
        </r>
      </text>
    </comment>
    <comment ref="CP200" authorId="23">
      <text>
        <r>
          <rPr>
            <b/>
            <sz val="8"/>
            <color indexed="81"/>
            <rFont val="Tahoma"/>
            <family val="2"/>
          </rPr>
          <t>solejay:</t>
        </r>
        <r>
          <rPr>
            <sz val="8"/>
            <color indexed="81"/>
            <rFont val="Tahoma"/>
            <family val="2"/>
          </rPr>
          <t xml:space="preserve">
The number of shares of the registrant’s common stock outstanding as of November 27, 2012 was 479,419,352.</t>
        </r>
      </text>
    </comment>
    <comment ref="CX200" authorId="8">
      <text>
        <r>
          <rPr>
            <b/>
            <sz val="9"/>
            <color indexed="81"/>
            <rFont val="Tahoma"/>
            <family val="2"/>
          </rPr>
          <t>Turley, Amber (Research):</t>
        </r>
        <r>
          <rPr>
            <sz val="9"/>
            <color indexed="81"/>
            <rFont val="Tahoma"/>
            <family val="2"/>
          </rPr>
          <t xml:space="preserve">
Per 12/8/14 10-Q: 423,576,007 basic shares outstanding</t>
        </r>
      </text>
    </comment>
    <comment ref="DC200" authorId="4">
      <text>
        <r>
          <rPr>
            <b/>
            <sz val="9"/>
            <color indexed="81"/>
            <rFont val="Tahoma"/>
            <family val="2"/>
          </rPr>
          <t>Baglione, Gregory  (Research):</t>
        </r>
        <r>
          <rPr>
            <sz val="9"/>
            <color indexed="81"/>
            <rFont val="Tahoma"/>
            <family val="2"/>
          </rPr>
          <t xml:space="preserve">
11/19/15
$200M shares repurchase during Q
Repurchased 6.2M shares</t>
        </r>
      </text>
    </comment>
    <comment ref="DG200" authorId="4">
      <text>
        <r>
          <rPr>
            <b/>
            <sz val="9"/>
            <color indexed="81"/>
            <rFont val="Tahoma"/>
            <family val="2"/>
          </rPr>
          <t>Baglione, Gregory  (Research):</t>
        </r>
        <r>
          <rPr>
            <sz val="9"/>
            <color indexed="81"/>
            <rFont val="Tahoma"/>
            <family val="2"/>
          </rPr>
          <t xml:space="preserve">
Removing all share repurchases from 2016 given declining FCF and current cash balance</t>
        </r>
      </text>
    </comment>
    <comment ref="AP201" authorId="23">
      <text>
        <r>
          <rPr>
            <b/>
            <sz val="8"/>
            <color indexed="81"/>
            <rFont val="Tahoma"/>
            <family val="2"/>
          </rPr>
          <t>sancfa:</t>
        </r>
        <r>
          <rPr>
            <sz val="8"/>
            <color indexed="81"/>
            <rFont val="Tahoma"/>
            <family val="2"/>
          </rPr>
          <t xml:space="preserve">
 The number of shares of the registrant's Common Stock outstanding as of
March 10, 2000 was 851,577,689.</t>
        </r>
      </text>
    </comment>
    <comment ref="AT201" authorId="23">
      <text>
        <r>
          <rPr>
            <b/>
            <sz val="8"/>
            <color indexed="81"/>
            <rFont val="Tahoma"/>
            <family val="2"/>
          </rPr>
          <t>sancfa:</t>
        </r>
        <r>
          <rPr>
            <sz val="8"/>
            <color indexed="81"/>
            <rFont val="Tahoma"/>
            <family val="2"/>
          </rPr>
          <t xml:space="preserve">
The number of shares of the registrant's Common Stock outstanding as of March 16, 2001 was 854,429,402.</t>
        </r>
      </text>
    </comment>
    <comment ref="AX201" authorId="23">
      <text>
        <r>
          <rPr>
            <b/>
            <sz val="8"/>
            <color indexed="81"/>
            <rFont val="Tahoma"/>
            <family val="2"/>
          </rPr>
          <t>sancfa:</t>
        </r>
        <r>
          <rPr>
            <sz val="8"/>
            <color indexed="81"/>
            <rFont val="Tahoma"/>
            <family val="2"/>
          </rPr>
          <t xml:space="preserve">
The number of shares of the registrant’s Common Stock outstanding as of March 15, 2002 was 866,759,250.</t>
        </r>
      </text>
    </comment>
    <comment ref="BB201" authorId="23">
      <text>
        <r>
          <rPr>
            <b/>
            <sz val="8"/>
            <color indexed="81"/>
            <rFont val="Tahoma"/>
            <family val="2"/>
          </rPr>
          <t>sancfa:</t>
        </r>
        <r>
          <rPr>
            <sz val="8"/>
            <color indexed="81"/>
            <rFont val="Tahoma"/>
            <family val="2"/>
          </rPr>
          <t xml:space="preserve">
The number of shares of the registrant’s Common Stock outstanding as of March 17, 2003 was 889,164,488.</t>
        </r>
      </text>
    </comment>
    <comment ref="BF201" authorId="23">
      <text>
        <r>
          <rPr>
            <b/>
            <sz val="8"/>
            <color indexed="81"/>
            <rFont val="Tahoma"/>
            <family val="2"/>
          </rPr>
          <t>sancfa:</t>
        </r>
        <r>
          <rPr>
            <sz val="8"/>
            <color indexed="81"/>
            <rFont val="Tahoma"/>
            <family val="2"/>
          </rPr>
          <t xml:space="preserve">
The number of shares of the registrant’s Common Stock outstanding as of March 15, 2004 was 898,095,233.</t>
        </r>
      </text>
    </comment>
    <comment ref="BJ201" authorId="23">
      <text>
        <r>
          <rPr>
            <b/>
            <sz val="8"/>
            <color indexed="81"/>
            <rFont val="Tahoma"/>
            <family val="2"/>
          </rPr>
          <t>sancfa:</t>
        </r>
        <r>
          <rPr>
            <sz val="8"/>
            <color indexed="81"/>
            <rFont val="Tahoma"/>
            <family val="2"/>
          </rPr>
          <t xml:space="preserve">
The number of shares of the registrant’s Common Stock outstanding as of March 14, 2005 was 858,529,251.</t>
        </r>
      </text>
    </comment>
    <comment ref="BN201" authorId="23">
      <text>
        <r>
          <rPr>
            <b/>
            <sz val="8"/>
            <color indexed="81"/>
            <rFont val="Tahoma"/>
            <family val="2"/>
          </rPr>
          <t>sancfa:</t>
        </r>
        <r>
          <rPr>
            <sz val="8"/>
            <color indexed="81"/>
            <rFont val="Tahoma"/>
            <family val="2"/>
          </rPr>
          <t xml:space="preserve">
The number of shares of the registrant’s Common Stock outstanding as of March 13, 2006 was 853,611,821. </t>
        </r>
      </text>
    </comment>
    <comment ref="BR201" authorId="23">
      <text>
        <r>
          <rPr>
            <b/>
            <sz val="8"/>
            <color indexed="81"/>
            <rFont val="Tahoma"/>
            <family val="2"/>
          </rPr>
          <t>sancfa:</t>
        </r>
        <r>
          <rPr>
            <sz val="8"/>
            <color indexed="81"/>
            <rFont val="Tahoma"/>
            <family val="2"/>
          </rPr>
          <t xml:space="preserve">
The number of shares of the registrant’s common stock outstanding as of March 26, 2007 was 815,646,737.</t>
        </r>
      </text>
    </comment>
    <comment ref="BV201" authorId="23">
      <text>
        <r>
          <rPr>
            <b/>
            <sz val="8"/>
            <color indexed="81"/>
            <rFont val="Tahoma"/>
            <family val="2"/>
          </rPr>
          <t>sancfa:</t>
        </r>
        <r>
          <rPr>
            <sz val="8"/>
            <color indexed="81"/>
            <rFont val="Tahoma"/>
            <family val="2"/>
          </rPr>
          <t xml:space="preserve">
The number of shares of the registrant’s common stock outstanding as of March 21, 2008 was 735,071,221.</t>
        </r>
      </text>
    </comment>
    <comment ref="BZ201" authorId="23">
      <text>
        <r>
          <rPr>
            <b/>
            <sz val="8"/>
            <color indexed="81"/>
            <rFont val="Tahoma"/>
            <family val="2"/>
          </rPr>
          <t>sancfa:</t>
        </r>
        <r>
          <rPr>
            <sz val="8"/>
            <color indexed="81"/>
            <rFont val="Tahoma"/>
            <family val="2"/>
          </rPr>
          <t xml:space="preserve">
The number of shares of the registrant’s common stock outstanding as of March 23, 2009 was 695,718,239.</t>
        </r>
      </text>
    </comment>
    <comment ref="CD201" authorId="23">
      <text>
        <r>
          <rPr>
            <b/>
            <sz val="8"/>
            <color indexed="81"/>
            <rFont val="Tahoma"/>
            <family val="2"/>
          </rPr>
          <t>sancfa:</t>
        </r>
        <r>
          <rPr>
            <sz val="8"/>
            <color indexed="81"/>
            <rFont val="Tahoma"/>
            <family val="2"/>
          </rPr>
          <t xml:space="preserve">
The number of shares of the registrant’s common stock outstanding as of March 22, 2010 was 667,420,104.</t>
        </r>
      </text>
    </comment>
    <comment ref="CH201" authorId="23">
      <text>
        <r>
          <rPr>
            <b/>
            <sz val="8"/>
            <color indexed="81"/>
            <rFont val="Tahoma"/>
            <family val="2"/>
          </rPr>
          <t>sancfa:</t>
        </r>
        <r>
          <rPr>
            <sz val="8"/>
            <color indexed="81"/>
            <rFont val="Tahoma"/>
            <family val="2"/>
          </rPr>
          <t xml:space="preserve">
The number of shares of the registrant’s common stock outstanding as of March 15, 2011 was 584,492,032.</t>
        </r>
      </text>
    </comment>
    <comment ref="CL201" authorId="23">
      <text>
        <r>
          <rPr>
            <b/>
            <sz val="8"/>
            <color indexed="81"/>
            <rFont val="Tahoma"/>
            <family val="2"/>
          </rPr>
          <t>sancfa:</t>
        </r>
        <r>
          <rPr>
            <sz val="8"/>
            <color indexed="81"/>
            <rFont val="Tahoma"/>
            <family val="2"/>
          </rPr>
          <t xml:space="preserve">
The number of shares of the registrant’s common stock outstanding as of March 13, 2012 was 487,724,426.</t>
        </r>
      </text>
    </comment>
    <comment ref="CT201" authorId="0">
      <text>
        <r>
          <rPr>
            <b/>
            <sz val="8"/>
            <color indexed="81"/>
            <rFont val="Tahoma"/>
            <family val="2"/>
          </rPr>
          <t>turleamb:</t>
        </r>
        <r>
          <rPr>
            <sz val="8"/>
            <color indexed="81"/>
            <rFont val="Tahoma"/>
            <family val="2"/>
          </rPr>
          <t xml:space="preserve">
2/27/14: ended the
fourth quarter of fiscal year 2013 with 446 million shares outstanding</t>
        </r>
      </text>
    </comment>
    <comment ref="CX201" authorId="4">
      <text>
        <r>
          <rPr>
            <b/>
            <sz val="9"/>
            <color indexed="81"/>
            <rFont val="Tahoma"/>
            <family val="2"/>
          </rPr>
          <t>Baglione, Gregory  (Research):</t>
        </r>
        <r>
          <rPr>
            <sz val="9"/>
            <color indexed="81"/>
            <rFont val="Tahoma"/>
            <family val="2"/>
          </rPr>
          <t xml:space="preserve">
2/8/16
3.7 million shares for $148 million</t>
        </r>
      </text>
    </comment>
    <comment ref="DC201" authorId="4">
      <text>
        <r>
          <rPr>
            <b/>
            <sz val="9"/>
            <color indexed="81"/>
            <rFont val="Tahoma"/>
            <family val="2"/>
          </rPr>
          <t>Baglione, Gregory  (Research):</t>
        </r>
        <r>
          <rPr>
            <sz val="9"/>
            <color indexed="81"/>
            <rFont val="Tahoma"/>
            <family val="2"/>
          </rPr>
          <t xml:space="preserve">
repurchased 7.6M shares for $193M</t>
        </r>
      </text>
    </comment>
    <comment ref="DG201" authorId="4">
      <text>
        <r>
          <rPr>
            <b/>
            <sz val="9"/>
            <color indexed="81"/>
            <rFont val="Tahoma"/>
            <family val="2"/>
          </rPr>
          <t>Baglione, Gregory  (Research):</t>
        </r>
        <r>
          <rPr>
            <sz val="9"/>
            <color indexed="81"/>
            <rFont val="Tahoma"/>
            <family val="2"/>
          </rPr>
          <t xml:space="preserve">
Removing all share repurchases from 2016 given declining FCF and current cash balance</t>
        </r>
      </text>
    </comment>
    <comment ref="AP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AT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AX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BB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BF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BJ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BN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BR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BV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BZ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CD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CH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CL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CP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CT202" authorId="16">
      <text>
        <r>
          <rPr>
            <b/>
            <sz val="8"/>
            <color indexed="81"/>
            <rFont val="Tahoma"/>
            <family val="2"/>
          </rPr>
          <t>solejay:</t>
        </r>
        <r>
          <rPr>
            <sz val="8"/>
            <color indexed="81"/>
            <rFont val="Tahoma"/>
            <family val="2"/>
          </rPr>
          <t xml:space="preserve">
This cell is only supposed to represent the number of basic shares at the end of 4Q, that is why it is the same as the 4Q number.</t>
        </r>
      </text>
    </comment>
    <comment ref="DG202" authorId="4">
      <text>
        <r>
          <rPr>
            <b/>
            <sz val="9"/>
            <color indexed="81"/>
            <rFont val="Tahoma"/>
            <family val="2"/>
          </rPr>
          <t>Baglione, Gregory  (Research):</t>
        </r>
        <r>
          <rPr>
            <sz val="9"/>
            <color indexed="81"/>
            <rFont val="Tahoma"/>
            <family val="2"/>
          </rPr>
          <t xml:space="preserve">
Removing all share repurchases from 2016 given declining FCF and current cash balance</t>
        </r>
      </text>
    </comment>
    <comment ref="BZ210" authorId="11">
      <text>
        <r>
          <rPr>
            <b/>
            <sz val="8"/>
            <color indexed="81"/>
            <rFont val="Tahoma"/>
            <family val="2"/>
          </rPr>
          <t>OC48540:</t>
        </r>
        <r>
          <rPr>
            <sz val="8"/>
            <color indexed="81"/>
            <rFont val="Tahoma"/>
            <family val="2"/>
          </rPr>
          <t xml:space="preserve">
1Q08 10Q = 723.956578 as of 6/6/08</t>
        </r>
      </text>
    </comment>
    <comment ref="CT210" authorId="0">
      <text>
        <r>
          <rPr>
            <b/>
            <sz val="8"/>
            <color indexed="81"/>
            <rFont val="Tahoma"/>
            <family val="2"/>
          </rPr>
          <t>turleamb:</t>
        </r>
        <r>
          <rPr>
            <sz val="8"/>
            <color indexed="81"/>
            <rFont val="Tahoma"/>
            <family val="2"/>
          </rPr>
          <t xml:space="preserve">
8/22/13 10Q</t>
        </r>
      </text>
    </comment>
  </commentList>
</comments>
</file>

<file path=xl/comments6.xml><?xml version="1.0" encoding="utf-8"?>
<comments xmlns="http://schemas.openxmlformats.org/spreadsheetml/2006/main">
  <authors>
    <author>oc48540</author>
    <author>OC48540</author>
    <author>Baglione, Gregory  (Research)</author>
    <author>Baglione, Gregory (Research)</author>
    <author>mm98285</author>
    <author>ns66486</author>
    <author>Cassel, Lauren (Research)</author>
    <author>Lehman Brothers</author>
    <author>De Courreges, Edouard (Research)</author>
    <author>casselau</author>
    <author>Roberts, Cynthia (Research)</author>
    <author>solejay</author>
    <author>nicholjs</author>
    <author>turleamb</author>
    <author>Morry Brown</author>
    <author>plejuez</author>
  </authors>
  <commentList>
    <comment ref="T5" authorId="0">
      <text>
        <r>
          <rPr>
            <b/>
            <sz val="8"/>
            <color indexed="81"/>
            <rFont val="Tahoma"/>
            <family val="2"/>
          </rPr>
          <t>oc48540:</t>
        </r>
        <r>
          <rPr>
            <sz val="8"/>
            <color indexed="81"/>
            <rFont val="Tahoma"/>
            <family val="2"/>
          </rPr>
          <t xml:space="preserve">
Oulet stores Gap Inc has.  Don't break out.  ~300 outlets stores 100 BR and 200 GPS.
415-427-4454
</t>
        </r>
      </text>
    </comment>
    <comment ref="U5" authorId="0">
      <text>
        <r>
          <rPr>
            <b/>
            <sz val="8"/>
            <color indexed="81"/>
            <rFont val="Tahoma"/>
            <family val="2"/>
          </rPr>
          <t>oc48540:</t>
        </r>
        <r>
          <rPr>
            <sz val="8"/>
            <color indexed="81"/>
            <rFont val="Tahoma"/>
            <family val="2"/>
          </rPr>
          <t xml:space="preserve">
6/10/09 Investor Conf:
 * Chairman and CEO outlines business priorities at investor conference
 * Says old navy plans to remodel approximately 50 stores in 2009
 * Says reiterated its full year capital expenditure guidance of $350 million
   for fiscal year 2009
 * Says reiterated its capital expenditure guidance of $350 million for fiscal
   year 2009
 * Says expanding its outlet business in the United Kingdom, Japan and Canada
 * Will continue to open new stores, including about 40 new franchise stores in
   total of 20 countries by the end of the year</t>
        </r>
      </text>
    </comment>
    <comment ref="R7" authorId="1">
      <text>
        <r>
          <rPr>
            <b/>
            <sz val="8"/>
            <color indexed="81"/>
            <rFont val="Tahoma"/>
            <family val="2"/>
          </rPr>
          <t>OC48540:</t>
        </r>
        <r>
          <rPr>
            <sz val="8"/>
            <color indexed="81"/>
            <rFont val="Tahoma"/>
            <family val="2"/>
          </rPr>
          <t xml:space="preserve">
$15,923 = restated without F&amp;T
$15,943 = restated with F&amp;T</t>
        </r>
      </text>
    </comment>
    <comment ref="AB7" authorId="2">
      <text>
        <r>
          <rPr>
            <b/>
            <sz val="9"/>
            <color indexed="81"/>
            <rFont val="Tahoma"/>
            <family val="2"/>
          </rPr>
          <t>Baglione, Gregory  (Research):</t>
        </r>
        <r>
          <rPr>
            <sz val="9"/>
            <color indexed="81"/>
            <rFont val="Tahoma"/>
            <family val="2"/>
          </rPr>
          <t xml:space="preserve">
5/19/16
We assume GPS was impacted by 1/4 of the $250M sales loss</t>
        </r>
      </text>
    </comment>
    <comment ref="AC7" authorId="2">
      <text>
        <r>
          <rPr>
            <b/>
            <sz val="9"/>
            <color indexed="81"/>
            <rFont val="Tahoma"/>
            <family val="2"/>
          </rPr>
          <t>Baglione, Gregory  (Research):</t>
        </r>
        <r>
          <rPr>
            <sz val="9"/>
            <color indexed="81"/>
            <rFont val="Tahoma"/>
            <family val="2"/>
          </rPr>
          <t xml:space="preserve">
1/5/17
Sales build
2016e $15.5B 
(-1.3% comp) =-$200M
-$190M from store 75% of sales impact from below
+150M from 53rd week** Note the company does not give details on this, but ~1% impact for most retailers
Drives our $15.3B sales estimate
</t>
        </r>
        <r>
          <rPr>
            <b/>
            <sz val="9"/>
            <color indexed="81"/>
            <rFont val="Tahoma"/>
            <family val="2"/>
          </rPr>
          <t xml:space="preserve">We assume GPS was impacted by 1/4 of the $250M sales loss in 4Q16 (See below)
</t>
        </r>
        <r>
          <rPr>
            <sz val="9"/>
            <color indexed="81"/>
            <rFont val="Tahoma"/>
            <family val="2"/>
          </rPr>
          <t xml:space="preserve">
Focus on geographies with the greatest potential. The company remains committed to growing its
brands in regions where it has a structural advantage and the greatest opportunity to gain market
share. As part of this effort, Old Navy will strategically shift its focus to markets most favorable to
the brand’s growth, resulting in the closure of its fleet of 53 stores in Japan in fiscal 2016. Old
Navy’s near-term growth ambitions will be anchored in North America, including its most recent
debut of company-operated stores in Mexico, as well as China and its global franchise operations.
Japan remains an important market for Gap Inc.’s portfolio, with a continued strong presence of
more than 200 Gap and Banana Republic stores. Additionally, the company expects to close select
dilutive Banana Republic stores, primarily internationally, in fiscal year 2016. In total, the company
expects to close about 75 stores related to these measures.
The company estimates that together these measures will result in annualized pre-tax savings of about
$275 million and operating margin improvement of nearly 2 percentage points. The company estimates an
annualized sales loss of about $250 million associated with the store closures and expects to recognize
restructuring costs in fiscal 2016 of about $300 million pre-tax, about $100 million of which is non-cash,
from the store closures and streamlining measures.</t>
        </r>
      </text>
    </comment>
    <comment ref="AD7" authorId="3">
      <text>
        <r>
          <rPr>
            <b/>
            <sz val="9"/>
            <color indexed="81"/>
            <rFont val="Tahoma"/>
            <family val="2"/>
          </rPr>
          <t>Baglione, Gregory (Research):</t>
        </r>
        <r>
          <rPr>
            <sz val="9"/>
            <color indexed="81"/>
            <rFont val="Tahoma"/>
            <family val="2"/>
          </rPr>
          <t xml:space="preserve">
1/5/17
Reversal of 53rd week ~$150M</t>
        </r>
      </text>
    </comment>
    <comment ref="R12" authorId="4">
      <text>
        <r>
          <rPr>
            <b/>
            <sz val="8"/>
            <color indexed="81"/>
            <rFont val="Tahoma"/>
            <family val="2"/>
          </rPr>
          <t>mm98285:</t>
        </r>
        <r>
          <rPr>
            <sz val="8"/>
            <color indexed="81"/>
            <rFont val="Tahoma"/>
            <family val="2"/>
          </rPr>
          <t xml:space="preserve">
8/06 (10Q): expect to open 190 stores and close 125</t>
        </r>
      </text>
    </comment>
    <comment ref="S12" authorId="0">
      <text>
        <r>
          <rPr>
            <b/>
            <sz val="8"/>
            <color indexed="81"/>
            <rFont val="Tahoma"/>
            <family val="2"/>
          </rPr>
          <t>oc48540:</t>
        </r>
        <r>
          <rPr>
            <sz val="8"/>
            <color indexed="81"/>
            <rFont val="Tahoma"/>
            <family val="2"/>
          </rPr>
          <t xml:space="preserve">
Excludes ~17 repositions.</t>
        </r>
      </text>
    </comment>
    <comment ref="T12" authorId="1">
      <text>
        <r>
          <rPr>
            <sz val="8"/>
            <color indexed="81"/>
            <rFont val="Tahoma"/>
            <family val="2"/>
          </rPr>
          <t>Excludes ~17 repositions.
8/21:  Expected number of store openings has decreased by 15 stores, driven primarily by
Banana Republic, to ~100 openings. The number of store closings has not changed from the
company’s previous guidance of ~115. These figures include ~15 store repositions, which are reflected as both an opening and
a closing. The company continues to expect net square footage will
remain ~flat in FY08.</t>
        </r>
        <r>
          <rPr>
            <b/>
            <sz val="8"/>
            <color indexed="81"/>
            <rFont val="Tahoma"/>
            <family val="2"/>
          </rPr>
          <t xml:space="preserve">
OC48540:
</t>
        </r>
        <r>
          <rPr>
            <sz val="8"/>
            <color indexed="81"/>
            <rFont val="Tahoma"/>
            <family val="2"/>
          </rPr>
          <t xml:space="preserve">5/28: Guided to open +115 stores and close -115 stores
</t>
        </r>
        <r>
          <rPr>
            <sz val="8"/>
            <color indexed="81"/>
            <rFont val="Tahoma"/>
            <family val="2"/>
          </rPr>
          <t xml:space="preserve">
2/28: Guided to open +100 and close -85 stores 
Real estate pipeline is 12-18 months about 80% of 65 stores were committed to last fall</t>
        </r>
      </text>
    </comment>
    <comment ref="U12" authorId="0">
      <text>
        <r>
          <rPr>
            <sz val="8"/>
            <color indexed="81"/>
            <rFont val="Tahoma"/>
            <family val="2"/>
          </rPr>
          <t xml:space="preserve">5/21/09: Exp. 50 store openings and 100 closures, and
net square footage decline of ~-2%.
2/26/09: Open 50 and closing 100 stores.
For FY09, the company expects to open about 50 stores with about half located outside the U.S. and the remaining weighted towards the Outlet business. The company expects that it will close about 100 stores, weighted towards Gap brand. Square footage is expected to decrease -2% for FY09.
</t>
        </r>
      </text>
    </comment>
    <comment ref="V12" authorId="5">
      <text>
        <r>
          <rPr>
            <b/>
            <sz val="8"/>
            <color indexed="81"/>
            <rFont val="Tahoma"/>
            <family val="2"/>
          </rPr>
          <t>ns66486:</t>
        </r>
        <r>
          <rPr>
            <sz val="8"/>
            <color indexed="81"/>
            <rFont val="Tahoma"/>
            <family val="2"/>
          </rPr>
          <t xml:space="preserve">
10K: expect to open about 65 new store locations</t>
        </r>
      </text>
    </comment>
    <comment ref="AC12" authorId="6">
      <text>
        <r>
          <rPr>
            <b/>
            <sz val="9"/>
            <color indexed="81"/>
            <rFont val="Tahoma"/>
            <family val="2"/>
          </rPr>
          <t xml:space="preserve">Cassel, Lauren (Research):
5/18/17: The company now expects store count to be about flat at the end of fiscal year 2017 compared with fiscal year 2016, down from previous guidance of 40 net store openings. </t>
        </r>
        <r>
          <rPr>
            <sz val="9"/>
            <color indexed="81"/>
            <rFont val="Tahoma"/>
            <family val="2"/>
          </rPr>
          <t xml:space="preserve">
2/23/17: plan to open 40 net new stores; openings weighted to Old Navy and Athleta (15), closures will be weighted to gap brand</t>
        </r>
      </text>
    </comment>
    <comment ref="R13" authorId="4">
      <text>
        <r>
          <rPr>
            <b/>
            <sz val="8"/>
            <color indexed="81"/>
            <rFont val="Tahoma"/>
            <family val="2"/>
          </rPr>
          <t>mm98285:</t>
        </r>
        <r>
          <rPr>
            <sz val="8"/>
            <color indexed="81"/>
            <rFont val="Tahoma"/>
            <family val="2"/>
          </rPr>
          <t xml:space="preserve">
8/06 (10Q): expect to open 190 stores and close 125</t>
        </r>
      </text>
    </comment>
    <comment ref="S13" authorId="0">
      <text>
        <r>
          <rPr>
            <b/>
            <sz val="8"/>
            <color indexed="81"/>
            <rFont val="Tahoma"/>
            <family val="2"/>
          </rPr>
          <t>oc48540:</t>
        </r>
        <r>
          <rPr>
            <sz val="8"/>
            <color indexed="81"/>
            <rFont val="Tahoma"/>
            <family val="2"/>
          </rPr>
          <t xml:space="preserve">
Excludes ~17 repositions.</t>
        </r>
      </text>
    </comment>
    <comment ref="T13" authorId="1">
      <text>
        <r>
          <rPr>
            <sz val="8"/>
            <color indexed="81"/>
            <rFont val="Tahoma"/>
            <family val="2"/>
          </rPr>
          <t>Excludes ~17 repositions.</t>
        </r>
        <r>
          <rPr>
            <b/>
            <sz val="8"/>
            <color indexed="81"/>
            <rFont val="Tahoma"/>
            <family val="2"/>
          </rPr>
          <t xml:space="preserve">
OC48540:</t>
        </r>
        <r>
          <rPr>
            <sz val="8"/>
            <color indexed="81"/>
            <rFont val="Tahoma"/>
            <family val="2"/>
          </rPr>
          <t xml:space="preserve">
5/28: Guided to open +115 stores and close -115 stores</t>
        </r>
        <r>
          <rPr>
            <b/>
            <sz val="8"/>
            <color indexed="81"/>
            <rFont val="Tahoma"/>
            <family val="2"/>
          </rPr>
          <t xml:space="preserve">
</t>
        </r>
        <r>
          <rPr>
            <sz val="8"/>
            <color indexed="81"/>
            <rFont val="Tahoma"/>
            <family val="2"/>
          </rPr>
          <t xml:space="preserve">
2/28: Guided to open +100 and close -85 stores </t>
        </r>
      </text>
    </comment>
    <comment ref="V13" authorId="5">
      <text>
        <r>
          <rPr>
            <b/>
            <sz val="8"/>
            <color indexed="81"/>
            <rFont val="Tahoma"/>
            <family val="2"/>
          </rPr>
          <t>ns66486:</t>
        </r>
        <r>
          <rPr>
            <sz val="8"/>
            <color indexed="81"/>
            <rFont val="Tahoma"/>
            <family val="2"/>
          </rPr>
          <t xml:space="preserve">
10K: expect to close about 110 store locations</t>
        </r>
      </text>
    </comment>
    <comment ref="L14" authorId="7">
      <text>
        <r>
          <rPr>
            <sz val="8"/>
            <color indexed="81"/>
            <rFont val="Tahoma"/>
            <family val="2"/>
          </rPr>
          <t xml:space="preserve">actual # physical  stores at YE 2,848
Since the beginning of fiscal 2000, Gap brand stores have been reported
    based on concepts. Any Gap Adult, GapKids, babyGap or GapBody that meets a
    certain square footage threshold has been counted as a store, even when
    residing within a single physical location. The number of stores by location
    at the end of fiscal 2001 and 2000 was 3,097 and 2,848, respectively.
</t>
        </r>
      </text>
    </comment>
    <comment ref="AD14" authorId="8">
      <text>
        <r>
          <rPr>
            <b/>
            <sz val="9"/>
            <color indexed="81"/>
            <rFont val="Tahoma"/>
            <family val="2"/>
          </rPr>
          <t>De Courreges, Edouard (Research):</t>
        </r>
        <r>
          <rPr>
            <sz val="9"/>
            <color indexed="81"/>
            <rFont val="Tahoma"/>
            <family val="2"/>
          </rPr>
          <t xml:space="preserve">
3Q17 EPS
we're accelerating our store closure plans
and now expect to complete the initially identified closures by the end of 2018.
GS conference:
"next few years"
-200 stores in specialty
+270-300  stores active and value</t>
        </r>
      </text>
    </comment>
    <comment ref="AA23" authorId="9">
      <text>
        <r>
          <rPr>
            <b/>
            <sz val="9"/>
            <color indexed="81"/>
            <rFont val="Tahoma"/>
            <family val="2"/>
          </rPr>
          <t>casselau:</t>
        </r>
        <r>
          <rPr>
            <sz val="9"/>
            <color indexed="81"/>
            <rFont val="Tahoma"/>
            <family val="2"/>
          </rPr>
          <t xml:space="preserve">
expect +2.5%</t>
        </r>
      </text>
    </comment>
    <comment ref="AB23" authorId="10">
      <text>
        <r>
          <rPr>
            <b/>
            <sz val="9"/>
            <color indexed="81"/>
            <rFont val="Tahoma"/>
            <family val="2"/>
          </rPr>
          <t>Roberts, Cynthia (Research):</t>
        </r>
        <r>
          <rPr>
            <sz val="9"/>
            <color indexed="81"/>
            <rFont val="Tahoma"/>
            <family val="2"/>
          </rPr>
          <t xml:space="preserve">
11/17/16
guidance: -3% vs prior -2% due to addtl Gap [brand] store closures </t>
        </r>
      </text>
    </comment>
    <comment ref="R26" authorId="4">
      <text>
        <r>
          <rPr>
            <b/>
            <sz val="8"/>
            <color indexed="81"/>
            <rFont val="Tahoma"/>
            <family val="2"/>
          </rPr>
          <t>mm98285:</t>
        </r>
        <r>
          <rPr>
            <sz val="8"/>
            <color indexed="81"/>
            <rFont val="Tahoma"/>
            <family val="2"/>
          </rPr>
          <t xml:space="preserve">
8/06: expect to increase 2-3%</t>
        </r>
      </text>
    </comment>
    <comment ref="S26" authorId="1">
      <text>
        <r>
          <rPr>
            <b/>
            <u/>
            <sz val="8"/>
            <color indexed="81"/>
            <rFont val="Tahoma"/>
            <family val="2"/>
          </rPr>
          <t>3Q07-10Q:</t>
        </r>
        <r>
          <rPr>
            <sz val="8"/>
            <color indexed="81"/>
            <rFont val="Tahoma"/>
            <family val="2"/>
          </rPr>
          <t xml:space="preserve">
Expect to increase ~+1%
Expect to open 230 and close 200</t>
        </r>
      </text>
    </comment>
    <comment ref="T26" authorId="1">
      <text>
        <r>
          <rPr>
            <b/>
            <sz val="8"/>
            <color indexed="81"/>
            <rFont val="Tahoma"/>
            <family val="2"/>
          </rPr>
          <t>OC48540:</t>
        </r>
        <r>
          <rPr>
            <sz val="8"/>
            <color indexed="81"/>
            <rFont val="Tahoma"/>
            <family val="2"/>
          </rPr>
          <t xml:space="preserve">
11/20:
The company continues to expect that it will open about 100 stores and close about 115 stores for fiscal year 2008, including repositions. The company continues to expect that net square footage will remain roughly flat in fiscal year 2008 over last year.
5/28/08: Guiding to ~0%
Guided to up less than 0.5%</t>
        </r>
      </text>
    </comment>
    <comment ref="U26" authorId="0">
      <text>
        <r>
          <rPr>
            <sz val="8"/>
            <color indexed="81"/>
            <rFont val="Tahoma"/>
            <family val="2"/>
          </rPr>
          <t>11/25: 50 store openings and 100 closures, and net
square footage decline of ~-2%.</t>
        </r>
        <r>
          <rPr>
            <b/>
            <sz val="8"/>
            <color indexed="81"/>
            <rFont val="Tahoma"/>
            <family val="2"/>
          </rPr>
          <t xml:space="preserve">
</t>
        </r>
        <r>
          <rPr>
            <sz val="8"/>
            <color indexed="81"/>
            <rFont val="Tahoma"/>
            <family val="2"/>
          </rPr>
          <t xml:space="preserve">2/26/09: </t>
        </r>
        <r>
          <rPr>
            <sz val="8"/>
            <color indexed="81"/>
            <rFont val="Tahoma"/>
            <family val="2"/>
          </rPr>
          <t>For FY09, the company expects to open about 50 stores with about half located outside the U.S. and the remaining weighted towards the Outlet business. The company expects that it will close about 100 stores, weighted towards Gap brand. Square footage is expected to decrease -2% for FY09.</t>
        </r>
      </text>
    </comment>
    <comment ref="V26" authorId="0">
      <text>
        <r>
          <rPr>
            <b/>
            <sz val="8"/>
            <color indexed="81"/>
            <rFont val="Tahoma"/>
            <family val="2"/>
          </rPr>
          <t>oc48540:</t>
        </r>
        <r>
          <rPr>
            <sz val="8"/>
            <color indexed="81"/>
            <rFont val="Tahoma"/>
            <family val="2"/>
          </rPr>
          <t xml:space="preserve">
2/25/10:
Down about 3%</t>
        </r>
      </text>
    </comment>
    <comment ref="AB26" authorId="6">
      <text>
        <r>
          <rPr>
            <b/>
            <sz val="9"/>
            <color indexed="81"/>
            <rFont val="Tahoma"/>
            <family val="2"/>
          </rPr>
          <t>Cassel, Lauren (Research):</t>
        </r>
        <r>
          <rPr>
            <sz val="9"/>
            <color indexed="81"/>
            <rFont val="Tahoma"/>
            <family val="2"/>
          </rPr>
          <t xml:space="preserve">
2/23/17: -3%</t>
        </r>
      </text>
    </comment>
    <comment ref="Y35" authorId="11">
      <text>
        <r>
          <rPr>
            <b/>
            <sz val="8"/>
            <color indexed="81"/>
            <rFont val="Tahoma"/>
            <family val="2"/>
          </rPr>
          <t>solejay:</t>
        </r>
        <r>
          <rPr>
            <sz val="8"/>
            <color indexed="81"/>
            <rFont val="Tahoma"/>
            <family val="2"/>
          </rPr>
          <t xml:space="preserve">
includes direct</t>
        </r>
      </text>
    </comment>
    <comment ref="Z35" authorId="11">
      <text>
        <r>
          <rPr>
            <b/>
            <sz val="8"/>
            <color indexed="81"/>
            <rFont val="Tahoma"/>
            <family val="2"/>
          </rPr>
          <t>solejay:</t>
        </r>
        <r>
          <rPr>
            <sz val="8"/>
            <color indexed="81"/>
            <rFont val="Tahoma"/>
            <family val="2"/>
          </rPr>
          <t xml:space="preserve">
includes direct</t>
        </r>
      </text>
    </comment>
    <comment ref="AA35" authorId="11">
      <text>
        <r>
          <rPr>
            <b/>
            <sz val="8"/>
            <color indexed="81"/>
            <rFont val="Tahoma"/>
            <family val="2"/>
          </rPr>
          <t>solejay:</t>
        </r>
        <r>
          <rPr>
            <sz val="8"/>
            <color indexed="81"/>
            <rFont val="Tahoma"/>
            <family val="2"/>
          </rPr>
          <t xml:space="preserve">
includes direct</t>
        </r>
      </text>
    </comment>
    <comment ref="X43" authorId="11">
      <text>
        <r>
          <rPr>
            <b/>
            <sz val="8"/>
            <color indexed="81"/>
            <rFont val="Tahoma"/>
            <family val="2"/>
          </rPr>
          <t>solejay:</t>
        </r>
        <r>
          <rPr>
            <sz val="8"/>
            <color indexed="81"/>
            <rFont val="Tahoma"/>
            <family val="2"/>
          </rPr>
          <t xml:space="preserve">
change formula to reflect direct in comp</t>
        </r>
      </text>
    </comment>
    <comment ref="AC43" authorId="2">
      <text>
        <r>
          <rPr>
            <b/>
            <sz val="9"/>
            <color indexed="81"/>
            <rFont val="Tahoma"/>
            <family val="2"/>
          </rPr>
          <t>Baglione, Gregory  (Research):</t>
        </r>
        <r>
          <rPr>
            <sz val="9"/>
            <color indexed="81"/>
            <rFont val="Tahoma"/>
            <family val="2"/>
          </rPr>
          <t xml:space="preserve">
</t>
        </r>
        <r>
          <rPr>
            <b/>
            <sz val="9"/>
            <color indexed="81"/>
            <rFont val="Tahoma"/>
            <family val="2"/>
          </rPr>
          <t xml:space="preserve">75 BR store closures </t>
        </r>
        <r>
          <rPr>
            <sz val="9"/>
            <color indexed="81"/>
            <rFont val="Tahoma"/>
            <family val="2"/>
          </rPr>
          <t xml:space="preserve">
2017e Sales
2016e $2.5B
-$62M store closures impact
+$25M 53rd week
Yields $$2.440B</t>
        </r>
      </text>
    </comment>
    <comment ref="R49" authorId="12">
      <text>
        <r>
          <rPr>
            <b/>
            <sz val="8"/>
            <color indexed="81"/>
            <rFont val="Tahoma"/>
            <family val="2"/>
          </rPr>
          <t>nicholjs:</t>
        </r>
        <r>
          <rPr>
            <sz val="8"/>
            <color indexed="81"/>
            <rFont val="Tahoma"/>
            <family val="2"/>
          </rPr>
          <t xml:space="preserve">
3/2011: ended 2006 with 436 full price stores and 85 outlet stores</t>
        </r>
      </text>
    </comment>
    <comment ref="V49" authorId="12">
      <text>
        <r>
          <rPr>
            <b/>
            <sz val="8"/>
            <color indexed="81"/>
            <rFont val="Tahoma"/>
            <family val="2"/>
          </rPr>
          <t>nicholjs:</t>
        </r>
        <r>
          <rPr>
            <sz val="8"/>
            <color indexed="81"/>
            <rFont val="Tahoma"/>
            <family val="2"/>
          </rPr>
          <t xml:space="preserve">
3/2011: ended 2010 with 456 full price and 120 outlet stores</t>
        </r>
      </text>
    </comment>
    <comment ref="Y49" authorId="12">
      <text>
        <r>
          <rPr>
            <b/>
            <sz val="8"/>
            <color indexed="81"/>
            <rFont val="Tahoma"/>
            <family val="2"/>
          </rPr>
          <t>nicholjs:</t>
        </r>
        <r>
          <rPr>
            <sz val="8"/>
            <color indexed="81"/>
            <rFont val="Tahoma"/>
            <family val="2"/>
          </rPr>
          <t xml:space="preserve">
3/2011: projection for 425 full price stores and 150 outlet stores; 575 total</t>
        </r>
      </text>
    </comment>
    <comment ref="Y69" authorId="11">
      <text>
        <r>
          <rPr>
            <b/>
            <sz val="8"/>
            <color indexed="81"/>
            <rFont val="Tahoma"/>
            <family val="2"/>
          </rPr>
          <t>solejay:</t>
        </r>
        <r>
          <rPr>
            <sz val="8"/>
            <color indexed="81"/>
            <rFont val="Tahoma"/>
            <family val="2"/>
          </rPr>
          <t xml:space="preserve">
includes direct</t>
        </r>
      </text>
    </comment>
    <comment ref="Z69" authorId="11">
      <text>
        <r>
          <rPr>
            <b/>
            <sz val="8"/>
            <color indexed="81"/>
            <rFont val="Tahoma"/>
            <family val="2"/>
          </rPr>
          <t>solejay:</t>
        </r>
        <r>
          <rPr>
            <sz val="8"/>
            <color indexed="81"/>
            <rFont val="Tahoma"/>
            <family val="2"/>
          </rPr>
          <t xml:space="preserve">
includes direct</t>
        </r>
      </text>
    </comment>
    <comment ref="AA69" authorId="11">
      <text>
        <r>
          <rPr>
            <b/>
            <sz val="8"/>
            <color indexed="81"/>
            <rFont val="Tahoma"/>
            <family val="2"/>
          </rPr>
          <t>solejay:</t>
        </r>
        <r>
          <rPr>
            <sz val="8"/>
            <color indexed="81"/>
            <rFont val="Tahoma"/>
            <family val="2"/>
          </rPr>
          <t xml:space="preserve">
includes direct</t>
        </r>
      </text>
    </comment>
    <comment ref="AC70" authorId="2">
      <text>
        <r>
          <rPr>
            <b/>
            <sz val="9"/>
            <color indexed="81"/>
            <rFont val="Tahoma"/>
            <family val="2"/>
          </rPr>
          <t>Baglione, Gregory  (Research):</t>
        </r>
        <r>
          <rPr>
            <sz val="9"/>
            <color indexed="81"/>
            <rFont val="Tahoma"/>
            <family val="2"/>
          </rPr>
          <t xml:space="preserve">
</t>
        </r>
        <r>
          <rPr>
            <b/>
            <sz val="9"/>
            <color indexed="81"/>
            <rFont val="Tahoma"/>
            <family val="2"/>
          </rPr>
          <t xml:space="preserve">75 BR store closures </t>
        </r>
        <r>
          <rPr>
            <sz val="9"/>
            <color indexed="81"/>
            <rFont val="Tahoma"/>
            <family val="2"/>
          </rPr>
          <t xml:space="preserve">
2017e Sales
2016e $2.5B
-$62M store closures impact
+$25M 53rd week
Yields $$2.440B</t>
        </r>
      </text>
    </comment>
    <comment ref="AD70" authorId="2">
      <text>
        <r>
          <rPr>
            <b/>
            <sz val="9"/>
            <color indexed="81"/>
            <rFont val="Tahoma"/>
            <family val="2"/>
          </rPr>
          <t>Baglione, Gregory  (Research):</t>
        </r>
        <r>
          <rPr>
            <sz val="9"/>
            <color indexed="81"/>
            <rFont val="Tahoma"/>
            <family val="2"/>
          </rPr>
          <t xml:space="preserve">
</t>
        </r>
        <r>
          <rPr>
            <b/>
            <sz val="9"/>
            <color indexed="81"/>
            <rFont val="Tahoma"/>
            <family val="2"/>
          </rPr>
          <t xml:space="preserve">75 BR store closures </t>
        </r>
        <r>
          <rPr>
            <sz val="9"/>
            <color indexed="81"/>
            <rFont val="Tahoma"/>
            <family val="2"/>
          </rPr>
          <t xml:space="preserve">
2017e Sales
2016e $2.5B
-$62M store closures impact
+$25M 53rd week
Yields $$2.440B</t>
        </r>
      </text>
    </comment>
    <comment ref="U72" authorId="11">
      <text>
        <r>
          <rPr>
            <sz val="8"/>
            <color indexed="81"/>
            <rFont val="Tahoma"/>
            <family val="2"/>
          </rPr>
          <t>manual adjustment</t>
        </r>
      </text>
    </comment>
    <comment ref="X82" authorId="11">
      <text>
        <r>
          <rPr>
            <b/>
            <sz val="8"/>
            <color indexed="81"/>
            <rFont val="Tahoma"/>
            <family val="2"/>
          </rPr>
          <t>solejay:</t>
        </r>
        <r>
          <rPr>
            <sz val="8"/>
            <color indexed="81"/>
            <rFont val="Tahoma"/>
            <family val="2"/>
          </rPr>
          <t xml:space="preserve">
change formula to reflect direct in comp</t>
        </r>
      </text>
    </comment>
    <comment ref="AC82" authorId="2">
      <text>
        <r>
          <rPr>
            <b/>
            <sz val="9"/>
            <color indexed="81"/>
            <rFont val="Tahoma"/>
            <family val="2"/>
          </rPr>
          <t>Baglione, Gregory  (Research):</t>
        </r>
        <r>
          <rPr>
            <sz val="9"/>
            <color indexed="81"/>
            <rFont val="Tahoma"/>
            <family val="2"/>
          </rPr>
          <t xml:space="preserve">
</t>
        </r>
        <r>
          <rPr>
            <b/>
            <sz val="9"/>
            <color indexed="81"/>
            <rFont val="Tahoma"/>
            <family val="2"/>
          </rPr>
          <t xml:space="preserve">75 BR store closures </t>
        </r>
        <r>
          <rPr>
            <sz val="9"/>
            <color indexed="81"/>
            <rFont val="Tahoma"/>
            <family val="2"/>
          </rPr>
          <t xml:space="preserve">
2017e Sales
2016e $2.5B
-$62M store closures impact
+$25M 53rd week
Yields $$2.440B</t>
        </r>
      </text>
    </comment>
    <comment ref="X83" authorId="11">
      <text>
        <r>
          <rPr>
            <b/>
            <sz val="8"/>
            <color indexed="81"/>
            <rFont val="Tahoma"/>
            <family val="2"/>
          </rPr>
          <t>solejay:</t>
        </r>
        <r>
          <rPr>
            <sz val="8"/>
            <color indexed="81"/>
            <rFont val="Tahoma"/>
            <family val="2"/>
          </rPr>
          <t xml:space="preserve">
adjusted for direct</t>
        </r>
      </text>
    </comment>
    <comment ref="R89" authorId="12">
      <text>
        <r>
          <rPr>
            <b/>
            <sz val="8"/>
            <color indexed="81"/>
            <rFont val="Tahoma"/>
            <family val="2"/>
          </rPr>
          <t>nicholjs:</t>
        </r>
        <r>
          <rPr>
            <sz val="8"/>
            <color indexed="81"/>
            <rFont val="Tahoma"/>
            <family val="2"/>
          </rPr>
          <t xml:space="preserve">
3/2011: ended 2006 with 436 full price stores and 85 outlet stores</t>
        </r>
      </text>
    </comment>
    <comment ref="V89" authorId="12">
      <text>
        <r>
          <rPr>
            <b/>
            <sz val="8"/>
            <color indexed="81"/>
            <rFont val="Tahoma"/>
            <family val="2"/>
          </rPr>
          <t>nicholjs:</t>
        </r>
        <r>
          <rPr>
            <sz val="8"/>
            <color indexed="81"/>
            <rFont val="Tahoma"/>
            <family val="2"/>
          </rPr>
          <t xml:space="preserve">
3/2011: ended 2010 with 456 full price and 120 outlet stores</t>
        </r>
      </text>
    </comment>
    <comment ref="Y89" authorId="12">
      <text>
        <r>
          <rPr>
            <b/>
            <sz val="8"/>
            <color indexed="81"/>
            <rFont val="Tahoma"/>
            <family val="2"/>
          </rPr>
          <t>nicholjs:</t>
        </r>
        <r>
          <rPr>
            <sz val="8"/>
            <color indexed="81"/>
            <rFont val="Tahoma"/>
            <family val="2"/>
          </rPr>
          <t xml:space="preserve">
3/2011: projection for 425 full price stores and 150 outlet stores; 575 total</t>
        </r>
      </text>
    </comment>
    <comment ref="Y109" authorId="11">
      <text>
        <r>
          <rPr>
            <b/>
            <sz val="8"/>
            <color indexed="81"/>
            <rFont val="Tahoma"/>
            <family val="2"/>
          </rPr>
          <t>solejay:</t>
        </r>
        <r>
          <rPr>
            <sz val="8"/>
            <color indexed="81"/>
            <rFont val="Tahoma"/>
            <family val="2"/>
          </rPr>
          <t xml:space="preserve">
includes direct</t>
        </r>
      </text>
    </comment>
    <comment ref="Z109" authorId="11">
      <text>
        <r>
          <rPr>
            <b/>
            <sz val="8"/>
            <color indexed="81"/>
            <rFont val="Tahoma"/>
            <family val="2"/>
          </rPr>
          <t>solejay:</t>
        </r>
        <r>
          <rPr>
            <sz val="8"/>
            <color indexed="81"/>
            <rFont val="Tahoma"/>
            <family val="2"/>
          </rPr>
          <t xml:space="preserve">
includes direct</t>
        </r>
      </text>
    </comment>
    <comment ref="AA109" authorId="11">
      <text>
        <r>
          <rPr>
            <b/>
            <sz val="8"/>
            <color indexed="81"/>
            <rFont val="Tahoma"/>
            <family val="2"/>
          </rPr>
          <t>solejay:</t>
        </r>
        <r>
          <rPr>
            <sz val="8"/>
            <color indexed="81"/>
            <rFont val="Tahoma"/>
            <family val="2"/>
          </rPr>
          <t xml:space="preserve">
includes direct</t>
        </r>
      </text>
    </comment>
    <comment ref="AC110" authorId="2">
      <text>
        <r>
          <rPr>
            <b/>
            <sz val="9"/>
            <color indexed="81"/>
            <rFont val="Tahoma"/>
            <family val="2"/>
          </rPr>
          <t>Baglione, Gregory  (Research):</t>
        </r>
        <r>
          <rPr>
            <sz val="9"/>
            <color indexed="81"/>
            <rFont val="Tahoma"/>
            <family val="2"/>
          </rPr>
          <t xml:space="preserve">
</t>
        </r>
        <r>
          <rPr>
            <b/>
            <sz val="9"/>
            <color indexed="81"/>
            <rFont val="Tahoma"/>
            <family val="2"/>
          </rPr>
          <t xml:space="preserve">75 BR store closures </t>
        </r>
        <r>
          <rPr>
            <sz val="9"/>
            <color indexed="81"/>
            <rFont val="Tahoma"/>
            <family val="2"/>
          </rPr>
          <t xml:space="preserve">
2017e Sales
2016e $2.5B
-$62M store closures impact
+$25M 53rd week
Yields $$2.440B</t>
        </r>
      </text>
    </comment>
    <comment ref="U112" authorId="11">
      <text>
        <r>
          <rPr>
            <sz val="8"/>
            <color indexed="81"/>
            <rFont val="Tahoma"/>
            <family val="2"/>
          </rPr>
          <t>manual adjustment</t>
        </r>
      </text>
    </comment>
    <comment ref="X122" authorId="11">
      <text>
        <r>
          <rPr>
            <b/>
            <sz val="8"/>
            <color indexed="81"/>
            <rFont val="Tahoma"/>
            <family val="2"/>
          </rPr>
          <t>solejay:</t>
        </r>
        <r>
          <rPr>
            <sz val="8"/>
            <color indexed="81"/>
            <rFont val="Tahoma"/>
            <family val="2"/>
          </rPr>
          <t xml:space="preserve">
change formula to reflect direct in comp</t>
        </r>
      </text>
    </comment>
    <comment ref="AC122" authorId="2">
      <text>
        <r>
          <rPr>
            <b/>
            <sz val="9"/>
            <color indexed="81"/>
            <rFont val="Tahoma"/>
            <family val="2"/>
          </rPr>
          <t>Baglione, Gregory  (Research):</t>
        </r>
        <r>
          <rPr>
            <sz val="9"/>
            <color indexed="81"/>
            <rFont val="Tahoma"/>
            <family val="2"/>
          </rPr>
          <t xml:space="preserve">
1/5/17
2016e $6.813B sales
+ 53rd week 1% ~$70-80M
-$125M store closures (see notes above) (~2/3 $190M remaining from intl. exit)
+1% comp ~$68M
2017e $6.9B
</t>
        </r>
      </text>
    </comment>
    <comment ref="X123" authorId="11">
      <text>
        <r>
          <rPr>
            <b/>
            <sz val="8"/>
            <color indexed="81"/>
            <rFont val="Tahoma"/>
            <family val="2"/>
          </rPr>
          <t>solejay:</t>
        </r>
        <r>
          <rPr>
            <sz val="8"/>
            <color indexed="81"/>
            <rFont val="Tahoma"/>
            <family val="2"/>
          </rPr>
          <t xml:space="preserve">
adjusted for direct</t>
        </r>
      </text>
    </comment>
    <comment ref="R129" authorId="12">
      <text>
        <r>
          <rPr>
            <b/>
            <sz val="8"/>
            <color indexed="81"/>
            <rFont val="Tahoma"/>
            <family val="2"/>
          </rPr>
          <t>nicholjs:</t>
        </r>
        <r>
          <rPr>
            <sz val="8"/>
            <color indexed="81"/>
            <rFont val="Tahoma"/>
            <family val="2"/>
          </rPr>
          <t xml:space="preserve">
3/2011: all full price</t>
        </r>
      </text>
    </comment>
    <comment ref="V129" authorId="12">
      <text>
        <r>
          <rPr>
            <b/>
            <sz val="8"/>
            <color indexed="81"/>
            <rFont val="Tahoma"/>
            <family val="2"/>
          </rPr>
          <t>nicholjs:</t>
        </r>
        <r>
          <rPr>
            <sz val="8"/>
            <color indexed="81"/>
            <rFont val="Tahoma"/>
            <family val="2"/>
          </rPr>
          <t xml:space="preserve">
3/2011: ended 2010 with 1,027 full price stores; no outlet</t>
        </r>
      </text>
    </comment>
    <comment ref="Y129" authorId="12">
      <text>
        <r>
          <rPr>
            <b/>
            <sz val="8"/>
            <color indexed="81"/>
            <rFont val="Tahoma"/>
            <family val="2"/>
          </rPr>
          <t>nicholjs:</t>
        </r>
        <r>
          <rPr>
            <sz val="8"/>
            <color indexed="81"/>
            <rFont val="Tahoma"/>
            <family val="2"/>
          </rPr>
          <t xml:space="preserve">
3/2011: projection for 950 full price stores; 0 outlet, or 950 total stores</t>
        </r>
      </text>
    </comment>
    <comment ref="Y148" authorId="11">
      <text>
        <r>
          <rPr>
            <b/>
            <sz val="8"/>
            <color indexed="81"/>
            <rFont val="Tahoma"/>
            <family val="2"/>
          </rPr>
          <t>solejay:</t>
        </r>
        <r>
          <rPr>
            <sz val="8"/>
            <color indexed="81"/>
            <rFont val="Tahoma"/>
            <family val="2"/>
          </rPr>
          <t xml:space="preserve">
includes direct</t>
        </r>
      </text>
    </comment>
    <comment ref="Z148" authorId="11">
      <text>
        <r>
          <rPr>
            <b/>
            <sz val="8"/>
            <color indexed="81"/>
            <rFont val="Tahoma"/>
            <family val="2"/>
          </rPr>
          <t>solejay:</t>
        </r>
        <r>
          <rPr>
            <sz val="8"/>
            <color indexed="81"/>
            <rFont val="Tahoma"/>
            <family val="2"/>
          </rPr>
          <t xml:space="preserve">
includes direct</t>
        </r>
      </text>
    </comment>
    <comment ref="AA148" authorId="11">
      <text>
        <r>
          <rPr>
            <b/>
            <sz val="8"/>
            <color indexed="81"/>
            <rFont val="Tahoma"/>
            <family val="2"/>
          </rPr>
          <t>solejay:</t>
        </r>
        <r>
          <rPr>
            <sz val="8"/>
            <color indexed="81"/>
            <rFont val="Tahoma"/>
            <family val="2"/>
          </rPr>
          <t xml:space="preserve">
includes direct</t>
        </r>
      </text>
    </comment>
    <comment ref="AC148" authorId="2">
      <text>
        <r>
          <rPr>
            <b/>
            <sz val="9"/>
            <color indexed="81"/>
            <rFont val="Tahoma"/>
            <family val="2"/>
          </rPr>
          <t>Baglione, Gregory  (Research):</t>
        </r>
        <r>
          <rPr>
            <sz val="9"/>
            <color indexed="81"/>
            <rFont val="Tahoma"/>
            <family val="2"/>
          </rPr>
          <t xml:space="preserve">
11/7/16 Raising 2017e comp to +0.5% from -0/5%
5/9/16
Lowering ON comp to +0.5% from +1.0%</t>
        </r>
      </text>
    </comment>
    <comment ref="AC149" authorId="2">
      <text>
        <r>
          <rPr>
            <b/>
            <sz val="9"/>
            <color indexed="81"/>
            <rFont val="Tahoma"/>
            <family val="2"/>
          </rPr>
          <t>Baglione, Gregory  (Research):</t>
        </r>
        <r>
          <rPr>
            <sz val="9"/>
            <color indexed="81"/>
            <rFont val="Tahoma"/>
            <family val="2"/>
          </rPr>
          <t xml:space="preserve">
1/5/17
2016e $6.813B sales
+ 53rd week 1% ~$68M
-$125M store closures (see notes above) (~2/3 $190M remaining from intl. exit)
+1% comp ~$68M
2017e $6.824B
</t>
        </r>
      </text>
    </comment>
    <comment ref="AD149" authorId="3">
      <text>
        <r>
          <rPr>
            <b/>
            <sz val="9"/>
            <color indexed="81"/>
            <rFont val="Tahoma"/>
            <family val="2"/>
          </rPr>
          <t>Baglione, Gregory (Research):</t>
        </r>
        <r>
          <rPr>
            <sz val="9"/>
            <color indexed="81"/>
            <rFont val="Tahoma"/>
            <family val="2"/>
          </rPr>
          <t xml:space="preserve">
1/5/17
Assumes ON returns to 1-1.5% spread offset by reversal of 53rd week.</t>
        </r>
      </text>
    </comment>
    <comment ref="W171" authorId="13">
      <text>
        <r>
          <rPr>
            <b/>
            <sz val="9"/>
            <color indexed="81"/>
            <rFont val="Tahoma"/>
            <family val="2"/>
          </rPr>
          <t>turleamb:</t>
        </r>
        <r>
          <rPr>
            <sz val="9"/>
            <color indexed="81"/>
            <rFont val="Tahoma"/>
            <family val="2"/>
          </rPr>
          <t xml:space="preserve">
skewed b/c it was previously a catalog business - catalogue and online are included in the sales number</t>
        </r>
      </text>
    </comment>
    <comment ref="L196" authorId="14">
      <text>
        <r>
          <rPr>
            <b/>
            <sz val="8"/>
            <color indexed="81"/>
            <rFont val="Tahoma"/>
            <family val="2"/>
          </rPr>
          <t>Morry Brown:</t>
        </r>
        <r>
          <rPr>
            <sz val="8"/>
            <color indexed="81"/>
            <rFont val="Tahoma"/>
            <family val="2"/>
          </rPr>
          <t xml:space="preserve">
Reclassified as Gap North America - previously was Gap domestic</t>
        </r>
      </text>
    </comment>
    <comment ref="M196" authorId="14">
      <text>
        <r>
          <rPr>
            <b/>
            <sz val="8"/>
            <color indexed="81"/>
            <rFont val="Tahoma"/>
            <family val="2"/>
          </rPr>
          <t>Morry Brown:</t>
        </r>
        <r>
          <rPr>
            <sz val="8"/>
            <color indexed="81"/>
            <rFont val="Tahoma"/>
            <family val="2"/>
          </rPr>
          <t xml:space="preserve">
Reclassified as Gap North America - previously was Gap domestic</t>
        </r>
      </text>
    </comment>
    <comment ref="N196" authorId="14">
      <text>
        <r>
          <rPr>
            <b/>
            <sz val="8"/>
            <color indexed="81"/>
            <rFont val="Tahoma"/>
            <family val="2"/>
          </rPr>
          <t>Morry Brown:</t>
        </r>
        <r>
          <rPr>
            <sz val="8"/>
            <color indexed="81"/>
            <rFont val="Tahoma"/>
            <family val="2"/>
          </rPr>
          <t xml:space="preserve">
Reclassified as Gap North America - previously was Gap domestic</t>
        </r>
      </text>
    </comment>
    <comment ref="O196" authorId="14">
      <text>
        <r>
          <rPr>
            <b/>
            <sz val="8"/>
            <color indexed="81"/>
            <rFont val="Tahoma"/>
            <family val="2"/>
          </rPr>
          <t>Morry Brown:</t>
        </r>
        <r>
          <rPr>
            <sz val="8"/>
            <color indexed="81"/>
            <rFont val="Tahoma"/>
            <family val="2"/>
          </rPr>
          <t xml:space="preserve">
Reclassified as Gap North America - previously was Gap domestic</t>
        </r>
      </text>
    </comment>
    <comment ref="P196" authorId="14">
      <text>
        <r>
          <rPr>
            <b/>
            <sz val="8"/>
            <color indexed="81"/>
            <rFont val="Tahoma"/>
            <family val="2"/>
          </rPr>
          <t>Morry Brown:</t>
        </r>
        <r>
          <rPr>
            <sz val="8"/>
            <color indexed="81"/>
            <rFont val="Tahoma"/>
            <family val="2"/>
          </rPr>
          <t xml:space="preserve">
Reclassified as Gap North America - previously was Gap domestic</t>
        </r>
      </text>
    </comment>
    <comment ref="X197" authorId="11">
      <text>
        <r>
          <rPr>
            <b/>
            <sz val="8"/>
            <color indexed="81"/>
            <rFont val="Tahoma"/>
            <family val="2"/>
          </rPr>
          <t>solejay:</t>
        </r>
        <r>
          <rPr>
            <sz val="8"/>
            <color indexed="81"/>
            <rFont val="Tahoma"/>
            <family val="2"/>
          </rPr>
          <t xml:space="preserve">
adjusted for direct</t>
        </r>
      </text>
    </comment>
    <comment ref="AA205" authorId="9">
      <text>
        <r>
          <rPr>
            <b/>
            <sz val="9"/>
            <color indexed="81"/>
            <rFont val="Tahoma"/>
            <family val="2"/>
          </rPr>
          <t>casselau:</t>
        </r>
        <r>
          <rPr>
            <sz val="9"/>
            <color indexed="81"/>
            <rFont val="Tahoma"/>
            <family val="2"/>
          </rPr>
          <t xml:space="preserve">
6/16/15: Gap will close about 175 specialty stores in North America over the next few years, with about 140 closures occurring this fiscal year. These changes will not impact Gap Outlet and Gap Factory Stores. In parallel with these moves, the brand will close a limited number of European stores during this period. </t>
        </r>
      </text>
    </comment>
    <comment ref="R206" authorId="12">
      <text>
        <r>
          <rPr>
            <b/>
            <sz val="8"/>
            <color indexed="81"/>
            <rFont val="Tahoma"/>
            <family val="2"/>
          </rPr>
          <t>nicholjs:</t>
        </r>
        <r>
          <rPr>
            <sz val="8"/>
            <color indexed="81"/>
            <rFont val="Tahoma"/>
            <family val="2"/>
          </rPr>
          <t xml:space="preserve">
3/2011: ended 2006 with 1,113 full price and 180 outlet stores</t>
        </r>
      </text>
    </comment>
    <comment ref="S206" authorId="0">
      <text>
        <r>
          <rPr>
            <b/>
            <sz val="8"/>
            <color indexed="81"/>
            <rFont val="Tahoma"/>
            <family val="2"/>
          </rPr>
          <t>oc48540:</t>
        </r>
        <r>
          <rPr>
            <sz val="8"/>
            <color indexed="81"/>
            <rFont val="Tahoma"/>
            <family val="2"/>
          </rPr>
          <t xml:space="preserve">
GPS has closed over ~960 stores since 2000 and has
reduced Gap adult distribution points from ~1,100 in North America to ~825
today. Many of Gap's similarly priced competitors operate more stores than
Gap Adult, including American Eagle Outfitters (~925) and Pacific Sunwear
(~950) leading us to believe Gap Adult maintains an appropriate number of
stores. Gap Brand’s point of distribution include &gt;200 Gap Body stores, ~700
Gap Kids Stores, ~700 Gap Baby, and ~825 Gap Adult locations.</t>
        </r>
      </text>
    </comment>
    <comment ref="V206" authorId="12">
      <text>
        <r>
          <rPr>
            <b/>
            <sz val="8"/>
            <color indexed="81"/>
            <rFont val="Tahoma"/>
            <family val="2"/>
          </rPr>
          <t>nicholjs:</t>
        </r>
        <r>
          <rPr>
            <sz val="8"/>
            <color indexed="81"/>
            <rFont val="Tahoma"/>
            <family val="2"/>
          </rPr>
          <t xml:space="preserve">
3/2011: ended 2010 with 909 full price and 202 outlet stores</t>
        </r>
      </text>
    </comment>
    <comment ref="Y206" authorId="12">
      <text>
        <r>
          <rPr>
            <b/>
            <sz val="8"/>
            <color indexed="81"/>
            <rFont val="Tahoma"/>
            <family val="2"/>
          </rPr>
          <t>nicholjs:</t>
        </r>
        <r>
          <rPr>
            <sz val="8"/>
            <color indexed="81"/>
            <rFont val="Tahoma"/>
            <family val="2"/>
          </rPr>
          <t xml:space="preserve">
6/2011: eventually get down to 700 full price stores in Gap NA, hopefully by 2012 (at Piper conference).  Over LT want to have about 250 outlets or 950 total by 2013.</t>
        </r>
      </text>
    </comment>
    <comment ref="AD206" authorId="9">
      <text>
        <r>
          <rPr>
            <b/>
            <sz val="9"/>
            <color indexed="81"/>
            <rFont val="Tahoma"/>
            <family val="2"/>
          </rPr>
          <t>casselau:</t>
        </r>
        <r>
          <rPr>
            <sz val="9"/>
            <color indexed="81"/>
            <rFont val="Tahoma"/>
            <family val="2"/>
          </rPr>
          <t xml:space="preserve">
6/16/15: 800 goal (500 full price, 300 outlet)</t>
        </r>
      </text>
    </comment>
    <comment ref="L225" authorId="14">
      <text>
        <r>
          <rPr>
            <b/>
            <sz val="8"/>
            <color indexed="81"/>
            <rFont val="Tahoma"/>
            <family val="2"/>
          </rPr>
          <t>Morry Brown:</t>
        </r>
        <r>
          <rPr>
            <sz val="8"/>
            <color indexed="81"/>
            <rFont val="Tahoma"/>
            <family val="2"/>
          </rPr>
          <t xml:space="preserve">
Reclassified as Gap North America - previously was Gap domestic</t>
        </r>
      </text>
    </comment>
    <comment ref="M225" authorId="14">
      <text>
        <r>
          <rPr>
            <b/>
            <sz val="8"/>
            <color indexed="81"/>
            <rFont val="Tahoma"/>
            <family val="2"/>
          </rPr>
          <t>Morry Brown:</t>
        </r>
        <r>
          <rPr>
            <sz val="8"/>
            <color indexed="81"/>
            <rFont val="Tahoma"/>
            <family val="2"/>
          </rPr>
          <t xml:space="preserve">
Reclassified as Gap North America - previously was Gap domestic</t>
        </r>
      </text>
    </comment>
    <comment ref="N225" authorId="14">
      <text>
        <r>
          <rPr>
            <b/>
            <sz val="8"/>
            <color indexed="81"/>
            <rFont val="Tahoma"/>
            <family val="2"/>
          </rPr>
          <t>Morry Brown:</t>
        </r>
        <r>
          <rPr>
            <sz val="8"/>
            <color indexed="81"/>
            <rFont val="Tahoma"/>
            <family val="2"/>
          </rPr>
          <t xml:space="preserve">
Reclassified as Gap North America - previously was Gap domestic</t>
        </r>
      </text>
    </comment>
    <comment ref="O225" authorId="14">
      <text>
        <r>
          <rPr>
            <b/>
            <sz val="8"/>
            <color indexed="81"/>
            <rFont val="Tahoma"/>
            <family val="2"/>
          </rPr>
          <t>Morry Brown:</t>
        </r>
        <r>
          <rPr>
            <sz val="8"/>
            <color indexed="81"/>
            <rFont val="Tahoma"/>
            <family val="2"/>
          </rPr>
          <t xml:space="preserve">
Reclassified as Gap North America - previously was Gap domestic</t>
        </r>
      </text>
    </comment>
    <comment ref="P225" authorId="14">
      <text>
        <r>
          <rPr>
            <b/>
            <sz val="8"/>
            <color indexed="81"/>
            <rFont val="Tahoma"/>
            <family val="2"/>
          </rPr>
          <t>Morry Brown:</t>
        </r>
        <r>
          <rPr>
            <sz val="8"/>
            <color indexed="81"/>
            <rFont val="Tahoma"/>
            <family val="2"/>
          </rPr>
          <t xml:space="preserve">
Reclassified as Gap North America - previously was Gap domestic</t>
        </r>
      </text>
    </comment>
    <comment ref="Y225" authorId="11">
      <text>
        <r>
          <rPr>
            <b/>
            <sz val="8"/>
            <color indexed="81"/>
            <rFont val="Tahoma"/>
            <family val="2"/>
          </rPr>
          <t>solejay:</t>
        </r>
        <r>
          <rPr>
            <sz val="8"/>
            <color indexed="81"/>
            <rFont val="Tahoma"/>
            <family val="2"/>
          </rPr>
          <t xml:space="preserve">
includes direct</t>
        </r>
      </text>
    </comment>
    <comment ref="Z225" authorId="11">
      <text>
        <r>
          <rPr>
            <b/>
            <sz val="8"/>
            <color indexed="81"/>
            <rFont val="Tahoma"/>
            <family val="2"/>
          </rPr>
          <t>solejay:</t>
        </r>
        <r>
          <rPr>
            <sz val="8"/>
            <color indexed="81"/>
            <rFont val="Tahoma"/>
            <family val="2"/>
          </rPr>
          <t xml:space="preserve">
includes direct</t>
        </r>
      </text>
    </comment>
    <comment ref="AA225" authorId="11">
      <text>
        <r>
          <rPr>
            <b/>
            <sz val="8"/>
            <color indexed="81"/>
            <rFont val="Tahoma"/>
            <family val="2"/>
          </rPr>
          <t>solejay:</t>
        </r>
        <r>
          <rPr>
            <sz val="8"/>
            <color indexed="81"/>
            <rFont val="Tahoma"/>
            <family val="2"/>
          </rPr>
          <t xml:space="preserve">
includes direct</t>
        </r>
      </text>
    </comment>
    <comment ref="AC226" authorId="3">
      <text>
        <r>
          <rPr>
            <b/>
            <sz val="9"/>
            <color indexed="81"/>
            <rFont val="Tahoma"/>
            <family val="2"/>
          </rPr>
          <t>Baglione, Gregory (Research):</t>
        </r>
        <r>
          <rPr>
            <sz val="9"/>
            <color indexed="81"/>
            <rFont val="Tahoma"/>
            <family val="2"/>
          </rPr>
          <t xml:space="preserve">
53rd week ~1% sales spread, partially offset by 0.3% headwind from closures
Yields $5.4B</t>
        </r>
      </text>
    </comment>
    <comment ref="K238" authorId="15">
      <text>
        <r>
          <rPr>
            <sz val="8"/>
            <color indexed="81"/>
            <rFont val="Tahoma"/>
            <family val="2"/>
          </rPr>
          <t xml:space="preserve">11.3% of total sales </t>
        </r>
      </text>
    </comment>
    <comment ref="L238" authorId="14">
      <text>
        <r>
          <rPr>
            <b/>
            <sz val="8"/>
            <color indexed="81"/>
            <rFont val="Tahoma"/>
            <family val="2"/>
          </rPr>
          <t>Morry Brown:</t>
        </r>
        <r>
          <rPr>
            <sz val="8"/>
            <color indexed="81"/>
            <rFont val="Tahoma"/>
            <family val="2"/>
          </rPr>
          <t xml:space="preserve">
Reclassified as Gap North America - previously was Gap domestic</t>
        </r>
      </text>
    </comment>
    <comment ref="M238" authorId="14">
      <text>
        <r>
          <rPr>
            <b/>
            <sz val="8"/>
            <color indexed="81"/>
            <rFont val="Tahoma"/>
            <family val="2"/>
          </rPr>
          <t>Morry Brown:</t>
        </r>
        <r>
          <rPr>
            <sz val="8"/>
            <color indexed="81"/>
            <rFont val="Tahoma"/>
            <family val="2"/>
          </rPr>
          <t xml:space="preserve">
Reclassified as Gap North America - previously was Gap domestic</t>
        </r>
      </text>
    </comment>
    <comment ref="N238" authorId="14">
      <text>
        <r>
          <rPr>
            <b/>
            <sz val="8"/>
            <color indexed="81"/>
            <rFont val="Tahoma"/>
            <family val="2"/>
          </rPr>
          <t>Morry Brown:</t>
        </r>
        <r>
          <rPr>
            <sz val="8"/>
            <color indexed="81"/>
            <rFont val="Tahoma"/>
            <family val="2"/>
          </rPr>
          <t xml:space="preserve">
Reclassified as Gap North America - previously was Gap domestic</t>
        </r>
      </text>
    </comment>
    <comment ref="O238" authorId="14">
      <text>
        <r>
          <rPr>
            <b/>
            <sz val="8"/>
            <color indexed="81"/>
            <rFont val="Tahoma"/>
            <family val="2"/>
          </rPr>
          <t>Morry Brown:</t>
        </r>
        <r>
          <rPr>
            <sz val="8"/>
            <color indexed="81"/>
            <rFont val="Tahoma"/>
            <family val="2"/>
          </rPr>
          <t xml:space="preserve">
Reclassified as Gap North America - previously was Gap domestic</t>
        </r>
      </text>
    </comment>
    <comment ref="P238" authorId="14">
      <text>
        <r>
          <rPr>
            <b/>
            <sz val="8"/>
            <color indexed="81"/>
            <rFont val="Tahoma"/>
            <family val="2"/>
          </rPr>
          <t>Morry Brown:</t>
        </r>
        <r>
          <rPr>
            <sz val="8"/>
            <color indexed="81"/>
            <rFont val="Tahoma"/>
            <family val="2"/>
          </rPr>
          <t xml:space="preserve">
Reclassified as Gap North America - previously was Gap domestic</t>
        </r>
      </text>
    </comment>
    <comment ref="X238" authorId="11">
      <text>
        <r>
          <rPr>
            <b/>
            <sz val="8"/>
            <color indexed="81"/>
            <rFont val="Tahoma"/>
            <family val="2"/>
          </rPr>
          <t>solejay:</t>
        </r>
        <r>
          <rPr>
            <sz val="8"/>
            <color indexed="81"/>
            <rFont val="Tahoma"/>
            <family val="2"/>
          </rPr>
          <t xml:space="preserve">
change formula to reflect direct in comp</t>
        </r>
      </text>
    </comment>
    <comment ref="X239" authorId="11">
      <text>
        <r>
          <rPr>
            <b/>
            <sz val="8"/>
            <color indexed="81"/>
            <rFont val="Tahoma"/>
            <family val="2"/>
          </rPr>
          <t>solejay:</t>
        </r>
        <r>
          <rPr>
            <sz val="8"/>
            <color indexed="81"/>
            <rFont val="Tahoma"/>
            <family val="2"/>
          </rPr>
          <t xml:space="preserve">
adjusted for direct which includes piperlime and athleta</t>
        </r>
      </text>
    </comment>
    <comment ref="L267" authorId="14">
      <text>
        <r>
          <rPr>
            <b/>
            <sz val="8"/>
            <color indexed="81"/>
            <rFont val="Tahoma"/>
            <family val="2"/>
          </rPr>
          <t>Morry Brown:</t>
        </r>
        <r>
          <rPr>
            <sz val="8"/>
            <color indexed="81"/>
            <rFont val="Tahoma"/>
            <family val="2"/>
          </rPr>
          <t xml:space="preserve">
Reclassified as Gap North America - previously was Gap domestic</t>
        </r>
      </text>
    </comment>
    <comment ref="M267" authorId="14">
      <text>
        <r>
          <rPr>
            <b/>
            <sz val="8"/>
            <color indexed="81"/>
            <rFont val="Tahoma"/>
            <family val="2"/>
          </rPr>
          <t>Morry Brown:</t>
        </r>
        <r>
          <rPr>
            <sz val="8"/>
            <color indexed="81"/>
            <rFont val="Tahoma"/>
            <family val="2"/>
          </rPr>
          <t xml:space="preserve">
Reclassified as Gap North America - previously was Gap domestic</t>
        </r>
      </text>
    </comment>
    <comment ref="N267" authorId="14">
      <text>
        <r>
          <rPr>
            <b/>
            <sz val="8"/>
            <color indexed="81"/>
            <rFont val="Tahoma"/>
            <family val="2"/>
          </rPr>
          <t>Morry Brown:</t>
        </r>
        <r>
          <rPr>
            <sz val="8"/>
            <color indexed="81"/>
            <rFont val="Tahoma"/>
            <family val="2"/>
          </rPr>
          <t xml:space="preserve">
Reclassified as Gap North America - previously was Gap domestic</t>
        </r>
      </text>
    </comment>
    <comment ref="O267" authorId="14">
      <text>
        <r>
          <rPr>
            <b/>
            <sz val="8"/>
            <color indexed="81"/>
            <rFont val="Tahoma"/>
            <family val="2"/>
          </rPr>
          <t>Morry Brown:</t>
        </r>
        <r>
          <rPr>
            <sz val="8"/>
            <color indexed="81"/>
            <rFont val="Tahoma"/>
            <family val="2"/>
          </rPr>
          <t xml:space="preserve">
Reclassified as Gap North America - previously was Gap domestic</t>
        </r>
      </text>
    </comment>
    <comment ref="P267" authorId="14">
      <text>
        <r>
          <rPr>
            <b/>
            <sz val="8"/>
            <color indexed="81"/>
            <rFont val="Tahoma"/>
            <family val="2"/>
          </rPr>
          <t>Morry Brown:</t>
        </r>
        <r>
          <rPr>
            <sz val="8"/>
            <color indexed="81"/>
            <rFont val="Tahoma"/>
            <family val="2"/>
          </rPr>
          <t xml:space="preserve">
Reclassified as Gap North America - previously was Gap domestic</t>
        </r>
      </text>
    </comment>
    <comment ref="Y267" authorId="11">
      <text>
        <r>
          <rPr>
            <b/>
            <sz val="8"/>
            <color indexed="81"/>
            <rFont val="Tahoma"/>
            <family val="2"/>
          </rPr>
          <t>solejay:</t>
        </r>
        <r>
          <rPr>
            <sz val="8"/>
            <color indexed="81"/>
            <rFont val="Tahoma"/>
            <family val="2"/>
          </rPr>
          <t xml:space="preserve">
includes direct</t>
        </r>
      </text>
    </comment>
    <comment ref="Z267" authorId="11">
      <text>
        <r>
          <rPr>
            <b/>
            <sz val="8"/>
            <color indexed="81"/>
            <rFont val="Tahoma"/>
            <family val="2"/>
          </rPr>
          <t>solejay:</t>
        </r>
        <r>
          <rPr>
            <sz val="8"/>
            <color indexed="81"/>
            <rFont val="Tahoma"/>
            <family val="2"/>
          </rPr>
          <t xml:space="preserve">
includes direct</t>
        </r>
      </text>
    </comment>
    <comment ref="AA267" authorId="11">
      <text>
        <r>
          <rPr>
            <b/>
            <sz val="8"/>
            <color indexed="81"/>
            <rFont val="Tahoma"/>
            <family val="2"/>
          </rPr>
          <t>solejay:</t>
        </r>
        <r>
          <rPr>
            <sz val="8"/>
            <color indexed="81"/>
            <rFont val="Tahoma"/>
            <family val="2"/>
          </rPr>
          <t xml:space="preserve">
includes direct</t>
        </r>
      </text>
    </comment>
    <comment ref="Y268" authorId="11">
      <text>
        <r>
          <rPr>
            <b/>
            <sz val="8"/>
            <color indexed="81"/>
            <rFont val="Tahoma"/>
            <family val="2"/>
          </rPr>
          <t>solejay:</t>
        </r>
        <r>
          <rPr>
            <sz val="8"/>
            <color indexed="81"/>
            <rFont val="Tahoma"/>
            <family val="2"/>
          </rPr>
          <t xml:space="preserve">
Other includes our wholesale business, franchise business, Piperline, and Athleta.</t>
        </r>
      </text>
    </comment>
    <comment ref="Z268" authorId="11">
      <text>
        <r>
          <rPr>
            <b/>
            <sz val="8"/>
            <color indexed="81"/>
            <rFont val="Tahoma"/>
            <family val="2"/>
          </rPr>
          <t>solejay:</t>
        </r>
        <r>
          <rPr>
            <sz val="8"/>
            <color indexed="81"/>
            <rFont val="Tahoma"/>
            <family val="2"/>
          </rPr>
          <t xml:space="preserve">
Other includes our wholesale business, franchise business, Piperline, and Athleta.</t>
        </r>
      </text>
    </comment>
    <comment ref="AA268" authorId="11">
      <text>
        <r>
          <rPr>
            <b/>
            <sz val="8"/>
            <color indexed="81"/>
            <rFont val="Tahoma"/>
            <family val="2"/>
          </rPr>
          <t>solejay:</t>
        </r>
        <r>
          <rPr>
            <sz val="8"/>
            <color indexed="81"/>
            <rFont val="Tahoma"/>
            <family val="2"/>
          </rPr>
          <t xml:space="preserve">
Other includes our wholesale business, franchise business, Piperline, and Athleta.</t>
        </r>
      </text>
    </comment>
  </commentList>
</comments>
</file>

<file path=xl/comments7.xml><?xml version="1.0" encoding="utf-8"?>
<comments xmlns="http://schemas.openxmlformats.org/spreadsheetml/2006/main">
  <authors>
    <author>casselau</author>
    <author>Cassel, Lauren (Research)</author>
    <author>Mains, Spencer (Research)</author>
    <author>solejay</author>
    <author>Turley, Amber (Research)</author>
    <author>Baglione, Gregory  (Research)</author>
    <author>mm98285</author>
    <author>oc48540</author>
    <author>duol</author>
    <author>Lehman Brothers</author>
    <author>Kimberly Greenberger</author>
    <author>OC48540</author>
    <author>kimberlg</author>
    <author>MB33100</author>
    <author>nicholjs</author>
    <author>Roberts, Cynthia (Research)</author>
    <author>SB</author>
    <author>De Courreges, Edouard (Research)</author>
  </authors>
  <commentList>
    <comment ref="AA7" authorId="0">
      <text>
        <r>
          <rPr>
            <b/>
            <sz val="9"/>
            <color indexed="81"/>
            <rFont val="Tahoma"/>
            <family val="2"/>
          </rPr>
          <t>casselau:</t>
        </r>
        <r>
          <rPr>
            <sz val="9"/>
            <color indexed="81"/>
            <rFont val="Tahoma"/>
            <family val="2"/>
          </rPr>
          <t xml:space="preserve">
6/16/15: expect annualized sales loss of ~$300M associated with Gap store closures</t>
        </r>
      </text>
    </comment>
    <comment ref="AB7" authorId="0">
      <text>
        <r>
          <rPr>
            <b/>
            <sz val="9"/>
            <color indexed="81"/>
            <rFont val="Tahoma"/>
            <family val="2"/>
          </rPr>
          <t>casselau:</t>
        </r>
        <r>
          <rPr>
            <sz val="9"/>
            <color indexed="81"/>
            <rFont val="Tahoma"/>
            <family val="2"/>
          </rPr>
          <t xml:space="preserve">
6/16/15: expect annualized sales loss of ~$300M associated with Gap store closures
5/19/16
We assume GPS was impacted by 3/4 of the $250M sales loss in 2017
Closing 53 ON Japan
22 BR International
The company estimates that together these measures will result in annualized pre-tax savings of about $275 million and operating margin improvement of nearly 2 percentage points. The company estimates anannualized sales loss of about $250 million associated with the store closures and expects to recognizerestructuring costs in fiscal 2016 of about $300 million pre-tax, about $100 million of which is non-cash,
from the store closures and streamlining measures</t>
        </r>
      </text>
    </comment>
    <comment ref="AC7" authorId="0">
      <text>
        <r>
          <rPr>
            <b/>
            <sz val="9"/>
            <color indexed="81"/>
            <rFont val="Tahoma"/>
            <family val="2"/>
          </rPr>
          <t>casselau:</t>
        </r>
        <r>
          <rPr>
            <sz val="9"/>
            <color indexed="81"/>
            <rFont val="Tahoma"/>
            <family val="2"/>
          </rPr>
          <t xml:space="preserve">
6/16/15: expect annualized sales loss of ~$300M associated with Gap store closures
5/19/16
We assume GPS was impacted by 1/4 of the $250M sales loss
Closing 53 ON Japan
22 BR International
The company estimates that together these measures will result in annualized pre-tax savings of about $275 million and operating margin improvement of nearly 2 percentage points. The company estimates anannualized sales loss of about $250 million associated with the store closures and expects to recognizerestructuring costs in fiscal 2016 of about $300 million pre-tax, about $100 million of which is non-cash,
from the store closures and streamlining measures</t>
        </r>
      </text>
    </comment>
    <comment ref="AD7" authorId="1">
      <text>
        <r>
          <rPr>
            <b/>
            <sz val="9"/>
            <color indexed="81"/>
            <rFont val="Tahoma"/>
            <family val="2"/>
          </rPr>
          <t>Cassel, Lauren (Research):</t>
        </r>
        <r>
          <rPr>
            <sz val="9"/>
            <color indexed="81"/>
            <rFont val="Tahoma"/>
            <family val="2"/>
          </rPr>
          <t xml:space="preserve">
subtracting ~$125M for 53rd week </t>
        </r>
      </text>
    </comment>
    <comment ref="AC10" authorId="2">
      <text>
        <r>
          <rPr>
            <b/>
            <sz val="9"/>
            <color indexed="81"/>
            <rFont val="Tahoma"/>
            <family val="2"/>
          </rPr>
          <t>Mains, Spencer (Research):</t>
        </r>
        <r>
          <rPr>
            <sz val="9"/>
            <color indexed="81"/>
            <rFont val="Tahoma"/>
            <family val="2"/>
          </rPr>
          <t xml:space="preserve">
Times Square store (taking over in early 2017):
62,000 total square feet @ approx. $62.75M
21,000 ground floor (@ $2,500/square foot)
20,500 lower level (@ $150/square foot)
20,500 second floor (@ $350/square foot)
[only ground floor and total square footage were given, divided remaining equally between lower level and second floor]</t>
        </r>
      </text>
    </comment>
    <comment ref="Y11" authorId="3">
      <text>
        <r>
          <rPr>
            <b/>
            <sz val="8"/>
            <color indexed="81"/>
            <rFont val="Tahoma"/>
            <family val="2"/>
          </rPr>
          <t>solejay:</t>
        </r>
        <r>
          <rPr>
            <sz val="8"/>
            <color indexed="81"/>
            <rFont val="Tahoma"/>
            <family val="2"/>
          </rPr>
          <t xml:space="preserve">
subtract 40 bps for removal of 53rd week leverage.</t>
        </r>
      </text>
    </comment>
    <comment ref="AA11" authorId="4">
      <text>
        <r>
          <rPr>
            <b/>
            <sz val="9"/>
            <color indexed="81"/>
            <rFont val="Tahoma"/>
            <family val="2"/>
          </rPr>
          <t>Turley, Amber (Research):</t>
        </r>
        <r>
          <rPr>
            <sz val="9"/>
            <color indexed="81"/>
            <rFont val="Tahoma"/>
            <family val="2"/>
          </rPr>
          <t xml:space="preserve">
assumes ROD de-leverage ~30 bps annually on a flat comp</t>
        </r>
      </text>
    </comment>
    <comment ref="AC11" authorId="5">
      <text>
        <r>
          <rPr>
            <b/>
            <sz val="9"/>
            <color indexed="81"/>
            <rFont val="Tahoma"/>
            <family val="2"/>
          </rPr>
          <t>Baglione, Gregory  (Research):</t>
        </r>
        <r>
          <rPr>
            <sz val="9"/>
            <color indexed="81"/>
            <rFont val="Tahoma"/>
            <family val="2"/>
          </rPr>
          <t xml:space="preserve">
2/6/17
We are modeling GM flat in 2017 at 36.3%, largely driven by the significant decline in 1H16
</t>
        </r>
      </text>
    </comment>
    <comment ref="AD11" authorId="5">
      <text>
        <r>
          <rPr>
            <b/>
            <sz val="9"/>
            <color indexed="81"/>
            <rFont val="Tahoma"/>
            <family val="2"/>
          </rPr>
          <t>Baglione, Gregory  (Research):</t>
        </r>
        <r>
          <rPr>
            <sz val="9"/>
            <color indexed="81"/>
            <rFont val="Tahoma"/>
            <family val="2"/>
          </rPr>
          <t xml:space="preserve">
11/17/16
prev: 35.9
curr: 36.0
11/19/15
Implies flat ~ modest 5-1/10 bps margin expansion
5/19/16
Modeling flat -+10 bps GM in 2018/2019
8/9/16
Model 10 bps GM pressure annually in outer-years.</t>
        </r>
      </text>
    </comment>
    <comment ref="AE11" authorId="5">
      <text>
        <r>
          <rPr>
            <b/>
            <sz val="9"/>
            <color indexed="81"/>
            <rFont val="Tahoma"/>
            <family val="2"/>
          </rPr>
          <t>Baglione, Gregory  (Research):</t>
        </r>
        <r>
          <rPr>
            <sz val="9"/>
            <color indexed="81"/>
            <rFont val="Tahoma"/>
            <family val="2"/>
          </rPr>
          <t xml:space="preserve">
11/17/16
curr: 35.9
11/19/15
Implies flat ~ modest 5-10 bps margin expansion
5/19/16
Modeling flat -+10 bps GM in 2018/2019
8/9/16
8/9/16
Model 10 bps GM pressure in 2018 annually in out-years.</t>
        </r>
      </text>
    </comment>
    <comment ref="L14" authorId="6">
      <text>
        <r>
          <rPr>
            <b/>
            <sz val="8"/>
            <color indexed="81"/>
            <rFont val="Tahoma"/>
            <family val="2"/>
          </rPr>
          <t>mm98285:</t>
        </r>
        <r>
          <rPr>
            <sz val="8"/>
            <color indexed="81"/>
            <rFont val="Tahoma"/>
            <family val="2"/>
          </rPr>
          <t xml:space="preserve">
adjusted per 2005 10K from $841.2mm</t>
        </r>
      </text>
    </comment>
    <comment ref="M14" authorId="6">
      <text>
        <r>
          <rPr>
            <b/>
            <sz val="8"/>
            <color indexed="81"/>
            <rFont val="Tahoma"/>
            <family val="2"/>
          </rPr>
          <t>mm98285:</t>
        </r>
        <r>
          <rPr>
            <sz val="8"/>
            <color indexed="81"/>
            <rFont val="Tahoma"/>
            <family val="2"/>
          </rPr>
          <t xml:space="preserve">
adjusted per 2005 10K from $923.3mm</t>
        </r>
      </text>
    </comment>
    <comment ref="N14" authorId="6">
      <text>
        <r>
          <rPr>
            <b/>
            <sz val="8"/>
            <color indexed="81"/>
            <rFont val="Tahoma"/>
            <family val="2"/>
          </rPr>
          <t>mm98285:</t>
        </r>
        <r>
          <rPr>
            <sz val="8"/>
            <color indexed="81"/>
            <rFont val="Tahoma"/>
            <family val="2"/>
          </rPr>
          <t xml:space="preserve">
adjusted as per Jan '05 10-K (post accounting change)  
prior actual: $977.7 ($854.5+$123.1)</t>
        </r>
      </text>
    </comment>
    <comment ref="O14" authorId="6">
      <text>
        <r>
          <rPr>
            <b/>
            <sz val="8"/>
            <color indexed="81"/>
            <rFont val="Tahoma"/>
            <family val="2"/>
          </rPr>
          <t>mm98285:</t>
        </r>
        <r>
          <rPr>
            <sz val="8"/>
            <color indexed="81"/>
            <rFont val="Tahoma"/>
            <family val="2"/>
          </rPr>
          <t xml:space="preserve">
adjusted as per Jan '05 10-K (post accounting change) 
prior acutal: $993.0 ($847+$146)</t>
        </r>
      </text>
    </comment>
    <comment ref="R14" authorId="7">
      <text>
        <r>
          <rPr>
            <b/>
            <sz val="8"/>
            <color indexed="81"/>
            <rFont val="Tahoma"/>
            <family val="2"/>
          </rPr>
          <t>oc48540:</t>
        </r>
        <r>
          <rPr>
            <sz val="8"/>
            <color indexed="81"/>
            <rFont val="Tahoma"/>
            <family val="2"/>
          </rPr>
          <t xml:space="preserve">
all-in RE = $1,517mm</t>
        </r>
      </text>
    </comment>
    <comment ref="S14" authorId="7">
      <text>
        <r>
          <rPr>
            <b/>
            <sz val="8"/>
            <color indexed="81"/>
            <rFont val="Tahoma"/>
            <family val="2"/>
          </rPr>
          <t>oc48540:</t>
        </r>
        <r>
          <rPr>
            <sz val="8"/>
            <color indexed="81"/>
            <rFont val="Tahoma"/>
            <family val="2"/>
          </rPr>
          <t xml:space="preserve">
all-in RE = $1,594mm</t>
        </r>
      </text>
    </comment>
    <comment ref="T14" authorId="7">
      <text>
        <r>
          <rPr>
            <b/>
            <sz val="8"/>
            <color indexed="81"/>
            <rFont val="Tahoma"/>
            <family val="2"/>
          </rPr>
          <t>oc48540:</t>
        </r>
        <r>
          <rPr>
            <sz val="8"/>
            <color indexed="81"/>
            <rFont val="Tahoma"/>
            <family val="2"/>
          </rPr>
          <t xml:space="preserve">
all-in RE = $1,621mm</t>
        </r>
      </text>
    </comment>
    <comment ref="U14" authorId="7">
      <text>
        <r>
          <rPr>
            <b/>
            <sz val="8"/>
            <color indexed="81"/>
            <rFont val="Tahoma"/>
            <family val="2"/>
          </rPr>
          <t>oc48540:</t>
        </r>
        <r>
          <rPr>
            <sz val="8"/>
            <color indexed="81"/>
            <rFont val="Tahoma"/>
            <family val="2"/>
          </rPr>
          <t xml:space="preserve">
all-in RE = $1,607mm</t>
        </r>
      </text>
    </comment>
    <comment ref="Y14" authorId="8">
      <text>
        <r>
          <rPr>
            <b/>
            <sz val="8"/>
            <color indexed="81"/>
            <rFont val="Tahoma"/>
            <family val="2"/>
          </rPr>
          <t>10k: minimum rent + contingent rent</t>
        </r>
        <r>
          <rPr>
            <sz val="8"/>
            <color indexed="81"/>
            <rFont val="Tahoma"/>
            <family val="2"/>
          </rPr>
          <t xml:space="preserve">
</t>
        </r>
      </text>
    </comment>
    <comment ref="Z14" authorId="8">
      <text>
        <r>
          <rPr>
            <b/>
            <sz val="8"/>
            <color indexed="81"/>
            <rFont val="Tahoma"/>
            <family val="2"/>
          </rPr>
          <t>10k: minimum rent + contingent rent</t>
        </r>
        <r>
          <rPr>
            <sz val="8"/>
            <color indexed="81"/>
            <rFont val="Tahoma"/>
            <family val="2"/>
          </rPr>
          <t xml:space="preserve">
</t>
        </r>
      </text>
    </comment>
    <comment ref="AA14" authorId="0">
      <text>
        <r>
          <rPr>
            <b/>
            <sz val="9"/>
            <color indexed="81"/>
            <rFont val="Tahoma"/>
            <family val="2"/>
          </rPr>
          <t>casselau:</t>
        </r>
        <r>
          <rPr>
            <sz val="9"/>
            <color indexed="81"/>
            <rFont val="Tahoma"/>
            <family val="2"/>
          </rPr>
          <t xml:space="preserve">
Sounds like they need a 3-4% comp to leverage ROD (because closing fewer stores and expanding into higher cost markets) which means ROD is probably growing 3-4%; we assume 3.5% growth </t>
        </r>
      </text>
    </comment>
    <comment ref="AB14" authorId="1">
      <text>
        <r>
          <rPr>
            <b/>
            <sz val="9"/>
            <color indexed="81"/>
            <rFont val="Tahoma"/>
            <family val="2"/>
          </rPr>
          <t>Cassel, Lauren (Research):</t>
        </r>
        <r>
          <rPr>
            <sz val="9"/>
            <color indexed="81"/>
            <rFont val="Tahoma"/>
            <family val="2"/>
          </rPr>
          <t xml:space="preserve">
1208 minimum, 107 contingent</t>
        </r>
      </text>
    </comment>
    <comment ref="AC14" authorId="2">
      <text>
        <r>
          <rPr>
            <b/>
            <sz val="9"/>
            <color indexed="81"/>
            <rFont val="Tahoma"/>
            <family val="2"/>
          </rPr>
          <t>Mains, Spencer (Research):</t>
        </r>
        <r>
          <rPr>
            <sz val="9"/>
            <color indexed="81"/>
            <rFont val="Tahoma"/>
            <family val="2"/>
          </rPr>
          <t xml:space="preserve">
Times Square store (taking over in early 2017):
62,000 total square feet @ approx. $62.75M
21,000 ground floor (@ $2,500/square foot)
20,500 lower level (@ $150/square foot)
20,500 second floor (@ $350/square foot)
[only ground floor and total square footage were given, divided remaining equally between lower level and second floor]
</t>
        </r>
      </text>
    </comment>
    <comment ref="AB21" authorId="0">
      <text>
        <r>
          <rPr>
            <b/>
            <sz val="9"/>
            <color indexed="81"/>
            <rFont val="Tahoma"/>
            <family val="2"/>
          </rPr>
          <t>casselau:</t>
        </r>
        <r>
          <rPr>
            <sz val="9"/>
            <color indexed="81"/>
            <rFont val="Tahoma"/>
            <family val="2"/>
          </rPr>
          <t xml:space="preserve">
6/16/15: 250 HQ reduction will drive $25M annuallized SG&amp;A savings beginning in 2016
Wage pressure in 2016, 40 bps headwind from 25.7% of sales to 26.1% of sales</t>
        </r>
      </text>
    </comment>
    <comment ref="AC21" authorId="5">
      <text>
        <r>
          <rPr>
            <b/>
            <sz val="9"/>
            <color indexed="81"/>
            <rFont val="Tahoma"/>
            <family val="2"/>
          </rPr>
          <t>Baglione, Gregory  (Research):</t>
        </r>
        <r>
          <rPr>
            <sz val="9"/>
            <color indexed="81"/>
            <rFont val="Tahoma"/>
            <family val="2"/>
          </rPr>
          <t xml:space="preserve">
We  to model SG&amp;A to decline 1% (vs. prior -2%) given growth in SG&amp;A in 4Q16, some of which we expect to continue into 2017. Assumes ~$250M SG&amp;A savings (~6%) partially offset by 5% SGA&amp; dollar growth from natural expense inflation and investment intitatives such as ON flagships, new hires, marketing, etc.  We await the 4Q earnings color for more visibility on investment spend next year, which will be a large driver of our forecast. 
8/19/16- Restructuring Announcement.
The company estimates that together these measures will result in annualized pre-tax savings of about $275 million and operating margin improvement of nearly 2 percentage points. The company estimates anannualized sales loss of about $250 million associated with the store closures and expects to recognizerestructuring costs in fiscal 2016 of about $300 million pre-tax, about $100 million of which is non-cash,
from the store closures and streamlining measures
</t>
        </r>
        <r>
          <rPr>
            <sz val="9"/>
            <color indexed="81"/>
            <rFont val="Tahoma"/>
            <family val="2"/>
          </rPr>
          <t xml:space="preserve">
</t>
        </r>
      </text>
    </comment>
    <comment ref="AD21" authorId="5">
      <text>
        <r>
          <rPr>
            <b/>
            <sz val="9"/>
            <color indexed="81"/>
            <rFont val="Tahoma"/>
            <family val="2"/>
          </rPr>
          <t>Baglione, Gregory  (Research):</t>
        </r>
        <r>
          <rPr>
            <sz val="9"/>
            <color indexed="81"/>
            <rFont val="Tahoma"/>
            <family val="2"/>
          </rPr>
          <t xml:space="preserve">
2/3/17
We model SG&amp;A to decline 1% in 2018.
8/19/16
The company estimates that together these measures will result in annualized pre-tax savings of about $275 million and operating margin improvement of nearly 2 percentage points. The company estimates anannualized sales loss of about $250 million associated with the store closures and expects to recognizerestructuring costs in fiscal 2016 of about $300 million pre-tax, about $100 million of which is non-cash,
from the store closures and streamlining measures
5/19/16
SG&amp;A Prior $4.061B
Company announced $275M SG&amp;A savings. We assume they realize $200M total expense savings next year given inflationary pressures (~1% or $40-$50M)
We assume $50-55 comes in COGS.
~$140-150M in SG&amp;A. 
4Q16 incurred 25% of savings, ~75% in 2017. Implies $105M in 2017.
 Lower 2017 SG&amp;A to $3.94B</t>
        </r>
      </text>
    </comment>
    <comment ref="K22" authorId="9">
      <text>
        <r>
          <rPr>
            <sz val="8"/>
            <color indexed="81"/>
            <rFont val="Tahoma"/>
            <family val="2"/>
          </rPr>
          <t xml:space="preserve">
previously reported 529 in 1999 10K</t>
        </r>
      </text>
    </comment>
    <comment ref="O22" authorId="9">
      <text>
        <r>
          <rPr>
            <sz val="8"/>
            <color indexed="81"/>
            <rFont val="Tahoma"/>
            <family val="2"/>
          </rPr>
          <t xml:space="preserve">
11/20/03 spending YTD:
1Q03 $101mm vs. $78 LY
2Q03 $89mm vs. $117 LY
3Q03 $174mm vs. $167LY
4Q03 guided to $150mm vs. $134 LY</t>
        </r>
      </text>
    </comment>
    <comment ref="P22" authorId="10">
      <text>
        <r>
          <rPr>
            <b/>
            <sz val="8"/>
            <color indexed="81"/>
            <rFont val="Tahoma"/>
            <family val="2"/>
          </rPr>
          <t>Kimberly Greenberger:</t>
        </r>
        <r>
          <rPr>
            <sz val="8"/>
            <color indexed="81"/>
            <rFont val="Tahoma"/>
            <family val="2"/>
          </rPr>
          <t xml:space="preserve">
$528mm actual ad spend vs. guidance of $540mm</t>
        </r>
      </text>
    </comment>
    <comment ref="Q22" authorId="6">
      <text>
        <r>
          <rPr>
            <b/>
            <sz val="8"/>
            <color indexed="81"/>
            <rFont val="Tahoma"/>
            <family val="2"/>
          </rPr>
          <t>mm98285:</t>
        </r>
        <r>
          <rPr>
            <sz val="8"/>
            <color indexed="81"/>
            <rFont val="Tahoma"/>
            <family val="2"/>
          </rPr>
          <t xml:space="preserve">
10-K: $513mm</t>
        </r>
      </text>
    </comment>
    <comment ref="S22" authorId="11">
      <text>
        <r>
          <rPr>
            <b/>
            <sz val="8"/>
            <color indexed="81"/>
            <rFont val="Tahoma"/>
            <family val="2"/>
          </rPr>
          <t>OC48540:</t>
        </r>
        <r>
          <rPr>
            <sz val="8"/>
            <color indexed="81"/>
            <rFont val="Tahoma"/>
            <family val="2"/>
          </rPr>
          <t xml:space="preserve">
2/28/08 - marketing exp. Were $476mm down $97 vs. LY </t>
        </r>
      </text>
    </comment>
    <comment ref="V22" authorId="12">
      <text>
        <r>
          <rPr>
            <b/>
            <sz val="8"/>
            <color indexed="81"/>
            <rFont val="Tahoma"/>
            <family val="2"/>
          </rPr>
          <t>kimberlg:</t>
        </r>
        <r>
          <rPr>
            <sz val="8"/>
            <color indexed="81"/>
            <rFont val="Tahoma"/>
            <family val="2"/>
          </rPr>
          <t xml:space="preserve">
4/7/11: Gap Inc. spent $70.5 million to advertise the Gap brand last year, according to the Kantar Media unit of WPP. 
</t>
        </r>
      </text>
    </comment>
    <comment ref="Z22" authorId="4">
      <text>
        <r>
          <rPr>
            <b/>
            <sz val="9"/>
            <color indexed="81"/>
            <rFont val="Tahoma"/>
            <family val="2"/>
          </rPr>
          <t>Turley, Amber (Research):</t>
        </r>
        <r>
          <rPr>
            <sz val="9"/>
            <color indexed="81"/>
            <rFont val="Tahoma"/>
            <family val="2"/>
          </rPr>
          <t xml:space="preserve">
Marketing expenses $639, flat y/y</t>
        </r>
      </text>
    </comment>
    <comment ref="P25" authorId="10">
      <text>
        <r>
          <rPr>
            <sz val="8"/>
            <color indexed="81"/>
            <rFont val="Tahoma"/>
            <family val="2"/>
          </rPr>
          <t xml:space="preserve">
would have been 26.4% excl the $30mm and $65mm debt retirement expenses in 1Q04 and 2Q04</t>
        </r>
      </text>
    </comment>
    <comment ref="Q25" authorId="10">
      <text>
        <r>
          <rPr>
            <b/>
            <sz val="8"/>
            <color indexed="81"/>
            <rFont val="Tahoma"/>
            <family val="2"/>
          </rPr>
          <t>Kimberly Greenberger:</t>
        </r>
        <r>
          <rPr>
            <sz val="8"/>
            <color indexed="81"/>
            <rFont val="Tahoma"/>
            <family val="2"/>
          </rPr>
          <t xml:space="preserve">
8/05 would have been 26.5% excl the $58mm benefit 2Q05 for reversal of lease loss reserve (SF bldg for ON HQ)</t>
        </r>
      </text>
    </comment>
    <comment ref="R25" authorId="10">
      <text>
        <r>
          <rPr>
            <b/>
            <sz val="8"/>
            <color indexed="81"/>
            <rFont val="Tahoma"/>
            <family val="2"/>
          </rPr>
          <t>Kimberly Greenberger:</t>
        </r>
        <r>
          <rPr>
            <sz val="8"/>
            <color indexed="81"/>
            <rFont val="Tahoma"/>
            <family val="2"/>
          </rPr>
          <t xml:space="preserve">
8/05 would have been 26.5% excl the $58mm benefit 2Q05 for reversal of lease loss reserve (SF bldg for ON HQ)</t>
        </r>
      </text>
    </comment>
    <comment ref="AD25" authorId="5">
      <text>
        <r>
          <rPr>
            <b/>
            <sz val="9"/>
            <color indexed="81"/>
            <rFont val="Tahoma"/>
            <family val="2"/>
          </rPr>
          <t>Baglione, Gregory  (Research):</t>
        </r>
        <r>
          <rPr>
            <sz val="9"/>
            <color indexed="81"/>
            <rFont val="Tahoma"/>
            <family val="2"/>
          </rPr>
          <t xml:space="preserve">
2/6/17
We model approximately -1.3% SG&amp;A dollar decline in FY18, assuming company continues to take actions to close stores and stream-line operations. 
---
8/19/16--Restructuring annoucement. 
55 ON Japan Closures
22 BR International Closures
The company estimates that together these measures will result in annualized pre-tax savings of about $275 million and operating margin improvement of nearly 2 percentage points. The company estimates anannualized sales loss of about $250 million associated with the store closures and expects to recognizerestructuring costs in fiscal 2016 of about $300 million pre-tax, about $100 million of which is non-cash,
from the store closures and streamlining measures
We assume SG&amp;A dollars decline $275M on cost save initiatives, most occurs in 2017
We model SG&amp;A to decline ~4% (5-6% from initiatives offset by 1-2% inflation) due to these actions and ~1% in 2018
</t>
        </r>
      </text>
    </comment>
    <comment ref="AE25" authorId="5">
      <text>
        <r>
          <rPr>
            <b/>
            <sz val="9"/>
            <color indexed="81"/>
            <rFont val="Tahoma"/>
            <family val="2"/>
          </rPr>
          <t>Baglione, Gregory  (Research):</t>
        </r>
        <r>
          <rPr>
            <sz val="9"/>
            <color indexed="81"/>
            <rFont val="Tahoma"/>
            <family val="2"/>
          </rPr>
          <t xml:space="preserve">
2/8/1 
model ~1% SG&amp;A growth in out-years
11/17/16
prev:26.6
curr:26.7
5/19/16
Model ~1% Normalized SG&amp;A growth offset by ~1% ongoing expense reductions</t>
        </r>
      </text>
    </comment>
    <comment ref="M27" authorId="13">
      <text>
        <r>
          <rPr>
            <b/>
            <sz val="8"/>
            <color indexed="81"/>
            <rFont val="Tahoma"/>
            <family val="2"/>
          </rPr>
          <t>Morry Brown:</t>
        </r>
        <r>
          <rPr>
            <sz val="8"/>
            <color indexed="81"/>
            <rFont val="Tahoma"/>
            <family val="2"/>
          </rPr>
          <t xml:space="preserve">
this is the after tax number… the pre tax number is NA due to the tax rate</t>
        </r>
      </text>
    </comment>
    <comment ref="O30" authorId="9">
      <text>
        <r>
          <rPr>
            <sz val="8"/>
            <color indexed="81"/>
            <rFont val="Tahoma"/>
            <family val="2"/>
          </rPr>
          <t xml:space="preserve">
On 4Q call - guided to mid to high $700 million range with increases due to a new DC for the online division and accelerated depr related to increased
store closures, offset by decreases resulting from the gradual falloff of existing assets and lower depr due to reduced store growth</t>
        </r>
      </text>
    </comment>
    <comment ref="P30" authorId="9">
      <text>
        <r>
          <rPr>
            <sz val="8"/>
            <color indexed="81"/>
            <rFont val="Tahoma"/>
            <family val="2"/>
          </rPr>
          <t xml:space="preserve">
est $15mm increase per year on maintenance capex of approx $400mm</t>
        </r>
      </text>
    </comment>
    <comment ref="Q30" authorId="9">
      <text>
        <r>
          <rPr>
            <b/>
            <sz val="8"/>
            <color indexed="81"/>
            <rFont val="Tahoma"/>
            <family val="2"/>
          </rPr>
          <t>KG:</t>
        </r>
        <r>
          <rPr>
            <sz val="8"/>
            <color indexed="81"/>
            <rFont val="Tahoma"/>
            <family val="2"/>
          </rPr>
          <t xml:space="preserve">
est $15mm net increase per year after roll-offs on maintenance capex of approx $400mm </t>
        </r>
      </text>
    </comment>
    <comment ref="R30" authorId="9">
      <text>
        <r>
          <rPr>
            <b/>
            <sz val="8"/>
            <color indexed="81"/>
            <rFont val="Tahoma"/>
            <family val="2"/>
          </rPr>
          <t>KG:</t>
        </r>
        <r>
          <rPr>
            <sz val="8"/>
            <color indexed="81"/>
            <rFont val="Tahoma"/>
            <family val="2"/>
          </rPr>
          <t xml:space="preserve">
est $15mm net increase per year after roll-offs on maintenance capex of approx $400mm </t>
        </r>
      </text>
    </comment>
    <comment ref="S30" authorId="9">
      <text>
        <r>
          <rPr>
            <b/>
            <sz val="8"/>
            <color indexed="81"/>
            <rFont val="Tahoma"/>
            <family val="2"/>
          </rPr>
          <t>KG:</t>
        </r>
        <r>
          <rPr>
            <sz val="8"/>
            <color indexed="81"/>
            <rFont val="Tahoma"/>
            <family val="2"/>
          </rPr>
          <t xml:space="preserve">
est $15mm net increase per year after roll-offs on maintenance capex of approx $400mm </t>
        </r>
      </text>
    </comment>
    <comment ref="T30" authorId="9">
      <text>
        <r>
          <rPr>
            <b/>
            <sz val="8"/>
            <color indexed="81"/>
            <rFont val="Tahoma"/>
            <family val="2"/>
          </rPr>
          <t>KG:</t>
        </r>
        <r>
          <rPr>
            <sz val="8"/>
            <color indexed="81"/>
            <rFont val="Tahoma"/>
            <family val="2"/>
          </rPr>
          <t xml:space="preserve">
est $15mm net increase per year after roll-offs on maintenance capex of approx $400mm </t>
        </r>
      </text>
    </comment>
    <comment ref="U30" authorId="9">
      <text>
        <r>
          <rPr>
            <b/>
            <sz val="8"/>
            <color indexed="81"/>
            <rFont val="Tahoma"/>
            <family val="2"/>
          </rPr>
          <t>KG:</t>
        </r>
        <r>
          <rPr>
            <sz val="8"/>
            <color indexed="81"/>
            <rFont val="Tahoma"/>
            <family val="2"/>
          </rPr>
          <t xml:space="preserve">
est $15mm net increase per year after roll-offs on maintenance capex of approx $400mm </t>
        </r>
      </text>
    </comment>
    <comment ref="V30" authorId="9">
      <text>
        <r>
          <rPr>
            <b/>
            <sz val="8"/>
            <color indexed="81"/>
            <rFont val="Tahoma"/>
            <family val="2"/>
          </rPr>
          <t>KG:</t>
        </r>
        <r>
          <rPr>
            <sz val="8"/>
            <color indexed="81"/>
            <rFont val="Tahoma"/>
            <family val="2"/>
          </rPr>
          <t xml:space="preserve">
est $15mm net increase per year after roll-offs on maintenance capex of approx $400mm </t>
        </r>
      </text>
    </comment>
    <comment ref="X34" authorId="14">
      <text>
        <r>
          <rPr>
            <b/>
            <sz val="8"/>
            <color indexed="81"/>
            <rFont val="Tahoma"/>
            <family val="2"/>
          </rPr>
          <t>nicholjs:</t>
        </r>
        <r>
          <rPr>
            <sz val="8"/>
            <color indexed="81"/>
            <rFont val="Tahoma"/>
            <family val="2"/>
          </rPr>
          <t xml:space="preserve">
2/2011: looking beyond 2011, intend to return to operating margin levels achieved in 2010</t>
        </r>
      </text>
    </comment>
    <comment ref="AB34" authorId="15">
      <text>
        <r>
          <rPr>
            <b/>
            <sz val="9"/>
            <color indexed="81"/>
            <rFont val="Tahoma"/>
            <family val="2"/>
          </rPr>
          <t>Roberts, Cynthia (Research):</t>
        </r>
        <r>
          <rPr>
            <sz val="9"/>
            <color indexed="81"/>
            <rFont val="Tahoma"/>
            <family val="2"/>
          </rPr>
          <t xml:space="preserve">
11/17/16:
guidance: adj. operating margin about 8.5%
</t>
        </r>
      </text>
    </comment>
    <comment ref="Q36" authorId="10">
      <text>
        <r>
          <rPr>
            <sz val="8"/>
            <color indexed="81"/>
            <rFont val="Tahoma"/>
            <family val="2"/>
          </rPr>
          <t>the $1.38 bil convert callable 3/15/05
$200mm 8.15% due 12/05/05 assume will pay off
12/2 had $61.9 mil est</t>
        </r>
      </text>
    </comment>
    <comment ref="R36" authorId="10">
      <text>
        <r>
          <rPr>
            <b/>
            <sz val="8"/>
            <color indexed="81"/>
            <rFont val="Tahoma"/>
            <family val="2"/>
          </rPr>
          <t>Kimberly Greenberger:</t>
        </r>
        <r>
          <rPr>
            <sz val="8"/>
            <color indexed="81"/>
            <rFont val="Tahoma"/>
            <family val="2"/>
          </rPr>
          <t xml:space="preserve">
8/05 $2.6bil cash now. Plus $900m est FCF 3Q+4Q05 less $500m repo auth</t>
        </r>
      </text>
    </comment>
    <comment ref="S36" authorId="10">
      <text>
        <r>
          <rPr>
            <b/>
            <sz val="8"/>
            <color indexed="81"/>
            <rFont val="Tahoma"/>
            <family val="2"/>
          </rPr>
          <t>Kimberly Greenberger:</t>
        </r>
        <r>
          <rPr>
            <sz val="8"/>
            <color indexed="81"/>
            <rFont val="Tahoma"/>
            <family val="2"/>
          </rPr>
          <t xml:space="preserve">
$325mm left of 6.9% notes due 9/15/07 assume will pay off</t>
        </r>
      </text>
    </comment>
    <comment ref="T36" authorId="10">
      <text>
        <r>
          <rPr>
            <b/>
            <sz val="8"/>
            <color indexed="81"/>
            <rFont val="Tahoma"/>
            <family val="2"/>
          </rPr>
          <t>Kimberly Greenberger:</t>
        </r>
        <r>
          <rPr>
            <sz val="8"/>
            <color indexed="81"/>
            <rFont val="Tahoma"/>
            <family val="2"/>
          </rPr>
          <t xml:space="preserve">
$138mm left o/s of 8.8% notes due 12/15/08 assume will pay off</t>
        </r>
      </text>
    </comment>
    <comment ref="U36" authorId="10">
      <text>
        <r>
          <rPr>
            <b/>
            <sz val="8"/>
            <color indexed="81"/>
            <rFont val="Tahoma"/>
            <family val="2"/>
          </rPr>
          <t>Kimberly Greenberger:</t>
        </r>
        <r>
          <rPr>
            <sz val="8"/>
            <color indexed="81"/>
            <rFont val="Tahoma"/>
            <family val="2"/>
          </rPr>
          <t xml:space="preserve">
assume pay off the $50mm 6.25% note due March 2009</t>
        </r>
      </text>
    </comment>
    <comment ref="V36" authorId="10">
      <text>
        <r>
          <rPr>
            <b/>
            <sz val="8"/>
            <color indexed="81"/>
            <rFont val="Tahoma"/>
            <family val="2"/>
          </rPr>
          <t>Kimberly Greenberger:</t>
        </r>
        <r>
          <rPr>
            <sz val="8"/>
            <color indexed="81"/>
            <rFont val="Tahoma"/>
            <family val="2"/>
          </rPr>
          <t xml:space="preserve">
assume pay off the $50mm 6.25% note due March 2009</t>
        </r>
      </text>
    </comment>
    <comment ref="Q43" authorId="16">
      <text>
        <r>
          <rPr>
            <b/>
            <sz val="8"/>
            <color indexed="81"/>
            <rFont val="Tahoma"/>
            <family val="2"/>
          </rPr>
          <t>SB:</t>
        </r>
        <r>
          <rPr>
            <sz val="8"/>
            <color indexed="81"/>
            <rFont val="Tahoma"/>
            <family val="2"/>
          </rPr>
          <t xml:space="preserve">
12/2 had 39.0% est</t>
        </r>
      </text>
    </comment>
    <comment ref="AD43" authorId="17">
      <text>
        <r>
          <rPr>
            <b/>
            <sz val="9"/>
            <color indexed="81"/>
            <rFont val="Tahoma"/>
            <family val="2"/>
          </rPr>
          <t>De Courreges, Edouard (Research):</t>
        </r>
        <r>
          <rPr>
            <sz val="9"/>
            <color indexed="81"/>
            <rFont val="Tahoma"/>
            <family val="2"/>
          </rPr>
          <t xml:space="preserve">
Assume 14% benefit from tax reform (35-21) less 4% from loss of tax deductions</t>
        </r>
      </text>
    </comment>
    <comment ref="S45" authorId="7">
      <text>
        <r>
          <rPr>
            <b/>
            <sz val="8"/>
            <color indexed="81"/>
            <rFont val="Tahoma"/>
            <family val="2"/>
          </rPr>
          <t>oc48540:</t>
        </r>
        <r>
          <rPr>
            <sz val="8"/>
            <color indexed="81"/>
            <rFont val="Tahoma"/>
            <family val="2"/>
          </rPr>
          <t xml:space="preserve">
Adds back F&amp;T closure costs in order to adhere to First Call standards</t>
        </r>
      </text>
    </comment>
    <comment ref="AB48" authorId="5">
      <text>
        <r>
          <rPr>
            <b/>
            <sz val="9"/>
            <color indexed="81"/>
            <rFont val="Tahoma"/>
            <family val="2"/>
          </rPr>
          <t>Baglione, Gregory  (Research):</t>
        </r>
        <r>
          <rPr>
            <sz val="9"/>
            <color indexed="81"/>
            <rFont val="Tahoma"/>
            <family val="2"/>
          </rPr>
          <t xml:space="preserve">
8/19/16
$1.87-$1.92 FY16 EPS guidance</t>
        </r>
      </text>
    </comment>
    <comment ref="Q54" authorId="10">
      <text>
        <r>
          <rPr>
            <sz val="8"/>
            <color indexed="81"/>
            <rFont val="Tahoma"/>
            <family val="2"/>
          </rPr>
          <t>7/04 assume 10m dilution offset by 20mm shares repurchased @ $25 = $500mm share authorization annually
12/2 had 884 mil</t>
        </r>
      </text>
    </comment>
    <comment ref="R54" authorId="10">
      <text>
        <r>
          <rPr>
            <b/>
            <sz val="8"/>
            <color indexed="81"/>
            <rFont val="Tahoma"/>
            <family val="2"/>
          </rPr>
          <t>Kimberly Greenberger:</t>
        </r>
        <r>
          <rPr>
            <sz val="8"/>
            <color indexed="81"/>
            <rFont val="Tahoma"/>
            <family val="2"/>
          </rPr>
          <t xml:space="preserve">
7/04 assume 10mm options dilution offset by 40mm shares repurchased @ $25 = $1 bil share authorization annually</t>
        </r>
      </text>
    </comment>
    <comment ref="S54" authorId="10">
      <text>
        <r>
          <rPr>
            <b/>
            <sz val="8"/>
            <color indexed="81"/>
            <rFont val="Tahoma"/>
            <family val="2"/>
          </rPr>
          <t>Kimberly Greenberger:</t>
        </r>
        <r>
          <rPr>
            <sz val="8"/>
            <color indexed="81"/>
            <rFont val="Tahoma"/>
            <family val="2"/>
          </rPr>
          <t xml:space="preserve">
7/04 assume 10mm options dilution offset by 40mm shares repurchased @ $25 = $1 bil share authorization annually</t>
        </r>
      </text>
    </comment>
    <comment ref="T54" authorId="10">
      <text>
        <r>
          <rPr>
            <sz val="8"/>
            <color indexed="81"/>
            <rFont val="Tahoma"/>
            <family val="2"/>
          </rPr>
          <t>Assume 14m option creep and 37.5 share repurchse.</t>
        </r>
        <r>
          <rPr>
            <b/>
            <sz val="8"/>
            <color indexed="81"/>
            <rFont val="Tahoma"/>
            <family val="2"/>
          </rPr>
          <t xml:space="preserve">
Kimberly Greenberger:</t>
        </r>
        <r>
          <rPr>
            <sz val="8"/>
            <color indexed="81"/>
            <rFont val="Tahoma"/>
            <family val="2"/>
          </rPr>
          <t xml:space="preserve">
7/04 assume 10mm options dilution offset by 40mm shares repurchased @ $25 = $1 bil share authorization annually</t>
        </r>
      </text>
    </comment>
    <comment ref="U54" authorId="10">
      <text>
        <r>
          <rPr>
            <sz val="8"/>
            <color indexed="81"/>
            <rFont val="Tahoma"/>
            <family val="2"/>
          </rPr>
          <t xml:space="preserve">Assume 14mm option creep and 17mm share repurchase.
</t>
        </r>
        <r>
          <rPr>
            <b/>
            <sz val="8"/>
            <color indexed="81"/>
            <rFont val="Tahoma"/>
            <family val="2"/>
          </rPr>
          <t xml:space="preserve">
Kimberly Greenberger:</t>
        </r>
        <r>
          <rPr>
            <sz val="8"/>
            <color indexed="81"/>
            <rFont val="Tahoma"/>
            <family val="2"/>
          </rPr>
          <t xml:space="preserve">
7/04 assume 10mm options dilution offset by 40mm shares repurchased @ $25 = $1 bil share authorization annually</t>
        </r>
      </text>
    </comment>
    <comment ref="V54" authorId="10">
      <text>
        <r>
          <rPr>
            <b/>
            <sz val="8"/>
            <color indexed="81"/>
            <rFont val="Tahoma"/>
            <family val="2"/>
          </rPr>
          <t>Kimberly Greenberger:</t>
        </r>
        <r>
          <rPr>
            <sz val="8"/>
            <color indexed="81"/>
            <rFont val="Tahoma"/>
            <family val="2"/>
          </rPr>
          <t xml:space="preserve">
7/04 assume 10mm options dilution offset by 40mm shares repurchased @ $25 = $1 bil share authorization annually</t>
        </r>
      </text>
    </comment>
    <comment ref="W54" authorId="14">
      <text>
        <r>
          <rPr>
            <b/>
            <sz val="8"/>
            <color indexed="81"/>
            <rFont val="Tahoma"/>
            <family val="2"/>
          </rPr>
          <t>nicholjs:</t>
        </r>
        <r>
          <rPr>
            <sz val="8"/>
            <color indexed="81"/>
            <rFont val="Tahoma"/>
            <family val="2"/>
          </rPr>
          <t xml:space="preserve">
assume 25M share repo @ $20/shr</t>
        </r>
      </text>
    </comment>
    <comment ref="Q55" authorId="16">
      <text>
        <r>
          <rPr>
            <b/>
            <sz val="8"/>
            <color indexed="81"/>
            <rFont val="Tahoma"/>
            <family val="2"/>
          </rPr>
          <t>SB:</t>
        </r>
        <r>
          <rPr>
            <sz val="8"/>
            <color indexed="81"/>
            <rFont val="Tahoma"/>
            <family val="2"/>
          </rPr>
          <t xml:space="preserve">
12/2 had 979 mil est</t>
        </r>
      </text>
    </comment>
  </commentList>
</comments>
</file>

<file path=xl/comments8.xml><?xml version="1.0" encoding="utf-8"?>
<comments xmlns="http://schemas.openxmlformats.org/spreadsheetml/2006/main">
  <authors>
    <author>De Courreges, Edouard (Research)</author>
  </authors>
  <commentList>
    <comment ref="BI2" authorId="0">
      <text>
        <r>
          <rPr>
            <b/>
            <sz val="9"/>
            <color indexed="81"/>
            <rFont val="Tahoma"/>
            <family val="2"/>
          </rPr>
          <t>De Courreges, Edouard (Research):</t>
        </r>
        <r>
          <rPr>
            <sz val="9"/>
            <color indexed="81"/>
            <rFont val="Tahoma"/>
            <family val="2"/>
          </rPr>
          <t xml:space="preserve">
2/28/18: hope to close 200 stores (weighted toward Gap/BR) by end of year</t>
        </r>
      </text>
    </comment>
    <comment ref="BI9" authorId="0">
      <text>
        <r>
          <rPr>
            <b/>
            <sz val="9"/>
            <color indexed="81"/>
            <rFont val="Tahoma"/>
            <family val="2"/>
          </rPr>
          <t>De Courreges, Edouard (Research):</t>
        </r>
        <r>
          <rPr>
            <sz val="9"/>
            <color indexed="81"/>
            <rFont val="Tahoma"/>
            <family val="2"/>
          </rPr>
          <t xml:space="preserve">
2/28/18: goal to open 60 ON stores this 2018</t>
        </r>
      </text>
    </comment>
  </commentList>
</comments>
</file>

<file path=xl/comments9.xml><?xml version="1.0" encoding="utf-8"?>
<comments xmlns="http://schemas.openxmlformats.org/spreadsheetml/2006/main">
  <authors>
    <author>Lehman Brothers</author>
    <author>kgreenbe</author>
    <author>MS</author>
    <author>Morry Brown</author>
    <author>MB33100</author>
    <author>mm98285</author>
    <author>oc48540</author>
    <author>OC48540</author>
    <author>ns66486</author>
    <author>nicholjs</author>
    <author>solejay</author>
    <author>casselau</author>
    <author>turleamb</author>
    <author>Mains, Spencer (Research)</author>
    <author>Cassel, Lauren (Research)</author>
  </authors>
  <commentList>
    <comment ref="AF102" authorId="0">
      <text>
        <r>
          <rPr>
            <b/>
            <sz val="8"/>
            <color indexed="81"/>
            <rFont val="Tahoma"/>
            <family val="2"/>
          </rPr>
          <t xml:space="preserve">
</t>
        </r>
        <r>
          <rPr>
            <sz val="8"/>
            <color indexed="81"/>
            <rFont val="Tahoma"/>
            <family val="2"/>
          </rPr>
          <t>increased from +7% to +12% per mgmt on 4q call</t>
        </r>
      </text>
    </comment>
    <comment ref="AF103" authorId="1">
      <text>
        <r>
          <rPr>
            <b/>
            <sz val="10"/>
            <color indexed="81"/>
            <rFont val="Tahoma"/>
            <family val="2"/>
          </rPr>
          <t>kgreenbe:</t>
        </r>
        <r>
          <rPr>
            <sz val="10"/>
            <color indexed="81"/>
            <rFont val="Tahoma"/>
            <family val="2"/>
          </rPr>
          <t xml:space="preserve">
on June sales call mgmt indicated +lo to mid teens vs. prior of +mid teens inv/sq ft</t>
        </r>
      </text>
    </comment>
    <comment ref="AF105" authorId="1">
      <text>
        <r>
          <rPr>
            <b/>
            <sz val="10"/>
            <color indexed="81"/>
            <rFont val="Tahoma"/>
            <family val="2"/>
          </rPr>
          <t>kgreenbe:</t>
        </r>
        <r>
          <rPr>
            <sz val="10"/>
            <color indexed="81"/>
            <rFont val="Tahoma"/>
            <family val="2"/>
          </rPr>
          <t xml:space="preserve">
11/20/03 mgmt provided guidance of down mid to hi teens at end of 4Q03</t>
        </r>
      </text>
    </comment>
    <comment ref="AF111" authorId="2">
      <text>
        <r>
          <rPr>
            <b/>
            <sz val="8"/>
            <color indexed="81"/>
            <rFont val="Tahoma"/>
            <family val="2"/>
          </rPr>
          <t>MS:</t>
        </r>
        <r>
          <rPr>
            <sz val="8"/>
            <color indexed="81"/>
            <rFont val="Tahoma"/>
            <family val="2"/>
          </rPr>
          <t xml:space="preserve">
8/19 guided for flat</t>
        </r>
      </text>
    </comment>
    <comment ref="AF116" authorId="3">
      <text>
        <r>
          <rPr>
            <b/>
            <sz val="8"/>
            <color indexed="81"/>
            <rFont val="Tahoma"/>
            <family val="2"/>
          </rPr>
          <t>Morry Brown:</t>
        </r>
        <r>
          <rPr>
            <sz val="8"/>
            <color indexed="81"/>
            <rFont val="Tahoma"/>
            <family val="2"/>
          </rPr>
          <t xml:space="preserve">
5/05: inventory up MSD at Q end, mostly timing, some excess markdown liability</t>
        </r>
      </text>
    </comment>
    <comment ref="AF117" authorId="3">
      <text>
        <r>
          <rPr>
            <b/>
            <sz val="8"/>
            <color indexed="81"/>
            <rFont val="Tahoma"/>
            <family val="2"/>
          </rPr>
          <t>Morry Brown:</t>
        </r>
        <r>
          <rPr>
            <sz val="8"/>
            <color indexed="81"/>
            <rFont val="Tahoma"/>
            <family val="2"/>
          </rPr>
          <t xml:space="preserve">
Per 1Q release, expect 2Q inv down LSD</t>
        </r>
      </text>
    </comment>
    <comment ref="AF118" authorId="3">
      <text>
        <r>
          <rPr>
            <b/>
            <sz val="8"/>
            <color indexed="81"/>
            <rFont val="Tahoma"/>
            <family val="2"/>
          </rPr>
          <t>Morry Brown:</t>
        </r>
        <r>
          <rPr>
            <sz val="8"/>
            <color indexed="81"/>
            <rFont val="Tahoma"/>
            <family val="2"/>
          </rPr>
          <t xml:space="preserve">
Per 1Q release, expect inventory down LSD</t>
        </r>
      </text>
    </comment>
    <comment ref="AF119" authorId="3">
      <text>
        <r>
          <rPr>
            <b/>
            <sz val="8"/>
            <color indexed="81"/>
            <rFont val="Tahoma"/>
            <family val="2"/>
          </rPr>
          <t>Morry Brown:</t>
        </r>
        <r>
          <rPr>
            <sz val="8"/>
            <color indexed="81"/>
            <rFont val="Tahoma"/>
            <family val="2"/>
          </rPr>
          <t xml:space="preserve">
2/06 guided to -MSD on jan sales call
Mgmt guided to flat on 3Q conf call</t>
        </r>
      </text>
    </comment>
    <comment ref="AF123" authorId="3">
      <text>
        <r>
          <rPr>
            <b/>
            <sz val="8"/>
            <color indexed="81"/>
            <rFont val="Tahoma"/>
            <family val="2"/>
          </rPr>
          <t>Morry Brown:</t>
        </r>
        <r>
          <rPr>
            <sz val="8"/>
            <color indexed="81"/>
            <rFont val="Tahoma"/>
            <family val="2"/>
          </rPr>
          <t xml:space="preserve">
3/06-confirmed 1Q-LSD
2/06 mgmt guided 1Q and 2Q -LSD
Mgmt guided to down LSD on 3Q05 conf call</t>
        </r>
      </text>
    </comment>
    <comment ref="AF124" authorId="4">
      <text>
        <r>
          <rPr>
            <b/>
            <sz val="8"/>
            <color indexed="81"/>
            <rFont val="Tahoma"/>
            <family val="2"/>
          </rPr>
          <t>MB33100:</t>
        </r>
        <r>
          <rPr>
            <sz val="8"/>
            <color indexed="81"/>
            <rFont val="Tahoma"/>
            <family val="2"/>
          </rPr>
          <t xml:space="preserve">
8/06: July sales call indicated down -LSD eo 2Q
5/06: expect flat psf
2/06 mgmt guided 1Q and 2Q -LSD</t>
        </r>
      </text>
    </comment>
    <comment ref="AF125" authorId="5">
      <text>
        <r>
          <rPr>
            <b/>
            <sz val="8"/>
            <color indexed="81"/>
            <rFont val="Tahoma"/>
            <family val="2"/>
          </rPr>
          <t>mm98285:</t>
        </r>
        <r>
          <rPr>
            <sz val="8"/>
            <color indexed="81"/>
            <rFont val="Tahoma"/>
            <family val="2"/>
          </rPr>
          <t xml:space="preserve">
8/06 &amp; 5/06: expect flat psf</t>
        </r>
      </text>
    </comment>
    <comment ref="AF126" authorId="5">
      <text>
        <r>
          <rPr>
            <b/>
            <sz val="8"/>
            <color indexed="81"/>
            <rFont val="Tahoma"/>
            <family val="2"/>
          </rPr>
          <t>mm98285:</t>
        </r>
        <r>
          <rPr>
            <sz val="8"/>
            <color indexed="81"/>
            <rFont val="Tahoma"/>
            <family val="2"/>
          </rPr>
          <t xml:space="preserve">
11/06 &amp; 8/06: expect to be +LSD eo 4Q</t>
        </r>
      </text>
    </comment>
    <comment ref="AF130" authorId="5">
      <text>
        <r>
          <rPr>
            <b/>
            <sz val="8"/>
            <color indexed="81"/>
            <rFont val="Tahoma"/>
            <family val="2"/>
          </rPr>
          <t>mm98285:</t>
        </r>
        <r>
          <rPr>
            <sz val="8"/>
            <color indexed="81"/>
            <rFont val="Tahoma"/>
            <family val="2"/>
          </rPr>
          <t xml:space="preserve">
11/06: expect to be flat
</t>
        </r>
      </text>
    </comment>
    <comment ref="AF131" authorId="5">
      <text>
        <r>
          <rPr>
            <sz val="8"/>
            <color indexed="81"/>
            <rFont val="Tahoma"/>
            <family val="2"/>
          </rPr>
          <t xml:space="preserve">GPS reported that inventory PSF was -6% at the end of 2Q07 on a year-over year basis compared to -6% LY. This inventory level was better than an expected –LSD. We calculate that GPS inventory PSF was down -5% at the end of 2Q07.
We believe lean inventory levels drove the 170 bps improvement in merchandise
margin in 2Q07 as fewer goods were left over at the end of the season to clear at
deep markdown.
</t>
        </r>
        <r>
          <rPr>
            <b/>
            <sz val="8"/>
            <color indexed="81"/>
            <rFont val="Tahoma"/>
            <family val="2"/>
          </rPr>
          <t xml:space="preserve">
PW:
</t>
        </r>
        <r>
          <rPr>
            <sz val="8"/>
            <color indexed="81"/>
            <rFont val="Tahoma"/>
            <family val="2"/>
          </rPr>
          <t>July:</t>
        </r>
        <r>
          <rPr>
            <b/>
            <sz val="8"/>
            <color indexed="81"/>
            <rFont val="Tahoma"/>
            <family val="2"/>
          </rPr>
          <t xml:space="preserve"> </t>
        </r>
        <r>
          <rPr>
            <sz val="8"/>
            <color indexed="81"/>
            <rFont val="Tahoma"/>
            <family val="2"/>
          </rPr>
          <t>still expect -LSD at end of 2Q
1Q07: expect -LSD</t>
        </r>
        <r>
          <rPr>
            <sz val="8"/>
            <color indexed="81"/>
            <rFont val="Tahoma"/>
            <family val="2"/>
          </rPr>
          <t xml:space="preserve">
2/07: expect -LSD</t>
        </r>
      </text>
    </comment>
    <comment ref="AF132" authorId="6">
      <text>
        <r>
          <rPr>
            <sz val="8"/>
            <color indexed="81"/>
            <rFont val="Tahoma"/>
            <family val="2"/>
          </rPr>
          <t>GPS reported that inventory per square foot declined -8% at the end of 3Q07 on a year-over-year basis, slightly better than previous expectations of –MSD.
Oct sales: reiterate -MSD at end of 3Q
Aug sales: reiterate -MSD
Sep sales: reiterate -MSD at end of 3Q and 4Q
2Q07: GPS expects the percent change in inventory per square foot at the end 3Q07 to be –MSD compared with flat inventory PY. 
1Q07: Expect -LSD</t>
        </r>
      </text>
    </comment>
    <comment ref="AF133" authorId="6">
      <text>
        <r>
          <rPr>
            <sz val="8"/>
            <color indexed="81"/>
            <rFont val="Tahoma"/>
            <family val="2"/>
          </rPr>
          <t>(Reiterated in Nov. &amp; Dec.)  expects % change in inventory PSF at end 4Q07 –MSD (BUT no update in Jan)
11/07 &amp; 2Q07: GPS expects to be -MSD.</t>
        </r>
      </text>
    </comment>
    <comment ref="AF137" authorId="7">
      <text>
        <r>
          <rPr>
            <b/>
            <sz val="8"/>
            <color indexed="81"/>
            <rFont val="Tahoma"/>
            <family val="2"/>
          </rPr>
          <t xml:space="preserve">OC48540:
</t>
        </r>
        <r>
          <rPr>
            <sz val="8"/>
            <color indexed="81"/>
            <rFont val="Tahoma"/>
            <family val="2"/>
          </rPr>
          <t>5/8/8: No update to prior -L-teens, comfortable with inv. levels</t>
        </r>
        <r>
          <rPr>
            <b/>
            <sz val="8"/>
            <color indexed="81"/>
            <rFont val="Tahoma"/>
            <family val="2"/>
          </rPr>
          <t xml:space="preserve">
</t>
        </r>
        <r>
          <rPr>
            <sz val="8"/>
            <color indexed="81"/>
            <rFont val="Tahoma"/>
            <family val="2"/>
          </rPr>
          <t>3/06/08: No update to prior -L-teens</t>
        </r>
        <r>
          <rPr>
            <sz val="8"/>
            <color indexed="81"/>
            <rFont val="Tahoma"/>
            <family val="2"/>
          </rPr>
          <t xml:space="preserve">
2/28: Guided to Down Low Teens
4/11: No update to -L-teens</t>
        </r>
      </text>
    </comment>
    <comment ref="AF138" authorId="7">
      <text>
        <r>
          <rPr>
            <sz val="8"/>
            <color indexed="81"/>
            <rFont val="Tahoma"/>
            <family val="2"/>
          </rPr>
          <t>5/22: No update to prior -M-teens "comfortable heading into June"</t>
        </r>
        <r>
          <rPr>
            <b/>
            <sz val="8"/>
            <color indexed="81"/>
            <rFont val="Tahoma"/>
            <family val="2"/>
          </rPr>
          <t xml:space="preserve">
OC48540:</t>
        </r>
        <r>
          <rPr>
            <sz val="8"/>
            <color indexed="81"/>
            <rFont val="Tahoma"/>
            <family val="2"/>
          </rPr>
          <t xml:space="preserve">
5/28/08: Guiding to down mid-teens
</t>
        </r>
      </text>
    </comment>
    <comment ref="AF139" authorId="5">
      <text>
        <r>
          <rPr>
            <b/>
            <sz val="8"/>
            <color indexed="81"/>
            <rFont val="Tahoma"/>
            <family val="2"/>
          </rPr>
          <t xml:space="preserve">mm98285:
</t>
        </r>
        <r>
          <rPr>
            <sz val="8"/>
            <color indexed="81"/>
            <rFont val="Tahoma"/>
            <family val="2"/>
          </rPr>
          <t>11/08: No update to -Mteens</t>
        </r>
        <r>
          <rPr>
            <b/>
            <sz val="8"/>
            <color indexed="81"/>
            <rFont val="Tahoma"/>
            <family val="2"/>
          </rPr>
          <t xml:space="preserve">
</t>
        </r>
        <r>
          <rPr>
            <sz val="8"/>
            <color indexed="81"/>
            <rFont val="Tahoma"/>
            <family val="2"/>
          </rPr>
          <t>9/4: No update to -M-teens; "Comfortable with inv. Levels" although may be higher at BR.</t>
        </r>
        <r>
          <rPr>
            <sz val="8"/>
            <color indexed="81"/>
            <rFont val="Tahoma"/>
            <family val="2"/>
          </rPr>
          <t xml:space="preserve">
8/08: expect -Mteens</t>
        </r>
      </text>
    </comment>
    <comment ref="AF140" authorId="6">
      <text>
        <r>
          <rPr>
            <sz val="8"/>
            <color indexed="81"/>
            <rFont val="Tahoma"/>
            <family val="2"/>
          </rPr>
          <t>2/09: no update to -HSD 
1/09: no update to -HSD promotional 2H of December cleared through inventories</t>
        </r>
        <r>
          <rPr>
            <b/>
            <sz val="8"/>
            <color indexed="81"/>
            <rFont val="Tahoma"/>
            <family val="2"/>
          </rPr>
          <t xml:space="preserve">
11/20:</t>
        </r>
        <r>
          <rPr>
            <sz val="8"/>
            <color indexed="81"/>
            <rFont val="Tahoma"/>
            <family val="2"/>
          </rPr>
          <t xml:space="preserve">
-HSD</t>
        </r>
      </text>
    </comment>
    <comment ref="AF144" authorId="6">
      <text>
        <r>
          <rPr>
            <b/>
            <sz val="8"/>
            <color indexed="81"/>
            <rFont val="Tahoma"/>
            <family val="2"/>
          </rPr>
          <t>oc48540:</t>
        </r>
        <r>
          <rPr>
            <sz val="8"/>
            <color indexed="81"/>
            <rFont val="Tahoma"/>
            <family val="2"/>
          </rPr>
          <t xml:space="preserve">
2/26/09: Expects -HSD
4/09: No update to prior -HSD
5/09: No update to prior -HSD</t>
        </r>
      </text>
    </comment>
    <comment ref="AF145" authorId="6">
      <text>
        <r>
          <rPr>
            <b/>
            <sz val="8"/>
            <color indexed="81"/>
            <rFont val="Tahoma"/>
            <family val="2"/>
          </rPr>
          <t>oc48540:</t>
        </r>
        <r>
          <rPr>
            <sz val="8"/>
            <color indexed="81"/>
            <rFont val="Tahoma"/>
            <family val="2"/>
          </rPr>
          <t xml:space="preserve">
8/09: no update to -LDD
7/09: no change to -LDD
6/09: no change to -LDD
5/21/09: Guides 2Q09 Inventories –LDD</t>
        </r>
      </text>
    </comment>
    <comment ref="AF146" authorId="6">
      <text>
        <r>
          <rPr>
            <b/>
            <sz val="8"/>
            <color indexed="81"/>
            <rFont val="Tahoma"/>
            <family val="2"/>
          </rPr>
          <t>oc48540:</t>
        </r>
        <r>
          <rPr>
            <sz val="8"/>
            <color indexed="81"/>
            <rFont val="Tahoma"/>
            <family val="2"/>
          </rPr>
          <t xml:space="preserve">
11/09: -HSD
10/09: -HSD
9/09: -hsd
8/20:
Expects -HSD</t>
        </r>
      </text>
    </comment>
    <comment ref="AF147" authorId="6">
      <text>
        <r>
          <rPr>
            <b/>
            <sz val="8"/>
            <color indexed="81"/>
            <rFont val="Tahoma"/>
            <family val="2"/>
          </rPr>
          <t xml:space="preserve">2/10: </t>
        </r>
        <r>
          <rPr>
            <sz val="8"/>
            <color indexed="81"/>
            <rFont val="Tahoma"/>
            <family val="2"/>
          </rPr>
          <t>no update to flat. Entered Jan w/ low levels Holiday Clearance and able to clear at healthy margins, comfortable with position heading into Feb.</t>
        </r>
        <r>
          <rPr>
            <b/>
            <sz val="8"/>
            <color indexed="81"/>
            <rFont val="Tahoma"/>
            <family val="2"/>
          </rPr>
          <t xml:space="preserve">
1/10: </t>
        </r>
        <r>
          <rPr>
            <sz val="8"/>
            <color indexed="81"/>
            <rFont val="Tahoma"/>
            <family val="2"/>
          </rPr>
          <t>no update to flat. Successfully cleared through holiday product in December &amp; entered January with less inventory at markdown compared to prior year</t>
        </r>
        <r>
          <rPr>
            <b/>
            <sz val="8"/>
            <color indexed="81"/>
            <rFont val="Tahoma"/>
            <family val="2"/>
          </rPr>
          <t xml:space="preserve">
12/3:
</t>
        </r>
        <r>
          <rPr>
            <sz val="8"/>
            <color indexed="81"/>
            <rFont val="Tahoma"/>
            <family val="2"/>
          </rPr>
          <t>no update to flat, comfortable with inventory levels heading into December</t>
        </r>
        <r>
          <rPr>
            <b/>
            <sz val="8"/>
            <color indexed="81"/>
            <rFont val="Tahoma"/>
            <family val="2"/>
          </rPr>
          <t xml:space="preserve">
11/20</t>
        </r>
        <r>
          <rPr>
            <sz val="8"/>
            <color indexed="81"/>
            <rFont val="Tahoma"/>
            <family val="2"/>
          </rPr>
          <t xml:space="preserve">
At the end of 4Q09
GPS expects inventory per square foot to be flat</t>
        </r>
      </text>
    </comment>
    <comment ref="AF151" authorId="6">
      <text>
        <r>
          <rPr>
            <b/>
            <sz val="8"/>
            <color indexed="81"/>
            <rFont val="Tahoma"/>
            <family val="2"/>
          </rPr>
          <t>oc48540:</t>
        </r>
        <r>
          <rPr>
            <sz val="8"/>
            <color indexed="81"/>
            <rFont val="Tahoma"/>
            <family val="2"/>
          </rPr>
          <t xml:space="preserve">
4/10: no update to +MSD
2/25: ~+MSD</t>
        </r>
      </text>
    </comment>
    <comment ref="AF152" authorId="8">
      <text>
        <r>
          <rPr>
            <b/>
            <sz val="8"/>
            <color indexed="81"/>
            <rFont val="Tahoma"/>
            <family val="2"/>
          </rPr>
          <t>ns66486:</t>
        </r>
        <r>
          <rPr>
            <sz val="8"/>
            <color indexed="81"/>
            <rFont val="Tahoma"/>
            <family val="2"/>
          </rPr>
          <t xml:space="preserve">
6/10: no update to +LDD
5/10: expect up in the low double digits </t>
        </r>
      </text>
    </comment>
    <comment ref="AF153" authorId="9">
      <text>
        <r>
          <rPr>
            <b/>
            <sz val="8"/>
            <color indexed="81"/>
            <rFont val="Tahoma"/>
            <family val="2"/>
          </rPr>
          <t>nicholjs:</t>
        </r>
        <r>
          <rPr>
            <sz val="8"/>
            <color indexed="81"/>
            <rFont val="Tahoma"/>
            <family val="2"/>
          </rPr>
          <t xml:space="preserve">
8/10: expect up +HSD</t>
        </r>
      </text>
    </comment>
    <comment ref="AF154" authorId="9">
      <text>
        <r>
          <rPr>
            <b/>
            <sz val="8"/>
            <color indexed="81"/>
            <rFont val="Tahoma"/>
            <family val="2"/>
          </rPr>
          <t>nicholjs:</t>
        </r>
        <r>
          <rPr>
            <sz val="8"/>
            <color indexed="81"/>
            <rFont val="Tahoma"/>
            <family val="2"/>
          </rPr>
          <t xml:space="preserve">
reported inv psf +9%, inv per store +8%
3/11 (per Mark) NA per store inventory likely up about +5%, but mix shift increased costs, so units could be down in NA.  Total units likely up due to international.
1/11: No update to expect inventory per square foot at the end of 4Q to be +HSD vs. LY; liable inventory in good shape
12/10: "in Nov able to move through what they needed to"
11/10: expect +HSD
</t>
        </r>
      </text>
    </comment>
    <comment ref="AF158" authorId="9">
      <text>
        <r>
          <rPr>
            <b/>
            <sz val="8"/>
            <color indexed="81"/>
            <rFont val="Tahoma"/>
            <family val="2"/>
          </rPr>
          <t>nicholjs:</t>
        </r>
        <r>
          <rPr>
            <sz val="8"/>
            <color indexed="81"/>
            <rFont val="Tahoma"/>
            <family val="2"/>
          </rPr>
          <t xml:space="preserve">
1Q11: Inventory per store was up 9.9%, with the increase in North America several points below of Gap, Inc.
2/2011: expect inventory per store to be up in the HSD at end of 1Q (units will not grow at the same levels) </t>
        </r>
      </text>
    </comment>
    <comment ref="AF159" authorId="9">
      <text>
        <r>
          <rPr>
            <b/>
            <sz val="8"/>
            <color indexed="81"/>
            <rFont val="Tahoma"/>
            <family val="2"/>
          </rPr>
          <t>nicholjs:</t>
        </r>
        <r>
          <rPr>
            <sz val="8"/>
            <color indexed="81"/>
            <rFont val="Tahoma"/>
            <family val="2"/>
          </rPr>
          <t xml:space="preserve">
inventory dollars per store +5%.
8/2011: company implemented improvements that enhance precision of estimating in-transit inventory.  primarily driven by the enhancement, expects inventory per store to be up in the mid SD compared to LY
7/2011: inventory wise accomplished what needed to do in June and feel good heading into July
6/2011:  ended May with inventory heavier than anticipated
5/2011: expect inventory per store in the teens; plan to buy units down to LY for the remainder of the year</t>
        </r>
      </text>
    </comment>
    <comment ref="AF160" authorId="9">
      <text>
        <r>
          <rPr>
            <sz val="8"/>
            <color indexed="81"/>
            <rFont val="Tahoma"/>
            <family val="2"/>
          </rPr>
          <t>11/17: The company reported that inventory dollars per store were up 6 percent at the end of the third quarter of fiscal year 2011 compared with the third quarter of last year.
The company expects inventory dollars per store at the end of the fourth quarter to be up in the mid-to-high single digits compared with the fourth quarter of last year.</t>
        </r>
        <r>
          <rPr>
            <sz val="8"/>
            <color indexed="81"/>
            <rFont val="Tahoma"/>
            <family val="2"/>
          </rPr>
          <t xml:space="preserve">
8/2011: expects inventory units per store to be down, however expects inventory dollars per store to be up in the high single digits, driven primarily by product cost increases
4Q call, Sabrina: in an environment
where average unit costs are increasing, we're going to bring our units down.</t>
        </r>
      </text>
    </comment>
    <comment ref="AF161" authorId="9">
      <text>
        <r>
          <rPr>
            <sz val="8"/>
            <color indexed="81"/>
            <rFont val="Tahoma"/>
            <family val="2"/>
          </rPr>
          <t>11/17: The company expects inventory dollars per store at the end of the fourth quarter to be up in the mid-to-high single digits compared with the fourth quarter of last year.</t>
        </r>
        <r>
          <rPr>
            <b/>
            <sz val="8"/>
            <color indexed="81"/>
            <rFont val="Tahoma"/>
            <family val="2"/>
          </rPr>
          <t xml:space="preserve">
</t>
        </r>
        <r>
          <rPr>
            <sz val="8"/>
            <color indexed="81"/>
            <rFont val="Tahoma"/>
            <family val="2"/>
          </rPr>
          <t xml:space="preserve">
4Q call, Sabrina: in an environment
where average unit costs are increasing, we're going to bring our units down.</t>
        </r>
      </text>
    </comment>
    <comment ref="AF165" authorId="10">
      <text>
        <r>
          <rPr>
            <sz val="8"/>
            <color indexed="81"/>
            <rFont val="Tahoma"/>
            <family val="2"/>
          </rPr>
          <t xml:space="preserve">5/3/2012: "below flat"
2/23/2012: about flat
</t>
        </r>
      </text>
    </comment>
    <comment ref="AF166" authorId="10">
      <text>
        <r>
          <rPr>
            <sz val="8"/>
            <color indexed="81"/>
            <rFont val="Tahoma"/>
            <family val="2"/>
          </rPr>
          <t xml:space="preserve">8/2/12: As a result of sales performance,co expects inv dollars/store to be below its previous guidance of about flat on a y/y basis
5/17/2012: "about flat"
</t>
        </r>
      </text>
    </comment>
    <comment ref="AF167" authorId="10">
      <text>
        <r>
          <rPr>
            <sz val="8"/>
            <color indexed="81"/>
            <rFont val="Tahoma"/>
            <family val="2"/>
          </rPr>
          <t>8/16/12 - The company expects inventory dollars per store to be down in the low single digits at the end of the third quarter of fiscal year 2012 compared with the end of the third quarter last year.</t>
        </r>
      </text>
    </comment>
    <comment ref="Z168" authorId="11">
      <text>
        <r>
          <rPr>
            <b/>
            <sz val="8"/>
            <color indexed="81"/>
            <rFont val="Tahoma"/>
            <family val="2"/>
          </rPr>
          <t>casselau:</t>
        </r>
        <r>
          <rPr>
            <sz val="8"/>
            <color indexed="81"/>
            <rFont val="Tahoma"/>
            <family val="2"/>
          </rPr>
          <t xml:space="preserve">
11/15: expects +LSD</t>
        </r>
      </text>
    </comment>
    <comment ref="AF168" authorId="11">
      <text>
        <r>
          <rPr>
            <b/>
            <sz val="8"/>
            <color indexed="81"/>
            <rFont val="Tahoma"/>
            <family val="2"/>
          </rPr>
          <t>2/28/13:</t>
        </r>
        <r>
          <rPr>
            <sz val="8"/>
            <color indexed="81"/>
            <rFont val="Tahoma"/>
            <family val="2"/>
          </rPr>
          <t xml:space="preserve"> inventory dollars +5% per store, in line with comp</t>
        </r>
        <r>
          <rPr>
            <b/>
            <sz val="8"/>
            <color indexed="81"/>
            <rFont val="Tahoma"/>
            <family val="2"/>
          </rPr>
          <t xml:space="preserve">
2/7:</t>
        </r>
        <r>
          <rPr>
            <sz val="8"/>
            <color indexed="81"/>
            <rFont val="Tahoma"/>
            <family val="2"/>
          </rPr>
          <t xml:space="preserve"> The company now expects year-end inventory dollars per store to be slightly above previous guidance driven by higher in-transit inventory given the earlier Easter holiday in 2013.
</t>
        </r>
        <r>
          <rPr>
            <b/>
            <sz val="8"/>
            <color indexed="81"/>
            <rFont val="Tahoma"/>
            <family val="2"/>
          </rPr>
          <t xml:space="preserve">
11/15: </t>
        </r>
        <r>
          <rPr>
            <sz val="8"/>
            <color indexed="81"/>
            <rFont val="Tahoma"/>
            <family val="2"/>
          </rPr>
          <t>inventory dollars per store at the end of Q4 are expected to be up in the low single-digits versus last year.</t>
        </r>
      </text>
    </comment>
    <comment ref="AF181" authorId="12">
      <text>
        <r>
          <rPr>
            <b/>
            <sz val="9"/>
            <color indexed="81"/>
            <rFont val="Tahoma"/>
            <family val="2"/>
          </rPr>
          <t>turleamb:</t>
        </r>
        <r>
          <rPr>
            <sz val="9"/>
            <color indexed="81"/>
            <rFont val="Tahoma"/>
            <family val="2"/>
          </rPr>
          <t xml:space="preserve">
5/21/14: guidance +LSD to +MSd per store : "expects y/y inventory dollars per store to improve by a few points vs. the 1Q increase"
we est from store checks and Aug comp inventory could be on the high end of guidance and little improved from 2Q. </t>
        </r>
      </text>
    </comment>
    <comment ref="X186" authorId="13">
      <text>
        <r>
          <rPr>
            <b/>
            <sz val="9"/>
            <color indexed="81"/>
            <rFont val="Tahoma"/>
            <family val="2"/>
          </rPr>
          <t>Mains, Spencer (Research):</t>
        </r>
        <r>
          <rPr>
            <sz val="9"/>
            <color indexed="81"/>
            <rFont val="Tahoma"/>
            <family val="2"/>
          </rPr>
          <t xml:space="preserve">
5/11/15: expect inventory $ per store for 1Q to be up ~4% vs LY</t>
        </r>
      </text>
    </comment>
    <comment ref="X193" authorId="13">
      <text>
        <r>
          <rPr>
            <b/>
            <sz val="9"/>
            <color indexed="81"/>
            <rFont val="Tahoma"/>
            <family val="2"/>
          </rPr>
          <t>Mains, Spencer (Research):</t>
        </r>
        <r>
          <rPr>
            <sz val="9"/>
            <color indexed="81"/>
            <rFont val="Tahoma"/>
            <family val="2"/>
          </rPr>
          <t xml:space="preserve">
5/11/15: expect inventory $ per store for 1Q to be up ~4% vs LY</t>
        </r>
      </text>
    </comment>
    <comment ref="X200" authorId="13">
      <text>
        <r>
          <rPr>
            <b/>
            <sz val="9"/>
            <color indexed="81"/>
            <rFont val="Tahoma"/>
            <family val="2"/>
          </rPr>
          <t>Mains, Spencer (Research):</t>
        </r>
        <r>
          <rPr>
            <sz val="9"/>
            <color indexed="81"/>
            <rFont val="Tahoma"/>
            <family val="2"/>
          </rPr>
          <t xml:space="preserve">
5/11/15: expect inventory $ per store for 1Q to be up ~4% vs LY</t>
        </r>
      </text>
    </comment>
    <comment ref="AF200" authorId="14">
      <text>
        <r>
          <rPr>
            <b/>
            <sz val="9"/>
            <color indexed="81"/>
            <rFont val="Tahoma"/>
            <family val="2"/>
          </rPr>
          <t>Cassel, Lauren (Research):</t>
        </r>
        <r>
          <rPr>
            <sz val="9"/>
            <color indexed="81"/>
            <rFont val="Tahoma"/>
            <family val="2"/>
          </rPr>
          <t xml:space="preserve">
2/23/17: total inventory is expected to be -LSD at the end of1H17</t>
        </r>
      </text>
    </comment>
    <comment ref="AF201" authorId="14">
      <text>
        <r>
          <rPr>
            <b/>
            <sz val="9"/>
            <color indexed="81"/>
            <rFont val="Tahoma"/>
            <family val="2"/>
          </rPr>
          <t>Cassel, Lauren (Research):
5/17/17: The company now expects total inventory to be about flat at the end of the 1H17</t>
        </r>
        <r>
          <rPr>
            <sz val="9"/>
            <color indexed="81"/>
            <rFont val="Tahoma"/>
            <family val="2"/>
          </rPr>
          <t xml:space="preserve">
2/23/17: total inventory is expected to be -LSD at the end of1H17</t>
        </r>
      </text>
    </comment>
    <comment ref="X207" authorId="13">
      <text>
        <r>
          <rPr>
            <b/>
            <sz val="9"/>
            <color indexed="81"/>
            <rFont val="Tahoma"/>
            <family val="2"/>
          </rPr>
          <t>Mains, Spencer (Research):</t>
        </r>
        <r>
          <rPr>
            <sz val="9"/>
            <color indexed="81"/>
            <rFont val="Tahoma"/>
            <family val="2"/>
          </rPr>
          <t xml:space="preserve">
5/11/15: expect inventory $ per store for 1Q to be up ~4% vs LY</t>
        </r>
      </text>
    </comment>
    <comment ref="AF207" authorId="14">
      <text>
        <r>
          <rPr>
            <b/>
            <sz val="9"/>
            <color indexed="81"/>
            <rFont val="Tahoma"/>
            <family val="2"/>
          </rPr>
          <t>Cassel, Lauren (Research):</t>
        </r>
        <r>
          <rPr>
            <sz val="9"/>
            <color indexed="81"/>
            <rFont val="Tahoma"/>
            <family val="2"/>
          </rPr>
          <t xml:space="preserve">
2/23/17: total inventory is expected to be -LSD at the end of1H17</t>
        </r>
      </text>
    </comment>
    <comment ref="AF208" authorId="14">
      <text>
        <r>
          <rPr>
            <b/>
            <sz val="9"/>
            <color indexed="81"/>
            <rFont val="Tahoma"/>
            <family val="2"/>
          </rPr>
          <t>Cassel, Lauren (Research):
5/17/17: The company now expects total inventory to be about flat at the end of the 1H17</t>
        </r>
        <r>
          <rPr>
            <sz val="9"/>
            <color indexed="81"/>
            <rFont val="Tahoma"/>
            <family val="2"/>
          </rPr>
          <t xml:space="preserve">
2/23/17: total inventory is expected to be -LSD at the end of1H17</t>
        </r>
      </text>
    </comment>
  </commentList>
</comments>
</file>

<file path=xl/comments10.xml><?xml version="1.0" encoding="utf-8"?>
<comments xmlns="http://schemas.openxmlformats.org/spreadsheetml/2006/main">
  <authors>
    <author>turleamb</author>
    <author>Turley, Amber (Research)</author>
    <author>Baglione, Gregory  (Research)</author>
    <author>oc48540</author>
    <author>Cassel, Lauren (Research)</author>
    <author>Morry Brown</author>
  </authors>
  <commentList>
    <comment ref="AZ9" authorId="0">
      <text>
        <r>
          <rPr>
            <b/>
            <sz val="9"/>
            <color indexed="81"/>
            <rFont val="Tahoma"/>
            <family val="2"/>
          </rPr>
          <t>turleamb:</t>
        </r>
        <r>
          <rPr>
            <sz val="9"/>
            <color indexed="81"/>
            <rFont val="Tahoma"/>
            <family val="2"/>
          </rPr>
          <t xml:space="preserve">
5/21/14: FCF (CFO - PP&amp;E)=$351 vs. $205 LY
10-K: As of February 1, 2014, about half of our cash and cash equivalents were held in the U.S. and are generally accessible without any limitations.</t>
        </r>
      </text>
    </comment>
    <comment ref="AZ10" authorId="1">
      <text>
        <r>
          <rPr>
            <b/>
            <sz val="9"/>
            <color indexed="81"/>
            <rFont val="Tahoma"/>
            <family val="2"/>
          </rPr>
          <t>Turley, Amber (Research):</t>
        </r>
        <r>
          <rPr>
            <sz val="9"/>
            <color indexed="81"/>
            <rFont val="Tahoma"/>
            <family val="2"/>
          </rPr>
          <t xml:space="preserve">
10-2 pg 19: ~50% of cash held in US and generally accesible w/o any limitations</t>
        </r>
      </text>
    </comment>
    <comment ref="BB10" authorId="2">
      <text>
        <r>
          <rPr>
            <b/>
            <sz val="9"/>
            <color indexed="81"/>
            <rFont val="Tahoma"/>
            <family val="2"/>
          </rPr>
          <t>Baglione, Gregory  (Research):</t>
        </r>
        <r>
          <rPr>
            <sz val="9"/>
            <color indexed="81"/>
            <rFont val="Tahoma"/>
            <family val="2"/>
          </rPr>
          <t xml:space="preserve">
8/20/15: Comfortable w/ cash blaance of $1B-1.2B
</t>
        </r>
      </text>
    </comment>
    <comment ref="AL15" authorId="3">
      <text>
        <r>
          <rPr>
            <b/>
            <sz val="8"/>
            <color indexed="81"/>
            <rFont val="Tahoma"/>
            <family val="2"/>
          </rPr>
          <t>oc48540:  10-Q 1Q07</t>
        </r>
        <r>
          <rPr>
            <sz val="8"/>
            <color indexed="81"/>
            <rFont val="Tahoma"/>
            <family val="2"/>
          </rPr>
          <t xml:space="preserve">
Debt and Credit Facility
Our 6.90 percent notes payable of $326 million are due September 2007 and have been classified as current maturities of long-term debt in our
condensed consolidated balance sheet. In addition, the remaining balance of our 8.80 percent notes payable of $138 million due December
2008 (“2008 Notes”) is subject to an increasing or decreasing rate of interest based on credit rating fluctuations. As a result of prior fiscal year
changes to our long-term senior unsecured credit ratings from BBB- to BB+ by Standard and Poors, the interest payable by us on the 2008
Notes was 9.80 percent per annum effective December 15, 2006. In the first quarter of fiscal year 2007, our credit rating was downgraded by
Moody’s from Baa3 to Ba1 which will increase the interest payable by us on the 2008 Notes to 10.05 percent per annum effective June 15,
2007. Our 6.25 percent notes payable of $50 million are due March 2009.
Letters of credit represent a payment undertaking guaranteed by a bank on our behalf to pay the vendor a given amount upon presentation of
specific documents demonstrating that merchandise has shipped. Vendor payables are recorded in the condensed consolidated balance sheets at
the time of merchandise title transfer, although the letters of credit are generally issued prior to the transfer.
As of May 5, 2007, we had $150 million in trade letters of credit issued under our letter of credit agreements totaling $500 million. There were
no drawings under our $750 million revolving credit facility at May 5, 2007.
Given our strong balance sheet and cash levels, we amended our credit facility and agreements. On May 18, 2007, we reduced our $750 million
revolving credit facility to $500 million and extended the facility through August 2012. We also canceled two of our four $125 million, 3-year
letter of credit agreements, subject to our satisfaction of any remaining letters of credit issued thereunder, and extended the remaining facilities
through May 2010, effectively reducing our dedicated letter of credit lines to $250 million.</t>
        </r>
      </text>
    </comment>
    <comment ref="AP15" authorId="3">
      <text>
        <r>
          <rPr>
            <b/>
            <sz val="8"/>
            <color indexed="81"/>
            <rFont val="Tahoma"/>
            <family val="2"/>
          </rPr>
          <t>oc48540:</t>
        </r>
        <r>
          <rPr>
            <sz val="8"/>
            <color indexed="81"/>
            <rFont val="Tahoma"/>
            <family val="2"/>
          </rPr>
          <t xml:space="preserve">
Credit Facilities
Trade letters of credit represent a payment undertaking guaranteed by a bank on our behalf to pay the vendor a given amount of money upon presentation of specific documents demonstrating that merchandise has shipped. Vendor payables are recorded in the Consolidated Balance Sheets at the time of merchandise title transfer, although the letters of credit are generally issued prior to this. Over the past three years, we have migrated most of our merchandise vendors to open account payment terms. As of January 31, 2009, our letter of credit agreements consist of two separate $100 million, three-year, unsecured committed letter of credit agreements, with two separate banks, for a total aggregate availability of $200 million with an expiration date of May 2011. In addition, we have an $8 million revolving credit facility available for Athleta which is exclusively being used for the issuance of trade letters of credit to support its merchandise purchases. As of January 31, 2009, we had $83 million in trade letters of credit issued under these letter of credit agreements.
We also have a $500 million, five-year, unsecured revolving credit facility scheduled to expire in August 2012 (the “Facility”). The Facility is available for general corporate purposes, including commercial paper backstop, working capital, trade letters of credit, and standby letters of credit. The facility usage fees and fees related to the Facility fluctuate based on our long-term senior unsecured credit ratings and our leverage ratio. If we were to draw on the Facility, interest would be a base rate (typically the London Interbank Offered Rate) plus a margin based on our long-term senior unsecured credit ratings and our leverage ratio on the unpaid principal amount. To maintain availability of funds under the Facility, we pay a facility fee on the full facility amount, regardless of usage. As of January 31, 2009, there were no borrowings under the Facility. The net availability of the Facility, reflecting $56 million of outstanding standby letters of credit, was $444 million as of January 31, 2009.
The Facility and letter of credit agreements contain financial and other covenants, including, but not limited to, limitations on liens and subsidiary debt as well as the maintenance of two financial ratios—a fixed charge coverage ratio and a leverage ratio. A violation of these covenants could result in a default under the Facility and letter of credit agreements, which would permit the participating banks to terminate our ability to access the Facility for letters of credit and advances, terminate our ability to request letters of credit under the letter of credit agreements, require the immediate repayment of any outstanding advances under the Facility, and require the immediate posting of cash collateral in support of any outstanding letters of credit under the letter of credit agreements.
</t>
        </r>
      </text>
    </comment>
    <comment ref="BD18" authorId="4">
      <text>
        <r>
          <rPr>
            <b/>
            <sz val="9"/>
            <color indexed="81"/>
            <rFont val="Tahoma"/>
            <family val="2"/>
          </rPr>
          <t>Cassel, Lauren (Research):</t>
        </r>
        <r>
          <rPr>
            <sz val="9"/>
            <color indexed="81"/>
            <rFont val="Tahoma"/>
            <family val="2"/>
          </rPr>
          <t xml:space="preserve">
2/23/17: As anticipated, we paid down $400 million of term loan in full during the fourth quarter and ended the year with $1.8 billion in cash.</t>
        </r>
      </text>
    </comment>
    <comment ref="AF40" authorId="5">
      <text>
        <r>
          <rPr>
            <b/>
            <sz val="8"/>
            <color indexed="81"/>
            <rFont val="Tahoma"/>
            <family val="2"/>
          </rPr>
          <t>Morry Brown:</t>
        </r>
        <r>
          <rPr>
            <sz val="8"/>
            <color indexed="81"/>
            <rFont val="Tahoma"/>
            <family val="2"/>
          </rPr>
          <t xml:space="preserve">
5360 prior to restate</t>
        </r>
      </text>
    </comment>
  </commentList>
</comments>
</file>

<file path=xl/comments11.xml><?xml version="1.0" encoding="utf-8"?>
<comments xmlns="http://schemas.openxmlformats.org/spreadsheetml/2006/main">
  <authors>
    <author>turleamb</author>
    <author>casselau</author>
    <author>Mains, Spencer (Research)</author>
    <author>Cassel, Lauren (Research)</author>
    <author>Turley, Amber (Research)</author>
    <author>Roberts, Cynthia (Research)</author>
    <author>De Courreges, Edouard (Research)</author>
    <author>Lehman Brothers</author>
    <author>Morry Brown</author>
  </authors>
  <commentList>
    <comment ref="CU10" authorId="0">
      <text>
        <r>
          <rPr>
            <b/>
            <sz val="8"/>
            <color indexed="81"/>
            <rFont val="Tahoma"/>
            <family val="2"/>
          </rPr>
          <t>turleamb:</t>
        </r>
        <r>
          <rPr>
            <sz val="8"/>
            <color indexed="81"/>
            <rFont val="Tahoma"/>
            <family val="2"/>
          </rPr>
          <t xml:space="preserve">
5/21/14: inventory dollars per store +7% y.y
2/27/14: expect similar to the fourth
quarter increase of about 7 percent
Analyst Day: Inventory a little higher b/c 1H13 was pretty good and they placed 1H14 inventory orders based on 1H13 momentum which is too high relative to the 2H13 slowdown in the business</t>
        </r>
      </text>
    </comment>
    <comment ref="CY10" authorId="1">
      <text>
        <r>
          <rPr>
            <b/>
            <sz val="9"/>
            <color indexed="81"/>
            <rFont val="Tahoma"/>
            <family val="2"/>
          </rPr>
          <t>casselau:</t>
        </r>
        <r>
          <rPr>
            <sz val="9"/>
            <color indexed="81"/>
            <rFont val="Tahoma"/>
            <family val="2"/>
          </rPr>
          <t xml:space="preserve">
5/21/15: inventory dollars per store +4%</t>
        </r>
      </text>
    </comment>
    <comment ref="DC10" authorId="1">
      <text>
        <r>
          <rPr>
            <b/>
            <sz val="9"/>
            <color indexed="81"/>
            <rFont val="Tahoma"/>
            <family val="2"/>
          </rPr>
          <t>casselau:</t>
        </r>
        <r>
          <rPr>
            <sz val="9"/>
            <color indexed="81"/>
            <rFont val="Tahoma"/>
            <family val="2"/>
          </rPr>
          <t xml:space="preserve">
5/21/15: inventory dollars per store +4%</t>
        </r>
      </text>
    </comment>
    <comment ref="CQ11" authorId="0">
      <text>
        <r>
          <rPr>
            <b/>
            <sz val="8"/>
            <color indexed="81"/>
            <rFont val="Tahoma"/>
            <family val="2"/>
          </rPr>
          <t>turleamb:</t>
        </r>
        <r>
          <rPr>
            <sz val="8"/>
            <color indexed="81"/>
            <rFont val="Tahoma"/>
            <family val="2"/>
          </rPr>
          <t xml:space="preserve">
8/22/13: per store inventory up 6%</t>
        </r>
      </text>
    </comment>
    <comment ref="CU11" authorId="0">
      <text>
        <r>
          <rPr>
            <b/>
            <sz val="9"/>
            <color indexed="81"/>
            <rFont val="Tahoma"/>
            <family val="2"/>
          </rPr>
          <t>turleamb:</t>
        </r>
        <r>
          <rPr>
            <sz val="9"/>
            <color indexed="81"/>
            <rFont val="Tahoma"/>
            <family val="2"/>
          </rPr>
          <t xml:space="preserve">
5/21/14: guidance +LSD to +MSd per store : "expects y/y inventory dollars per store to improve by a few points vs. the 1Q increase"</t>
        </r>
      </text>
    </comment>
    <comment ref="CY11" authorId="2">
      <text>
        <r>
          <rPr>
            <b/>
            <sz val="9"/>
            <color indexed="81"/>
            <rFont val="Tahoma"/>
            <family val="2"/>
          </rPr>
          <t>Mains, Spencer (Research):</t>
        </r>
        <r>
          <rPr>
            <sz val="9"/>
            <color indexed="81"/>
            <rFont val="Tahoma"/>
            <family val="2"/>
          </rPr>
          <t xml:space="preserve">
8/20/15: inventory $s per store +1%</t>
        </r>
      </text>
    </comment>
    <comment ref="DG11" authorId="3">
      <text>
        <r>
          <rPr>
            <b/>
            <sz val="9"/>
            <color indexed="81"/>
            <rFont val="Tahoma"/>
            <family val="2"/>
          </rPr>
          <t xml:space="preserve">Cassel, Lauren (Research):
8/17/17: about half of the increase is due to the timing of in-transit inventory and the remaining increase is due to mixing into key loyalty categories that have higher costs but also typically deliver higher merchandise margins (denim, active, lifestyle); increase in basics offset by fashion 
</t>
        </r>
        <r>
          <rPr>
            <sz val="9"/>
            <color indexed="81"/>
            <rFont val="Tahoma"/>
            <family val="2"/>
          </rPr>
          <t xml:space="preserve">
5/18/18: The company now expects total inventory to be about flat at the end of the first half of fiscal year 2017 when compared with the end of the first half of fiscal year 2016. </t>
        </r>
      </text>
    </comment>
    <comment ref="DK11" authorId="3">
      <text>
        <r>
          <rPr>
            <b/>
            <sz val="9"/>
            <color indexed="81"/>
            <rFont val="Tahoma"/>
            <family val="2"/>
          </rPr>
          <t xml:space="preserve">Cassel, Lauren (Research):
8/17/17: about half of the increase is due to the timing of in-transit inventory and the remaining increase is due to mixing into key loyalty categories that have higher costs but also typically deliver higher merchandise margins (denim, active, lifestyle); increase in basics offset by fashion 
</t>
        </r>
        <r>
          <rPr>
            <sz val="9"/>
            <color indexed="81"/>
            <rFont val="Tahoma"/>
            <family val="2"/>
          </rPr>
          <t xml:space="preserve">
5/18/18: The company now expects total inventory to be about flat at the end of the first half of fiscal year 2017 when compared with the end of the first half of fiscal year 2016. </t>
        </r>
      </text>
    </comment>
    <comment ref="CQ12" authorId="0">
      <text>
        <r>
          <rPr>
            <b/>
            <sz val="8"/>
            <color indexed="81"/>
            <rFont val="Tahoma"/>
            <family val="2"/>
          </rPr>
          <t>turleamb:</t>
        </r>
        <r>
          <rPr>
            <sz val="8"/>
            <color indexed="81"/>
            <rFont val="Tahoma"/>
            <family val="2"/>
          </rPr>
          <t xml:space="preserve">
11/21/13: +4% inventory dollars per store
8/22/13: expects inventory dollars per store +MSD for 3Q</t>
        </r>
      </text>
    </comment>
    <comment ref="CU12" authorId="4">
      <text>
        <r>
          <rPr>
            <b/>
            <sz val="9"/>
            <color indexed="81"/>
            <rFont val="Tahoma"/>
            <family val="2"/>
          </rPr>
          <t>Turley, Amber (Research):</t>
        </r>
        <r>
          <rPr>
            <sz val="9"/>
            <color indexed="81"/>
            <rFont val="Tahoma"/>
            <family val="2"/>
          </rPr>
          <t xml:space="preserve">
11/20/14: Inventory $ per store -2%
8/21/14: guidance: expect 3Q inventory dollars per store +LSD</t>
        </r>
      </text>
    </comment>
    <comment ref="CY12" authorId="2">
      <text>
        <r>
          <rPr>
            <b/>
            <sz val="9"/>
            <color indexed="81"/>
            <rFont val="Tahoma"/>
            <family val="2"/>
          </rPr>
          <t>Mains, Spencer (Research):</t>
        </r>
        <r>
          <rPr>
            <sz val="9"/>
            <color indexed="81"/>
            <rFont val="Tahoma"/>
            <family val="2"/>
          </rPr>
          <t xml:space="preserve">
11/19/15
inventory dollars per store were down 4 percent on a
year-over-year basis. Expected to be flat at year end vs a decline of 6% LY
8/20/15: expect inventory $ per store to be slightly down y/y
</t>
        </r>
      </text>
    </comment>
    <comment ref="DC12" authorId="5">
      <text>
        <r>
          <rPr>
            <b/>
            <sz val="9"/>
            <color indexed="81"/>
            <rFont val="Tahoma"/>
            <family val="2"/>
          </rPr>
          <t>Roberts, Cynthia (Research):</t>
        </r>
        <r>
          <rPr>
            <sz val="9"/>
            <color indexed="81"/>
            <rFont val="Tahoma"/>
            <family val="2"/>
          </rPr>
          <t xml:space="preserve">
11/17/16
Inventory
Total inventory dollars were down 4 percent at the end of the third quarter of fiscal year 2016. At the end
of the fourth quarter of fiscal year 2016, the company expects total inventory dollars to be down in the low
single digits year-over-year</t>
        </r>
      </text>
    </comment>
    <comment ref="DG12" authorId="6">
      <text>
        <r>
          <rPr>
            <b/>
            <sz val="9"/>
            <color indexed="81"/>
            <rFont val="Tahoma"/>
            <family val="2"/>
          </rPr>
          <t>De Courreges, Edouard (Research):</t>
        </r>
        <r>
          <rPr>
            <sz val="9"/>
            <color indexed="81"/>
            <rFont val="Tahoma"/>
            <family val="2"/>
          </rPr>
          <t xml:space="preserve">
The increase in inventory is primarily due
to the timing of in transit and the negative impact of foreign exchange</t>
        </r>
      </text>
    </comment>
    <comment ref="DK12" authorId="6">
      <text>
        <r>
          <rPr>
            <b/>
            <sz val="9"/>
            <color indexed="81"/>
            <rFont val="Tahoma"/>
            <family val="2"/>
          </rPr>
          <t>De Courreges, Edouard (Research):</t>
        </r>
        <r>
          <rPr>
            <sz val="9"/>
            <color indexed="81"/>
            <rFont val="Tahoma"/>
            <family val="2"/>
          </rPr>
          <t xml:space="preserve">
The increase in inventory is primarily due
to the timing of in transit and the negative impact of foreign exchange</t>
        </r>
      </text>
    </comment>
    <comment ref="CL13" authorId="1">
      <text>
        <r>
          <rPr>
            <b/>
            <sz val="8"/>
            <color indexed="81"/>
            <rFont val="Tahoma"/>
            <family val="2"/>
          </rPr>
          <t>casselau:</t>
        </r>
        <r>
          <rPr>
            <sz val="8"/>
            <color indexed="81"/>
            <rFont val="Tahoma"/>
            <family val="2"/>
          </rPr>
          <t xml:space="preserve">
inventory dollars +5% per store, in line with comp</t>
        </r>
      </text>
    </comment>
    <comment ref="CQ13" authorId="0">
      <text>
        <r>
          <rPr>
            <b/>
            <sz val="8"/>
            <color indexed="81"/>
            <rFont val="Tahoma"/>
            <family val="2"/>
          </rPr>
          <t>turleamb:</t>
        </r>
        <r>
          <rPr>
            <sz val="8"/>
            <color indexed="81"/>
            <rFont val="Tahoma"/>
            <family val="2"/>
          </rPr>
          <t xml:space="preserve">
2/26/14: On a year-over-year basis, inventory dollars per store were up 7 percent at the end of the fourth quarter of fiscal year 2013. 
11/21/13: expects  inventory dollars per store to be somewhat higher than the increase at the end of the third quarter, but still in the single digits. Expect in transit inventory higher due to shift of Chinese NY from Feb LY to Jan (now in 4Q)</t>
        </r>
      </text>
    </comment>
    <comment ref="CU13" authorId="4">
      <text>
        <r>
          <rPr>
            <b/>
            <sz val="9"/>
            <color indexed="81"/>
            <rFont val="Tahoma"/>
            <family val="2"/>
          </rPr>
          <t>Turley, Amber (Research):</t>
        </r>
        <r>
          <rPr>
            <sz val="9"/>
            <color indexed="81"/>
            <rFont val="Tahoma"/>
            <family val="2"/>
          </rPr>
          <t xml:space="preserve">
11/20/14: expect inventory per store to be down slightly compared to 4Q LY. </t>
        </r>
      </text>
    </comment>
    <comment ref="CY13" authorId="4">
      <text>
        <r>
          <rPr>
            <b/>
            <sz val="9"/>
            <color indexed="81"/>
            <rFont val="Tahoma"/>
            <family val="2"/>
          </rPr>
          <t>Turley, Amber (Research):</t>
        </r>
        <r>
          <rPr>
            <sz val="9"/>
            <color indexed="81"/>
            <rFont val="Tahoma"/>
            <family val="2"/>
          </rPr>
          <t xml:space="preserve">
11/20/14: expect inventory per store to be down slightly compared to 4Q LY. </t>
        </r>
      </text>
    </comment>
    <comment ref="DC13" authorId="5">
      <text>
        <r>
          <rPr>
            <b/>
            <sz val="9"/>
            <color indexed="81"/>
            <rFont val="Tahoma"/>
            <family val="2"/>
          </rPr>
          <t>Roberts, Cynthia (Research):</t>
        </r>
        <r>
          <rPr>
            <sz val="9"/>
            <color indexed="81"/>
            <rFont val="Tahoma"/>
            <family val="2"/>
          </rPr>
          <t xml:space="preserve">
2/23/17: Total invetory was down 2% y/y in line with the company's guidance
</t>
        </r>
      </text>
    </comment>
    <comment ref="DG13" authorId="6">
      <text>
        <r>
          <rPr>
            <b/>
            <sz val="9"/>
            <color indexed="81"/>
            <rFont val="Tahoma"/>
            <family val="2"/>
          </rPr>
          <t>De Courreges, Edouard (Research):</t>
        </r>
        <r>
          <rPr>
            <sz val="9"/>
            <color indexed="81"/>
            <rFont val="Tahoma"/>
            <family val="2"/>
          </rPr>
          <t xml:space="preserve">
About 3 points of the increase can be attributed to timing as we have more receipts in the 53rd week of this year than in the last week of 2016. Also FX negatively impacted inventory by about 2 points. Overall, we do feel comfortable with the composition of inventory as we enter the new year,</t>
        </r>
      </text>
    </comment>
    <comment ref="F23" authorId="7">
      <text>
        <r>
          <rPr>
            <b/>
            <sz val="8"/>
            <color indexed="81"/>
            <rFont val="Tahoma"/>
            <family val="2"/>
          </rPr>
          <t>Lehman Brothers:</t>
        </r>
        <r>
          <rPr>
            <sz val="8"/>
            <color indexed="81"/>
            <rFont val="Tahoma"/>
            <family val="2"/>
          </rPr>
          <t xml:space="preserve">
includes accrued expenses</t>
        </r>
      </text>
    </comment>
    <comment ref="J23" authorId="7">
      <text>
        <r>
          <rPr>
            <b/>
            <sz val="8"/>
            <color indexed="81"/>
            <rFont val="Tahoma"/>
            <family val="2"/>
          </rPr>
          <t>Lehman Brothers:</t>
        </r>
        <r>
          <rPr>
            <sz val="8"/>
            <color indexed="81"/>
            <rFont val="Tahoma"/>
            <family val="2"/>
          </rPr>
          <t xml:space="preserve">
includes accrued expenses</t>
        </r>
      </text>
    </comment>
    <comment ref="F24" authorId="7">
      <text>
        <r>
          <rPr>
            <b/>
            <sz val="8"/>
            <color indexed="81"/>
            <rFont val="Tahoma"/>
            <family val="2"/>
          </rPr>
          <t>Lehman Brothers:</t>
        </r>
        <r>
          <rPr>
            <sz val="8"/>
            <color indexed="81"/>
            <rFont val="Tahoma"/>
            <family val="2"/>
          </rPr>
          <t xml:space="preserve">
includes accrued expenses</t>
        </r>
      </text>
    </comment>
    <comment ref="J24" authorId="7">
      <text>
        <r>
          <rPr>
            <b/>
            <sz val="8"/>
            <color indexed="81"/>
            <rFont val="Tahoma"/>
            <family val="2"/>
          </rPr>
          <t>Lehman Brothers:</t>
        </r>
        <r>
          <rPr>
            <sz val="8"/>
            <color indexed="81"/>
            <rFont val="Tahoma"/>
            <family val="2"/>
          </rPr>
          <t xml:space="preserve">
includes accrued expenses</t>
        </r>
      </text>
    </comment>
    <comment ref="F25" authorId="7">
      <text>
        <r>
          <rPr>
            <b/>
            <sz val="8"/>
            <color indexed="81"/>
            <rFont val="Tahoma"/>
            <family val="2"/>
          </rPr>
          <t>Lehman Brothers:</t>
        </r>
        <r>
          <rPr>
            <sz val="8"/>
            <color indexed="81"/>
            <rFont val="Tahoma"/>
            <family val="2"/>
          </rPr>
          <t xml:space="preserve">
includes accrued expenses</t>
        </r>
      </text>
    </comment>
    <comment ref="J25" authorId="7">
      <text>
        <r>
          <rPr>
            <b/>
            <sz val="8"/>
            <color indexed="81"/>
            <rFont val="Tahoma"/>
            <family val="2"/>
          </rPr>
          <t>Lehman Brothers:</t>
        </r>
        <r>
          <rPr>
            <sz val="8"/>
            <color indexed="81"/>
            <rFont val="Tahoma"/>
            <family val="2"/>
          </rPr>
          <t xml:space="preserve">
includes accrued expenses</t>
        </r>
      </text>
    </comment>
    <comment ref="A27" authorId="7">
      <text>
        <r>
          <rPr>
            <sz val="8"/>
            <color indexed="81"/>
            <rFont val="Tahoma"/>
            <family val="2"/>
          </rPr>
          <t xml:space="preserve">
Other includes current deferred lease credits</t>
        </r>
      </text>
    </comment>
    <comment ref="BF29" authorId="8">
      <text>
        <r>
          <rPr>
            <b/>
            <sz val="8"/>
            <color indexed="81"/>
            <rFont val="Tahoma"/>
            <family val="2"/>
          </rPr>
          <t>Morry Brown:</t>
        </r>
        <r>
          <rPr>
            <sz val="8"/>
            <color indexed="81"/>
            <rFont val="Tahoma"/>
            <family val="2"/>
          </rPr>
          <t xml:space="preserve">
was 824+31 prior to restate</t>
        </r>
      </text>
    </comment>
  </commentList>
</comments>
</file>

<file path=xl/comments12.xml><?xml version="1.0" encoding="utf-8"?>
<comments xmlns="http://schemas.openxmlformats.org/spreadsheetml/2006/main">
  <authors>
    <author>Kimberly Greenberger</author>
    <author>mm98285</author>
    <author>nicholjs</author>
    <author>Mains, Spencer (Research)</author>
    <author>kgreenbe</author>
    <author>Baglione, Gregory  (Research)</author>
    <author>Lehman Brothers</author>
    <author>De Courreges, Edouard (Research)</author>
    <author>oc48540</author>
    <author>OC48540</author>
    <author>solejay</author>
  </authors>
  <commentList>
    <comment ref="AC9" authorId="0">
      <text>
        <r>
          <rPr>
            <b/>
            <sz val="8"/>
            <color indexed="81"/>
            <rFont val="Tahoma"/>
            <family val="2"/>
          </rPr>
          <t>Kimberly Greenberger:</t>
        </r>
        <r>
          <rPr>
            <sz val="8"/>
            <color indexed="81"/>
            <rFont val="Tahoma"/>
            <family val="2"/>
          </rPr>
          <t xml:space="preserve">
GPS restated numbers using rounded figures (no decimal). We manually add to 2002 Net Income to get to the rounded number as reported in the 2004 10-K</t>
        </r>
      </text>
    </comment>
    <comment ref="AE9" authorId="0">
      <text>
        <r>
          <rPr>
            <b/>
            <sz val="8"/>
            <color indexed="81"/>
            <rFont val="Tahoma"/>
            <family val="2"/>
          </rPr>
          <t>Kimberly Greenberger:</t>
        </r>
        <r>
          <rPr>
            <sz val="8"/>
            <color indexed="81"/>
            <rFont val="Tahoma"/>
            <family val="2"/>
          </rPr>
          <t xml:space="preserve">
GPS restated numbers using rounded figures (no decimal). We manually add to 2003 Cash and equivalents to get to the rounded number as reported in the 2004 10-K</t>
        </r>
      </text>
    </comment>
    <comment ref="AI9" authorId="1">
      <text>
        <r>
          <rPr>
            <b/>
            <sz val="8"/>
            <color indexed="81"/>
            <rFont val="Tahoma"/>
            <family val="2"/>
          </rPr>
          <t>mm98285:</t>
        </r>
        <r>
          <rPr>
            <sz val="8"/>
            <color indexed="81"/>
            <rFont val="Tahoma"/>
            <family val="2"/>
          </rPr>
          <t xml:space="preserve">
$2,035mm (cash) + $55mm (restricted cash)</t>
        </r>
      </text>
    </comment>
    <comment ref="AK9" authorId="1">
      <text>
        <r>
          <rPr>
            <b/>
            <sz val="8"/>
            <color indexed="81"/>
            <rFont val="Tahoma"/>
            <family val="2"/>
          </rPr>
          <t>mm98285:</t>
        </r>
        <r>
          <rPr>
            <sz val="8"/>
            <color indexed="81"/>
            <rFont val="Tahoma"/>
            <family val="2"/>
          </rPr>
          <t xml:space="preserve">
2005 10-K: currently plan to keep ~$2B of cash available</t>
        </r>
      </text>
    </comment>
    <comment ref="AS9" authorId="2">
      <text>
        <r>
          <rPr>
            <b/>
            <sz val="8"/>
            <color indexed="81"/>
            <rFont val="Tahoma"/>
            <family val="2"/>
          </rPr>
          <t>nicholjs:</t>
        </r>
        <r>
          <rPr>
            <sz val="8"/>
            <color indexed="81"/>
            <rFont val="Tahoma"/>
            <family val="2"/>
          </rPr>
          <t xml:space="preserve">
11/2010: reduced B/S target cash level to $1.2B</t>
        </r>
      </text>
    </comment>
    <comment ref="AU9" authorId="2">
      <text>
        <r>
          <rPr>
            <b/>
            <sz val="8"/>
            <color indexed="81"/>
            <rFont val="Tahoma"/>
            <family val="2"/>
          </rPr>
          <t>nicholjs:</t>
        </r>
        <r>
          <rPr>
            <sz val="8"/>
            <color indexed="81"/>
            <rFont val="Tahoma"/>
            <family val="2"/>
          </rPr>
          <t xml:space="preserve">
11/2010: reduced B/S target cash level to $1.2B</t>
        </r>
      </text>
    </comment>
    <comment ref="AW9" authorId="2">
      <text>
        <r>
          <rPr>
            <b/>
            <sz val="8"/>
            <color indexed="81"/>
            <rFont val="Tahoma"/>
            <family val="2"/>
          </rPr>
          <t>nicholjs:</t>
        </r>
        <r>
          <rPr>
            <sz val="8"/>
            <color indexed="81"/>
            <rFont val="Tahoma"/>
            <family val="2"/>
          </rPr>
          <t xml:space="preserve">
11/2010: reduced B/S target cash level to $1.2B</t>
        </r>
      </text>
    </comment>
    <comment ref="BC9" authorId="3">
      <text>
        <r>
          <rPr>
            <b/>
            <sz val="9"/>
            <color indexed="81"/>
            <rFont val="Tahoma"/>
            <family val="2"/>
          </rPr>
          <t>Mains, Spencer (Research):</t>
        </r>
        <r>
          <rPr>
            <sz val="9"/>
            <color indexed="81"/>
            <rFont val="Tahoma"/>
            <family val="2"/>
          </rPr>
          <t xml:space="preserve">
8/20/15: still target roughly $1-1.2B in cash on our balance sheet</t>
        </r>
      </text>
    </comment>
    <comment ref="AG12" authorId="4">
      <text>
        <r>
          <rPr>
            <b/>
            <sz val="8"/>
            <color indexed="81"/>
            <rFont val="Tahoma"/>
            <family val="2"/>
          </rPr>
          <t>kgreenbe:</t>
        </r>
        <r>
          <rPr>
            <sz val="8"/>
            <color indexed="81"/>
            <rFont val="Tahoma"/>
            <family val="2"/>
          </rPr>
          <t xml:space="preserve">
11/20/03 had assumed 13% of sales or $2.2bil
reduced to 10.5% of sales or $1.7bil based on lowered 4Q03 inv guidance</t>
        </r>
      </text>
    </comment>
    <comment ref="AI12" authorId="4">
      <text>
        <r>
          <rPr>
            <b/>
            <sz val="10"/>
            <color indexed="81"/>
            <rFont val="Tahoma"/>
            <family val="2"/>
          </rPr>
          <t>kgreenbe:</t>
        </r>
        <r>
          <rPr>
            <sz val="10"/>
            <color indexed="81"/>
            <rFont val="Tahoma"/>
            <family val="2"/>
          </rPr>
          <t xml:space="preserve">
11/20/03 had assumed 13% of sales or $2.2bil
reduced to 10.5% of sales or $1.7bil based on lowered 4Q03 inv guidance</t>
        </r>
      </text>
    </comment>
    <comment ref="BC12" authorId="5">
      <text>
        <r>
          <rPr>
            <b/>
            <sz val="9"/>
            <color indexed="81"/>
            <rFont val="Tahoma"/>
            <family val="2"/>
          </rPr>
          <t>Baglione, Gregory  (Research):</t>
        </r>
        <r>
          <rPr>
            <sz val="9"/>
            <color indexed="81"/>
            <rFont val="Tahoma"/>
            <family val="2"/>
          </rPr>
          <t xml:space="preserve">
2/25/16
We expect total inventory to be down in the low single digits at the end of the first quarter</t>
        </r>
      </text>
    </comment>
    <comment ref="BE12" authorId="5">
      <text>
        <r>
          <rPr>
            <b/>
            <sz val="9"/>
            <color indexed="81"/>
            <rFont val="Tahoma"/>
            <family val="2"/>
          </rPr>
          <t>Baglione, Gregory  (Research):</t>
        </r>
        <r>
          <rPr>
            <sz val="9"/>
            <color indexed="81"/>
            <rFont val="Tahoma"/>
            <family val="2"/>
          </rPr>
          <t xml:space="preserve">
Expect to end year w/ inventory down LSD-MSD</t>
        </r>
      </text>
    </comment>
    <comment ref="AQ13" authorId="2">
      <text>
        <r>
          <rPr>
            <b/>
            <sz val="8"/>
            <color indexed="81"/>
            <rFont val="Tahoma"/>
            <family val="2"/>
          </rPr>
          <t>nicholjs:</t>
        </r>
        <r>
          <rPr>
            <sz val="8"/>
            <color indexed="81"/>
            <rFont val="Tahoma"/>
            <family val="2"/>
          </rPr>
          <t xml:space="preserve">
restated from $596</t>
        </r>
      </text>
    </comment>
    <comment ref="AC16" authorId="6">
      <text>
        <r>
          <rPr>
            <sz val="8"/>
            <color indexed="81"/>
            <rFont val="Tahoma"/>
            <family val="2"/>
          </rPr>
          <t xml:space="preserve">
net PPE of accum. Depr.  Will get gross and depr data with 10K</t>
        </r>
      </text>
    </comment>
    <comment ref="BG20" authorId="7">
      <text>
        <r>
          <rPr>
            <b/>
            <sz val="9"/>
            <color indexed="81"/>
            <rFont val="Tahoma"/>
            <family val="2"/>
          </rPr>
          <t>De Courreges, Edouard (Research):</t>
        </r>
        <r>
          <rPr>
            <sz val="9"/>
            <color indexed="81"/>
            <rFont val="Tahoma"/>
            <family val="2"/>
          </rPr>
          <t xml:space="preserve">
$233M Long term income tax related assets
$109 Goodwill
$95 Trade names
$179 Other</t>
        </r>
      </text>
    </comment>
    <comment ref="BG28" authorId="7">
      <text>
        <r>
          <rPr>
            <b/>
            <sz val="9"/>
            <color indexed="81"/>
            <rFont val="Tahoma"/>
            <family val="2"/>
          </rPr>
          <t>De Courreges, Edouard (Research):</t>
        </r>
        <r>
          <rPr>
            <sz val="9"/>
            <color indexed="81"/>
            <rFont val="Tahoma"/>
            <family val="2"/>
          </rPr>
          <t xml:space="preserve">
$462 Accured comp and benefits
$247 Unredeemed gift cards, gift certificates, and credit vouchers, net of breakage
$103 Short term deferred rent and tenant allowances 
$43 Accrued advertising
$415 Other</t>
        </r>
      </text>
    </comment>
    <comment ref="AC30" authorId="6">
      <text>
        <r>
          <rPr>
            <sz val="8"/>
            <color indexed="81"/>
            <rFont val="Tahoma"/>
            <family val="2"/>
          </rPr>
          <t xml:space="preserve">
est $200 based on $200.271 due at end of 3Q per 10-Q</t>
        </r>
      </text>
    </comment>
    <comment ref="AK31" authorId="8">
      <text>
        <r>
          <rPr>
            <b/>
            <sz val="8"/>
            <color indexed="81"/>
            <rFont val="Tahoma"/>
            <family val="2"/>
          </rPr>
          <t>oc48540:</t>
        </r>
        <r>
          <rPr>
            <sz val="8"/>
            <color indexed="81"/>
            <rFont val="Tahoma"/>
            <family val="2"/>
          </rPr>
          <t xml:space="preserve">
from 1Q07 10-Q: 6.9% payable of $326 due September 2007</t>
        </r>
      </text>
    </comment>
    <comment ref="AM31" authorId="9">
      <text>
        <r>
          <rPr>
            <b/>
            <sz val="8"/>
            <color indexed="81"/>
            <rFont val="Tahoma"/>
            <family val="2"/>
          </rPr>
          <t>OC48540:</t>
        </r>
        <r>
          <rPr>
            <sz val="8"/>
            <color indexed="81"/>
            <rFont val="Tahoma"/>
            <family val="2"/>
          </rPr>
          <t xml:space="preserve">
Due December 2008</t>
        </r>
      </text>
    </comment>
    <comment ref="AC35" authorId="6">
      <text>
        <r>
          <rPr>
            <sz val="8"/>
            <color indexed="81"/>
            <rFont val="Tahoma"/>
            <family val="2"/>
          </rPr>
          <t>Emergency convert done in Spring 2002
taken from 3Q  press release</t>
        </r>
      </text>
    </comment>
    <comment ref="AE35" authorId="6">
      <text>
        <r>
          <rPr>
            <sz val="8"/>
            <color indexed="81"/>
            <rFont val="Tahoma"/>
            <family val="2"/>
          </rPr>
          <t xml:space="preserve">
Assuming pay off of $500MM,  5.625% notes due 5/1/03</t>
        </r>
      </text>
    </comment>
    <comment ref="AG35" authorId="6">
      <text>
        <r>
          <rPr>
            <sz val="8"/>
            <color indexed="81"/>
            <rFont val="Tahoma"/>
            <family val="2"/>
          </rPr>
          <t>Reflecting $170 million of debt repurchased in 1Q04, $300 in 2Q and $133 in 3Q (also retired current portion in 3Q but already reflected in formula)</t>
        </r>
      </text>
    </comment>
    <comment ref="AM35" authorId="9">
      <text>
        <r>
          <rPr>
            <b/>
            <sz val="8"/>
            <color indexed="81"/>
            <rFont val="Tahoma"/>
            <family val="2"/>
          </rPr>
          <t>OC48540:</t>
        </r>
        <r>
          <rPr>
            <sz val="8"/>
            <color indexed="81"/>
            <rFont val="Tahoma"/>
            <family val="2"/>
          </rPr>
          <t xml:space="preserve">
Due March 2009</t>
        </r>
      </text>
    </comment>
    <comment ref="AU35" authorId="2">
      <text>
        <r>
          <rPr>
            <b/>
            <sz val="8"/>
            <color indexed="81"/>
            <rFont val="Tahoma"/>
            <family val="2"/>
          </rPr>
          <t>nicholjs:</t>
        </r>
        <r>
          <rPr>
            <sz val="8"/>
            <color indexed="81"/>
            <rFont val="Tahoma"/>
            <family val="2"/>
          </rPr>
          <t xml:space="preserve">
4/7/2011: issues $400 five-year term @ LIBOR +175 bps and $1.25bn bond @ 5.95% </t>
        </r>
      </text>
    </comment>
    <comment ref="AW35" authorId="10">
      <text>
        <r>
          <rPr>
            <sz val="8"/>
            <color indexed="81"/>
            <rFont val="Tahoma"/>
            <family val="2"/>
          </rPr>
          <t>8/16/12: The company plans to repay the remaining $360 million balance on its term loan during the third quarter of fiscal year 2012.</t>
        </r>
      </text>
    </comment>
    <comment ref="AC36" authorId="6">
      <text>
        <r>
          <rPr>
            <sz val="8"/>
            <color indexed="81"/>
            <rFont val="Tahoma"/>
            <family val="2"/>
          </rPr>
          <t xml:space="preserve">
taken from 3Q 10-Q</t>
        </r>
      </text>
    </comment>
    <comment ref="AE36" authorId="0">
      <text>
        <r>
          <rPr>
            <b/>
            <sz val="8"/>
            <color indexed="81"/>
            <rFont val="Tahoma"/>
            <family val="2"/>
          </rPr>
          <t>Kimberly Greenberger:</t>
        </r>
        <r>
          <rPr>
            <sz val="8"/>
            <color indexed="81"/>
            <rFont val="Tahoma"/>
            <family val="2"/>
          </rPr>
          <t xml:space="preserve">
originally released in 2003 10-K at $581mm. Restated in 2004 10-K to $1031mm pursuant to change in lease accounting for landlord/tenant impvmt allowances</t>
        </r>
      </text>
    </comment>
    <comment ref="BG36" authorId="7">
      <text>
        <r>
          <rPr>
            <b/>
            <sz val="9"/>
            <color indexed="81"/>
            <rFont val="Tahoma"/>
            <family val="2"/>
          </rPr>
          <t>De Courreges, Edouard (Research):</t>
        </r>
        <r>
          <rPr>
            <sz val="9"/>
            <color indexed="81"/>
            <rFont val="Tahoma"/>
            <family val="2"/>
          </rPr>
          <t xml:space="preserve">
$749 Long term deferred rent and tenant allowances
$152 Long term income tax related liabilities
$52 Long term asset retirement obligations
$182 Other</t>
        </r>
      </text>
    </comment>
    <comment ref="AC44" authorId="6">
      <text>
        <r>
          <rPr>
            <sz val="8"/>
            <color indexed="81"/>
            <rFont val="Tahoma"/>
            <family val="2"/>
          </rPr>
          <t xml:space="preserve">
taken from 3Q 10-Q</t>
        </r>
      </text>
    </comment>
    <comment ref="AC45" authorId="6">
      <text>
        <r>
          <rPr>
            <sz val="8"/>
            <color indexed="81"/>
            <rFont val="Tahoma"/>
            <family val="2"/>
          </rPr>
          <t xml:space="preserve">
taken from 3Q 10-Q</t>
        </r>
      </text>
    </comment>
    <comment ref="AC49" authorId="6">
      <text>
        <r>
          <rPr>
            <sz val="8"/>
            <color indexed="81"/>
            <rFont val="Tahoma"/>
            <family val="2"/>
          </rPr>
          <t xml:space="preserve">
taken from 3Q 10-Q</t>
        </r>
      </text>
    </comment>
    <comment ref="AK75" authorId="0">
      <text>
        <r>
          <rPr>
            <b/>
            <sz val="8"/>
            <color indexed="81"/>
            <rFont val="Tahoma"/>
            <family val="2"/>
          </rPr>
          <t>Kimberly Greenberger:</t>
        </r>
        <r>
          <rPr>
            <sz val="8"/>
            <color indexed="81"/>
            <rFont val="Tahoma"/>
            <family val="2"/>
          </rPr>
          <t xml:space="preserve">
7/04: est 65% b/c maybe can stay higher w/ less inv ownership</t>
        </r>
      </text>
    </comment>
    <comment ref="AM75" authorId="0">
      <text>
        <r>
          <rPr>
            <b/>
            <sz val="8"/>
            <color indexed="81"/>
            <rFont val="Tahoma"/>
            <family val="2"/>
          </rPr>
          <t>Kimberly Greenberger:</t>
        </r>
        <r>
          <rPr>
            <sz val="8"/>
            <color indexed="81"/>
            <rFont val="Tahoma"/>
            <family val="2"/>
          </rPr>
          <t xml:space="preserve">
7/04: est 65% b/c maybe can stay higher w/ less inv ownership</t>
        </r>
      </text>
    </comment>
  </commentList>
</comments>
</file>

<file path=xl/comments13.xml><?xml version="1.0" encoding="utf-8"?>
<comments xmlns="http://schemas.openxmlformats.org/spreadsheetml/2006/main">
  <authors>
    <author>Lehman Brothers</author>
    <author>Kimberly Greenberger</author>
    <author>Turley, Amber (Research)</author>
    <author>lehman</author>
    <author>oc48540</author>
    <author>mm98285</author>
    <author>TI23070</author>
    <author>solejay</author>
    <author>casselau</author>
    <author>Baglione, Gregory  (Research)</author>
    <author>De Courreges, Edouard (Research)</author>
    <author>nicholjs</author>
    <author>turleamb</author>
    <author>Cassel, Lauren (Research)</author>
    <author>Morry Brown</author>
  </authors>
  <commentList>
    <comment ref="Z10" authorId="0">
      <text>
        <r>
          <rPr>
            <sz val="8"/>
            <color indexed="81"/>
            <rFont val="Tahoma"/>
            <family val="2"/>
          </rPr>
          <t xml:space="preserve">
We do not excl tax charge thus show earnings below first call in 2001.  10k shows 249.4 in income taxes, so that is what we will show.</t>
        </r>
      </text>
    </comment>
    <comment ref="AB10" authorId="1">
      <text>
        <r>
          <rPr>
            <b/>
            <sz val="8"/>
            <color indexed="81"/>
            <rFont val="Tahoma"/>
            <family val="2"/>
          </rPr>
          <t>Kimberly Greenberger:</t>
        </r>
        <r>
          <rPr>
            <sz val="8"/>
            <color indexed="81"/>
            <rFont val="Tahoma"/>
            <family val="2"/>
          </rPr>
          <t xml:space="preserve">
GPS restated numbers using rounded figures (no decimal). We manually add to 2002 Net Income to get to the rounded number as reported in the 2004 10-K</t>
        </r>
      </text>
    </comment>
    <comment ref="AD10" authorId="1">
      <text>
        <r>
          <rPr>
            <b/>
            <sz val="8"/>
            <color indexed="81"/>
            <rFont val="Tahoma"/>
            <family val="2"/>
          </rPr>
          <t>Kimberly Greenberger:</t>
        </r>
        <r>
          <rPr>
            <sz val="8"/>
            <color indexed="81"/>
            <rFont val="Tahoma"/>
            <family val="2"/>
          </rPr>
          <t xml:space="preserve">
GPS restated numbers using rounded figures (no decimal). We manually add to 2003 Net Income to get to the rounded number as reported in the 2004 10-K</t>
        </r>
      </text>
    </comment>
    <comment ref="AZ10" authorId="2">
      <text>
        <r>
          <rPr>
            <b/>
            <sz val="9"/>
            <color indexed="81"/>
            <rFont val="Tahoma"/>
            <family val="2"/>
          </rPr>
          <t>Turley, Amber (Research):</t>
        </r>
        <r>
          <rPr>
            <sz val="9"/>
            <color indexed="81"/>
            <rFont val="Tahoma"/>
            <family val="2"/>
          </rPr>
          <t xml:space="preserve">
adjusted for one time items to get to GAAP net income</t>
        </r>
      </text>
    </comment>
    <comment ref="AB11" authorId="3">
      <text>
        <r>
          <rPr>
            <sz val="8"/>
            <color indexed="81"/>
            <rFont val="Tahoma"/>
            <family val="2"/>
          </rPr>
          <t xml:space="preserve">
restated in 03 10-k</t>
        </r>
      </text>
    </comment>
    <comment ref="AF11" authorId="4">
      <text>
        <r>
          <rPr>
            <b/>
            <sz val="8"/>
            <color indexed="81"/>
            <rFont val="Tahoma"/>
            <family val="2"/>
          </rPr>
          <t>oc48540:</t>
        </r>
        <r>
          <rPr>
            <sz val="8"/>
            <color indexed="81"/>
            <rFont val="Tahoma"/>
            <family val="2"/>
          </rPr>
          <t xml:space="preserve">
was 620 but in 2006 10-K adjusted to 615 and 5 put into stock based comp
</t>
        </r>
      </text>
    </comment>
    <comment ref="AH11" authorId="5">
      <text>
        <r>
          <rPr>
            <b/>
            <sz val="8"/>
            <color indexed="81"/>
            <rFont val="Tahoma"/>
            <family val="2"/>
          </rPr>
          <t>mm98285:</t>
        </r>
        <r>
          <rPr>
            <sz val="8"/>
            <color indexed="81"/>
            <rFont val="Tahoma"/>
            <family val="2"/>
          </rPr>
          <t xml:space="preserve">
depreciation = $625mm in 2005</t>
        </r>
      </text>
    </comment>
    <comment ref="AJ11" authorId="5">
      <text>
        <r>
          <rPr>
            <b/>
            <sz val="8"/>
            <color indexed="81"/>
            <rFont val="Tahoma"/>
            <family val="2"/>
          </rPr>
          <t>mm98285:</t>
        </r>
        <r>
          <rPr>
            <sz val="8"/>
            <color indexed="81"/>
            <rFont val="Tahoma"/>
            <family val="2"/>
          </rPr>
          <t xml:space="preserve">
4Q05 press release expects D&amp;A to be $535mm in 2006</t>
        </r>
      </text>
    </comment>
    <comment ref="AL11" authorId="5">
      <text>
        <r>
          <rPr>
            <b/>
            <sz val="8"/>
            <color indexed="81"/>
            <rFont val="Tahoma"/>
            <family val="2"/>
          </rPr>
          <t>mm98285:</t>
        </r>
        <r>
          <rPr>
            <sz val="8"/>
            <color indexed="81"/>
            <rFont val="Tahoma"/>
            <family val="2"/>
          </rPr>
          <t xml:space="preserve">
11/07: expect $550mm</t>
        </r>
      </text>
    </comment>
    <comment ref="AP11" authorId="4">
      <text>
        <r>
          <rPr>
            <b/>
            <sz val="8"/>
            <color indexed="81"/>
            <rFont val="Tahoma"/>
            <family val="2"/>
          </rPr>
          <t xml:space="preserve">2/26/09: </t>
        </r>
        <r>
          <rPr>
            <sz val="8"/>
            <color indexed="81"/>
            <rFont val="Tahoma"/>
            <family val="2"/>
          </rPr>
          <t>Expect D&amp;A to be ~$550mm.</t>
        </r>
      </text>
    </comment>
    <comment ref="AR11" authorId="6">
      <text>
        <r>
          <rPr>
            <b/>
            <sz val="8"/>
            <color indexed="81"/>
            <rFont val="Tahoma"/>
            <family val="2"/>
          </rPr>
          <t>TI23070:</t>
        </r>
        <r>
          <rPr>
            <sz val="8"/>
            <color indexed="81"/>
            <rFont val="Tahoma"/>
            <family val="2"/>
          </rPr>
          <t xml:space="preserve">
2/25/2010:~$550mm</t>
        </r>
      </text>
    </comment>
    <comment ref="AV11" authorId="7">
      <text>
        <r>
          <rPr>
            <sz val="8"/>
            <color indexed="81"/>
            <rFont val="Tahoma"/>
            <family val="2"/>
          </rPr>
          <t xml:space="preserve">
11/15/2012: about 475
8/16/2012: about 475
5/17/2012: about 475
2/23/2012: about 475
</t>
        </r>
      </text>
    </comment>
    <comment ref="AX11" authorId="8">
      <text>
        <r>
          <rPr>
            <b/>
            <sz val="8"/>
            <color indexed="81"/>
            <rFont val="Tahoma"/>
            <family val="2"/>
          </rPr>
          <t xml:space="preserve">10-K: </t>
        </r>
        <r>
          <rPr>
            <sz val="8"/>
            <color indexed="81"/>
            <rFont val="Tahoma"/>
            <family val="2"/>
          </rPr>
          <t xml:space="preserve"> D&amp;A $536 minus amortization of lease incentives of $66m</t>
        </r>
        <r>
          <rPr>
            <b/>
            <sz val="8"/>
            <color indexed="81"/>
            <rFont val="Tahoma"/>
            <family val="2"/>
          </rPr>
          <t xml:space="preserve">
casselau:
</t>
        </r>
        <r>
          <rPr>
            <sz val="8"/>
            <color indexed="81"/>
            <rFont val="Tahoma"/>
            <family val="2"/>
          </rPr>
          <t>8/22/13: about 475</t>
        </r>
        <r>
          <rPr>
            <sz val="8"/>
            <color indexed="81"/>
            <rFont val="Tahoma"/>
            <family val="2"/>
          </rPr>
          <t xml:space="preserve">
5/23/13: about 475
2/28/13: about 475
</t>
        </r>
      </text>
    </comment>
    <comment ref="AZ11" authorId="2">
      <text>
        <r>
          <rPr>
            <b/>
            <sz val="9"/>
            <color indexed="81"/>
            <rFont val="Tahoma"/>
            <family val="2"/>
          </rPr>
          <t>Turley, Amber (Research):</t>
        </r>
        <r>
          <rPr>
            <sz val="9"/>
            <color indexed="81"/>
            <rFont val="Tahoma"/>
            <family val="2"/>
          </rPr>
          <t xml:space="preserve">
D&amp;A of $564 - $64 amortization of lease incentives</t>
        </r>
      </text>
    </comment>
    <comment ref="BB11" authorId="2">
      <text>
        <r>
          <rPr>
            <b/>
            <sz val="9"/>
            <color indexed="81"/>
            <rFont val="Tahoma"/>
            <family val="2"/>
          </rPr>
          <t>Turley, Amber (Research):</t>
        </r>
        <r>
          <rPr>
            <sz val="9"/>
            <color indexed="81"/>
            <rFont val="Tahoma"/>
            <family val="2"/>
          </rPr>
          <t xml:space="preserve">
2/25/15 guidance: $525M</t>
        </r>
      </text>
    </comment>
    <comment ref="BD11" authorId="9">
      <text>
        <r>
          <rPr>
            <b/>
            <sz val="9"/>
            <color indexed="81"/>
            <rFont val="Tahoma"/>
            <family val="2"/>
          </rPr>
          <t>Baglione, Gregory  (Research):</t>
        </r>
        <r>
          <rPr>
            <sz val="9"/>
            <color indexed="81"/>
            <rFont val="Tahoma"/>
            <family val="2"/>
          </rPr>
          <t xml:space="preserve">
11/17/16
guidance $550M FY16
Guidance provided on 2/25/16 $560M
5/19/16
We now expect depreciation and amortization of about $550 million.</t>
        </r>
      </text>
    </comment>
    <comment ref="BF11" authorId="10">
      <text>
        <r>
          <rPr>
            <b/>
            <sz val="9"/>
            <color indexed="81"/>
            <rFont val="Tahoma"/>
            <family val="2"/>
          </rPr>
          <t>De Courreges, Edouard (Research):</t>
        </r>
        <r>
          <rPr>
            <sz val="9"/>
            <color indexed="81"/>
            <rFont val="Tahoma"/>
            <family val="2"/>
          </rPr>
          <t xml:space="preserve">
$559 D&amp;A
-$60 Amortization of lease incentives</t>
        </r>
      </text>
    </comment>
    <comment ref="AB12" authorId="0">
      <text>
        <r>
          <rPr>
            <sz val="8"/>
            <color indexed="81"/>
            <rFont val="Tahoma"/>
            <family val="2"/>
          </rPr>
          <t xml:space="preserve">
est at $0 b/c no record on b/s of these items</t>
        </r>
      </text>
    </comment>
    <comment ref="AD12" authorId="0">
      <text>
        <r>
          <rPr>
            <sz val="8"/>
            <color indexed="81"/>
            <rFont val="Tahoma"/>
            <family val="2"/>
          </rPr>
          <t xml:space="preserve">
est at $0 b/c no record on b/s of these items</t>
        </r>
      </text>
    </comment>
    <comment ref="AF12" authorId="0">
      <text>
        <r>
          <rPr>
            <sz val="8"/>
            <color indexed="81"/>
            <rFont val="Tahoma"/>
            <family val="2"/>
          </rPr>
          <t xml:space="preserve">
est at $0 b/c no record on b/s of these items</t>
        </r>
      </text>
    </comment>
    <comment ref="AH12" authorId="0">
      <text>
        <r>
          <rPr>
            <sz val="8"/>
            <color indexed="81"/>
            <rFont val="Tahoma"/>
            <family val="2"/>
          </rPr>
          <t xml:space="preserve">
est at $0 b/c no record on b/s of these items</t>
        </r>
      </text>
    </comment>
    <comment ref="AB13" authorId="0">
      <text>
        <r>
          <rPr>
            <sz val="8"/>
            <color indexed="81"/>
            <rFont val="Tahoma"/>
            <family val="2"/>
          </rPr>
          <t xml:space="preserve">
est at $0 b/c no record on b/s of these items</t>
        </r>
      </text>
    </comment>
    <comment ref="AD13" authorId="0">
      <text>
        <r>
          <rPr>
            <sz val="8"/>
            <color indexed="81"/>
            <rFont val="Tahoma"/>
            <family val="2"/>
          </rPr>
          <t xml:space="preserve">
est at $0 b/c no record on b/s of these items</t>
        </r>
      </text>
    </comment>
    <comment ref="AF13" authorId="0">
      <text>
        <r>
          <rPr>
            <sz val="8"/>
            <color indexed="81"/>
            <rFont val="Tahoma"/>
            <family val="2"/>
          </rPr>
          <t xml:space="preserve">
est at $0 b/c no record on b/s of these items</t>
        </r>
      </text>
    </comment>
    <comment ref="Z15" authorId="0">
      <text>
        <r>
          <rPr>
            <sz val="8"/>
            <color indexed="81"/>
            <rFont val="Tahoma"/>
            <family val="2"/>
          </rPr>
          <t xml:space="preserve">
loss on disposal</t>
        </r>
      </text>
    </comment>
    <comment ref="AB15" authorId="0">
      <text>
        <r>
          <rPr>
            <sz val="8"/>
            <color indexed="81"/>
            <rFont val="Tahoma"/>
            <family val="2"/>
          </rPr>
          <t xml:space="preserve">
loss on disposal</t>
        </r>
      </text>
    </comment>
    <comment ref="AD15" authorId="0">
      <text>
        <r>
          <rPr>
            <sz val="8"/>
            <color indexed="81"/>
            <rFont val="Tahoma"/>
            <family val="2"/>
          </rPr>
          <t xml:space="preserve">
rounding error on b/s</t>
        </r>
      </text>
    </comment>
    <comment ref="AF15" authorId="0">
      <text>
        <r>
          <rPr>
            <sz val="8"/>
            <color indexed="81"/>
            <rFont val="Tahoma"/>
            <family val="2"/>
          </rPr>
          <t xml:space="preserve">
rounding error on b/s</t>
        </r>
      </text>
    </comment>
    <comment ref="BB15" authorId="9">
      <text>
        <r>
          <rPr>
            <b/>
            <sz val="9"/>
            <color indexed="81"/>
            <rFont val="Tahoma"/>
            <family val="2"/>
          </rPr>
          <t>Baglione, Gregory  (Research):</t>
        </r>
        <r>
          <rPr>
            <sz val="9"/>
            <color indexed="81"/>
            <rFont val="Tahoma"/>
            <family val="2"/>
          </rPr>
          <t xml:space="preserve">
Reflects $70M charges not included in Non-GAAP net income/EPS</t>
        </r>
      </text>
    </comment>
    <comment ref="BD15" authorId="9">
      <text>
        <r>
          <rPr>
            <b/>
            <sz val="9"/>
            <color indexed="81"/>
            <rFont val="Tahoma"/>
            <family val="2"/>
          </rPr>
          <t>Baglione, Gregory  (Research):</t>
        </r>
        <r>
          <rPr>
            <sz val="9"/>
            <color indexed="81"/>
            <rFont val="Tahoma"/>
            <family val="2"/>
          </rPr>
          <t xml:space="preserve">
5/19/16
The company estimates that together these measures will result in annualized pre-tax savings of about $275M and operating margin improvement of nearly 2 percentage points. The company estimates an annualized sales loss of about $250M associated with the store closures and expects to recognize restructuring costs in fiscal 2016 of about $300M pre-tax, about $100M of which is non-cash, from the store closures and streamlining measures</t>
        </r>
      </text>
    </comment>
    <comment ref="BF15" authorId="10">
      <text>
        <r>
          <rPr>
            <b/>
            <sz val="9"/>
            <color indexed="81"/>
            <rFont val="Tahoma"/>
            <family val="2"/>
          </rPr>
          <t>De Courreges, Edouard (Research):</t>
        </r>
        <r>
          <rPr>
            <sz val="9"/>
            <color indexed="81"/>
            <rFont val="Tahoma"/>
            <family val="2"/>
          </rPr>
          <t xml:space="preserve">
Insurance proceeds related to loss on PPE</t>
        </r>
      </text>
    </comment>
    <comment ref="AB22" authorId="0">
      <text>
        <r>
          <rPr>
            <sz val="8"/>
            <color indexed="81"/>
            <rFont val="Tahoma"/>
            <family val="2"/>
          </rPr>
          <t xml:space="preserve">
3Q 10Q reduced guidance for capex down from $360 to low $300s</t>
        </r>
      </text>
    </comment>
    <comment ref="AD22" authorId="0">
      <text>
        <r>
          <rPr>
            <sz val="8"/>
            <color indexed="81"/>
            <rFont val="Tahoma"/>
            <family val="2"/>
          </rPr>
          <t xml:space="preserve">
10k guidance for 350 to 400, $190M for info technology. Remaining spending, store capital, estimated to be $180M ($40M for new stores and $140M for remodels)
6/2/03 lowered capex following 1Q to $300 to $325 for year
11/20/03 lowered to $275</t>
        </r>
      </text>
    </comment>
    <comment ref="AF22" authorId="4">
      <text>
        <r>
          <rPr>
            <b/>
            <sz val="8"/>
            <color indexed="81"/>
            <rFont val="Tahoma"/>
            <family val="2"/>
          </rPr>
          <t>oc48540:</t>
        </r>
        <r>
          <rPr>
            <sz val="8"/>
            <color indexed="81"/>
            <rFont val="Tahoma"/>
            <family val="2"/>
          </rPr>
          <t xml:space="preserve">
</t>
        </r>
        <r>
          <rPr>
            <b/>
            <u/>
            <sz val="8"/>
            <color indexed="81"/>
            <rFont val="Tahoma"/>
            <family val="2"/>
          </rPr>
          <t>10-K 2005</t>
        </r>
        <r>
          <rPr>
            <sz val="8"/>
            <color indexed="81"/>
            <rFont val="Tahoma"/>
            <family val="2"/>
          </rPr>
          <t xml:space="preserve">
Majority of expenditures used for new store locations, store remodels and information technology.</t>
        </r>
      </text>
    </comment>
    <comment ref="AH22" authorId="1">
      <text>
        <r>
          <rPr>
            <b/>
            <sz val="8"/>
            <color indexed="81"/>
            <rFont val="Tahoma"/>
            <family val="2"/>
          </rPr>
          <t>Kimberly Greenberger:</t>
        </r>
        <r>
          <rPr>
            <sz val="8"/>
            <color indexed="81"/>
            <rFont val="Tahoma"/>
            <family val="2"/>
          </rPr>
          <t xml:space="preserve">
10-K: $600mm (capex) - $27mm proceeds from sale of P&amp;E
4/05 analyst day indicated $625mm capex 2005, and $725 in each of 2006 and 2007.
</t>
        </r>
        <r>
          <rPr>
            <b/>
            <u/>
            <sz val="8"/>
            <color indexed="81"/>
            <rFont val="Tahoma"/>
            <family val="2"/>
          </rPr>
          <t>10-K 2006</t>
        </r>
        <r>
          <rPr>
            <sz val="8"/>
            <color indexed="81"/>
            <rFont val="Tahoma"/>
            <family val="2"/>
          </rPr>
          <t xml:space="preserve">
Majority of expenditures used for new store locations, store remodels and information technology.</t>
        </r>
      </text>
    </comment>
    <comment ref="AJ22" authorId="1">
      <text>
        <r>
          <rPr>
            <b/>
            <sz val="8"/>
            <color indexed="81"/>
            <rFont val="Tahoma"/>
            <family val="2"/>
          </rPr>
          <t>Kimberly Greenberger:</t>
        </r>
        <r>
          <rPr>
            <sz val="8"/>
            <color indexed="81"/>
            <rFont val="Tahoma"/>
            <family val="2"/>
          </rPr>
          <t xml:space="preserve">
10K: $675 capex
=$270 new stores
+$200 existing stores
+$130 IT
+$75 HQ &amp; dist.
4Q05 press release guided $675mm in 2006
4/05 analyst day indicated $625mm capex 2005, and $725 in each of 2006 and 2007.
</t>
        </r>
        <r>
          <rPr>
            <b/>
            <u/>
            <sz val="8"/>
            <color indexed="81"/>
            <rFont val="Tahoma"/>
            <family val="2"/>
          </rPr>
          <t>10-K 2006</t>
        </r>
        <r>
          <rPr>
            <sz val="8"/>
            <color indexed="81"/>
            <rFont val="Tahoma"/>
            <family val="2"/>
          </rPr>
          <t xml:space="preserve">
Majority of expenditures used for new store locations, store remodels and information technology.</t>
        </r>
      </text>
    </comment>
    <comment ref="AL22" authorId="1">
      <text>
        <r>
          <rPr>
            <sz val="8"/>
            <color indexed="81"/>
            <rFont val="Tahoma"/>
            <family val="2"/>
          </rPr>
          <t>est. $700mm
11/07 &amp; 1Q07: Guided to $700M
Guiding to $700m in 2006 10-K</t>
        </r>
        <r>
          <rPr>
            <b/>
            <sz val="8"/>
            <color indexed="81"/>
            <rFont val="Tahoma"/>
            <family val="2"/>
          </rPr>
          <t xml:space="preserve">
Kimberly Greenberger:</t>
        </r>
        <r>
          <rPr>
            <sz val="8"/>
            <color indexed="81"/>
            <rFont val="Tahoma"/>
            <family val="2"/>
          </rPr>
          <t xml:space="preserve">
2/07: $700mm ($235 new stores, $310 existing stores, $110 IT, $45 Headquarters &amp; DC)
2/06 guided to $675mm
4/05 analyst day indicated $625mm capex 2005, and $725 in each of 2006 and 2007.</t>
        </r>
      </text>
    </comment>
    <comment ref="AN22" authorId="1">
      <text>
        <r>
          <rPr>
            <sz val="8"/>
            <color indexed="81"/>
            <rFont val="Tahoma"/>
            <family val="2"/>
          </rPr>
          <t>2008's 10-K:
Capex related to stores $303mm, direct $47mm, unallocated $81mm
8/21: Guided to ~$500mm
5/22/08: Guided to ~$500mm
Expects to reduce its capital
spending to about $500mm in fiscal year 2008 and expects to open 100 store locations, conduct 15 store repositions, remodel 70-75 Gap Brand stores, remodel less than 5 Old Navy Stores, and increase square footage by less than
half of a percent for fiscal year 2008.
Stores $350mm ($130mm new stores and $220mm existing stores)
IT $100mm
HQ and Distribution $50mm</t>
        </r>
        <r>
          <rPr>
            <b/>
            <sz val="8"/>
            <color indexed="81"/>
            <rFont val="Tahoma"/>
            <family val="2"/>
          </rPr>
          <t xml:space="preserve">
2/28: Guided to ~$500mm
est $729.5
Kimberly Greenberger:</t>
        </r>
        <r>
          <rPr>
            <sz val="8"/>
            <color indexed="81"/>
            <rFont val="Tahoma"/>
            <family val="2"/>
          </rPr>
          <t xml:space="preserve">
4/05 analyst day indicated $625mm capex 2005, and $725 in each of 2006 and 2007.</t>
        </r>
      </text>
    </comment>
    <comment ref="AP22" authorId="1">
      <text>
        <r>
          <rPr>
            <sz val="8"/>
            <color indexed="81"/>
            <rFont val="Tahoma"/>
            <family val="2"/>
          </rPr>
          <t>11/25: Exp. Capex of $575mm
5/21/09: Exp. Capex of $350mm
2008's 10-K: For fiscal 2009, we expect capital expenditures to be about $350 million. We expect to open about 50 new store locations and to close about 100 store locations. As a result, we expect net square footage to decrease about 2 percent for fiscal 2009.</t>
        </r>
        <r>
          <rPr>
            <b/>
            <sz val="8"/>
            <color indexed="81"/>
            <rFont val="Tahoma"/>
            <family val="2"/>
          </rPr>
          <t xml:space="preserve">
2/26/09: est $350mm
est 732.7mm
Kimberly Greenberger:</t>
        </r>
        <r>
          <rPr>
            <sz val="8"/>
            <color indexed="81"/>
            <rFont val="Tahoma"/>
            <family val="2"/>
          </rPr>
          <t xml:space="preserve">
4/05 analyst day indicated $625mm capex 2005, and $725 in each of 2006 and 2007.</t>
        </r>
      </text>
    </comment>
    <comment ref="AR22" authorId="1">
      <text>
        <r>
          <rPr>
            <sz val="8"/>
            <color indexed="81"/>
            <rFont val="Tahoma"/>
            <family val="2"/>
          </rPr>
          <t>10Q: expect ~$575M
11/2010: expects ~$575M
8/10: expects ~$575M, ~$385M store capital, ~$110M IT, ~$80M DC/HQ
2/25/10:
Expects fiscal year 2010 capital spending to increase to about $575 million, driven by Old Navy store remodels, new international store openings and the online launch in Europe and Canada
Store capital ~$385, IT ~$130, DC/HQ ~$60
The $385mm of store capital is expected to be used for new stores ($90mm) and remodels/repositioning of existing stores ($290mm).</t>
        </r>
        <r>
          <rPr>
            <b/>
            <sz val="8"/>
            <color indexed="81"/>
            <rFont val="Tahoma"/>
            <family val="2"/>
          </rPr>
          <t xml:space="preserve">
Kimberly Greenberger:</t>
        </r>
        <r>
          <rPr>
            <sz val="8"/>
            <color indexed="81"/>
            <rFont val="Tahoma"/>
            <family val="2"/>
          </rPr>
          <t xml:space="preserve">
4/05 analyst day indicated $625mm capex 2005, and $725 in each of 2006 and 2007.</t>
        </r>
      </text>
    </comment>
    <comment ref="AT22" authorId="11">
      <text>
        <r>
          <rPr>
            <sz val="8"/>
            <color indexed="81"/>
            <rFont val="Tahoma"/>
            <family val="2"/>
          </rPr>
          <t>2/2012 - "Full-year capital expenditures were $548 million, focused on
international and the associated IT investments, global online, and Old Navy downsizes."
11/2011: expect ~$575mm  ($390 for stores, $130 for IT, $55 for DC/HQ)</t>
        </r>
        <r>
          <rPr>
            <sz val="8"/>
            <color indexed="81"/>
            <rFont val="Tahoma"/>
            <family val="2"/>
          </rPr>
          <t xml:space="preserve">
8/2011: expect ~$575mm 
5/2011: expect ~$575mm 
2/2011: expect ~$575mm including ~$390mm for store capital, $130mm for IT, and $55mm for DC/HQ</t>
        </r>
      </text>
    </comment>
    <comment ref="AV22" authorId="7">
      <text>
        <r>
          <rPr>
            <sz val="8"/>
            <color indexed="81"/>
            <rFont val="Tahoma"/>
            <family val="2"/>
          </rPr>
          <t xml:space="preserve">11/15/2012: about 675
8/16/2012: about 675
5/17/2012: about 600
2/23/2012: about 600
</t>
        </r>
      </text>
    </comment>
    <comment ref="AX22" authorId="8">
      <text>
        <r>
          <rPr>
            <b/>
            <sz val="8"/>
            <color indexed="81"/>
            <rFont val="Tahoma"/>
            <family val="2"/>
          </rPr>
          <t xml:space="preserve">turleamb:
2/27/14: </t>
        </r>
        <r>
          <rPr>
            <sz val="8"/>
            <color indexed="81"/>
            <rFont val="Tahoma"/>
            <family val="2"/>
          </rPr>
          <t>Over half of capex was spent on stores and they continue to invest signficantly in strategic areas like OmniChannel and supply chain</t>
        </r>
        <r>
          <rPr>
            <b/>
            <sz val="8"/>
            <color indexed="81"/>
            <rFont val="Tahoma"/>
            <family val="2"/>
          </rPr>
          <t xml:space="preserve">
</t>
        </r>
        <r>
          <rPr>
            <sz val="8"/>
            <color indexed="81"/>
            <rFont val="Tahoma"/>
            <family val="2"/>
          </rPr>
          <t>11/21/13: Fiscal YTD capital expenditures were $487 million. Expects $675m</t>
        </r>
        <r>
          <rPr>
            <b/>
            <sz val="8"/>
            <color indexed="81"/>
            <rFont val="Tahoma"/>
            <family val="2"/>
          </rPr>
          <t xml:space="preserve">
</t>
        </r>
        <r>
          <rPr>
            <sz val="8"/>
            <color indexed="81"/>
            <rFont val="Tahoma"/>
            <family val="2"/>
          </rPr>
          <t>8/22/13: $675</t>
        </r>
        <r>
          <rPr>
            <sz val="8"/>
            <color indexed="81"/>
            <rFont val="Tahoma"/>
            <family val="2"/>
          </rPr>
          <t xml:space="preserve">
5/23/13: $675
guidance $675</t>
        </r>
      </text>
    </comment>
    <comment ref="AZ22" authorId="12">
      <text>
        <r>
          <rPr>
            <b/>
            <sz val="8"/>
            <color indexed="81"/>
            <rFont val="Tahoma"/>
            <family val="2"/>
          </rPr>
          <t>turleamb:</t>
        </r>
        <r>
          <rPr>
            <sz val="8"/>
            <color indexed="81"/>
            <rFont val="Tahoma"/>
            <family val="2"/>
          </rPr>
          <t xml:space="preserve">
11/20/14: Guidance lowered to $700M
8/21/14: reiterate $750m in CapEx
5/21/14: re-affirmed guidance ~$750m. YTD CapEx is $162m
2/27/14: guidance $750m reflecting the company`s continued investment in its outlined
strategic goals. 
Analyst Day: omni-channel &amp; supply chain =~30% of capex, newer brands &amp; intl ~40% of Capex</t>
        </r>
      </text>
    </comment>
    <comment ref="BB22" authorId="2">
      <text>
        <r>
          <rPr>
            <sz val="9"/>
            <color indexed="81"/>
            <rFont val="Tahoma"/>
            <family val="2"/>
          </rPr>
          <t>11/19/15: YTD capex ~$505M.  Continue to expect $800M for the year.
8/20/15: YTD capex ~$300M
2/26/15: Guidance $800M reflecting company's focus on omni-channel and supply chain capabilities
8/18/15 $800M capex</t>
        </r>
      </text>
    </comment>
    <comment ref="BD22" authorId="9">
      <text>
        <r>
          <rPr>
            <b/>
            <sz val="9"/>
            <color indexed="81"/>
            <rFont val="Tahoma"/>
            <family val="2"/>
          </rPr>
          <t>Baglione, Gregory  (Research):</t>
        </r>
        <r>
          <rPr>
            <sz val="9"/>
            <color indexed="81"/>
            <rFont val="Tahoma"/>
            <family val="2"/>
          </rPr>
          <t xml:space="preserve">
11/17/16
guidance: reaffirmed $525M
Guidance provided on 2/25/16
~$650M
5/19/16
We intend to maintain that focus and therefore, we are reducing our 2016 capital spend guidance by about 20% or $125 million, to about
$525 million.
</t>
        </r>
      </text>
    </comment>
    <comment ref="BF22" authorId="13">
      <text>
        <r>
          <rPr>
            <b/>
            <sz val="9"/>
            <color indexed="81"/>
            <rFont val="Tahoma"/>
            <family val="2"/>
          </rPr>
          <t>Cassel, Lauren (Research):</t>
        </r>
        <r>
          <rPr>
            <sz val="9"/>
            <color indexed="81"/>
            <rFont val="Tahoma"/>
            <family val="2"/>
          </rPr>
          <t xml:space="preserve">
$731 PPE
$3 Other
-$66 Insurance proceeds related to loss on PPE
2/28/18: our fiscal 2017 capital expenditures were $731 million including about $170 million of spend related to rebuilding our Fishkill distribution center. This is lower than our previous expectations largely as we slowed down spending a bit to reorient our IT priorities to the highest benefit investments under our balanced growth strategy
2/23/17: guidance $625M; This spend reflects a balanced approach to invest in the business strategically to support long-term growth. About half of this spend will go towards store investments with the remainder largely related to IT and supply chain investments to support our Omni and digital strategies as Art discussed. Regarding Company operated stores.
Excluding an estimated $200 million associated with the rebuilding of the company’s Fishkill, New York distribution center campus and related supply chain spend. The company noted the majority of these costs are expected to be covered by insurance proceeds. </t>
        </r>
      </text>
    </comment>
    <comment ref="BH22" authorId="10">
      <text>
        <r>
          <rPr>
            <b/>
            <sz val="9"/>
            <color indexed="81"/>
            <rFont val="Tahoma"/>
            <family val="2"/>
          </rPr>
          <t>De Courreges, Edouard (Research):</t>
        </r>
        <r>
          <rPr>
            <sz val="9"/>
            <color indexed="81"/>
            <rFont val="Tahoma"/>
            <family val="2"/>
          </rPr>
          <t xml:space="preserve">
2/28/18: ~$800M guidance</t>
        </r>
      </text>
    </comment>
    <comment ref="AJ40" authorId="5">
      <text>
        <r>
          <rPr>
            <b/>
            <sz val="8"/>
            <color indexed="81"/>
            <rFont val="Tahoma"/>
            <family val="2"/>
          </rPr>
          <t>mm98285:</t>
        </r>
        <r>
          <rPr>
            <sz val="8"/>
            <color indexed="81"/>
            <rFont val="Tahoma"/>
            <family val="2"/>
          </rPr>
          <t xml:space="preserve">
1/07: expect FCF at $650M</t>
        </r>
      </text>
    </comment>
    <comment ref="AL40" authorId="4">
      <text>
        <r>
          <rPr>
            <b/>
            <sz val="8"/>
            <color indexed="81"/>
            <rFont val="Tahoma"/>
            <family val="2"/>
          </rPr>
          <t>oc48540:</t>
        </r>
        <r>
          <rPr>
            <sz val="8"/>
            <color indexed="81"/>
            <rFont val="Tahoma"/>
            <family val="2"/>
          </rPr>
          <t xml:space="preserve">
10-K-2006: Expect cash flow to be $500m, based on 1200 CFO and -700 capex</t>
        </r>
      </text>
    </comment>
    <comment ref="AZ40" authorId="12">
      <text>
        <r>
          <rPr>
            <b/>
            <sz val="9"/>
            <color indexed="81"/>
            <rFont val="Tahoma"/>
            <family val="2"/>
          </rPr>
          <t>turleamb:</t>
        </r>
        <r>
          <rPr>
            <sz val="9"/>
            <color indexed="81"/>
            <rFont val="Tahoma"/>
            <family val="2"/>
          </rPr>
          <t xml:space="preserve">
2014 Investor Day: Operating cash flow $1.4-$1.9B annually 5 yrs trailing</t>
        </r>
      </text>
    </comment>
    <comment ref="AL46" authorId="4">
      <text>
        <r>
          <rPr>
            <b/>
            <sz val="8"/>
            <color indexed="81"/>
            <rFont val="Tahoma"/>
            <family val="2"/>
          </rPr>
          <t>oc48540:</t>
        </r>
        <r>
          <rPr>
            <sz val="8"/>
            <color indexed="81"/>
            <rFont val="Tahoma"/>
            <family val="2"/>
          </rPr>
          <t xml:space="preserve">
1Q07-10Q: $326 due Sept 2007</t>
        </r>
      </text>
    </comment>
    <comment ref="AN46" authorId="4">
      <text>
        <r>
          <rPr>
            <b/>
            <sz val="8"/>
            <color indexed="81"/>
            <rFont val="Tahoma"/>
            <family val="2"/>
          </rPr>
          <t>oc48540:</t>
        </r>
        <r>
          <rPr>
            <sz val="8"/>
            <color indexed="81"/>
            <rFont val="Tahoma"/>
            <family val="2"/>
          </rPr>
          <t xml:space="preserve">
1Q07-10Q: $138 due Sept 2007</t>
        </r>
      </text>
    </comment>
    <comment ref="AP46" authorId="4">
      <text>
        <r>
          <rPr>
            <b/>
            <sz val="8"/>
            <color indexed="81"/>
            <rFont val="Tahoma"/>
            <family val="2"/>
          </rPr>
          <t>oc48540:</t>
        </r>
        <r>
          <rPr>
            <sz val="8"/>
            <color indexed="81"/>
            <rFont val="Tahoma"/>
            <family val="2"/>
          </rPr>
          <t xml:space="preserve">
1Q07-10Q: $50 due March 2009</t>
        </r>
      </text>
    </comment>
    <comment ref="AH50" authorId="5">
      <text>
        <r>
          <rPr>
            <b/>
            <sz val="8"/>
            <color indexed="81"/>
            <rFont val="Tahoma"/>
            <family val="2"/>
          </rPr>
          <t>mm98285:</t>
        </r>
        <r>
          <rPr>
            <sz val="8"/>
            <color indexed="81"/>
            <rFont val="Tahoma"/>
            <family val="2"/>
          </rPr>
          <t xml:space="preserve">
$1,971mm - net of reissuances
2/06: repurchased 98.5mm shares for $2billion in 2005</t>
        </r>
      </text>
    </comment>
    <comment ref="AJ50" authorId="5">
      <text>
        <r>
          <rPr>
            <b/>
            <sz val="8"/>
            <color indexed="81"/>
            <rFont val="Tahoma"/>
            <family val="2"/>
          </rPr>
          <t>mm98285:</t>
        </r>
        <r>
          <rPr>
            <sz val="8"/>
            <color indexed="81"/>
            <rFont val="Tahoma"/>
            <family val="2"/>
          </rPr>
          <t xml:space="preserve">
3/07: 4Q repo'd $279mm (14mm shares)
11/06: 3Q repo'd $271mm (16m shares)
8/06: 2Q repo'd $111mm (6m shares) and auth new repo'd program for $750mm
5/06: 1Q repo'd $389mm (21.7 shares)
2/06: new $500mm share repo program</t>
        </r>
      </text>
    </comment>
    <comment ref="AL50" authorId="5">
      <text>
        <r>
          <rPr>
            <sz val="8"/>
            <color indexed="81"/>
            <rFont val="Tahoma"/>
            <family val="2"/>
          </rPr>
          <t xml:space="preserve">11/07: repurchased 48mm shares in 3Q (8mm repo'd from individual members of the Fisher family as part of prev announced purchase agreements with them) - GPS has utilized $887mm of $1.5b share repo program (announced Aug. 23)
</t>
        </r>
        <r>
          <rPr>
            <b/>
            <sz val="8"/>
            <color indexed="81"/>
            <rFont val="Tahoma"/>
            <family val="2"/>
          </rPr>
          <t xml:space="preserve">
$200mm purchased in 2Q07, and new $1.5bn share repurchase program ann.
mm98285:</t>
        </r>
        <r>
          <rPr>
            <sz val="8"/>
            <color indexed="81"/>
            <rFont val="Tahoma"/>
            <family val="2"/>
          </rPr>
          <t xml:space="preserve">
2/07: $200 million remaining in current authorization</t>
        </r>
      </text>
    </comment>
    <comment ref="AR50" authorId="4">
      <text>
        <r>
          <rPr>
            <b/>
            <sz val="8"/>
            <color indexed="81"/>
            <rFont val="Tahoma"/>
            <family val="2"/>
          </rPr>
          <t>oc48540:</t>
        </r>
        <r>
          <rPr>
            <sz val="8"/>
            <color indexed="81"/>
            <rFont val="Tahoma"/>
            <family val="2"/>
          </rPr>
          <t xml:space="preserve">
In November 2009, we announced that our Board of Directors authorized an additional $500 million share repurchase program, and we entered into new purchase agreements with individual members of the Fisher family. We expect that approximately $20 million (approximately 4 percent) of the $500 million share repurchase program will be purchased from the Fisher family members under these purchase agreements (related party transactions).</t>
        </r>
      </text>
    </comment>
    <comment ref="AV50" authorId="7">
      <text>
        <r>
          <rPr>
            <sz val="8"/>
            <color indexed="81"/>
            <rFont val="Tahoma"/>
            <family val="2"/>
          </rPr>
          <t>8/16/12: Second quarter share repurchases were $349 million, and the company ended the second quarter of fiscal year 2012 with 479 million shares outstanding.
5/17/12: bought $18M in 1Q12. Sounds like they will maybe buy $500M this year ("like 2009") weighted toward 4Q ("like 2009").
2/23/2012 - new $1B repo authorization (replaces old one)</t>
        </r>
      </text>
    </comment>
    <comment ref="BH50" authorId="10">
      <text>
        <r>
          <rPr>
            <b/>
            <sz val="9"/>
            <color indexed="81"/>
            <rFont val="Tahoma"/>
            <family val="2"/>
          </rPr>
          <t>De Courreges, Edouard (Research):</t>
        </r>
        <r>
          <rPr>
            <sz val="9"/>
            <color indexed="81"/>
            <rFont val="Tahoma"/>
            <family val="2"/>
          </rPr>
          <t xml:space="preserve">
2/28/18L ~$400 guidance</t>
        </r>
      </text>
    </comment>
    <comment ref="AH55" authorId="1">
      <text>
        <r>
          <rPr>
            <b/>
            <sz val="8"/>
            <color indexed="81"/>
            <rFont val="Tahoma"/>
            <family val="2"/>
          </rPr>
          <t>Kimberly Greenberger:</t>
        </r>
        <r>
          <rPr>
            <sz val="8"/>
            <color indexed="81"/>
            <rFont val="Tahoma"/>
            <family val="2"/>
          </rPr>
          <t xml:space="preserve">
$0.045 div per quarter x shares outstanding</t>
        </r>
      </text>
    </comment>
    <comment ref="AJ55" authorId="5">
      <text>
        <r>
          <rPr>
            <b/>
            <sz val="8"/>
            <color indexed="81"/>
            <rFont val="Tahoma"/>
            <family val="2"/>
          </rPr>
          <t>mm98285:</t>
        </r>
        <r>
          <rPr>
            <sz val="8"/>
            <color indexed="81"/>
            <rFont val="Tahoma"/>
            <family val="2"/>
          </rPr>
          <t xml:space="preserve">
3/22/06: GPS raised dividend per quarter to $0.08 from $0.045</t>
        </r>
      </text>
    </comment>
    <comment ref="AV55" authorId="7">
      <text>
        <r>
          <rPr>
            <sz val="8"/>
            <color indexed="81"/>
            <rFont val="Tahoma"/>
            <family val="2"/>
          </rPr>
          <t xml:space="preserve">2/23/12 - increased div to $0.50 for FY
</t>
        </r>
      </text>
    </comment>
    <comment ref="AB56" authorId="0">
      <text>
        <r>
          <rPr>
            <sz val="8"/>
            <color indexed="81"/>
            <rFont val="Tahoma"/>
            <family val="2"/>
          </rPr>
          <t xml:space="preserve">
reported +$16 in 3Q 10-Q</t>
        </r>
      </text>
    </comment>
    <comment ref="AB58" authorId="1">
      <text>
        <r>
          <rPr>
            <b/>
            <sz val="8"/>
            <color indexed="81"/>
            <rFont val="Tahoma"/>
            <family val="2"/>
          </rPr>
          <t>Kimberly Greenberger:</t>
        </r>
        <r>
          <rPr>
            <sz val="8"/>
            <color indexed="81"/>
            <rFont val="Tahoma"/>
            <family val="2"/>
          </rPr>
          <t xml:space="preserve">
GPS restated numbers using rounded figures (no decimal). We manually add to 2002 beginning cash to get to the rounded number as reported in the 2004 10-K</t>
        </r>
      </text>
    </comment>
    <comment ref="AP58" authorId="11">
      <text>
        <r>
          <rPr>
            <b/>
            <sz val="8"/>
            <color indexed="81"/>
            <rFont val="Tahoma"/>
            <family val="2"/>
          </rPr>
          <t>nicholjs:</t>
        </r>
        <r>
          <rPr>
            <sz val="8"/>
            <color indexed="81"/>
            <rFont val="Tahoma"/>
            <family val="2"/>
          </rPr>
          <t xml:space="preserve">
restated from $1756 w/ 2010 10K filing</t>
        </r>
      </text>
    </comment>
    <comment ref="AB59" authorId="14">
      <text>
        <r>
          <rPr>
            <b/>
            <sz val="8"/>
            <color indexed="81"/>
            <rFont val="Tahoma"/>
            <family val="2"/>
          </rPr>
          <t>Morry Brown:</t>
        </r>
        <r>
          <rPr>
            <sz val="8"/>
            <color indexed="81"/>
            <rFont val="Tahoma"/>
            <family val="2"/>
          </rPr>
          <t xml:space="preserve">
Difference from 10-k is restricted cash change
of $20m</t>
        </r>
      </text>
    </comment>
    <comment ref="AD59" authorId="14">
      <text>
        <r>
          <rPr>
            <b/>
            <sz val="8"/>
            <color indexed="81"/>
            <rFont val="Tahoma"/>
            <family val="2"/>
          </rPr>
          <t>Morry Brown:</t>
        </r>
        <r>
          <rPr>
            <sz val="8"/>
            <color indexed="81"/>
            <rFont val="Tahoma"/>
            <family val="2"/>
          </rPr>
          <t xml:space="preserve">
Difference from 10-k is restricted cash change
</t>
        </r>
      </text>
    </comment>
    <comment ref="AF59" authorId="14">
      <text>
        <r>
          <rPr>
            <b/>
            <sz val="8"/>
            <color indexed="81"/>
            <rFont val="Tahoma"/>
            <family val="2"/>
          </rPr>
          <t>Morry Brown:</t>
        </r>
        <r>
          <rPr>
            <sz val="8"/>
            <color indexed="81"/>
            <rFont val="Tahoma"/>
            <family val="2"/>
          </rPr>
          <t xml:space="preserve">
Difference from 10-k is restricted cash change
</t>
        </r>
      </text>
    </comment>
    <comment ref="AH59" authorId="4">
      <text>
        <r>
          <rPr>
            <b/>
            <sz val="8"/>
            <color indexed="81"/>
            <rFont val="Tahoma"/>
            <family val="2"/>
          </rPr>
          <t>oc48540:</t>
        </r>
        <r>
          <rPr>
            <sz val="8"/>
            <color indexed="81"/>
            <rFont val="Tahoma"/>
            <family val="2"/>
          </rPr>
          <t xml:space="preserve">
Difference from 10-k is restricted cash change
</t>
        </r>
      </text>
    </comment>
    <comment ref="AT60" authorId="11">
      <text>
        <r>
          <rPr>
            <b/>
            <sz val="8"/>
            <color indexed="81"/>
            <rFont val="Tahoma"/>
            <family val="2"/>
          </rPr>
          <t>nicholjs:</t>
        </r>
        <r>
          <rPr>
            <sz val="8"/>
            <color indexed="81"/>
            <rFont val="Tahoma"/>
            <family val="2"/>
          </rPr>
          <t xml:space="preserve">
11/2010: reduced B/S target cash level to $1.2B</t>
        </r>
      </text>
    </comment>
    <comment ref="AV60" authorId="11">
      <text>
        <r>
          <rPr>
            <b/>
            <sz val="8"/>
            <color indexed="81"/>
            <rFont val="Tahoma"/>
            <family val="2"/>
          </rPr>
          <t>nicholjs:</t>
        </r>
        <r>
          <rPr>
            <sz val="8"/>
            <color indexed="81"/>
            <rFont val="Tahoma"/>
            <family val="2"/>
          </rPr>
          <t xml:space="preserve">
11/2010: reduced B/S target cash level to $1.2B</t>
        </r>
      </text>
    </comment>
  </commentList>
</comments>
</file>

<file path=xl/comments14.xml><?xml version="1.0" encoding="utf-8"?>
<comments xmlns="http://schemas.openxmlformats.org/spreadsheetml/2006/main">
  <authors>
    <author>soumyajd</author>
    <author>John Mark Warren</author>
    <author>Leon Michaelides</author>
    <author>jccastro</author>
  </authors>
  <commentList>
    <comment ref="I3" authorId="0">
      <text>
        <r>
          <rPr>
            <b/>
            <sz val="8"/>
            <color indexed="81"/>
            <rFont val="Tahoma"/>
            <family val="2"/>
          </rPr>
          <t>Input MW ticker</t>
        </r>
        <r>
          <rPr>
            <sz val="8"/>
            <color indexed="81"/>
            <rFont val="Tahoma"/>
            <family val="2"/>
          </rPr>
          <t xml:space="preserve">
</t>
        </r>
      </text>
    </comment>
    <comment ref="C31" authorId="1">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C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 leases, if exists.</t>
        </r>
      </text>
    </comment>
    <comment ref="C45" authorId="0">
      <text>
        <r>
          <rPr>
            <sz val="8"/>
            <color indexed="81"/>
            <rFont val="Tahoma"/>
            <family val="2"/>
          </rPr>
          <t>This rate is supposed to represent the cost of new leases which is equivalent to new debt, if not disclosed, use your forecasted interest rate on new debt for the company.</t>
        </r>
      </text>
    </comment>
    <comment ref="C58" authorId="0">
      <text>
        <r>
          <rPr>
            <sz val="8"/>
            <color indexed="81"/>
            <rFont val="Tahoma"/>
            <family val="2"/>
          </rPr>
          <t>You can break down your lease capex into maintenance and growth, if you don't know the breakdown you can assume all capex is maintenance.</t>
        </r>
      </text>
    </comment>
    <comment ref="C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2">
      <text>
        <r>
          <rPr>
            <sz val="8"/>
            <color indexed="81"/>
            <rFont val="Tahoma"/>
            <family val="2"/>
          </rPr>
          <t xml:space="preserve">This should only include non-cancelable leases
</t>
        </r>
      </text>
    </comment>
    <comment ref="C70" authorId="0">
      <text>
        <r>
          <rPr>
            <sz val="8"/>
            <color indexed="81"/>
            <rFont val="Tahoma"/>
            <family val="2"/>
          </rPr>
          <t>This is used for calculating the rate of depreciation for the assets added due to the leases.</t>
        </r>
      </text>
    </comment>
    <comment ref="C71" authorId="0">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3">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3">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2">
      <text>
        <r>
          <rPr>
            <sz val="8"/>
            <color indexed="81"/>
            <rFont val="Tahoma"/>
            <family val="2"/>
          </rPr>
          <t xml:space="preserve">Input estimated percentage of leased assets that would not be depreciated (i.e. land).  This will be excluded from the calculation of your depreciation in the waterfall schedule.  It is assumed that the same portion applies to all years.
</t>
        </r>
      </text>
    </comment>
    <comment ref="H151" authorId="2">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H153" authorId="3">
      <text>
        <r>
          <rPr>
            <sz val="8"/>
            <color indexed="81"/>
            <rFont val="Tahoma"/>
            <family val="2"/>
          </rPr>
          <t>Original value of the asset recognized in the BS , excluding the portion that would not be depreciable</t>
        </r>
      </text>
    </comment>
    <comment ref="I153" authorId="3">
      <text>
        <r>
          <rPr>
            <sz val="8"/>
            <color indexed="81"/>
            <rFont val="Tahoma"/>
            <family val="2"/>
          </rPr>
          <t>total additions, except for the portion considered to be non-depreciable</t>
        </r>
      </text>
    </comment>
    <comment ref="H154" authorId="3">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3">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sharedStrings.xml><?xml version="1.0" encoding="utf-8"?>
<sst xmlns="http://schemas.openxmlformats.org/spreadsheetml/2006/main" count="4286" uniqueCount="1184">
  <si>
    <t>($ millions except per-share data)</t>
  </si>
  <si>
    <t>Quarterly Results and Estimates</t>
  </si>
  <si>
    <t>Annual Results and Estimates</t>
  </si>
  <si>
    <t/>
  </si>
  <si>
    <t>Income Statement</t>
  </si>
  <si>
    <t>Cost of Goods Sold</t>
  </si>
  <si>
    <t>Gross Profit</t>
  </si>
  <si>
    <t>SG&amp;A Expense</t>
  </si>
  <si>
    <t xml:space="preserve">  Operating Income</t>
  </si>
  <si>
    <t xml:space="preserve">   Pretax Income</t>
  </si>
  <si>
    <t>Taxes</t>
  </si>
  <si>
    <t>negative = cash generation</t>
  </si>
  <si>
    <t>Net Inc. From Ops</t>
  </si>
  <si>
    <t xml:space="preserve">Earnings Per Share </t>
  </si>
  <si>
    <t>Average Shares</t>
  </si>
  <si>
    <t xml:space="preserve">EBITDA </t>
  </si>
  <si>
    <t>Margin Analysis</t>
  </si>
  <si>
    <t xml:space="preserve">Gross Margin </t>
  </si>
  <si>
    <t>Expense Ratio</t>
  </si>
  <si>
    <t>Pretax Margin</t>
  </si>
  <si>
    <t>Tax Rate</t>
  </si>
  <si>
    <t>Year-Over-Year Growth</t>
  </si>
  <si>
    <t>2360326</t>
  </si>
  <si>
    <t>19</t>
  </si>
  <si>
    <t>SG&amp;A  Expense</t>
  </si>
  <si>
    <t>Operating Income</t>
  </si>
  <si>
    <t>Earnings Per Share</t>
  </si>
  <si>
    <t>Annual Data (Yearend)</t>
  </si>
  <si>
    <t xml:space="preserve">Store Count </t>
  </si>
  <si>
    <t>2011A</t>
  </si>
  <si>
    <t>Total Sq Ft (millions)</t>
  </si>
  <si>
    <t>A</t>
  </si>
  <si>
    <t>Quarterly Analysis of Debt and Total Capital</t>
  </si>
  <si>
    <t>Cash &amp; Equivalents</t>
  </si>
  <si>
    <t>Short-Term Debt</t>
  </si>
  <si>
    <t>Long-Term Debt</t>
  </si>
  <si>
    <t>Total Debt</t>
  </si>
  <si>
    <t>Net Debt (Total Debt Less Cash)</t>
  </si>
  <si>
    <t>Shareholders' Equity</t>
  </si>
  <si>
    <t>Total Capital</t>
  </si>
  <si>
    <t>Total Debt as % of Total Capital</t>
  </si>
  <si>
    <t>Net Debt as % of Total Capital</t>
  </si>
  <si>
    <t>(11)</t>
  </si>
  <si>
    <t>(12)</t>
  </si>
  <si>
    <t>(13)</t>
  </si>
  <si>
    <t>Square Ft.</t>
  </si>
  <si>
    <t>(14)</t>
  </si>
  <si>
    <t>(15)</t>
  </si>
  <si>
    <t>(16)</t>
  </si>
  <si>
    <t>(17)</t>
  </si>
  <si>
    <t>Productivity (3)/(13)</t>
  </si>
  <si>
    <t>Sales (mm)</t>
  </si>
  <si>
    <t>restated</t>
  </si>
  <si>
    <t>Sales (mm, except per foot data)</t>
  </si>
  <si>
    <t>Store Analysis</t>
  </si>
  <si>
    <t>Square Footage Analysis</t>
  </si>
  <si>
    <t>+ New Store Openings</t>
  </si>
  <si>
    <t>2002 and 2003 restated for lease accounting adjustment</t>
  </si>
  <si>
    <t>2003 restated for lease accounting adjustment (line items impacted include other current assets, PP&amp;E, other assets, accrued expenses, income taxes payable, and lease incentives)</t>
  </si>
  <si>
    <t xml:space="preserve">                                                                                                                        </t>
  </si>
  <si>
    <t>NM</t>
  </si>
  <si>
    <t>- Stores Closed (a)</t>
  </si>
  <si>
    <t>Avg. Sales Per Store ($MM)</t>
  </si>
  <si>
    <t>Sales Per Avg. Gross Sq. Ft.</t>
  </si>
  <si>
    <t>Annual Sales Model, Fiscal 1994-2004E</t>
  </si>
  <si>
    <r>
      <t>3a. Options Expense</t>
    </r>
    <r>
      <rPr>
        <vertAlign val="superscript"/>
        <sz val="10"/>
        <rFont val="CIR Trade Gothic Cn"/>
      </rPr>
      <t>1</t>
    </r>
  </si>
  <si>
    <r>
      <t>1</t>
    </r>
    <r>
      <rPr>
        <sz val="8"/>
        <rFont val="CIR Trade Gothic Cn"/>
      </rPr>
      <t xml:space="preserve"> Options expense excluded from operating income and net income prior to 2006</t>
    </r>
  </si>
  <si>
    <t>7.  Pretax Income</t>
  </si>
  <si>
    <t>8.  Income Taxes</t>
  </si>
  <si>
    <t>9.  Net Income</t>
  </si>
  <si>
    <t xml:space="preserve">10.  Earnings Per Share </t>
  </si>
  <si>
    <t>5.  Operating Income</t>
  </si>
  <si>
    <t>4.  Depreciation and Amortization</t>
  </si>
  <si>
    <t>Avg. New  Store Size (Gross Sq. Ft.)</t>
  </si>
  <si>
    <t xml:space="preserve">New Store Size (Gross Sq. Ft.) </t>
  </si>
  <si>
    <t>Assets</t>
  </si>
  <si>
    <t>Cash and equivalents</t>
  </si>
  <si>
    <t>Merchandise inventory</t>
  </si>
  <si>
    <t>Intercompany Accts/Short-term Debt</t>
  </si>
  <si>
    <t>TOTAL LIABILITIES</t>
  </si>
  <si>
    <t>Less Treasury Stock</t>
  </si>
  <si>
    <t>Gap</t>
  </si>
  <si>
    <t>Average Basic Shares</t>
  </si>
  <si>
    <t>GPS.N</t>
  </si>
  <si>
    <t>Gap Inc</t>
  </si>
  <si>
    <t>GPS.N,mscalc:sedolCodeCalc</t>
  </si>
  <si>
    <t>GPS.N,mscalc:closePriceCurrencyCalc</t>
  </si>
  <si>
    <t>GPS.N,mscalc:targetPrice,,,,USD</t>
  </si>
  <si>
    <t>3.  Operating Expenses - Selling, General &amp; Administrative Expenses   (% of Sales)</t>
  </si>
  <si>
    <t xml:space="preserve">4.  Operating Income (% Operating Margin) </t>
  </si>
  <si>
    <t>8.  Net Earnings   (% Change)</t>
  </si>
  <si>
    <t>9.  Earnings Per Share -- Fully Diluted   (% Change)</t>
  </si>
  <si>
    <t>6.  Pre-Tax Income / (Loss) (% Pre-Tax Margin) / %Change</t>
  </si>
  <si>
    <t>Banana Republic</t>
  </si>
  <si>
    <t>Old Navy</t>
  </si>
  <si>
    <t xml:space="preserve"> </t>
  </si>
  <si>
    <t>GAP Kids</t>
  </si>
  <si>
    <t>% Increase</t>
  </si>
  <si>
    <t>check</t>
  </si>
  <si>
    <t>Notes payable</t>
  </si>
  <si>
    <t>Deferred lease credits &amp; other liabilities</t>
  </si>
  <si>
    <t>Short-term investments / Mktble securities</t>
  </si>
  <si>
    <t>Operating Profit</t>
  </si>
  <si>
    <t>Prepaid expenses and other current assets (a)</t>
  </si>
  <si>
    <t>Long-term investments</t>
  </si>
  <si>
    <t>Accumulated Depreciation</t>
  </si>
  <si>
    <t>Other current liabilities</t>
  </si>
  <si>
    <t>Accumulated other comprehensive loss (Foreign currency translation adj.)</t>
  </si>
  <si>
    <t>Advertising</t>
  </si>
  <si>
    <t>Merchandise</t>
  </si>
  <si>
    <t>% Margin</t>
  </si>
  <si>
    <t>% Net Sales</t>
  </si>
  <si>
    <t xml:space="preserve">     % Net Sales</t>
  </si>
  <si>
    <t>Current portion of long-term debt</t>
  </si>
  <si>
    <t>Less:   Accounts Payable and Accrued Expenses     (Y-o-Y % Change vs. % Sales Growth)</t>
  </si>
  <si>
    <t>Less:  Income Taxes Payable and Other     (Y-o-Y % Change vs. % Sales Growth)</t>
  </si>
  <si>
    <t xml:space="preserve">    Depreciation and Amortization   (% of Sales)</t>
  </si>
  <si>
    <t>Interest Expense/(Income)</t>
  </si>
  <si>
    <t>6.  Interest Expense (Income)</t>
  </si>
  <si>
    <t>10-12%</t>
  </si>
  <si>
    <t>30-33%</t>
  </si>
  <si>
    <t>17-19%</t>
  </si>
  <si>
    <t>24-26%</t>
  </si>
  <si>
    <t>Tax benefit from exercise of stock options</t>
  </si>
  <si>
    <t>Deferred lease credits and other</t>
  </si>
  <si>
    <t>2Q12</t>
  </si>
  <si>
    <t>2012A</t>
  </si>
  <si>
    <t xml:space="preserve">   % Chg. Ending Units</t>
  </si>
  <si>
    <t xml:space="preserve">   % Chg. Total Units</t>
  </si>
  <si>
    <t>n/m</t>
  </si>
  <si>
    <t>Other Operating Expenses</t>
  </si>
  <si>
    <t>% of Net Sales</t>
  </si>
  <si>
    <t>Count</t>
  </si>
  <si>
    <t>Increase / (Decrease) notes payables</t>
  </si>
  <si>
    <t>Prepaid Expenses / Sales</t>
  </si>
  <si>
    <t>Lease Rights / Sales</t>
  </si>
  <si>
    <t>Net</t>
  </si>
  <si>
    <t>*</t>
  </si>
  <si>
    <t>Short-term Investments</t>
  </si>
  <si>
    <t>Long-term Investments</t>
  </si>
  <si>
    <t>Cash Dividends Paid</t>
  </si>
  <si>
    <t>Creep up:</t>
  </si>
  <si>
    <t>Adjusted Rent Expense</t>
  </si>
  <si>
    <t>Effect of exchange rate change</t>
  </si>
  <si>
    <t>Stock price</t>
  </si>
  <si>
    <t>Risk/reward</t>
  </si>
  <si>
    <t>Mulitple</t>
  </si>
  <si>
    <t>Scenario</t>
  </si>
  <si>
    <t>Difference</t>
  </si>
  <si>
    <t>Capital expenditures (including lease rights)</t>
  </si>
  <si>
    <t>ON</t>
  </si>
  <si>
    <t>BR</t>
  </si>
  <si>
    <t>Total - Comp Spread</t>
  </si>
  <si>
    <t>Outlet</t>
  </si>
  <si>
    <t>BASE CASE</t>
  </si>
  <si>
    <t>Depreciation &amp; Amortization</t>
  </si>
  <si>
    <t>Interest and Other Exp/(Inc)</t>
  </si>
  <si>
    <t>Pretax Income</t>
  </si>
  <si>
    <t>Net Income from Operations</t>
  </si>
  <si>
    <t>Operating EPS</t>
  </si>
  <si>
    <t>Average Diluted Shares</t>
  </si>
  <si>
    <t>Comparable Store Sales</t>
  </si>
  <si>
    <t>BULL CASE</t>
  </si>
  <si>
    <t>Base Case Sales Comp Spread</t>
  </si>
  <si>
    <t>Bull Case Sales Comp Spread</t>
  </si>
  <si>
    <t>BEAR CASE</t>
  </si>
  <si>
    <t>Bear Case Sales Comp Spread</t>
  </si>
  <si>
    <t>interest</t>
  </si>
  <si>
    <t>pre tax</t>
  </si>
  <si>
    <t>tax</t>
  </si>
  <si>
    <t>net income</t>
  </si>
  <si>
    <t>eps</t>
  </si>
  <si>
    <t>eps - initial</t>
  </si>
  <si>
    <t>operating income</t>
  </si>
  <si>
    <t>GPS.O,mscalc:sedolCodeCalc</t>
  </si>
  <si>
    <t>GPS.O,mscalc:targetPrice,,,,USD</t>
  </si>
  <si>
    <t>GPS.O,mscalc:closePriceCurrencyCalc</t>
  </si>
  <si>
    <t>Turnover</t>
  </si>
  <si>
    <t>Analysis</t>
  </si>
  <si>
    <t xml:space="preserve">Excl.  </t>
  </si>
  <si>
    <t>Non-Recurring items</t>
  </si>
  <si>
    <t>9.  GAAP EPS  (% Change)</t>
  </si>
  <si>
    <t>8.  GAAP Net Earnings   (% Change)</t>
  </si>
  <si>
    <t xml:space="preserve">   Tax impact non-recurr</t>
  </si>
  <si>
    <t xml:space="preserve">Note: (1) Includes dilution from convertible securities.  1Q07's SG&amp;A of $1,044 excludes $45MM of F&amp;T charges &amp; $5MM of Cost Reduction Initiative Charges (4c EPS impact), </t>
  </si>
  <si>
    <t>2Q07's SG&amp;A of $1,010 excludes $9MM of F&amp;T charges &amp; $20MM of Cost Reduction Initiative Charges (3c EPS impact)</t>
  </si>
  <si>
    <t>Continuing EPS</t>
  </si>
  <si>
    <t>1Q07's SG&amp;A of $1,044 excludes $45MM of F&amp;T charges &amp; $5MM of Cost Reduction Initiative Charges, 2Q07's SG&amp;A of $1,010 excludes $9MM of F&amp;T charges &amp; $20MM of Cost Reduction Initiative Charges</t>
  </si>
  <si>
    <t>Includes $131 million tax charge</t>
  </si>
  <si>
    <t>net new:</t>
  </si>
  <si>
    <t>3.  Options Expense   (% of Sales)</t>
  </si>
  <si>
    <t xml:space="preserve"> Depreciation &amp; Amortization Expenses   (% of Sales)</t>
  </si>
  <si>
    <t>Revenue</t>
  </si>
  <si>
    <t>Other</t>
  </si>
  <si>
    <t>Note: Div. Revenue as a % of Total</t>
  </si>
  <si>
    <t>Basic Shares Outstanding</t>
  </si>
  <si>
    <t>Weighted Average Basic Shares Outstanding</t>
  </si>
  <si>
    <t>Dividend</t>
  </si>
  <si>
    <t>745mm</t>
  </si>
  <si>
    <t>Weighted Avg. Basic Shares Out</t>
  </si>
  <si>
    <t>Current Year Operating Lease Payments</t>
  </si>
  <si>
    <t>YOY % Change in Current Year Operating Lease Expense</t>
  </si>
  <si>
    <t>Total Reported Lease Commitments</t>
  </si>
  <si>
    <t>Growth in Aggregate Lease Obligations</t>
  </si>
  <si>
    <t>Cumulative Payments After Year 5</t>
  </si>
  <si>
    <t>Implied Total Lease Life</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</si>
  <si>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</si>
  <si>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</si>
  <si>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</si>
  <si>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</si>
  <si>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</si>
  <si>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</si>
  <si>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</si>
  <si>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</si>
  <si>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</si>
  <si>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</si>
  <si>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</si>
  <si>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</si>
  <si>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</si>
  <si>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</si>
  <si>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</si>
  <si>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</si>
  <si>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</si>
  <si>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</si>
  <si>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</si>
  <si>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</si>
  <si>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</si>
  <si>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</si>
  <si>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</si>
  <si>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</si>
  <si>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</si>
  <si>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</si>
  <si>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</si>
  <si>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</si>
  <si>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</si>
  <si>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</si>
  <si>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</si>
  <si>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</si>
  <si>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</si>
  <si>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</si>
  <si>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</si>
  <si>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Present Value of Incremental Lease Payments</t>
  </si>
  <si>
    <t>Increase in current year lease payments versus previous years expected</t>
  </si>
  <si>
    <t>Estimated additions to leased assets in period</t>
  </si>
  <si>
    <t>Depreciation schedule</t>
  </si>
  <si>
    <t>Assumed Average Lease Life</t>
  </si>
  <si>
    <t>Percentage of assets, non depreciable</t>
  </si>
  <si>
    <t>Fade rate for depreciation of opening balance</t>
  </si>
  <si>
    <t>Multiple to take the asset to the original book value</t>
  </si>
  <si>
    <t>Total depreciable assets</t>
  </si>
  <si>
    <t>Depreciation of take on book value</t>
  </si>
  <si>
    <t>USD</t>
  </si>
  <si>
    <t xml:space="preserve">Franchise </t>
  </si>
  <si>
    <t>Sales/Store</t>
  </si>
  <si>
    <t>y/y</t>
  </si>
  <si>
    <t>Gap Inc. International</t>
  </si>
  <si>
    <t>Market Capitalization</t>
  </si>
  <si>
    <t>Basic Shares Outstanding at 10/K/Q filing date</t>
  </si>
  <si>
    <t xml:space="preserve">Jul </t>
  </si>
  <si>
    <t xml:space="preserve">Jan </t>
  </si>
  <si>
    <t>2007A</t>
  </si>
  <si>
    <t>Interest Margin</t>
  </si>
  <si>
    <t>Avg Size (gross square feet)</t>
  </si>
  <si>
    <t>D&amp;A (incl in COGS &amp; SG&amp;A)</t>
  </si>
  <si>
    <t>CapEx ($ millions)</t>
  </si>
  <si>
    <t>1Q12</t>
  </si>
  <si>
    <t>3Q12</t>
  </si>
  <si>
    <t>4Q12</t>
  </si>
  <si>
    <r>
      <t>10.  Average Shares Outstanding -- Fully Diluted</t>
    </r>
    <r>
      <rPr>
        <b/>
        <sz val="8.5"/>
        <color indexed="12"/>
        <rFont val="Arial"/>
        <family val="2"/>
      </rPr>
      <t/>
    </r>
  </si>
  <si>
    <t xml:space="preserve">Lease Rights and Other </t>
  </si>
  <si>
    <t>n/a</t>
  </si>
  <si>
    <t>incremental common shares if converted</t>
  </si>
  <si>
    <t>after-tax quarterly interest expense</t>
  </si>
  <si>
    <t>if convert</t>
  </si>
  <si>
    <t>Diluted Earnings Per Share Calculated -- Dilution Test of Convertible Securities If Coverted</t>
  </si>
  <si>
    <t>Rent Expense (from 10K)</t>
  </si>
  <si>
    <t>Domestic</t>
  </si>
  <si>
    <t>Intl</t>
  </si>
  <si>
    <t>% of Total</t>
  </si>
  <si>
    <t>Property and equipment</t>
  </si>
  <si>
    <t>% Gross Margin (ex. D&amp;A)</t>
  </si>
  <si>
    <t>2.  Cost of Goods Sold</t>
  </si>
  <si>
    <t>Cost of Goods Sold (ex. D&amp;A)</t>
  </si>
  <si>
    <t>% Gross Margin</t>
  </si>
  <si>
    <t>11.  Shares Outstanding (fully diluted)</t>
  </si>
  <si>
    <t>Actual converted EPS</t>
  </si>
  <si>
    <t>Shares Outstanding if Convert dilutive</t>
  </si>
  <si>
    <t xml:space="preserve">    Earnings Per Share (w/o dilution of convert)</t>
  </si>
  <si>
    <t>Sq. Ft. Growth YoY</t>
  </si>
  <si>
    <t>EPS if convert dilutive:</t>
  </si>
  <si>
    <t>mgmt guided to negative hi single digit decrease in inv/sq ft 1Q04</t>
  </si>
  <si>
    <t>1-should leverage w/ positive comp, but…</t>
  </si>
  <si>
    <t>3-and rising medical and workers comp costs</t>
  </si>
  <si>
    <t>4-and they still have not identified the appropriate level of mktg spend</t>
  </si>
  <si>
    <t>5-and they are now starting to spend on generating ideas for future growth</t>
  </si>
  <si>
    <t>2-pressure from delayed store repairs &amp; maint</t>
  </si>
  <si>
    <t>11/20/03 - Mgmt comments on SG&amp;A:</t>
  </si>
  <si>
    <t>,mscalc:epsForConsensusForThomsonFeed,2012FY,,CY,,,HOLD</t>
  </si>
  <si>
    <t>,mstag:freeCashFlowAdjustedForConsensus,2010FY,,CY,,,HOLD</t>
  </si>
  <si>
    <t>,mstag:freeCashFlowAdjustedForConsensus,2011FY,,CY,,,HOLD</t>
  </si>
  <si>
    <t>,mscalc:epsForConsensusForThomsonFeed,2011FY,,CY,,,HOLD</t>
  </si>
  <si>
    <t>,mscalc:epsForConsensusForThomsonFeed,2010FY,,CY,,,HOLD</t>
  </si>
  <si>
    <t>,mstag:netIncomeAdjustedForConsensus,2013FY,,CY,,,HOLD</t>
  </si>
  <si>
    <t>,mscalc:returnOnAverageNetOperatingAssets,2011FY,,CY,,,HOLD</t>
  </si>
  <si>
    <t>,mstag:netIncomeAdjustedForConsensus,2010FY,,CY,,,HOLD</t>
  </si>
  <si>
    <t>,mstag:freeCashFlowAdjustedForConsensus,2012FY,,CY,,,HOLD</t>
  </si>
  <si>
    <t>,mscalc:returnOnAverageNetOperatingAssets,2010FY,,CY,,,HOLD</t>
  </si>
  <si>
    <t>,mstag:netIncomeAdjustedForConsensus,2012FY,,CY,,,HOLD</t>
  </si>
  <si>
    <t>,mscalc:ebitdaAsif,2013FY,,CY,,,HOLD</t>
  </si>
  <si>
    <t>,mscalc:epsForConsensusForThomsonFeed,2013FY,,CY,,,HOLD</t>
  </si>
  <si>
    <t>,mscalc:ebitdaAsif,2012FY,,CY,,,HOLD</t>
  </si>
  <si>
    <t>,mstag:netIncomeAdjustedForConsensus,2011FY,,CY,,,HOLD</t>
  </si>
  <si>
    <t>,mscalc:returnOnAverageNetOperatingAssets,2013FY,,CY,,,HOLD</t>
  </si>
  <si>
    <t>,mscalc:ebitdaAsif,2011FY,,CY,,,HOLD</t>
  </si>
  <si>
    <t>,mscalc:returnOnAverageNetOperatingAssets,2012FY,,CY,,,HOLD</t>
  </si>
  <si>
    <t>,mstag:freeCashFlowAdjustedForConsensus,2013FY,,CY,,,HOLD</t>
  </si>
  <si>
    <t>,mscalc:ebitdaAsif,2010FY,,CY,,,HOLD</t>
  </si>
  <si>
    <t>Gap Brand</t>
  </si>
  <si>
    <t>2005A</t>
  </si>
  <si>
    <t>Cash Flow Per Share</t>
  </si>
  <si>
    <t>2009A</t>
  </si>
  <si>
    <t>Bull</t>
  </si>
  <si>
    <t>Bear</t>
  </si>
  <si>
    <t>Notes:</t>
  </si>
  <si>
    <t>GAAP net income</t>
  </si>
  <si>
    <t>Discontinued F&amp;T Operations</t>
  </si>
  <si>
    <t>GAAP EPS</t>
  </si>
  <si>
    <t>10YAvg</t>
  </si>
  <si>
    <t>5YAvg</t>
  </si>
  <si>
    <t>Equity Value</t>
  </si>
  <si>
    <t>Operating Cash Flow</t>
  </si>
  <si>
    <t>Financing Cash Flow</t>
  </si>
  <si>
    <t>D&amp;A</t>
  </si>
  <si>
    <t>Capital Expenditures</t>
  </si>
  <si>
    <t>Assumptions</t>
  </si>
  <si>
    <t>,mscalc:sedolCodeCalc</t>
  </si>
  <si>
    <t>,mscalc:closePriceCurrencyCalc</t>
  </si>
  <si>
    <t>,mscalc:targetPrice,,,,USD</t>
  </si>
  <si>
    <t>GPS.N,mscalc:targetPrice</t>
  </si>
  <si>
    <t>Interest Expense</t>
  </si>
  <si>
    <t xml:space="preserve">5.  Interest Expense (Income) </t>
  </si>
  <si>
    <t>Cash &amp; ST Inv Per Share</t>
  </si>
  <si>
    <t>Yield</t>
  </si>
  <si>
    <t>Free Cash Flow Per Share</t>
  </si>
  <si>
    <t>Current Price</t>
  </si>
  <si>
    <t>CASH FLOW ANALYSIS</t>
  </si>
  <si>
    <r>
      <t>11.  Dividend Per Share -- Fully Diluted</t>
    </r>
    <r>
      <rPr>
        <b/>
        <sz val="8.5"/>
        <color indexed="12"/>
        <rFont val="Arial"/>
        <family val="2"/>
      </rPr>
      <t/>
    </r>
  </si>
  <si>
    <t>Comp. Store Sales - Total</t>
  </si>
  <si>
    <t>10 or less:</t>
  </si>
  <si>
    <t>10 or less (adj. comp spreads):</t>
  </si>
  <si>
    <t>2003A</t>
  </si>
  <si>
    <t>2001A</t>
  </si>
  <si>
    <t>2002A</t>
  </si>
  <si>
    <t xml:space="preserve">Oct </t>
  </si>
  <si>
    <t>FY</t>
  </si>
  <si>
    <t>Cash Per Share</t>
  </si>
  <si>
    <t>Pension Plan Assets</t>
  </si>
  <si>
    <t>Pension Plan Obligation</t>
  </si>
  <si>
    <t>Total Other Intangible Assets</t>
  </si>
  <si>
    <t>Total Other NonCurrent Tangible Assets</t>
  </si>
  <si>
    <t xml:space="preserve">Amortization </t>
  </si>
  <si>
    <t>Total D&amp;A</t>
  </si>
  <si>
    <t>Depreciation as % of Total D&amp;A</t>
  </si>
  <si>
    <t>Growth Capex</t>
  </si>
  <si>
    <t>Maintenance Capex</t>
  </si>
  <si>
    <t>EBIT</t>
  </si>
  <si>
    <t>Total Old Navy</t>
  </si>
  <si>
    <t>Direct Revenue</t>
  </si>
  <si>
    <t>positive = cash use</t>
  </si>
  <si>
    <t>Note: Ending cash balance + ST investments</t>
  </si>
  <si>
    <t>Share based compensation</t>
  </si>
  <si>
    <t>2013A</t>
  </si>
  <si>
    <t>Proceeds from share-based compensation</t>
  </si>
  <si>
    <t>Direct Business (Reported Seperately starting 2Q08)</t>
  </si>
  <si>
    <t>Current Stock Price</t>
  </si>
  <si>
    <t>Net Debt</t>
  </si>
  <si>
    <t xml:space="preserve">     % Operating Margin</t>
  </si>
  <si>
    <t>Options Expense</t>
  </si>
  <si>
    <t>2008A</t>
  </si>
  <si>
    <t xml:space="preserve">                  </t>
  </si>
  <si>
    <t>Acquisition of business, net of cash acquired</t>
  </si>
  <si>
    <t>L</t>
  </si>
  <si>
    <t>Direct Rev</t>
  </si>
  <si>
    <t>INTERACTIVE</t>
  </si>
  <si>
    <t>Base</t>
  </si>
  <si>
    <t xml:space="preserve">Type "Bull / Base / Bear" here to toggle scenarios &gt;&gt; </t>
  </si>
  <si>
    <t>Memo:</t>
  </si>
  <si>
    <t>growth %</t>
  </si>
  <si>
    <t xml:space="preserve">   % Chg. from LY (Avg. Sq. Ft.)</t>
  </si>
  <si>
    <t>Depreciation</t>
  </si>
  <si>
    <t>Currency</t>
  </si>
  <si>
    <t>2018E</t>
  </si>
  <si>
    <t>Company</t>
  </si>
  <si>
    <t>FINL.O,mscalc:targetPrice,,,,USD</t>
  </si>
  <si>
    <t>FINL.O,mscalc:closePriceCurrencyCalc</t>
  </si>
  <si>
    <t>FINL.O,mscalc:sedolCodeCalc</t>
  </si>
  <si>
    <t>2349819</t>
  </si>
  <si>
    <t>2006A</t>
  </si>
  <si>
    <t>Occup. Costs</t>
  </si>
  <si>
    <t>LEASE MODEL</t>
  </si>
  <si>
    <t>Template Start Year</t>
  </si>
  <si>
    <t>Including</t>
  </si>
  <si>
    <t>Reverse Rent Payment</t>
  </si>
  <si>
    <t>Add Implied Depreciation Expense</t>
  </si>
  <si>
    <t>Net Increase/(Decrease) to Pre-Tax Operating Income</t>
  </si>
  <si>
    <t>Add Estimated Interest Expense</t>
  </si>
  <si>
    <t>Net Increase/(Decrease) to Pre-tax Income</t>
  </si>
  <si>
    <t>Implied leased assets, beginning of period</t>
  </si>
  <si>
    <t xml:space="preserve">Additions </t>
  </si>
  <si>
    <t>Current year charge</t>
  </si>
  <si>
    <t>Implied leased assets</t>
  </si>
  <si>
    <t>Operating Lease Debt schedule</t>
  </si>
  <si>
    <t>Implied debt, beginning of period</t>
  </si>
  <si>
    <t>Repayment</t>
  </si>
  <si>
    <t>Debt Issuances (Reductions)</t>
  </si>
  <si>
    <t>Implied debt</t>
  </si>
  <si>
    <t>Gap Europe</t>
  </si>
  <si>
    <t>Gap Asia</t>
  </si>
  <si>
    <t>Total Gap</t>
  </si>
  <si>
    <t>Retail</t>
  </si>
  <si>
    <t>% assets to liabilities</t>
  </si>
  <si>
    <t>Cumulative Adjustment To Equity</t>
  </si>
  <si>
    <t>Principal Paid</t>
  </si>
  <si>
    <t>Year over Year Adjustment in Equity</t>
  </si>
  <si>
    <t>Weighted average interest rate of lease portfolio</t>
  </si>
  <si>
    <t>Interest implicit in new leases signed</t>
  </si>
  <si>
    <t>Number of Units Leased</t>
  </si>
  <si>
    <t>Growth in Leased Units</t>
  </si>
  <si>
    <t>Leased Units / Total Units in Capacity (%)</t>
  </si>
  <si>
    <t>1Q04</t>
  </si>
  <si>
    <t>2Q04</t>
  </si>
  <si>
    <t>3Q04</t>
  </si>
  <si>
    <t>4Q04</t>
  </si>
  <si>
    <t>1Q05</t>
  </si>
  <si>
    <t>2Q05</t>
  </si>
  <si>
    <t>3Q05</t>
  </si>
  <si>
    <t>4Q05</t>
  </si>
  <si>
    <t>3Q06</t>
  </si>
  <si>
    <t>4Q06</t>
  </si>
  <si>
    <t>1Q08</t>
  </si>
  <si>
    <t>2Q08</t>
  </si>
  <si>
    <t>3Q08</t>
  </si>
  <si>
    <t>4Q08</t>
  </si>
  <si>
    <t>1Q09</t>
  </si>
  <si>
    <t>2Q09</t>
  </si>
  <si>
    <t>3Q09</t>
  </si>
  <si>
    <t>4Q09</t>
  </si>
  <si>
    <t>1Q10</t>
  </si>
  <si>
    <t>2Q10</t>
  </si>
  <si>
    <t>1Q11</t>
  </si>
  <si>
    <t>2Q11</t>
  </si>
  <si>
    <t>3Q11</t>
  </si>
  <si>
    <t>4Q11</t>
  </si>
  <si>
    <t>3Q10</t>
  </si>
  <si>
    <t>4Q10</t>
  </si>
  <si>
    <t>Capex per Unit</t>
  </si>
  <si>
    <t>% change in capex per unit</t>
  </si>
  <si>
    <t>Capital expenditure financed through operating leases</t>
  </si>
  <si>
    <t>Marginal Tax Rate</t>
  </si>
  <si>
    <t>% of Capital Expenditures financed through operating leases (sustainable)</t>
  </si>
  <si>
    <t>Capital expenditure financed through operating leases (Sustainable)</t>
  </si>
  <si>
    <t>Capital expenditure financed through operating leases (Growth)</t>
  </si>
  <si>
    <t>Floor Space (Sq Ft millions)</t>
  </si>
  <si>
    <t>Statutory Tax Rate</t>
  </si>
  <si>
    <t>Federal taxes</t>
  </si>
  <si>
    <t>State Taxes</t>
  </si>
  <si>
    <t>Foreign taxes</t>
  </si>
  <si>
    <t>This sheet contains Factset binary data for use with this workbook's =FDS codes.  Modifying the worksheet's contents may damage the workbook's =FDS functionality.</t>
  </si>
  <si>
    <t>2010A</t>
  </si>
  <si>
    <t>10a.  EPS excl Options Expense</t>
  </si>
  <si>
    <t>Net issuances</t>
  </si>
  <si>
    <t>Unrecorded goodwill from pooling</t>
  </si>
  <si>
    <t>Inventory Turnover</t>
  </si>
  <si>
    <t>Payables / Inventory</t>
  </si>
  <si>
    <t>Debt to Total capital</t>
  </si>
  <si>
    <t>Return on Equity</t>
  </si>
  <si>
    <t>Growth</t>
  </si>
  <si>
    <t>2Q14</t>
  </si>
  <si>
    <t>The Gap, Inc.</t>
  </si>
  <si>
    <t>2Q06</t>
  </si>
  <si>
    <t>1Q06</t>
  </si>
  <si>
    <t>Banana Republic North America</t>
  </si>
  <si>
    <t>Global</t>
  </si>
  <si>
    <t>Quarterly Comps adjusted for Global Reporting Structure</t>
  </si>
  <si>
    <t>Net Proceeeds from long-term debt</t>
  </si>
  <si>
    <t>Franchise</t>
  </si>
  <si>
    <t>Non recurring</t>
  </si>
  <si>
    <t xml:space="preserve">   % of Total</t>
  </si>
  <si>
    <t>CAGR</t>
  </si>
  <si>
    <t>%</t>
  </si>
  <si>
    <t xml:space="preserve">   % Chg. from LY</t>
  </si>
  <si>
    <t># Stores Open BOY</t>
  </si>
  <si>
    <t>Direct</t>
  </si>
  <si>
    <t>Segment Operating Profit</t>
  </si>
  <si>
    <t>Margin</t>
  </si>
  <si>
    <t>QtrP&amp;L</t>
  </si>
  <si>
    <t>Memo</t>
  </si>
  <si>
    <t>- Stores Closed</t>
  </si>
  <si>
    <t># Stores Open EOY</t>
  </si>
  <si>
    <t>Avg. # Open</t>
  </si>
  <si>
    <t xml:space="preserve">   % Chg. Avg. Units</t>
  </si>
  <si>
    <t>Avg Net Sales Per Store ($MM)</t>
  </si>
  <si>
    <t>Avg. Gross Sq. Ft. (MM)</t>
  </si>
  <si>
    <t>Ending Gross Sq. Ft. (MM)</t>
  </si>
  <si>
    <t>Avg. Store Size (Gross Sq. Ft.)</t>
  </si>
  <si>
    <t>Net Sales Per Avg Gross Sq Ft</t>
  </si>
  <si>
    <t>Comparable-Store Sales</t>
  </si>
  <si>
    <t>New Space Productivity</t>
  </si>
  <si>
    <t xml:space="preserve">     % Margin</t>
  </si>
  <si>
    <t>TOTAL ASSETS</t>
  </si>
  <si>
    <t>Apr</t>
  </si>
  <si>
    <t>Jul</t>
  </si>
  <si>
    <t>Oct</t>
  </si>
  <si>
    <t>2004A</t>
  </si>
  <si>
    <t>Jan</t>
  </si>
  <si>
    <t>($ millions except per share data)</t>
  </si>
  <si>
    <t>1.  Sales</t>
  </si>
  <si>
    <t>3.  SG&amp;A Expense</t>
  </si>
  <si>
    <t xml:space="preserve">       % Margin</t>
  </si>
  <si>
    <t xml:space="preserve">       % Tax Rate</t>
  </si>
  <si>
    <t>Source: Company reports and Morgan Stanley estimates.</t>
  </si>
  <si>
    <t xml:space="preserve">       % Net Margin</t>
  </si>
  <si>
    <t xml:space="preserve">       % Increase</t>
  </si>
  <si>
    <t>Quarterly Operating Results and Financial Analysis</t>
  </si>
  <si>
    <t>($ in millions except per share data)</t>
  </si>
  <si>
    <t>1Q</t>
  </si>
  <si>
    <t>2Q</t>
  </si>
  <si>
    <t>3Q</t>
  </si>
  <si>
    <t>4Q</t>
  </si>
  <si>
    <t>Year</t>
  </si>
  <si>
    <t>6 Mos</t>
  </si>
  <si>
    <t>9 Mos</t>
  </si>
  <si>
    <t>2.  Cost of Goods Sold   (% Gross Margin)</t>
  </si>
  <si>
    <t>Balance Sheet</t>
  </si>
  <si>
    <t>($ in millions)</t>
  </si>
  <si>
    <t>Accounts receivable</t>
  </si>
  <si>
    <t>Prepaid expenses</t>
  </si>
  <si>
    <t>Interest</t>
  </si>
  <si>
    <t>1Q07</t>
  </si>
  <si>
    <t>2Q07</t>
  </si>
  <si>
    <t>3Q07</t>
  </si>
  <si>
    <t>4Q07</t>
  </si>
  <si>
    <t>Deferred taxes</t>
  </si>
  <si>
    <t>Total Current Assets</t>
  </si>
  <si>
    <t>Liabilities and Shareholders' Equity</t>
  </si>
  <si>
    <t>Current Liabilities:</t>
  </si>
  <si>
    <t>Accounts payable</t>
  </si>
  <si>
    <t>Accrued liabilities</t>
  </si>
  <si>
    <t>Income taxes payable</t>
  </si>
  <si>
    <t>Total Current Liabilities</t>
  </si>
  <si>
    <t>Deferred compensation</t>
  </si>
  <si>
    <t>Shareholders' Equity:</t>
  </si>
  <si>
    <t>Common stock</t>
  </si>
  <si>
    <t>Additional paid-in capital</t>
  </si>
  <si>
    <t>Retained earnings</t>
  </si>
  <si>
    <t>Total Shareholders' Equity</t>
  </si>
  <si>
    <t>Total Long-Term Liabilities</t>
  </si>
  <si>
    <t>Other assets</t>
  </si>
  <si>
    <t>Long-term debt</t>
  </si>
  <si>
    <t>TOTAL LIABILITIES AND S/H EQUITY</t>
  </si>
  <si>
    <t>Sales</t>
  </si>
  <si>
    <t>COGS</t>
  </si>
  <si>
    <t>SG&amp;A</t>
  </si>
  <si>
    <t>Ratio calculations:</t>
  </si>
  <si>
    <t>Net Income</t>
  </si>
  <si>
    <t>A/R / Sales</t>
  </si>
  <si>
    <t>A/P / Inventory</t>
  </si>
  <si>
    <t>Merchandise Inventory / Sales</t>
  </si>
  <si>
    <t>Cash Flow Statement</t>
  </si>
  <si>
    <t>($ millions)</t>
  </si>
  <si>
    <t>$ in Millions</t>
  </si>
  <si>
    <t>% Change</t>
  </si>
  <si>
    <t>Quarterly</t>
  </si>
  <si>
    <t>Stores</t>
  </si>
  <si>
    <t>Inventory</t>
  </si>
  <si>
    <t>Inventory vs.</t>
  </si>
  <si>
    <t>Open</t>
  </si>
  <si>
    <t>Y-o-Y</t>
  </si>
  <si>
    <t>Cost of</t>
  </si>
  <si>
    <t>End of</t>
  </si>
  <si>
    <t>Prior</t>
  </si>
  <si>
    <t>Following</t>
  </si>
  <si>
    <t>at End</t>
  </si>
  <si>
    <t>per</t>
  </si>
  <si>
    <t>Goods Sold</t>
  </si>
  <si>
    <t>Quarter</t>
  </si>
  <si>
    <t>Average</t>
  </si>
  <si>
    <t>Prior Year</t>
  </si>
  <si>
    <t>Store</t>
  </si>
  <si>
    <t>Change</t>
  </si>
  <si>
    <t>x</t>
  </si>
  <si>
    <t>(a) Cost of Goods Sold divided by average inventory for the quarter.</t>
  </si>
  <si>
    <t>(b) Following quarter's COGS divided by inventory at the end of the quarter.</t>
  </si>
  <si>
    <t>Total</t>
  </si>
  <si>
    <t>Comp</t>
  </si>
  <si>
    <t>Total/Comp</t>
  </si>
  <si>
    <t>Spread</t>
  </si>
  <si>
    <t>(1) - (2)</t>
  </si>
  <si>
    <t>(3)</t>
  </si>
  <si>
    <t>(1)</t>
  </si>
  <si>
    <t>(2)</t>
  </si>
  <si>
    <t>No. of Stores</t>
  </si>
  <si>
    <t>(4)</t>
  </si>
  <si>
    <t>(5)</t>
  </si>
  <si>
    <t>Expansion</t>
  </si>
  <si>
    <t>(6)</t>
  </si>
  <si>
    <t>Non-Comp</t>
  </si>
  <si>
    <t>Space</t>
  </si>
  <si>
    <t>Productivity (3)/(6)</t>
  </si>
  <si>
    <t>(7)</t>
  </si>
  <si>
    <t>(8)</t>
  </si>
  <si>
    <t>Per Avg.</t>
  </si>
  <si>
    <t>(9)</t>
  </si>
  <si>
    <t>Percent</t>
  </si>
  <si>
    <t>(10)</t>
  </si>
  <si>
    <t>vs.</t>
  </si>
  <si>
    <t>Turnover Analysis</t>
  </si>
  <si>
    <t>Average (a)</t>
  </si>
  <si>
    <t>Quarter (b)</t>
  </si>
  <si>
    <t>of Quarter</t>
  </si>
  <si>
    <t>Year-to-Year Dollar Change in Working Capital</t>
  </si>
  <si>
    <t>Net income</t>
  </si>
  <si>
    <t>Deficit/Surplus</t>
  </si>
  <si>
    <t>Deferred Tax Asset</t>
  </si>
  <si>
    <t>Depreciation and amortization</t>
  </si>
  <si>
    <t>TOTAL OPERATING SOURCES</t>
  </si>
  <si>
    <t>Uses of Cash</t>
  </si>
  <si>
    <t>Increase (decrease) in</t>
  </si>
  <si>
    <t>Inventories</t>
  </si>
  <si>
    <t xml:space="preserve">(Increase) decrease in </t>
  </si>
  <si>
    <t>Income taxes and deferred taxes</t>
  </si>
  <si>
    <t>Total working capital uses</t>
  </si>
  <si>
    <t>INTERNAL CASH GENERATION (FUNDS NEEDED)</t>
  </si>
  <si>
    <t>TOTAL OPERATING USES</t>
  </si>
  <si>
    <t>External Sources and Changes in Cash</t>
  </si>
  <si>
    <t>Issuance of common and preferred stock</t>
  </si>
  <si>
    <t>Repurchase of stock</t>
  </si>
  <si>
    <t>Beginning cash balance</t>
  </si>
  <si>
    <t>Ending cash balance</t>
  </si>
  <si>
    <t>Increase (decrease) in cash</t>
  </si>
  <si>
    <t>Accrued liabilities and other</t>
  </si>
  <si>
    <t xml:space="preserve">       </t>
  </si>
  <si>
    <t>At January 31 of the following year</t>
  </si>
  <si>
    <t>Period</t>
  </si>
  <si>
    <t>NA</t>
  </si>
  <si>
    <t>For the fiscal year ending January 31 of the following year</t>
  </si>
  <si>
    <t xml:space="preserve">Net Sales ($MM) </t>
  </si>
  <si>
    <t>Accrued Liabilities / SG&amp;A</t>
  </si>
  <si>
    <t>TOTAL EXTERNAL SOURCES</t>
  </si>
  <si>
    <t>Total External Sources &amp; Cash</t>
  </si>
  <si>
    <t>Inventory     (Y-o-Y % Change vs. % Sales Growth)</t>
  </si>
  <si>
    <t>Equals:  "Operating" Working Capital     (Y-o-Y % Change vs. % Sales Growth)</t>
  </si>
  <si>
    <t>Plus:  Receivables and Other Current Assets     (Y-o-Y % Change vs. % Sales Growth)</t>
  </si>
  <si>
    <t>Total Sales</t>
  </si>
  <si>
    <t>Q1</t>
  </si>
  <si>
    <t>Q2</t>
  </si>
  <si>
    <t>Q4</t>
  </si>
  <si>
    <t>Q3</t>
  </si>
  <si>
    <t>New Store Size (Gross Sq. Ft.)</t>
  </si>
  <si>
    <t>Square Footage</t>
  </si>
  <si>
    <t>At</t>
  </si>
  <si>
    <t>Sq. Ft.</t>
  </si>
  <si>
    <t>Sources of Cash</t>
  </si>
  <si>
    <t>EBITDA</t>
  </si>
  <si>
    <t>Gross Margin</t>
  </si>
  <si>
    <t>EBITDA Margin</t>
  </si>
  <si>
    <t>Operating Margin</t>
  </si>
  <si>
    <t>Net Margin</t>
  </si>
  <si>
    <t>Gap North America</t>
  </si>
  <si>
    <t>($ millions, except inventory per sq. ft. data)</t>
  </si>
  <si>
    <t>2019E</t>
  </si>
  <si>
    <t>1Q14</t>
  </si>
  <si>
    <t>3Q14</t>
  </si>
  <si>
    <t>4Q14</t>
  </si>
  <si>
    <r>
      <t>1. Net Sales    (% Increase -- Total/Comparable Stores)</t>
    </r>
    <r>
      <rPr>
        <sz val="10"/>
        <color indexed="12"/>
        <rFont val="CIR Trade Gothic Cn"/>
      </rPr>
      <t xml:space="preserve"> </t>
    </r>
  </si>
  <si>
    <r>
      <t xml:space="preserve">7.  Income Taxes/(Credit)   (% Tax Rate) </t>
    </r>
    <r>
      <rPr>
        <b/>
        <u/>
        <vertAlign val="superscript"/>
        <sz val="10"/>
        <color indexed="12"/>
        <rFont val="CIR Trade Gothic Cn"/>
      </rPr>
      <t>(1)</t>
    </r>
  </si>
  <si>
    <t>2016 EPS</t>
  </si>
  <si>
    <t>2014A</t>
  </si>
  <si>
    <t>Repo</t>
  </si>
  <si>
    <t>Px</t>
  </si>
  <si>
    <t>mscalc:defaultCurrencyCalc</t>
  </si>
  <si>
    <t>ZAV(Avg(TF.FN.InterestExpenseOnDebt(period=#1,sdate=0FY,edate=-4FY,curn=#2)/(TF.FN.STDebtAndCurrentPortionLTDebt(period=#1,sdate=0FY,edate=-4FY,curn=#2)+TF.FN.LTDebtExclCapitalizedLeases(period=#1,sdate=0FY,edate=-4FY,curn=#2))))</t>
  </si>
  <si>
    <t>ZAV(TF.FN.InterestExpenseOnDebt(period=FY0,sdate=#1,edate=#2,curn=#3)/(ZAV(TF.FN.STDebtAndCurrentPortionLTDebt(period=FY0,sdate=#1,edate=#2,curn=#3))+ZAV(TF.FN.LTDebtExclCapitalizedLeases(period=FY0,sdate=#1,edate=#2,curn=#3))))</t>
  </si>
  <si>
    <t>Interest Rate Calculation</t>
  </si>
  <si>
    <t>TRSL data download</t>
  </si>
  <si>
    <t>5 years Average Interest Rate</t>
  </si>
  <si>
    <t xml:space="preserve">Interest Rate </t>
  </si>
  <si>
    <t>ZAV(TF.FN.InterestExpenseOnDebt(period=FY0,sdate=-8FY,edate=0FY,curn=#1,scale=6))</t>
  </si>
  <si>
    <t>Short Term Debt and Current Portion Long Term Debt</t>
  </si>
  <si>
    <t>ZAV(TF.FN.STDebtAndCurrentPortionLTDebt(period=FY0,sdate=-8FY,edate=0FY,curn=#1,scale=6))</t>
  </si>
  <si>
    <t>Long Term Debt excluding Capitalized Leases</t>
  </si>
  <si>
    <t>ZAV(TF.FN.LTDebtExclCapitalizedLeases(period=FY0,sdate=-8FY,edate=0FY,curn=#1,scale=6))</t>
  </si>
  <si>
    <t>GPS.N,mscalc:defaultCurrencyCalc</t>
  </si>
  <si>
    <t>GPS.0,mscalc:sedolCodeCalc</t>
  </si>
  <si>
    <t>GPS.0,mscalc:defaultCurrencyCalc</t>
  </si>
  <si>
    <t>WACC</t>
  </si>
  <si>
    <t>NOPAT</t>
  </si>
  <si>
    <t>GPS.N,mscalc:sharePriceCurrent</t>
  </si>
  <si>
    <t>.</t>
  </si>
  <si>
    <t>Adj. net Debt</t>
  </si>
  <si>
    <t>Rent</t>
  </si>
  <si>
    <t>Other &amp; non-cash adjustments</t>
  </si>
  <si>
    <t>1Q16</t>
  </si>
  <si>
    <t>2Q16</t>
  </si>
  <si>
    <t>3Q16</t>
  </si>
  <si>
    <t>4Q16</t>
  </si>
  <si>
    <t>PX</t>
  </si>
  <si>
    <t>NI</t>
  </si>
  <si>
    <t>Capex</t>
  </si>
  <si>
    <t>Dividends</t>
  </si>
  <si>
    <t>2015 Cash</t>
  </si>
  <si>
    <t xml:space="preserve">Term </t>
  </si>
  <si>
    <t>2015A</t>
  </si>
  <si>
    <t>2015 Charges</t>
  </si>
  <si>
    <t>Metric</t>
  </si>
  <si>
    <t>Ending Square Footage</t>
  </si>
  <si>
    <t>Beginning Square Footage</t>
  </si>
  <si>
    <t>4Q15</t>
  </si>
  <si>
    <t>3Q15</t>
  </si>
  <si>
    <t>2Q15</t>
  </si>
  <si>
    <t>1Q15</t>
  </si>
  <si>
    <t>4Q13</t>
  </si>
  <si>
    <t>3Q13</t>
  </si>
  <si>
    <t>2Q13</t>
  </si>
  <si>
    <t>1Q13</t>
  </si>
  <si>
    <t>Ending Stores</t>
  </si>
  <si>
    <t>Closed Stores</t>
  </si>
  <si>
    <t>New Stores</t>
  </si>
  <si>
    <t>Beginning Store count</t>
  </si>
  <si>
    <t>Company‐operated stores total</t>
  </si>
  <si>
    <t>Intermix North America</t>
  </si>
  <si>
    <t>Piperlime North America</t>
  </si>
  <si>
    <t>Athleta North America</t>
  </si>
  <si>
    <t>Banana Republic Europe</t>
  </si>
  <si>
    <t>Banana Republic Asia</t>
  </si>
  <si>
    <t>Old Navy Asia</t>
  </si>
  <si>
    <t>Old Navy North America</t>
  </si>
  <si>
    <t xml:space="preserve">y/y change </t>
  </si>
  <si>
    <t>Total BR</t>
  </si>
  <si>
    <t>Sales / Avg Sq Ft (Store Only)</t>
  </si>
  <si>
    <t>Sales / Avg Sq Ft (Including eComm)</t>
  </si>
  <si>
    <t xml:space="preserve">      </t>
  </si>
  <si>
    <t>26.97</t>
  </si>
  <si>
    <t>GE.N</t>
    <phoneticPr fontId="25" type="noConversion"/>
  </si>
  <si>
    <t>GE.N,mscalc:defaultCurrencyCalc</t>
  </si>
  <si>
    <t>GE.N,mscalc:sedolCodeCalc</t>
  </si>
  <si>
    <t>$BZ$2</t>
  </si>
  <si>
    <t>2380498</t>
  </si>
  <si>
    <t>11-16E</t>
  </si>
  <si>
    <t>2020E</t>
  </si>
  <si>
    <t>2021E</t>
  </si>
  <si>
    <t>Multi-Year Stacks</t>
  </si>
  <si>
    <t>2 Year</t>
  </si>
  <si>
    <t>3 Year</t>
  </si>
  <si>
    <t>FY15 y/y Margin Change</t>
  </si>
  <si>
    <t>2016A</t>
  </si>
  <si>
    <t>2017A</t>
  </si>
  <si>
    <t>1Q17</t>
  </si>
  <si>
    <t>Model</t>
  </si>
  <si>
    <t>Forecasts</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</si>
  <si>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</si>
  <si>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</si>
  <si>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</si>
  <si>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</si>
  <si>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</si>
  <si>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</si>
  <si>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</si>
  <si>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</si>
  <si>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</si>
  <si>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</si>
  <si>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</si>
  <si>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</si>
  <si>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</si>
  <si>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</si>
  <si>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Cash Balance (2018E)</t>
  </si>
  <si>
    <t>Market Risk Premium</t>
  </si>
  <si>
    <t>Equity Beta</t>
  </si>
  <si>
    <t>Cost of Debt (Pre-tax)</t>
  </si>
  <si>
    <t>Required Equity Return</t>
  </si>
  <si>
    <t xml:space="preserve">Fully Diluted Shares </t>
  </si>
  <si>
    <t>Current Share Price</t>
  </si>
  <si>
    <t>Market Enterprise Value</t>
  </si>
  <si>
    <t>Sum of NPV Forecasted CFs</t>
  </si>
  <si>
    <t>Intrinsic Enterprise Value</t>
  </si>
  <si>
    <t>Less: Debt</t>
  </si>
  <si>
    <t>Plus: Cash</t>
  </si>
  <si>
    <t>Less: MV of Non-controlling Interest</t>
  </si>
  <si>
    <t>Plus: MV of Equity Investments</t>
  </si>
  <si>
    <t>Equity Value per Share</t>
  </si>
  <si>
    <t>2Q17</t>
  </si>
  <si>
    <t>3Q17</t>
  </si>
  <si>
    <t>2018A</t>
  </si>
  <si>
    <t>2022E</t>
  </si>
  <si>
    <t>16-22E</t>
  </si>
  <si>
    <t>Square Footage Analysis (b)</t>
  </si>
  <si>
    <t>Sales (mm) (a)</t>
  </si>
  <si>
    <t>potential</t>
  </si>
  <si>
    <t>Gap's Divisions</t>
  </si>
  <si>
    <t>Analysis of Space Productivity, 1996A-2018E</t>
  </si>
  <si>
    <t>Analysis of Space Productivity, 1994A-2018E</t>
  </si>
  <si>
    <t>Analysis of Space Productivity, 1990A-2018E</t>
  </si>
  <si>
    <t>Gap brand</t>
  </si>
  <si>
    <t>Formula</t>
  </si>
  <si>
    <t>HC</t>
  </si>
  <si>
    <t xml:space="preserve">  </t>
  </si>
  <si>
    <t>Total (ex-direct)</t>
  </si>
  <si>
    <t xml:space="preserve">Sales </t>
  </si>
  <si>
    <t xml:space="preserve">Direct </t>
  </si>
  <si>
    <t>Total Stores</t>
  </si>
  <si>
    <t>Total Square Footage</t>
  </si>
  <si>
    <t xml:space="preserve"> Other Direct</t>
  </si>
  <si>
    <t>Other Total</t>
  </si>
  <si>
    <t>`</t>
  </si>
  <si>
    <t>4Q17</t>
  </si>
  <si>
    <t>1Q18</t>
  </si>
  <si>
    <t>2Q18</t>
  </si>
  <si>
    <t>3Q18</t>
  </si>
  <si>
    <t>4Q18</t>
  </si>
  <si>
    <t>Annual Sales Model, Fiscal 1997A-2022E</t>
  </si>
  <si>
    <t>Quarterly Analysis of "Operating" Working Capital, 1990-2018E</t>
  </si>
  <si>
    <t>Quarterly Analysis of Inventory Turnover, 1990-2018E</t>
  </si>
  <si>
    <t>11-16</t>
  </si>
  <si>
    <t>Annual Earnings Model, Fiscal 2000A-2022E</t>
  </si>
  <si>
    <t>Operating Results Summary &amp; Financial Analysis, Fiscal 2002-2022E</t>
  </si>
  <si>
    <t>24</t>
  </si>
  <si>
    <t>Cost of Debt (Post-tax @ 21%)</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</si>
  <si>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</si>
  <si>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</si>
  <si>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</si>
  <si>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</si>
  <si>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</si>
  <si>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</si>
  <si>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</si>
  <si>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</si>
  <si>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</si>
  <si>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</si>
  <si>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09 Apr 2018</t>
  </si>
  <si>
    <t>Ticker: GPS.N</t>
  </si>
  <si>
    <t>Stock Rating: Underweight</t>
  </si>
  <si>
    <t>Industry: Retail, Specialty Retail</t>
  </si>
  <si>
    <t>Industry View: Cautious</t>
  </si>
  <si>
    <t>Price as of 09 Apr 2018: 30.41</t>
  </si>
  <si>
    <t>Target Price: 25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</si>
  <si>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</si>
  <si>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</si>
  <si>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</si>
  <si>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</si>
  <si>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Gap Inc.</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</si>
  <si>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</si>
  <si>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</si>
  <si>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</si>
  <si>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</si>
  <si>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</si>
  <si>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</si>
  <si>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</si>
  <si>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</si>
  <si>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</si>
  <si>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</si>
  <si>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</si>
  <si>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</si>
  <si>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</si>
  <si>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</si>
  <si>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</si>
  <si>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</si>
  <si>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</si>
  <si>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</si>
  <si>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</si>
  <si>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</si>
  <si>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</si>
  <si>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</si>
  <si>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</si>
  <si>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</si>
  <si>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</si>
  <si>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</si>
  <si>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</si>
  <si>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</si>
  <si>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</si>
  <si>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</si>
  <si>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</si>
  <si>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</si>
  <si>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</si>
  <si>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</si>
  <si>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</si>
  <si>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</si>
  <si>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</si>
  <si>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</si>
  <si>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</si>
  <si>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</si>
  <si>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</si>
  <si>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</si>
  <si>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</si>
  <si>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</si>
  <si>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</si>
  <si>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</si>
  <si>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</si>
  <si>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</si>
  <si>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</si>
  <si>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</si>
  <si>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</si>
  <si>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</si>
  <si>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</si>
  <si>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</si>
  <si>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</si>
  <si>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</si>
  <si>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</si>
  <si>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</si>
  <si>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</si>
  <si>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</si>
  <si>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</si>
  <si>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</si>
  <si>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</si>
  <si>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</si>
  <si>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</si>
  <si>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</si>
  <si>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</si>
  <si>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</si>
  <si>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</si>
  <si>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</si>
  <si>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</si>
  <si>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</si>
  <si>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</si>
  <si>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</si>
  <si>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</si>
  <si>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</si>
  <si>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</si>
  <si>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</si>
  <si>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</si>
  <si>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</si>
  <si>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</si>
  <si>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</si>
  <si>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</si>
  <si>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</si>
  <si>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</si>
  <si>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</si>
  <si>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</si>
  <si>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</si>
  <si>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</si>
  <si>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</si>
  <si>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</si>
  <si>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</si>
  <si>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</si>
  <si>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</si>
  <si>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</si>
  <si>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</si>
  <si>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</si>
  <si>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</si>
  <si>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</si>
  <si>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</si>
  <si>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</si>
  <si>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</si>
  <si>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</si>
  <si>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</si>
  <si>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</si>
  <si>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</si>
  <si>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</si>
  <si>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</si>
  <si>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</si>
  <si>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</si>
  <si>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</si>
  <si>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</si>
  <si>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</si>
  <si>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</si>
  <si>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</si>
  <si>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</si>
  <si>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</si>
  <si>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</si>
  <si>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</si>
  <si>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</si>
  <si>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</si>
  <si>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</si>
  <si>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</si>
  <si>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</si>
  <si>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</si>
  <si>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</si>
  <si>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</si>
  <si>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</si>
  <si>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</si>
  <si>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</si>
  <si>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</si>
  <si>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</si>
  <si>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</si>
  <si>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</si>
  <si>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</si>
  <si>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</si>
  <si>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</si>
  <si>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</si>
  <si>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</si>
  <si>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</si>
  <si>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</si>
  <si>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</si>
  <si>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</si>
  <si>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</si>
  <si>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</si>
  <si>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</si>
  <si>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</si>
  <si>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</si>
  <si>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</si>
  <si>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</si>
  <si>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</si>
  <si>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</si>
  <si>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</si>
  <si>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</si>
  <si>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</si>
  <si>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</si>
  <si>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</si>
  <si>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</si>
  <si>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</si>
  <si>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</si>
  <si>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</si>
  <si>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</si>
  <si>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</si>
  <si>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</si>
  <si>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</si>
  <si>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</si>
  <si>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</si>
  <si>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</si>
  <si>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</si>
  <si>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</si>
  <si>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</si>
  <si>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</si>
  <si>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</si>
  <si>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</si>
  <si>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Gap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</si>
  <si>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</si>
  <si>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</si>
  <si>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</si>
  <si>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</si>
  <si>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</si>
  <si>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</si>
  <si>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</si>
  <si>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</si>
  <si>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</si>
  <si>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</si>
  <si>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</si>
  <si>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</si>
  <si>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</si>
  <si>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</si>
  <si>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</si>
  <si>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</si>
  <si>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</si>
  <si>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</si>
  <si>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</si>
  <si>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</si>
  <si>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</si>
  <si>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</si>
  <si>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</si>
  <si>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</si>
  <si>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</si>
  <si>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</si>
  <si>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</si>
  <si>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</si>
  <si>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</si>
  <si>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</si>
  <si>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</si>
  <si>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</si>
  <si>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</si>
  <si>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</si>
  <si>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</si>
  <si>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</si>
  <si>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</si>
  <si>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</si>
  <si>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</si>
  <si>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</si>
  <si>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</si>
  <si>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</si>
  <si>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</si>
  <si>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</si>
  <si>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</si>
  <si>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</si>
  <si>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</si>
  <si>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</si>
  <si>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</si>
  <si>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</si>
  <si>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</si>
  <si>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</si>
  <si>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</si>
  <si>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</si>
  <si>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</si>
  <si>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</si>
  <si>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</si>
  <si>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</si>
  <si>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</si>
  <si>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</si>
  <si>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</si>
  <si>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</si>
  <si>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</si>
  <si>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</si>
  <si>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</si>
  <si>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</si>
  <si>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</si>
  <si>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Gap Inc.</t>
  </si>
  <si>
    <t>In the next 3 months, Morgan Stanley expects to receive or intends to seek compensation for investment</t>
  </si>
  <si>
    <t>banking services from Gap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</si>
  <si>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</si>
  <si>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</si>
  <si>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</si>
  <si>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</si>
  <si>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</si>
  <si>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</si>
  <si>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</si>
  <si>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</si>
  <si>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</si>
  <si>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</si>
  <si>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</si>
  <si>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</si>
  <si>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</si>
  <si>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</si>
  <si>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</si>
  <si>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</si>
  <si>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</si>
  <si>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</si>
  <si>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</si>
  <si>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</si>
  <si>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</si>
  <si>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</si>
  <si>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</si>
  <si>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</si>
  <si>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</si>
  <si>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</si>
  <si>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</si>
  <si>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</si>
  <si>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</si>
  <si>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</si>
  <si>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</si>
  <si>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</si>
  <si>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</si>
  <si>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</si>
  <si>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</si>
  <si>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</si>
  <si>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</si>
  <si>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</si>
  <si>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</si>
  <si>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</si>
  <si>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</si>
  <si>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</si>
  <si>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</si>
  <si>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</si>
  <si>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</si>
  <si>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</si>
  <si>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</si>
  <si>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</si>
  <si>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</si>
  <si>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</si>
  <si>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</si>
  <si>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</si>
  <si>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</si>
  <si>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</si>
  <si>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</si>
  <si>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</si>
  <si>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</si>
  <si>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</si>
  <si>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</si>
  <si>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</si>
  <si>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</si>
  <si>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</si>
  <si>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</si>
  <si>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</si>
  <si>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</si>
  <si>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</si>
  <si>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</si>
  <si>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</si>
  <si>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</si>
  <si>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</si>
  <si>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</si>
  <si>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</si>
  <si>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Cautious</t>
  </si>
  <si>
    <t>Regular Update</t>
  </si>
  <si>
    <t>NorthAmerica</t>
  </si>
  <si>
    <t>edouardd</t>
  </si>
  <si>
    <t>L:\RETAIL\Greenberger\Companies\GPS\Models\GPS.xlsm</t>
  </si>
  <si>
    <t>Please contact edouard.de.courreges@ms.com with any questions/concerns. Updated in accordance with the 10-K release. Thank you, Ed</t>
  </si>
  <si>
    <t>[BRO MSA]</t>
  </si>
  <si>
    <t>[PRODUCT MODEL]</t>
  </si>
  <si>
    <t>[EMAIL_ALERT YES]</t>
  </si>
  <si>
    <t>[DISCIPLINE Company]</t>
  </si>
  <si>
    <t>[SUPPRESSED NO]</t>
  </si>
  <si>
    <t>[DOCDAT 2018-04-09]</t>
  </si>
  <si>
    <t>[DOCTIME 15:11]</t>
  </si>
  <si>
    <t>[PSYM GPS.N(S&amp;P) (None)]</t>
  </si>
  <si>
    <t>[COU 1]</t>
  </si>
  <si>
    <t>[ANA ]</t>
  </si>
  <si>
    <t>[HL GPS.N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</si>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</sst>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8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quot;£&quot;* #,##0.00_-;\-&quot;£&quot;* #,##0.00_-;_-&quot;£&quot;* &quot;-&quot;??_-;_-@_-"/>
    <numFmt numFmtId="165" formatCode="_-* #,##0.00_-;\-* #,##0.00_-;_-* &quot;-&quot;??_-;_-@_-"/>
    <numFmt numFmtId="166" formatCode="#,##0.0"/>
    <numFmt numFmtId="167" formatCode="0.0"/>
    <numFmt numFmtId="168" formatCode="0.0%"/>
    <numFmt numFmtId="169" formatCode="#,##0.0;\(#,##0.0\)"/>
    <numFmt numFmtId="170" formatCode="#,##0.0_);\(#,##0.0\)"/>
    <numFmt numFmtId="172" formatCode="#,##0.0_);[Red]\(#,##0.0\)"/>
    <numFmt numFmtId="173" formatCode="0.000"/>
    <numFmt numFmtId="174" formatCode="&quot;$&quot;#,##0.0_);[Red]\(&quot;$&quot;#,##0.0\)"/>
    <numFmt numFmtId="175" formatCode="&quot;$&quot;#,##0.0_);\(&quot;$&quot;#,##0.0\)"/>
    <numFmt numFmtId="176" formatCode="0.000000"/>
    <numFmt numFmtId="177" formatCode="#,##0.0000"/>
    <numFmt numFmtId="178" formatCode="_(* #,##0.0_);_(* \(#,##0.0\);_(* &quot;-&quot;??_);_(@_)"/>
    <numFmt numFmtId="179" formatCode="0.0000000"/>
    <numFmt numFmtId="180" formatCode="_(* #,##0_);_(* \(#,##0\);_(* &quot;-&quot;??_);_(@_)"/>
    <numFmt numFmtId="181" formatCode="&quot;$&quot;#,##0.00"/>
    <numFmt numFmtId="182" formatCode="&quot;$&quot;#,##0"/>
    <numFmt numFmtId="183" formatCode="General_)"/>
    <numFmt numFmtId="184" formatCode="0.0_)"/>
    <numFmt numFmtId="185" formatCode="&quot;$&quot;#,##0.0"/>
    <numFmt numFmtId="186" formatCode="0.0_);\(0.0\)"/>
    <numFmt numFmtId="187" formatCode="_(* #,##0.0000_);_(* \(#,##0.0000\);_(* &quot;-&quot;??_);_(@_)"/>
    <numFmt numFmtId="188" formatCode="0_);\(0\)"/>
    <numFmt numFmtId="189" formatCode="&quot;$&quot;#,##0.000_);\(&quot;$&quot;#,##0.000\)"/>
    <numFmt numFmtId="190" formatCode="###0_);\(###0\)"/>
    <numFmt numFmtId="191" formatCode="mm/dd/yy_)"/>
    <numFmt numFmtId="192" formatCode="&quot;$&quot;#,##0.0\ ;[Red]\(&quot;$&quot;#,##0.0\)"/>
    <numFmt numFmtId="193" formatCode="0.0%;\(0.0%\)"/>
    <numFmt numFmtId="194" formatCode="\(0.0\)"/>
    <numFmt numFmtId="195" formatCode="\+0.0;\-0.0"/>
    <numFmt numFmtId="196" formatCode="0.000_)"/>
    <numFmt numFmtId="197" formatCode="&quot;$&quot;#,##0.000"/>
    <numFmt numFmtId="198" formatCode="####\A"/>
    <numFmt numFmtId="199" formatCode="\/0.0;\/\-0.0"/>
    <numFmt numFmtId="200" formatCode="####&quot;E&quot;"/>
    <numFmt numFmtId="201" formatCode="#,##0.0\ ;\(#,##0.0\)"/>
    <numFmt numFmtId="202" formatCode="#,##0.0\ ;[Red]\(#,##0.0\)"/>
    <numFmt numFmtId="203" formatCode="#,##0.0%\ ;[Red]\(#,##0.0%\)"/>
    <numFmt numFmtId="204" formatCode="0.0_);[Red]\(0.0\)"/>
    <numFmt numFmtId="205" formatCode="0_);[Red]\(0\)"/>
    <numFmt numFmtId="206" formatCode="\+0;\-0"/>
    <numFmt numFmtId="207" formatCode="#,##0.000_);\(#,##0.000\)"/>
    <numFmt numFmtId="208" formatCode="#,##0.000_);[Red]\(#,##0.000\)"/>
    <numFmt numFmtId="209" formatCode="_(* #,##0.000_);_(* \(#,##0.000\);_(* &quot;-&quot;??_);_(@_)"/>
    <numFmt numFmtId="210" formatCode="&quot;$&quot;#,##0.000_);[Red]\(&quot;$&quot;#,##0.000\)"/>
    <numFmt numFmtId="211" formatCode="0%;\(0%\)"/>
    <numFmt numFmtId="212" formatCode="#,##0.0000_);\(#,##0.0000\)"/>
    <numFmt numFmtId="213" formatCode="0.0000"/>
    <numFmt numFmtId="223" formatCode="\(0.00\)"/>
    <numFmt numFmtId="224" formatCode="\(0\)"/>
    <numFmt numFmtId="226" formatCode="0.00_);\(0.00\)"/>
    <numFmt numFmtId="227" formatCode="0.000%"/>
    <numFmt numFmtId="230" formatCode="&quot;$&quot;#,##0.0000_);\(&quot;$&quot;#,##0.0000\)"/>
    <numFmt numFmtId="231" formatCode="####&quot;A&quot;"/>
    <numFmt numFmtId="249" formatCode="0.00000"/>
    <numFmt numFmtId="251" formatCode="\+0.00;\-0.00"/>
    <numFmt numFmtId="252" formatCode="&quot;$&quot;#,##0.00\ ;[Red]\(&quot;$&quot;#,##0.00\)"/>
    <numFmt numFmtId="253" formatCode="#,##0;\(#,##0\)"/>
    <numFmt numFmtId="254" formatCode="###0.00_);\(###0.00\)"/>
    <numFmt numFmtId="255" formatCode="0&quot;E&quot;"/>
    <numFmt numFmtId="257" formatCode="\F###0\A"/>
    <numFmt numFmtId="258" formatCode="\F###0\E"/>
    <numFmt numFmtId="259" formatCode="###0"/>
    <numFmt numFmtId="260" formatCode="###0.00"/>
    <numFmt numFmtId="261" formatCode="###0.0"/>
    <numFmt numFmtId="262" formatCode="\F###0"/>
    <numFmt numFmtId="268" formatCode="_(* #,##0.0_);_(* \(#,##0.0\);_(* &quot;-&quot;?_);_(@_)"/>
    <numFmt numFmtId="271" formatCode="_(&quot;$&quot;* #,##0.0_);_(&quot;$&quot;* \(#,##0.0\);_(&quot;$&quot;* &quot;-&quot;??_);_(@_)"/>
    <numFmt numFmtId="272" formatCode="_(&quot;$&quot;* #,##0.0_);_(&quot;$&quot;* \(#,##0.0\);_(&quot;$&quot;* &quot;-&quot;?_);_(@_)"/>
    <numFmt numFmtId="273" formatCode="\+0.0%;\-0.0%"/>
    <numFmt numFmtId="277" formatCode="0.00%;\(0.00%\)"/>
    <numFmt numFmtId="279" formatCode="0.000000000000000"/>
    <numFmt numFmtId="280" formatCode="0_)"/>
    <numFmt numFmtId="281" formatCode="mm/yyyy"/>
    <numFmt numFmtId="282" formatCode="_(&quot;$&quot;* #,##0_);_(&quot;$&quot;* \(#,##0\);_(&quot;$&quot;* &quot;-&quot;??_);_(@_)"/>
    <numFmt numFmtId="287" formatCode="General&quot;E&quot;"/>
    <numFmt numFmtId="288" formatCode="0.0000000000000000%"/>
    <numFmt numFmtId="289" formatCode="\/0;\/\-0"/>
    <numFmt numFmtId="295" formatCode="mm/dd/yy\ hh:mm"/>
  </numFmts>
  <fonts count="176">
    <font>
      <sz val="10"/>
      <name val="Arial"/>
    </font>
    <font>
      <sz val="10"/>
      <name val="Arial"/>
      <family val="2"/>
    </font>
    <font>
      <sz val="10"/>
      <name val="MS Sans Serif"/>
      <family val="2"/>
    </font>
    <font>
      <sz val="10"/>
      <name val="Helv"/>
    </font>
    <font>
      <sz val="10"/>
      <name val="Courier"/>
      <family val="3"/>
    </font>
    <font>
      <sz val="8"/>
      <name val="Arial"/>
      <family val="2"/>
    </font>
    <font>
      <sz val="7"/>
      <name val="Courier"/>
      <family val="3"/>
    </font>
    <font>
      <sz val="8"/>
      <name val="Helv"/>
    </font>
    <font>
      <u/>
      <sz val="10"/>
      <name val="Helv"/>
    </font>
    <font>
      <sz val="10"/>
      <name val="Arial"/>
      <family val="2"/>
    </font>
    <font>
      <u/>
      <sz val="10"/>
      <name val="Arial"/>
      <family val="2"/>
    </font>
    <font>
      <b/>
      <sz val="8"/>
      <name val="Arial"/>
      <family val="2"/>
    </font>
    <font>
      <b/>
      <sz val="10"/>
      <name val="Arial"/>
      <family val="2"/>
    </font>
    <font>
      <sz val="10"/>
      <color indexed="12"/>
      <name val="Arial"/>
      <family val="2"/>
    </font>
    <font>
      <b/>
      <u/>
      <sz val="8"/>
      <name val="Arial"/>
      <family val="2"/>
    </font>
    <font>
      <b/>
      <sz val="8"/>
      <color indexed="12"/>
      <name val="Arial"/>
      <family val="2"/>
    </font>
    <font>
      <sz val="8"/>
      <color indexed="81"/>
      <name val="Tahoma"/>
      <family val="2"/>
    </font>
    <font>
      <b/>
      <sz val="8"/>
      <color indexed="81"/>
      <name val="Tahoma"/>
      <family val="2"/>
    </font>
    <font>
      <b/>
      <sz val="10"/>
      <color indexed="12"/>
      <name val="Arial"/>
      <family val="2"/>
    </font>
    <font>
      <sz val="10"/>
      <color indexed="10"/>
      <name val="Arial"/>
      <family val="2"/>
    </font>
    <font>
      <sz val="8"/>
      <color indexed="8"/>
      <name val="Arial"/>
      <family val="2"/>
    </font>
    <font>
      <i/>
      <sz val="10"/>
      <name val="Arial"/>
      <family val="2"/>
    </font>
    <font>
      <b/>
      <sz val="12"/>
      <name val="Arial"/>
      <family val="2"/>
    </font>
    <font>
      <b/>
      <sz val="10"/>
      <color indexed="50"/>
      <name val="Arial"/>
      <family val="2"/>
    </font>
    <font>
      <sz val="10"/>
      <color indexed="50"/>
      <name val="Arial"/>
      <family val="2"/>
    </font>
    <font>
      <b/>
      <sz val="10"/>
      <name val="Futura Medium"/>
      <family val="3"/>
    </font>
    <font>
      <b/>
      <sz val="8.5"/>
      <color indexed="12"/>
      <name val="Arial"/>
      <family val="2"/>
    </font>
    <font>
      <sz val="8"/>
      <color indexed="81"/>
      <name val="Gill Sans"/>
      <family val="2"/>
    </font>
    <font>
      <sz val="7"/>
      <color indexed="81"/>
      <name val="Tahoma"/>
      <family val="2"/>
    </font>
    <font>
      <sz val="9"/>
      <name val="Arial"/>
      <family val="2"/>
    </font>
    <font>
      <sz val="10"/>
      <color indexed="81"/>
      <name val="Tahoma"/>
      <family val="2"/>
    </font>
    <font>
      <b/>
      <sz val="10"/>
      <color indexed="81"/>
      <name val="Tahoma"/>
      <family val="2"/>
    </font>
    <font>
      <b/>
      <sz val="10"/>
      <color indexed="10"/>
      <name val="Arial"/>
      <family val="2"/>
    </font>
    <font>
      <b/>
      <sz val="9"/>
      <name val="Arial"/>
      <family val="2"/>
    </font>
    <font>
      <b/>
      <sz val="9"/>
      <color indexed="12"/>
      <name val="Arial"/>
      <family val="2"/>
    </font>
    <font>
      <sz val="10"/>
      <color indexed="8"/>
      <name val="Arial"/>
      <family val="2"/>
    </font>
    <font>
      <sz val="10"/>
      <color indexed="56"/>
      <name val="Arial"/>
      <family val="2"/>
    </font>
    <font>
      <sz val="8"/>
      <color indexed="81"/>
      <name val="Arial"/>
      <family val="2"/>
    </font>
    <font>
      <b/>
      <sz val="8"/>
      <color indexed="81"/>
      <name val="Arial"/>
      <family val="2"/>
    </font>
    <font>
      <b/>
      <sz val="10"/>
      <color indexed="9"/>
      <name val="Arial"/>
      <family val="2"/>
    </font>
    <font>
      <sz val="8"/>
      <name val="Arial"/>
      <family val="2"/>
    </font>
    <font>
      <sz val="8"/>
      <color indexed="12"/>
      <name val="Arial"/>
      <family val="2"/>
    </font>
    <font>
      <b/>
      <u/>
      <sz val="10"/>
      <name val="Arial"/>
      <family val="2"/>
    </font>
    <font>
      <sz val="9"/>
      <name val="Futura UBS Bk"/>
    </font>
    <font>
      <i/>
      <sz val="10"/>
      <color indexed="9"/>
      <name val="Arial"/>
      <family val="2"/>
    </font>
    <font>
      <sz val="10"/>
      <color indexed="9"/>
      <name val="Arial"/>
      <family val="2"/>
    </font>
    <font>
      <sz val="10"/>
      <color indexed="17"/>
      <name val="Arial"/>
      <family val="2"/>
    </font>
    <font>
      <i/>
      <sz val="10"/>
      <color indexed="12"/>
      <name val="Arial"/>
      <family val="2"/>
    </font>
    <font>
      <b/>
      <sz val="10"/>
      <name val="CIR Trade Gothic Cn"/>
    </font>
    <font>
      <sz val="10"/>
      <name val="CIR Trade Gothic Cn"/>
    </font>
    <font>
      <b/>
      <sz val="10"/>
      <color indexed="12"/>
      <name val="CIR Trade Gothic Cn"/>
    </font>
    <font>
      <sz val="8"/>
      <name val="CIR Trade Gothic Cn"/>
    </font>
    <font>
      <sz val="8"/>
      <color indexed="10"/>
      <name val="CIR Trade Gothic Cn"/>
    </font>
    <font>
      <i/>
      <sz val="8"/>
      <name val="CIR Trade Gothic Cn"/>
    </font>
    <font>
      <sz val="10"/>
      <color indexed="12"/>
      <name val="CIR Trade Gothic Cn"/>
    </font>
    <font>
      <sz val="9"/>
      <name val="CIR Trade Gothic Cn"/>
    </font>
    <font>
      <u/>
      <sz val="10"/>
      <name val="CIR Trade Gothic Cn"/>
    </font>
    <font>
      <b/>
      <sz val="9"/>
      <name val="CIR Trade Gothic Cn"/>
    </font>
    <font>
      <i/>
      <sz val="10"/>
      <name val="CIR Trade Gothic Cn"/>
    </font>
    <font>
      <sz val="10"/>
      <color indexed="10"/>
      <name val="CIR Trade Gothic Cn"/>
    </font>
    <font>
      <sz val="10"/>
      <color indexed="50"/>
      <name val="CIR Trade Gothic Cn"/>
    </font>
    <font>
      <vertAlign val="superscript"/>
      <sz val="10"/>
      <name val="CIR Trade Gothic Cn"/>
    </font>
    <font>
      <sz val="10"/>
      <color indexed="55"/>
      <name val="CIR Trade Gothic Cn"/>
    </font>
    <font>
      <sz val="10"/>
      <color indexed="23"/>
      <name val="CIR Trade Gothic Cn"/>
    </font>
    <font>
      <sz val="10"/>
      <color indexed="20"/>
      <name val="CIR Trade Gothic Cn"/>
    </font>
    <font>
      <vertAlign val="superscript"/>
      <sz val="8"/>
      <name val="CIR Trade Gothic Cn"/>
    </font>
    <font>
      <b/>
      <sz val="10"/>
      <color indexed="10"/>
      <name val="CIR Trade Gothic Cn"/>
    </font>
    <font>
      <sz val="9"/>
      <color indexed="10"/>
      <name val="CIR Trade Gothic Cn"/>
    </font>
    <font>
      <b/>
      <sz val="10"/>
      <color indexed="20"/>
      <name val="CIR Trade Gothic Cn"/>
    </font>
    <font>
      <u/>
      <sz val="10"/>
      <color indexed="20"/>
      <name val="CIR Trade Gothic Cn"/>
    </font>
    <font>
      <sz val="10"/>
      <color indexed="9"/>
      <name val="CIR Trade Gothic Cn"/>
    </font>
    <font>
      <b/>
      <u/>
      <sz val="8"/>
      <color indexed="81"/>
      <name val="Tahoma"/>
      <family val="2"/>
    </font>
    <font>
      <sz val="10"/>
      <color indexed="12"/>
      <name val="Arial"/>
      <family val="2"/>
    </font>
    <font>
      <sz val="10"/>
      <name val="CIR Trade Gothic Cn"/>
      <family val="3"/>
    </font>
    <font>
      <b/>
      <sz val="10"/>
      <name val="CIR Trade Gothic Cn"/>
      <family val="3"/>
    </font>
    <font>
      <u/>
      <sz val="8"/>
      <color indexed="81"/>
      <name val="Tahoma"/>
      <family val="2"/>
    </font>
    <font>
      <sz val="10"/>
      <color indexed="14"/>
      <name val="CIR Trade Gothic Cn"/>
    </font>
    <font>
      <sz val="8"/>
      <color indexed="9"/>
      <name val="Arial"/>
      <family val="2"/>
    </font>
    <font>
      <sz val="10"/>
      <color indexed="21"/>
      <name val="CIR Trade Gothic Cn"/>
    </font>
    <font>
      <b/>
      <sz val="10"/>
      <color indexed="8"/>
      <name val="Times New Roman"/>
      <family val="1"/>
    </font>
    <font>
      <sz val="9"/>
      <name val="Times New Roman"/>
      <family val="1"/>
    </font>
    <font>
      <sz val="10"/>
      <color indexed="8"/>
      <name val="Times New Roman"/>
      <family val="1"/>
    </font>
    <font>
      <i/>
      <sz val="8"/>
      <name val="Times New Roman"/>
      <family val="1"/>
    </font>
    <font>
      <sz val="8"/>
      <name val="Times New Roman"/>
      <family val="1"/>
    </font>
    <font>
      <b/>
      <sz val="14"/>
      <color indexed="18"/>
      <name val="Arial"/>
      <family val="2"/>
    </font>
    <font>
      <b/>
      <sz val="12"/>
      <color indexed="12"/>
      <name val="Arial"/>
      <family val="2"/>
    </font>
    <font>
      <sz val="10"/>
      <color indexed="53"/>
      <name val="Arial"/>
      <family val="2"/>
    </font>
    <font>
      <b/>
      <i/>
      <sz val="10"/>
      <color indexed="12"/>
      <name val="Arial"/>
      <family val="2"/>
    </font>
    <font>
      <sz val="10"/>
      <color indexed="23"/>
      <name val="Arial"/>
      <family val="2"/>
    </font>
    <font>
      <sz val="11"/>
      <name val="Arial"/>
      <family val="2"/>
    </font>
    <font>
      <sz val="8"/>
      <color indexed="22"/>
      <name val="Arial"/>
      <family val="2"/>
    </font>
    <font>
      <sz val="10"/>
      <color indexed="2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8"/>
      <color indexed="23"/>
      <name val="Arial"/>
      <family val="2"/>
    </font>
    <font>
      <b/>
      <u/>
      <sz val="8"/>
      <color indexed="23"/>
      <name val="Arial"/>
      <family val="2"/>
    </font>
    <font>
      <b/>
      <sz val="8"/>
      <color indexed="62"/>
      <name val="Arial"/>
      <family val="2"/>
    </font>
    <font>
      <b/>
      <i/>
      <sz val="10"/>
      <name val="Arial"/>
      <family val="2"/>
    </font>
    <font>
      <sz val="9"/>
      <color indexed="81"/>
      <name val="Tahoma"/>
      <family val="2"/>
    </font>
    <font>
      <b/>
      <sz val="9"/>
      <color indexed="81"/>
      <name val="Tahoma"/>
      <family val="2"/>
    </font>
    <font>
      <b/>
      <sz val="10"/>
      <color indexed="8"/>
      <name val="Arial"/>
      <family val="2"/>
    </font>
    <font>
      <b/>
      <u/>
      <sz val="10"/>
      <color indexed="8"/>
      <name val="Arial"/>
      <family val="2"/>
    </font>
    <font>
      <b/>
      <u/>
      <sz val="10"/>
      <color indexed="12"/>
      <name val="Arial"/>
      <family val="2"/>
    </font>
    <font>
      <u/>
      <sz val="10"/>
      <color indexed="8"/>
      <name val="Arial"/>
      <family val="2"/>
    </font>
    <font>
      <sz val="10"/>
      <color indexed="55"/>
      <name val="Arial"/>
      <family val="2"/>
    </font>
    <font>
      <sz val="10"/>
      <color indexed="60"/>
      <name val="Arial"/>
      <family val="2"/>
    </font>
    <font>
      <sz val="10"/>
      <color indexed="57"/>
      <name val="Arial"/>
      <family val="2"/>
    </font>
    <font>
      <b/>
      <u/>
      <sz val="10"/>
      <color indexed="12"/>
      <name val="CIR Trade Gothic Cn"/>
    </font>
    <font>
      <sz val="10"/>
      <color indexed="8"/>
      <name val="CIR Trade Gothic Cn"/>
    </font>
    <font>
      <sz val="10"/>
      <color indexed="56"/>
      <name val="CIR Trade Gothic Cn"/>
    </font>
    <font>
      <b/>
      <u/>
      <sz val="10"/>
      <name val="CIR Trade Gothic Cn"/>
    </font>
    <font>
      <sz val="10"/>
      <color indexed="49"/>
      <name val="CIR Trade Gothic Cn"/>
    </font>
    <font>
      <b/>
      <u/>
      <vertAlign val="superscript"/>
      <sz val="10"/>
      <color indexed="12"/>
      <name val="CIR Trade Gothic Cn"/>
    </font>
    <font>
      <b/>
      <u/>
      <sz val="10"/>
      <name val="CIR Trade Gothic Cn"/>
      <family val="3"/>
    </font>
    <font>
      <b/>
      <sz val="10"/>
      <color indexed="9"/>
      <name val="CIR Trade Gothic Cn"/>
    </font>
    <font>
      <u/>
      <sz val="10"/>
      <color indexed="61"/>
      <name val="CIR Trade Gothic Cn"/>
    </font>
    <font>
      <sz val="10"/>
      <color indexed="61"/>
      <name val="CIR Trade Gothic Cn"/>
    </font>
    <font>
      <sz val="10"/>
      <color indexed="17"/>
      <name val="CIR Trade Gothic Cn"/>
    </font>
    <font>
      <i/>
      <sz val="10"/>
      <color indexed="12"/>
      <name val="CIR Trade Gothic Cn"/>
    </font>
    <font>
      <i/>
      <sz val="10"/>
      <color indexed="20"/>
      <name val="CIR Trade Gothic Cn"/>
    </font>
    <font>
      <sz val="10"/>
      <color indexed="22"/>
      <name val="CIR Trade Gothic Cn"/>
    </font>
    <font>
      <i/>
      <sz val="10"/>
      <color indexed="22"/>
      <name val="CIR Trade Gothic Cn"/>
    </font>
    <font>
      <b/>
      <sz val="10"/>
      <color indexed="21"/>
      <name val="Arial"/>
      <family val="2"/>
    </font>
    <font>
      <sz val="10"/>
      <color indexed="21"/>
      <name val="Arial"/>
      <family val="2"/>
    </font>
    <font>
      <sz val="8"/>
      <name val="Courier"/>
      <family val="3"/>
    </font>
    <font>
      <b/>
      <sz val="10"/>
      <color indexed="17"/>
      <name val="Arial"/>
      <family val="2"/>
    </font>
    <font>
      <sz val="10"/>
      <color indexed="56"/>
      <name val="Arial"/>
      <family val="2"/>
    </font>
    <font>
      <sz val="10"/>
      <color indexed="43"/>
      <name val="Arial"/>
      <family val="2"/>
    </font>
    <font>
      <sz val="10"/>
      <name val="ＭＳ Ｐゴシック"/>
      <family val="3"/>
      <charset val="128"/>
    </font>
    <font>
      <b/>
      <sz val="10"/>
      <color indexed="22"/>
      <name val="Arial"/>
      <family val="2"/>
    </font>
    <font>
      <i/>
      <sz val="10"/>
      <color indexed="22"/>
      <name val="Arial"/>
      <family val="2"/>
    </font>
    <font>
      <sz val="10"/>
      <color indexed="12"/>
      <name val="Arial"/>
      <family val="2"/>
    </font>
    <font>
      <sz val="10"/>
      <color indexed="12"/>
      <name val="CIR Trade Gothic Cn"/>
    </font>
    <font>
      <sz val="10"/>
      <color indexed="8"/>
      <name val="MS Sans Serif"/>
      <family val="2"/>
    </font>
    <font>
      <sz val="10"/>
      <color indexed="17"/>
      <name val="Arial"/>
      <family val="2"/>
    </font>
    <font>
      <sz val="10"/>
      <color indexed="8"/>
      <name val="CIR Trade Gothic Cn"/>
    </font>
    <font>
      <sz val="11"/>
      <color theme="1"/>
      <name val="Calibri"/>
      <family val="2"/>
      <scheme val="minor"/>
    </font>
    <font>
      <sz val="8.25"/>
      <name val="Microsoft Sans Serif"/>
      <family val="2"/>
    </font>
    <font>
      <b/>
      <sz val="9"/>
      <color theme="0"/>
      <name val="Arial"/>
      <family val="2"/>
    </font>
    <font>
      <sz val="9"/>
      <color theme="1"/>
      <name val="Arial"/>
      <family val="2"/>
    </font>
    <font>
      <i/>
      <sz val="9"/>
      <color theme="1"/>
      <name val="Arial"/>
      <family val="2"/>
    </font>
    <font>
      <b/>
      <sz val="10"/>
      <color theme="0"/>
      <name val="Arial"/>
      <family val="2"/>
    </font>
    <font>
      <b/>
      <sz val="10"/>
      <color rgb="FF0000FF"/>
      <name val="Arial"/>
      <family val="2"/>
    </font>
    <font>
      <b/>
      <u/>
      <sz val="10"/>
      <color rgb="FF0000FF"/>
      <name val="Arial"/>
      <family val="2"/>
    </font>
    <font>
      <sz val="10"/>
      <color rgb="FF0000FF"/>
      <name val="Arial"/>
      <family val="2"/>
    </font>
    <font>
      <sz val="10"/>
      <color rgb="FF0000FF"/>
      <name val="CIR Trade Gothic Cn"/>
    </font>
    <font>
      <b/>
      <i/>
      <sz val="10"/>
      <color indexed="62"/>
      <name val="Arial"/>
      <family val="2"/>
    </font>
    <font>
      <i/>
      <sz val="10"/>
      <color indexed="8"/>
      <name val="Arial"/>
      <family val="2"/>
    </font>
    <font>
      <i/>
      <sz val="10"/>
      <color rgb="FF0000FF"/>
      <name val="Arial"/>
      <family val="2"/>
    </font>
    <font>
      <i/>
      <sz val="10"/>
      <color indexed="23"/>
      <name val="Arial"/>
      <family val="2"/>
    </font>
    <font>
      <i/>
      <sz val="10"/>
      <color indexed="44"/>
      <name val="Arial"/>
      <family val="2"/>
    </font>
    <font>
      <i/>
      <sz val="8"/>
      <color indexed="55"/>
      <name val="Arial"/>
      <family val="2"/>
    </font>
    <font>
      <i/>
      <sz val="8"/>
      <color indexed="9"/>
      <name val="Arial"/>
      <family val="2"/>
    </font>
    <font>
      <b/>
      <u/>
      <sz val="13"/>
      <name val="Arial"/>
      <family val="2"/>
    </font>
    <font>
      <b/>
      <sz val="9"/>
      <color theme="1"/>
      <name val="Arial"/>
      <family val="2"/>
    </font>
    <font>
      <sz val="10"/>
      <color rgb="FF008000"/>
      <name val="Arial"/>
      <family val="2"/>
    </font>
    <font>
      <sz val="9"/>
      <color rgb="FF008000"/>
      <name val="Arial"/>
      <family val="2"/>
    </font>
    <font>
      <sz val="10"/>
      <color theme="1"/>
      <name val="Arial"/>
      <family val="2"/>
    </font>
    <font>
      <sz val="10"/>
      <color theme="1"/>
      <name val="CIR Trade Gothic Cn"/>
    </font>
    <font>
      <sz val="10"/>
      <color rgb="FF000000"/>
      <name val="Arial"/>
      <family val="2"/>
    </font>
    <font>
      <b/>
      <sz val="12"/>
      <color rgb="FF000080"/>
      <name val="Arial"/>
      <family val="2"/>
    </font>
  </fonts>
  <fills count="30">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22"/>
        <bgColor indexed="64"/>
      </patternFill>
    </fill>
    <fill>
      <patternFill patternType="solid">
        <fgColor indexed="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44"/>
        <bgColor indexed="64"/>
      </patternFill>
    </fill>
    <fill>
      <patternFill patternType="solid">
        <fgColor indexed="53"/>
        <bgColor indexed="64"/>
      </patternFill>
    </fill>
    <fill>
      <patternFill patternType="solid">
        <fgColor theme="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FFFF00"/>
        <bgColor indexed="64"/>
      </patternFill>
    </fill>
    <fill>
      <patternFill patternType="solid">
        <fgColor rgb="FFC5FFF0"/>
        <bgColor indexed="64"/>
      </patternFill>
    </fill>
    <fill>
      <patternFill patternType="solid">
        <fgColor indexed="65"/>
        <bgColor indexed="64"/>
      </patternFill>
    </fill>
  </fills>
  <borders count="49">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64"/>
      </top>
      <bottom/>
      <diagonal/>
    </border>
    <border>
      <left/>
      <right/>
      <top style="thin">
        <color indexed="49"/>
      </top>
      <bottom style="double">
        <color indexed="49"/>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20"/>
      </top>
      <bottom style="thin">
        <color indexed="20"/>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theme="3"/>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indexed="64"/>
      </bottom>
      <diagonal/>
    </border>
    <border>
      <left/>
      <right style="thin">
        <color theme="3"/>
      </right>
      <top/>
      <bottom style="thin">
        <color indexed="64"/>
      </bottom>
      <diagonal/>
    </border>
    <border>
      <left style="thin">
        <color theme="3"/>
      </left>
      <right/>
      <top/>
      <bottom style="thin">
        <color theme="3"/>
      </bottom>
      <diagonal/>
    </border>
    <border>
      <left/>
      <right style="thin">
        <color theme="3"/>
      </right>
      <top/>
      <bottom style="thin">
        <color theme="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9">
    <xf numFmtId="0" fontId="0" fillId="0" borderId="0"/>
    <xf numFmtId="0" fontId="1" fillId="0" borderId="0" applyNumberFormat="0" applyFont="0" applyFill="0" applyBorder="0" applyAlignment="0" applyProtection="0"/>
    <xf numFmtId="0" fontId="1" fillId="0" borderId="0"/>
    <xf numFmtId="0" fontId="1" fillId="0" borderId="0"/>
    <xf numFmtId="0" fontId="2" fillId="0" borderId="0"/>
    <xf numFmtId="0" fontId="2" fillId="0" borderId="0"/>
    <xf numFmtId="0" fontId="92" fillId="2" borderId="0" applyNumberFormat="0" applyBorder="0" applyAlignment="0" applyProtection="0"/>
    <xf numFmtId="0" fontId="92" fillId="3" borderId="0" applyNumberFormat="0" applyBorder="0" applyAlignment="0" applyProtection="0"/>
    <xf numFmtId="0" fontId="92" fillId="4" borderId="0" applyNumberFormat="0" applyBorder="0" applyAlignment="0" applyProtection="0"/>
    <xf numFmtId="0" fontId="92" fillId="2" borderId="0" applyNumberFormat="0" applyBorder="0" applyAlignment="0" applyProtection="0"/>
    <xf numFmtId="0" fontId="92" fillId="5" borderId="0" applyNumberFormat="0" applyBorder="0" applyAlignment="0" applyProtection="0"/>
    <xf numFmtId="0" fontId="92" fillId="4" borderId="0" applyNumberFormat="0" applyBorder="0" applyAlignment="0" applyProtection="0"/>
    <xf numFmtId="0" fontId="92" fillId="6" borderId="0" applyNumberFormat="0" applyBorder="0" applyAlignment="0" applyProtection="0"/>
    <xf numFmtId="0" fontId="92" fillId="3" borderId="0" applyNumberFormat="0" applyBorder="0" applyAlignment="0" applyProtection="0"/>
    <xf numFmtId="0" fontId="92" fillId="4" borderId="0" applyNumberFormat="0" applyBorder="0" applyAlignment="0" applyProtection="0"/>
    <xf numFmtId="0" fontId="92" fillId="6" borderId="0" applyNumberFormat="0" applyBorder="0" applyAlignment="0" applyProtection="0"/>
    <xf numFmtId="0" fontId="92" fillId="7" borderId="0" applyNumberFormat="0" applyBorder="0" applyAlignment="0" applyProtection="0"/>
    <xf numFmtId="0" fontId="92" fillId="4" borderId="0" applyNumberFormat="0" applyBorder="0" applyAlignment="0" applyProtection="0"/>
    <xf numFmtId="0" fontId="93" fillId="8" borderId="0" applyNumberFormat="0" applyBorder="0" applyAlignment="0" applyProtection="0"/>
    <xf numFmtId="0" fontId="93" fillId="3" borderId="0" applyNumberFormat="0" applyBorder="0" applyAlignment="0" applyProtection="0"/>
    <xf numFmtId="0" fontId="93" fillId="9" borderId="0" applyNumberFormat="0" applyBorder="0" applyAlignment="0" applyProtection="0"/>
    <xf numFmtId="0" fontId="93" fillId="6" borderId="0" applyNumberFormat="0" applyBorder="0" applyAlignment="0" applyProtection="0"/>
    <xf numFmtId="0" fontId="93" fillId="8" borderId="0" applyNumberFormat="0" applyBorder="0" applyAlignment="0" applyProtection="0"/>
    <xf numFmtId="0" fontId="93" fillId="4" borderId="0" applyNumberFormat="0" applyBorder="0" applyAlignment="0" applyProtection="0"/>
    <xf numFmtId="0" fontId="93" fillId="8" borderId="0" applyNumberFormat="0" applyBorder="0" applyAlignment="0" applyProtection="0"/>
    <xf numFmtId="0" fontId="93" fillId="3" borderId="0" applyNumberFormat="0" applyBorder="0" applyAlignment="0" applyProtection="0"/>
    <xf numFmtId="0" fontId="93" fillId="9" borderId="0" applyNumberFormat="0" applyBorder="0" applyAlignment="0" applyProtection="0"/>
    <xf numFmtId="0" fontId="93" fillId="10" borderId="0" applyNumberFormat="0" applyBorder="0" applyAlignment="0" applyProtection="0"/>
    <xf numFmtId="0" fontId="93" fillId="8" borderId="0" applyNumberFormat="0" applyBorder="0" applyAlignment="0" applyProtection="0"/>
    <xf numFmtId="0" fontId="93" fillId="3" borderId="0" applyNumberFormat="0" applyBorder="0" applyAlignment="0" applyProtection="0"/>
    <xf numFmtId="0" fontId="94" fillId="11" borderId="0" applyNumberFormat="0" applyBorder="0" applyAlignment="0" applyProtection="0"/>
    <xf numFmtId="0" fontId="79" fillId="0" borderId="0"/>
    <xf numFmtId="0" fontId="95" fillId="12" borderId="3" applyNumberFormat="0" applyAlignment="0" applyProtection="0"/>
    <xf numFmtId="0" fontId="96" fillId="13" borderId="4" applyNumberFormat="0" applyAlignment="0" applyProtection="0"/>
    <xf numFmtId="43" fontId="1" fillId="0" borderId="0" applyFont="0" applyFill="0" applyBorder="0" applyAlignment="0" applyProtection="0"/>
    <xf numFmtId="44" fontId="1" fillId="0" borderId="0" applyFont="0" applyFill="0" applyBorder="0" applyAlignment="0" applyProtection="0"/>
    <xf numFmtId="0" fontId="97" fillId="0" borderId="0" applyNumberFormat="0" applyFill="0" applyBorder="0" applyAlignment="0" applyProtection="0"/>
    <xf numFmtId="0" fontId="98" fillId="14" borderId="0" applyNumberFormat="0" applyBorder="0" applyAlignment="0" applyProtection="0"/>
    <xf numFmtId="0" fontId="99" fillId="0" borderId="10" applyNumberFormat="0" applyFill="0" applyAlignment="0" applyProtection="0"/>
    <xf numFmtId="0" fontId="100" fillId="0" borderId="11" applyNumberFormat="0" applyFill="0" applyAlignment="0" applyProtection="0"/>
    <xf numFmtId="0" fontId="101" fillId="0" borderId="12" applyNumberFormat="0" applyFill="0" applyAlignment="0" applyProtection="0"/>
    <xf numFmtId="0" fontId="101" fillId="0" borderId="0" applyNumberFormat="0" applyFill="0" applyBorder="0" applyAlignment="0" applyProtection="0"/>
    <xf numFmtId="0" fontId="102" fillId="4" borderId="3" applyNumberFormat="0" applyAlignment="0" applyProtection="0"/>
    <xf numFmtId="0" fontId="103" fillId="0" borderId="13" applyNumberFormat="0" applyFill="0" applyAlignment="0" applyProtection="0"/>
    <xf numFmtId="0" fontId="104" fillId="4" borderId="0" applyNumberFormat="0" applyBorder="0" applyAlignment="0" applyProtection="0"/>
    <xf numFmtId="0" fontId="4" fillId="0" borderId="0"/>
    <xf numFmtId="0" fontId="3" fillId="0" borderId="0"/>
    <xf numFmtId="0" fontId="1" fillId="0" borderId="0"/>
    <xf numFmtId="37" fontId="4" fillId="0" borderId="0"/>
    <xf numFmtId="0" fontId="4" fillId="0" borderId="0"/>
    <xf numFmtId="183" fontId="6" fillId="0" borderId="0" applyNumberFormat="0" applyBorder="0" applyAlignment="0">
      <alignment horizontal="left"/>
    </xf>
    <xf numFmtId="0" fontId="80" fillId="0" borderId="0"/>
    <xf numFmtId="0" fontId="5" fillId="0" borderId="0"/>
    <xf numFmtId="0" fontId="5" fillId="0" borderId="0"/>
    <xf numFmtId="183" fontId="4" fillId="0" borderId="0"/>
    <xf numFmtId="0" fontId="4" fillId="0" borderId="0"/>
    <xf numFmtId="37" fontId="4" fillId="0" borderId="0"/>
    <xf numFmtId="183" fontId="4" fillId="0" borderId="0"/>
    <xf numFmtId="0" fontId="7" fillId="0" borderId="0"/>
    <xf numFmtId="0" fontId="1" fillId="4" borderId="14" applyNumberFormat="0" applyFont="0" applyAlignment="0" applyProtection="0"/>
    <xf numFmtId="0" fontId="105" fillId="12" borderId="15" applyNumberFormat="0" applyAlignment="0" applyProtection="0"/>
    <xf numFmtId="0" fontId="80" fillId="0" borderId="0">
      <alignment vertical="center"/>
    </xf>
    <xf numFmtId="9" fontId="1" fillId="0" borderId="0" applyFont="0" applyFill="0" applyBorder="0" applyAlignment="0" applyProtection="0"/>
    <xf numFmtId="9" fontId="9" fillId="0" borderId="0" applyFont="0" applyFill="0" applyBorder="0" applyAlignment="0" applyProtection="0"/>
    <xf numFmtId="0" fontId="1" fillId="0" borderId="0" applyNumberFormat="0" applyFill="0" applyBorder="0" applyAlignment="0" applyProtection="0">
      <alignment vertical="top"/>
      <protection locked="0"/>
    </xf>
    <xf numFmtId="0" fontId="9" fillId="17" borderId="0" applyNumberFormat="0" applyFont="0" applyBorder="0" applyAlignment="0" applyProtection="0"/>
    <xf numFmtId="0" fontId="81" fillId="0" borderId="0"/>
    <xf numFmtId="0" fontId="81" fillId="0" borderId="16">
      <alignment horizontal="centerContinuous"/>
    </xf>
    <xf numFmtId="0" fontId="82" fillId="0" borderId="16"/>
    <xf numFmtId="0" fontId="5" fillId="16" borderId="8" applyNumberFormat="0" applyProtection="0">
      <alignment wrapText="1"/>
    </xf>
    <xf numFmtId="0" fontId="106" fillId="0" borderId="0" applyNumberFormat="0" applyFill="0" applyBorder="0" applyAlignment="0" applyProtection="0"/>
    <xf numFmtId="0" fontId="107" fillId="0" borderId="18" applyNumberFormat="0" applyFill="0" applyAlignment="0" applyProtection="0"/>
    <xf numFmtId="172" fontId="8" fillId="0" borderId="0"/>
    <xf numFmtId="0" fontId="108" fillId="0" borderId="0" applyNumberForma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17" borderId="0" applyNumberFormat="0" applyFont="0" applyBorder="0" applyAlignment="0" applyProtection="0"/>
    <xf numFmtId="0" fontId="15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applyNumberFormat="0" applyFont="0" applyFill="0" applyBorder="0" applyAlignment="0" applyProtection="0"/>
    <xf numFmtId="0" fontId="1" fillId="0" borderId="0" applyFill="0" applyAlignment="0">
      <protection locked="0"/>
    </xf>
    <xf numFmtId="43" fontId="1" fillId="0" borderId="0" applyFont="0" applyFill="0" applyBorder="0" applyAlignment="0" applyProtection="0"/>
    <xf numFmtId="0" fontId="1" fillId="0" borderId="0"/>
    <xf numFmtId="0" fontId="5" fillId="16" borderId="8" applyNumberFormat="0" applyProtection="0">
      <alignment wrapText="1"/>
    </xf>
    <xf numFmtId="0" fontId="4" fillId="0" borderId="0"/>
  </cellStyleXfs>
  <cellXfs count="2166">
    <xf numFmtId="0" fontId="0" fillId="0" borderId="0" xfId="0"/>
    <xf numFmtId="0" fontId="1" fillId="0" borderId="0" xfId="77" applyFont="1" applyFill="1" applyBorder="1"/>
    <xf numFmtId="0" fontId="1" fillId="0" borderId="0" xfId="77"/>
    <xf numFmtId="0" fontId="12" fillId="0" borderId="0" xfId="77" applyFont="1" applyFill="1" applyBorder="1" applyAlignment="1">
      <alignment horizontal="center"/>
    </xf>
    <xf numFmtId="0" fontId="12" fillId="0" borderId="0" xfId="77" applyFont="1" applyFill="1" applyBorder="1"/>
    <xf numFmtId="0" fontId="1" fillId="0" borderId="0" xfId="77" applyFont="1" applyFill="1" applyBorder="1" applyAlignment="1">
      <alignment horizontal="center"/>
    </xf>
    <xf numFmtId="0" fontId="12" fillId="0" borderId="0" xfId="77" applyFont="1" applyFill="1" applyAlignment="1">
      <alignment horizontal="center"/>
    </xf>
    <xf numFmtId="0" fontId="9" fillId="16" borderId="0" xfId="0" applyFont="1" applyFill="1" applyBorder="1"/>
    <xf numFmtId="49" fontId="0" fillId="0" borderId="0" xfId="0" applyNumberFormat="1"/>
    <xf numFmtId="168" fontId="9" fillId="0" borderId="0" xfId="62" applyNumberFormat="1" applyFont="1"/>
    <xf numFmtId="0" fontId="9" fillId="0" borderId="0" xfId="0" applyFont="1"/>
    <xf numFmtId="0" fontId="5" fillId="0" borderId="0" xfId="0" applyFont="1"/>
    <xf numFmtId="0" fontId="12" fillId="0" borderId="0" xfId="0" applyFont="1"/>
    <xf numFmtId="0" fontId="12" fillId="0" borderId="2" xfId="0" applyFont="1" applyBorder="1"/>
    <xf numFmtId="0" fontId="14" fillId="0" borderId="0" xfId="0" applyFont="1"/>
    <xf numFmtId="195" fontId="9" fillId="0" borderId="0" xfId="0" applyNumberFormat="1" applyFont="1"/>
    <xf numFmtId="0" fontId="12" fillId="0" borderId="0" xfId="0" applyFont="1" applyBorder="1"/>
    <xf numFmtId="0" fontId="11" fillId="0" borderId="0" xfId="0" applyFont="1" applyBorder="1" applyAlignment="1">
      <alignment horizontal="center"/>
    </xf>
    <xf numFmtId="0" fontId="9" fillId="0" borderId="0" xfId="0" applyFont="1" applyAlignment="1">
      <alignment horizontal="center"/>
    </xf>
    <xf numFmtId="168" fontId="5" fillId="0" borderId="0" xfId="62" applyNumberFormat="1" applyFont="1"/>
    <xf numFmtId="0" fontId="14" fillId="0" borderId="0" xfId="0" applyFont="1" applyBorder="1" applyAlignment="1">
      <alignment horizontal="center"/>
    </xf>
    <xf numFmtId="0" fontId="9" fillId="0" borderId="2" xfId="0" applyFont="1" applyBorder="1"/>
    <xf numFmtId="0" fontId="9" fillId="0" borderId="0" xfId="0" applyFont="1" applyBorder="1"/>
    <xf numFmtId="0" fontId="5" fillId="0" borderId="0" xfId="0" applyFont="1" applyAlignment="1">
      <alignment horizontal="center"/>
    </xf>
    <xf numFmtId="0" fontId="9" fillId="0" borderId="0" xfId="0" applyFont="1" applyFill="1"/>
    <xf numFmtId="170" fontId="5" fillId="0" borderId="0" xfId="0" applyNumberFormat="1" applyFont="1"/>
    <xf numFmtId="0" fontId="12" fillId="0" borderId="0" xfId="0" applyFont="1" applyFill="1"/>
    <xf numFmtId="0" fontId="12" fillId="0" borderId="2" xfId="0" applyFont="1" applyFill="1" applyBorder="1"/>
    <xf numFmtId="0" fontId="11" fillId="0" borderId="0" xfId="0" applyFont="1" applyFill="1" applyBorder="1" applyAlignment="1">
      <alignment horizontal="center"/>
    </xf>
    <xf numFmtId="0" fontId="9" fillId="0" borderId="0" xfId="0" applyFont="1" applyFill="1" applyAlignment="1">
      <alignment horizontal="left"/>
    </xf>
    <xf numFmtId="0" fontId="9" fillId="0" borderId="0" xfId="0" applyFont="1" applyFill="1" applyAlignment="1">
      <alignment horizontal="center"/>
    </xf>
    <xf numFmtId="0" fontId="12" fillId="0" borderId="0" xfId="0" applyFont="1" applyFill="1" applyAlignment="1">
      <alignment horizontal="center"/>
    </xf>
    <xf numFmtId="168" fontId="5" fillId="0" borderId="0" xfId="62" applyNumberFormat="1" applyFont="1" applyFill="1"/>
    <xf numFmtId="0" fontId="9" fillId="0" borderId="2" xfId="0" applyFont="1" applyBorder="1" applyAlignment="1">
      <alignment horizontal="center"/>
    </xf>
    <xf numFmtId="0" fontId="5" fillId="0" borderId="6" xfId="0" applyFont="1" applyBorder="1"/>
    <xf numFmtId="0" fontId="9" fillId="0" borderId="0" xfId="0" applyFont="1" applyFill="1" applyBorder="1"/>
    <xf numFmtId="9" fontId="5" fillId="0" borderId="0" xfId="62" applyFont="1" applyFill="1" applyBorder="1"/>
    <xf numFmtId="44" fontId="5" fillId="0" borderId="0" xfId="0" applyNumberFormat="1" applyFont="1"/>
    <xf numFmtId="166" fontId="9" fillId="0" borderId="0" xfId="0" applyNumberFormat="1" applyFont="1" applyFill="1" applyBorder="1"/>
    <xf numFmtId="0" fontId="21" fillId="0" borderId="0" xfId="0" applyFont="1" applyFill="1"/>
    <xf numFmtId="0" fontId="42" fillId="0" borderId="0" xfId="0" applyFont="1" applyFill="1"/>
    <xf numFmtId="9" fontId="9" fillId="0" borderId="0" xfId="0" applyNumberFormat="1" applyFont="1"/>
    <xf numFmtId="9" fontId="9" fillId="0" borderId="0" xfId="62" applyFont="1"/>
    <xf numFmtId="0" fontId="48" fillId="0" borderId="0" xfId="0" applyFont="1"/>
    <xf numFmtId="0" fontId="49" fillId="0" borderId="0" xfId="0" applyFont="1"/>
    <xf numFmtId="175" fontId="54" fillId="0" borderId="0" xfId="46" applyNumberFormat="1" applyFont="1" applyFill="1" applyBorder="1"/>
    <xf numFmtId="175" fontId="49" fillId="0" borderId="0" xfId="46" applyNumberFormat="1" applyFont="1" applyFill="1" applyBorder="1"/>
    <xf numFmtId="170" fontId="49" fillId="0" borderId="0" xfId="0" applyNumberFormat="1" applyFont="1"/>
    <xf numFmtId="168" fontId="54" fillId="0" borderId="0" xfId="62" applyNumberFormat="1" applyFont="1" applyFill="1" applyBorder="1"/>
    <xf numFmtId="0" fontId="49" fillId="0" borderId="2" xfId="0" applyFont="1" applyBorder="1"/>
    <xf numFmtId="43" fontId="49" fillId="0" borderId="0" xfId="0" applyNumberFormat="1" applyFont="1"/>
    <xf numFmtId="7" fontId="49" fillId="0" borderId="0" xfId="0" applyNumberFormat="1" applyFont="1"/>
    <xf numFmtId="167" fontId="49" fillId="0" borderId="0" xfId="0" applyNumberFormat="1" applyFont="1"/>
    <xf numFmtId="2" fontId="49" fillId="0" borderId="0" xfId="0" applyNumberFormat="1" applyFont="1"/>
    <xf numFmtId="168" fontId="49" fillId="0" borderId="0" xfId="62" applyNumberFormat="1" applyFont="1"/>
    <xf numFmtId="195" fontId="49" fillId="0" borderId="0" xfId="0" applyNumberFormat="1" applyFont="1"/>
    <xf numFmtId="195" fontId="49" fillId="0" borderId="0" xfId="0" applyNumberFormat="1" applyFont="1" applyBorder="1"/>
    <xf numFmtId="0" fontId="49" fillId="0" borderId="0" xfId="0" applyFont="1" applyFill="1"/>
    <xf numFmtId="172" fontId="49" fillId="0" borderId="0" xfId="0" applyNumberFormat="1" applyFont="1"/>
    <xf numFmtId="0" fontId="49" fillId="0" borderId="0" xfId="0" applyFont="1" applyBorder="1"/>
    <xf numFmtId="0" fontId="49" fillId="0" borderId="0" xfId="0" applyFont="1" applyFill="1" applyBorder="1"/>
    <xf numFmtId="7" fontId="5" fillId="0" borderId="0" xfId="0" applyNumberFormat="1" applyFont="1"/>
    <xf numFmtId="0" fontId="49" fillId="0" borderId="0" xfId="0" applyFont="1" applyAlignment="1">
      <alignment horizontal="center"/>
    </xf>
    <xf numFmtId="0" fontId="49" fillId="0" borderId="0" xfId="0" applyFont="1" applyBorder="1" applyAlignment="1">
      <alignment horizontal="center"/>
    </xf>
    <xf numFmtId="0" fontId="0" fillId="0" borderId="1" xfId="0" applyBorder="1"/>
    <xf numFmtId="0" fontId="49" fillId="0" borderId="0" xfId="0" applyFont="1" applyAlignment="1">
      <alignment horizontal="right"/>
    </xf>
    <xf numFmtId="174" fontId="49" fillId="0" borderId="0" xfId="0" applyNumberFormat="1" applyFont="1"/>
    <xf numFmtId="8" fontId="49" fillId="0" borderId="0" xfId="0" applyNumberFormat="1" applyFont="1"/>
    <xf numFmtId="0" fontId="73" fillId="0" borderId="0" xfId="0" applyFont="1"/>
    <xf numFmtId="0" fontId="0" fillId="0" borderId="0" xfId="0" applyFill="1"/>
    <xf numFmtId="0" fontId="74" fillId="0" borderId="0" xfId="0" applyFont="1" applyAlignment="1">
      <alignment horizontal="center"/>
    </xf>
    <xf numFmtId="167" fontId="73" fillId="0" borderId="0" xfId="0" applyNumberFormat="1" applyFont="1"/>
    <xf numFmtId="168" fontId="5" fillId="0" borderId="0" xfId="62" applyNumberFormat="1" applyFont="1" applyAlignment="1">
      <alignment horizontal="right"/>
    </xf>
    <xf numFmtId="1" fontId="49" fillId="0" borderId="0" xfId="0" applyNumberFormat="1" applyFont="1"/>
    <xf numFmtId="168" fontId="0" fillId="0" borderId="0" xfId="62" applyNumberFormat="1" applyFont="1"/>
    <xf numFmtId="0" fontId="15" fillId="0" borderId="0" xfId="0" applyFont="1"/>
    <xf numFmtId="0" fontId="40" fillId="0" borderId="0" xfId="0" applyFont="1"/>
    <xf numFmtId="0" fontId="40" fillId="0" borderId="0" xfId="0" applyFont="1" applyBorder="1"/>
    <xf numFmtId="0" fontId="109" fillId="0" borderId="0" xfId="0" applyFont="1"/>
    <xf numFmtId="271" fontId="109" fillId="0" borderId="0" xfId="35" applyNumberFormat="1" applyFont="1" applyBorder="1"/>
    <xf numFmtId="0" fontId="109" fillId="0" borderId="0" xfId="0" applyFont="1" applyBorder="1"/>
    <xf numFmtId="178" fontId="109" fillId="0" borderId="0" xfId="34" applyNumberFormat="1" applyFont="1" applyBorder="1"/>
    <xf numFmtId="0" fontId="109" fillId="0" borderId="0" xfId="0" applyFont="1" applyAlignment="1">
      <alignment horizontal="left" indent="1"/>
    </xf>
    <xf numFmtId="271" fontId="109" fillId="0" borderId="0" xfId="0" applyNumberFormat="1" applyFont="1" applyBorder="1"/>
    <xf numFmtId="0" fontId="40" fillId="0" borderId="6" xfId="0" applyFont="1" applyBorder="1"/>
    <xf numFmtId="44" fontId="40" fillId="0" borderId="6" xfId="35" applyFont="1" applyBorder="1"/>
    <xf numFmtId="0" fontId="110" fillId="0" borderId="0" xfId="0" applyFont="1"/>
    <xf numFmtId="168" fontId="109" fillId="0" borderId="0" xfId="62" applyNumberFormat="1" applyFont="1" applyBorder="1"/>
    <xf numFmtId="43" fontId="109" fillId="0" borderId="0" xfId="34" applyFont="1" applyBorder="1" applyAlignment="1">
      <alignment horizontal="right"/>
    </xf>
    <xf numFmtId="0" fontId="40" fillId="15" borderId="0" xfId="0" applyFont="1" applyFill="1" applyBorder="1"/>
    <xf numFmtId="271" fontId="40" fillId="0" borderId="0" xfId="35" applyNumberFormat="1" applyFont="1" applyBorder="1"/>
    <xf numFmtId="178" fontId="40" fillId="0" borderId="0" xfId="34" applyNumberFormat="1" applyFont="1" applyBorder="1"/>
    <xf numFmtId="0" fontId="40" fillId="0" borderId="0" xfId="0" applyFont="1" applyAlignment="1">
      <alignment horizontal="left" indent="1"/>
    </xf>
    <xf numFmtId="271" fontId="40" fillId="0" borderId="0" xfId="0" applyNumberFormat="1" applyFont="1" applyBorder="1"/>
    <xf numFmtId="0" fontId="40" fillId="0" borderId="2" xfId="0" applyFont="1" applyBorder="1"/>
    <xf numFmtId="168" fontId="40" fillId="0" borderId="0" xfId="62" applyNumberFormat="1" applyFont="1" applyBorder="1"/>
    <xf numFmtId="168" fontId="41" fillId="0" borderId="0" xfId="62" applyNumberFormat="1" applyFont="1" applyBorder="1"/>
    <xf numFmtId="43" fontId="40" fillId="0" borderId="0" xfId="34" applyFont="1" applyBorder="1" applyAlignment="1">
      <alignment horizontal="right"/>
    </xf>
    <xf numFmtId="168" fontId="109" fillId="0" borderId="0" xfId="62" applyNumberFormat="1" applyFont="1" applyBorder="1" applyAlignment="1">
      <alignment horizontal="right"/>
    </xf>
    <xf numFmtId="168" fontId="40" fillId="0" borderId="0" xfId="34" applyNumberFormat="1" applyFont="1" applyBorder="1" applyAlignment="1">
      <alignment horizontal="right"/>
    </xf>
    <xf numFmtId="0" fontId="9" fillId="21" borderId="0" xfId="0" applyFont="1" applyFill="1"/>
    <xf numFmtId="0" fontId="111" fillId="0" borderId="0" xfId="0" applyFont="1"/>
    <xf numFmtId="272" fontId="5" fillId="0" borderId="0" xfId="0" applyNumberFormat="1" applyFont="1"/>
    <xf numFmtId="0" fontId="5" fillId="0" borderId="0" xfId="0" applyFont="1" applyAlignment="1">
      <alignment horizontal="left" indent="1"/>
    </xf>
    <xf numFmtId="44" fontId="5" fillId="0" borderId="6" xfId="0" applyNumberFormat="1" applyFont="1" applyBorder="1"/>
    <xf numFmtId="0" fontId="11" fillId="0" borderId="0" xfId="47" applyFont="1" applyFill="1" applyAlignment="1">
      <alignment horizontal="right"/>
    </xf>
    <xf numFmtId="0" fontId="11" fillId="19" borderId="26" xfId="47" applyFont="1" applyFill="1" applyBorder="1" applyAlignment="1">
      <alignment horizontal="left" indent="1"/>
    </xf>
    <xf numFmtId="0" fontId="40" fillId="0" borderId="0" xfId="47" applyFont="1" applyBorder="1" applyAlignment="1">
      <alignment horizontal="center"/>
    </xf>
    <xf numFmtId="0" fontId="5" fillId="0" borderId="0" xfId="47" applyFont="1" applyBorder="1" applyAlignment="1">
      <alignment horizontal="center"/>
    </xf>
    <xf numFmtId="168" fontId="40" fillId="0" borderId="0" xfId="62" applyNumberFormat="1" applyFont="1" applyBorder="1" applyAlignment="1">
      <alignment horizontal="right"/>
    </xf>
    <xf numFmtId="170" fontId="5" fillId="0" borderId="0" xfId="0" applyNumberFormat="1" applyFont="1" applyFill="1"/>
    <xf numFmtId="272" fontId="5" fillId="0" borderId="0" xfId="0" applyNumberFormat="1" applyFont="1" applyFill="1"/>
    <xf numFmtId="168" fontId="40" fillId="0" borderId="0" xfId="62" applyNumberFormat="1" applyFont="1" applyFill="1" applyBorder="1"/>
    <xf numFmtId="39" fontId="5" fillId="0" borderId="0" xfId="0" applyNumberFormat="1" applyFont="1" applyAlignment="1">
      <alignment horizontal="center"/>
    </xf>
    <xf numFmtId="273" fontId="5" fillId="0" borderId="0" xfId="62" applyNumberFormat="1" applyFont="1"/>
    <xf numFmtId="44" fontId="9" fillId="0" borderId="0" xfId="0" applyNumberFormat="1" applyFont="1"/>
    <xf numFmtId="195" fontId="9" fillId="0" borderId="2" xfId="0" applyNumberFormat="1" applyFont="1" applyFill="1" applyBorder="1"/>
    <xf numFmtId="9" fontId="49" fillId="0" borderId="0" xfId="62" applyFont="1"/>
    <xf numFmtId="37" fontId="88" fillId="0" borderId="0" xfId="49" applyNumberFormat="1" applyFont="1" applyFill="1" applyBorder="1"/>
    <xf numFmtId="186" fontId="49" fillId="0" borderId="0" xfId="0" applyNumberFormat="1" applyFont="1"/>
    <xf numFmtId="168" fontId="9" fillId="0" borderId="0" xfId="0" applyNumberFormat="1" applyFont="1"/>
    <xf numFmtId="195" fontId="9" fillId="0" borderId="0" xfId="0" applyNumberFormat="1" applyFont="1" applyFill="1"/>
    <xf numFmtId="8" fontId="9" fillId="0" borderId="0" xfId="0" applyNumberFormat="1" applyFont="1"/>
    <xf numFmtId="0" fontId="21" fillId="0" borderId="0" xfId="0" applyFont="1" applyAlignment="1" applyProtection="1">
      <alignment horizontal="left"/>
    </xf>
    <xf numFmtId="174" fontId="9" fillId="0" borderId="0" xfId="0" applyNumberFormat="1" applyFont="1"/>
    <xf numFmtId="9" fontId="117" fillId="0" borderId="0" xfId="0" applyNumberFormat="1" applyFont="1" applyAlignment="1">
      <alignment horizontal="centerContinuous"/>
    </xf>
    <xf numFmtId="198" fontId="18" fillId="0" borderId="2" xfId="0" applyNumberFormat="1" applyFont="1" applyFill="1" applyBorder="1" applyAlignment="1">
      <alignment horizontal="centerContinuous"/>
    </xf>
    <xf numFmtId="0" fontId="9" fillId="0" borderId="2" xfId="0" applyFont="1" applyFill="1" applyBorder="1" applyAlignment="1">
      <alignment horizontal="centerContinuous"/>
    </xf>
    <xf numFmtId="198" fontId="12" fillId="0" borderId="2" xfId="0" applyNumberFormat="1" applyFont="1" applyFill="1" applyBorder="1" applyAlignment="1">
      <alignment horizontal="centerContinuous"/>
    </xf>
    <xf numFmtId="231" fontId="12" fillId="0" borderId="2" xfId="0" applyNumberFormat="1" applyFont="1" applyFill="1" applyBorder="1" applyAlignment="1">
      <alignment horizontal="centerContinuous"/>
    </xf>
    <xf numFmtId="0" fontId="9" fillId="0" borderId="2" xfId="0" applyFont="1" applyBorder="1" applyAlignment="1">
      <alignment horizontal="centerContinuous"/>
    </xf>
    <xf numFmtId="198" fontId="12" fillId="0" borderId="2" xfId="0" applyNumberFormat="1" applyFont="1" applyBorder="1" applyAlignment="1">
      <alignment horizontal="centerContinuous"/>
    </xf>
    <xf numFmtId="172" fontId="9" fillId="0" borderId="0" xfId="0" applyNumberFormat="1" applyFont="1"/>
    <xf numFmtId="0" fontId="117" fillId="0" borderId="0" xfId="0" applyFont="1" applyFill="1"/>
    <xf numFmtId="0" fontId="49" fillId="0" borderId="0" xfId="0" applyFont="1" applyFill="1" applyAlignment="1">
      <alignment horizontal="centerContinuous"/>
    </xf>
    <xf numFmtId="0" fontId="122" fillId="0" borderId="0" xfId="0" applyFont="1" applyFill="1" applyAlignment="1">
      <alignment horizontal="centerContinuous"/>
    </xf>
    <xf numFmtId="0" fontId="49" fillId="0" borderId="0" xfId="0" applyFont="1" applyAlignment="1">
      <alignment horizontal="centerContinuous"/>
    </xf>
    <xf numFmtId="0" fontId="122" fillId="0" borderId="0" xfId="0" applyFont="1" applyAlignment="1">
      <alignment horizontal="centerContinuous"/>
    </xf>
    <xf numFmtId="0" fontId="49" fillId="0" borderId="0" xfId="0" applyFont="1" applyBorder="1" applyAlignment="1">
      <alignment horizontal="centerContinuous"/>
    </xf>
    <xf numFmtId="0" fontId="122" fillId="0" borderId="0" xfId="0" applyFont="1" applyAlignment="1">
      <alignment horizontal="left"/>
    </xf>
    <xf numFmtId="9" fontId="49" fillId="0" borderId="0" xfId="0" applyNumberFormat="1" applyFont="1"/>
    <xf numFmtId="175" fontId="54" fillId="0" borderId="0" xfId="0" applyNumberFormat="1" applyFont="1"/>
    <xf numFmtId="175" fontId="49" fillId="0" borderId="0" xfId="0" applyNumberFormat="1" applyFont="1"/>
    <xf numFmtId="178" fontId="54" fillId="0" borderId="0" xfId="34" applyNumberFormat="1" applyFont="1" applyFill="1" applyBorder="1"/>
    <xf numFmtId="199" fontId="49" fillId="0" borderId="0" xfId="0" applyNumberFormat="1" applyFont="1"/>
    <xf numFmtId="227" fontId="49" fillId="0" borderId="0" xfId="0" applyNumberFormat="1" applyFont="1"/>
    <xf numFmtId="0" fontId="54" fillId="0" borderId="0" xfId="0" applyFont="1"/>
    <xf numFmtId="175" fontId="54" fillId="0" borderId="0" xfId="0" applyNumberFormat="1" applyFont="1" applyFill="1"/>
    <xf numFmtId="195" fontId="49" fillId="0" borderId="0" xfId="62" applyNumberFormat="1" applyFont="1" applyFill="1"/>
    <xf numFmtId="199" fontId="54" fillId="0" borderId="0" xfId="0" applyNumberFormat="1" applyFont="1" applyFill="1" applyAlignment="1">
      <alignment horizontal="left"/>
    </xf>
    <xf numFmtId="199" fontId="49" fillId="0" borderId="0" xfId="0" applyNumberFormat="1" applyFont="1" applyFill="1" applyAlignment="1">
      <alignment horizontal="left"/>
    </xf>
    <xf numFmtId="195" fontId="49" fillId="0" borderId="0" xfId="62" applyNumberFormat="1" applyFont="1"/>
    <xf numFmtId="9" fontId="49" fillId="0" borderId="0" xfId="0" applyNumberFormat="1" applyFont="1" applyBorder="1"/>
    <xf numFmtId="43" fontId="49" fillId="0" borderId="0" xfId="34" applyFont="1"/>
    <xf numFmtId="168" fontId="49" fillId="0" borderId="0" xfId="62" applyNumberFormat="1" applyFont="1" applyBorder="1"/>
    <xf numFmtId="175" fontId="123" fillId="0" borderId="0" xfId="0" applyNumberFormat="1" applyFont="1"/>
    <xf numFmtId="186" fontId="54" fillId="0" borderId="0" xfId="0" applyNumberFormat="1" applyFont="1" applyFill="1"/>
    <xf numFmtId="178" fontId="54" fillId="0" borderId="0" xfId="34" applyNumberFormat="1" applyFont="1" applyFill="1"/>
    <xf numFmtId="178" fontId="54" fillId="0" borderId="0" xfId="34" applyNumberFormat="1" applyFont="1"/>
    <xf numFmtId="178" fontId="54" fillId="16" borderId="0" xfId="34" applyNumberFormat="1" applyFont="1" applyFill="1"/>
    <xf numFmtId="199" fontId="54" fillId="16" borderId="0" xfId="0" applyNumberFormat="1" applyFont="1" applyFill="1" applyAlignment="1">
      <alignment horizontal="left"/>
    </xf>
    <xf numFmtId="199" fontId="49" fillId="0" borderId="0" xfId="0" applyNumberFormat="1" applyFont="1" applyBorder="1"/>
    <xf numFmtId="172" fontId="54" fillId="0" borderId="0" xfId="0" applyNumberFormat="1" applyFont="1" applyFill="1"/>
    <xf numFmtId="186" fontId="54" fillId="0" borderId="2" xfId="0" applyNumberFormat="1" applyFont="1" applyFill="1" applyBorder="1"/>
    <xf numFmtId="178" fontId="54" fillId="0" borderId="2" xfId="34" applyNumberFormat="1" applyFont="1" applyFill="1" applyBorder="1"/>
    <xf numFmtId="172" fontId="54" fillId="0" borderId="2" xfId="0" applyNumberFormat="1" applyFont="1" applyFill="1" applyBorder="1"/>
    <xf numFmtId="178" fontId="49" fillId="0" borderId="2" xfId="34" applyNumberFormat="1" applyFont="1" applyFill="1" applyBorder="1"/>
    <xf numFmtId="174" fontId="49" fillId="0" borderId="0" xfId="0" applyNumberFormat="1" applyFont="1" applyFill="1"/>
    <xf numFmtId="199" fontId="124" fillId="0" borderId="0" xfId="0" applyNumberFormat="1" applyFont="1" applyFill="1" applyAlignment="1">
      <alignment horizontal="left"/>
    </xf>
    <xf numFmtId="172" fontId="49" fillId="0" borderId="0" xfId="0" applyNumberFormat="1" applyFont="1" applyFill="1"/>
    <xf numFmtId="199" fontId="49" fillId="0" borderId="0" xfId="0" applyNumberFormat="1" applyFont="1" applyAlignment="1">
      <alignment horizontal="left"/>
    </xf>
    <xf numFmtId="168" fontId="54" fillId="0" borderId="0" xfId="34" applyNumberFormat="1" applyFont="1" applyFill="1"/>
    <xf numFmtId="10" fontId="49" fillId="0" borderId="0" xfId="0" applyNumberFormat="1" applyFont="1"/>
    <xf numFmtId="178" fontId="49" fillId="0" borderId="0" xfId="34" applyNumberFormat="1" applyFont="1"/>
    <xf numFmtId="178" fontId="49" fillId="0" borderId="0" xfId="0" applyNumberFormat="1" applyFont="1"/>
    <xf numFmtId="0" fontId="125" fillId="0" borderId="0" xfId="0" applyFont="1" applyFill="1" applyAlignment="1">
      <alignment horizontal="centerContinuous"/>
    </xf>
    <xf numFmtId="0" fontId="122" fillId="0" borderId="0" xfId="0" applyFont="1" applyFill="1" applyAlignment="1">
      <alignment horizontal="left"/>
    </xf>
    <xf numFmtId="0" fontId="122" fillId="0" borderId="0" xfId="0" applyFont="1" applyFill="1" applyAlignment="1"/>
    <xf numFmtId="175" fontId="49" fillId="0" borderId="0" xfId="0" applyNumberFormat="1" applyFont="1" applyAlignment="1">
      <alignment horizontal="centerContinuous"/>
    </xf>
    <xf numFmtId="43" fontId="49" fillId="0" borderId="0" xfId="0" applyNumberFormat="1" applyFont="1" applyFill="1"/>
    <xf numFmtId="209" fontId="49" fillId="0" borderId="0" xfId="34" applyNumberFormat="1" applyFont="1" applyFill="1"/>
    <xf numFmtId="194" fontId="49" fillId="0" borderId="0" xfId="0" applyNumberFormat="1" applyFont="1" applyFill="1"/>
    <xf numFmtId="209" fontId="54" fillId="0" borderId="0" xfId="34" applyNumberFormat="1" applyFont="1" applyFill="1"/>
    <xf numFmtId="194" fontId="49" fillId="0" borderId="0" xfId="0" applyNumberFormat="1" applyFont="1"/>
    <xf numFmtId="0" fontId="74" fillId="0" borderId="0" xfId="0" applyFont="1" applyBorder="1" applyAlignment="1">
      <alignment horizontal="center"/>
    </xf>
    <xf numFmtId="223" fontId="49" fillId="0" borderId="0" xfId="0" applyNumberFormat="1" applyFont="1" applyFill="1"/>
    <xf numFmtId="206" fontId="49" fillId="0" borderId="0" xfId="62" applyNumberFormat="1" applyFont="1" applyFill="1"/>
    <xf numFmtId="206" fontId="49" fillId="0" borderId="0" xfId="0" applyNumberFormat="1" applyFont="1"/>
    <xf numFmtId="10" fontId="49" fillId="0" borderId="0" xfId="62" applyNumberFormat="1" applyFont="1" applyFill="1"/>
    <xf numFmtId="168" fontId="123" fillId="0" borderId="0" xfId="62" applyNumberFormat="1" applyFont="1"/>
    <xf numFmtId="10" fontId="123" fillId="0" borderId="0" xfId="62" applyNumberFormat="1" applyFont="1"/>
    <xf numFmtId="195" fontId="49" fillId="0" borderId="0" xfId="0" applyNumberFormat="1" applyFont="1" applyFill="1"/>
    <xf numFmtId="178" fontId="54" fillId="0" borderId="2" xfId="34" applyNumberFormat="1" applyFont="1" applyBorder="1"/>
    <xf numFmtId="0" fontId="56" fillId="0" borderId="0" xfId="0" applyFont="1"/>
    <xf numFmtId="0" fontId="56" fillId="0" borderId="0" xfId="0" applyFont="1" applyBorder="1"/>
    <xf numFmtId="194" fontId="54" fillId="0" borderId="0" xfId="0" applyNumberFormat="1" applyFont="1" applyFill="1"/>
    <xf numFmtId="185" fontId="49" fillId="0" borderId="0" xfId="0" applyNumberFormat="1" applyFont="1" applyFill="1"/>
    <xf numFmtId="197" fontId="49" fillId="0" borderId="0" xfId="0" applyNumberFormat="1" applyFont="1" applyFill="1"/>
    <xf numFmtId="178" fontId="49" fillId="0" borderId="0" xfId="0" applyNumberFormat="1" applyFont="1" applyFill="1"/>
    <xf numFmtId="210" fontId="49" fillId="0" borderId="0" xfId="0" applyNumberFormat="1" applyFont="1" applyFill="1"/>
    <xf numFmtId="268" fontId="49" fillId="0" borderId="0" xfId="0" applyNumberFormat="1" applyFont="1"/>
    <xf numFmtId="168" fontId="49" fillId="0" borderId="0" xfId="0" applyNumberFormat="1" applyFont="1"/>
    <xf numFmtId="178" fontId="126" fillId="0" borderId="0" xfId="0" applyNumberFormat="1" applyFont="1"/>
    <xf numFmtId="168" fontId="126" fillId="0" borderId="0" xfId="0" applyNumberFormat="1" applyFont="1"/>
    <xf numFmtId="251" fontId="126" fillId="0" borderId="0" xfId="62" applyNumberFormat="1" applyFont="1" applyFill="1"/>
    <xf numFmtId="0" fontId="125" fillId="0" borderId="0" xfId="0" applyFont="1" applyFill="1"/>
    <xf numFmtId="0" fontId="122" fillId="0" borderId="0" xfId="0" applyFont="1" applyFill="1"/>
    <xf numFmtId="9" fontId="49" fillId="0" borderId="0" xfId="62" applyFont="1" applyAlignment="1">
      <alignment horizontal="centerContinuous"/>
    </xf>
    <xf numFmtId="0" fontId="70" fillId="0" borderId="0" xfId="0" applyFont="1" applyFill="1"/>
    <xf numFmtId="10" fontId="49" fillId="0" borderId="0" xfId="0" applyNumberFormat="1" applyFont="1" applyFill="1"/>
    <xf numFmtId="10" fontId="49" fillId="0" borderId="0" xfId="0" applyNumberFormat="1" applyFont="1" applyBorder="1"/>
    <xf numFmtId="279" fontId="49" fillId="0" borderId="0" xfId="0" applyNumberFormat="1" applyFont="1"/>
    <xf numFmtId="0" fontId="54" fillId="0" borderId="0" xfId="0" applyFont="1" applyFill="1"/>
    <xf numFmtId="5" fontId="49" fillId="0" borderId="27" xfId="0" applyNumberFormat="1" applyFont="1" applyBorder="1" applyAlignment="1">
      <alignment horizontal="center"/>
    </xf>
    <xf numFmtId="5" fontId="49" fillId="0" borderId="0" xfId="0" applyNumberFormat="1" applyFont="1" applyBorder="1" applyAlignment="1">
      <alignment horizontal="center"/>
    </xf>
    <xf numFmtId="175" fontId="49" fillId="0" borderId="0" xfId="0" applyNumberFormat="1" applyFont="1" applyBorder="1"/>
    <xf numFmtId="186" fontId="54" fillId="0" borderId="0" xfId="0" applyNumberFormat="1" applyFont="1"/>
    <xf numFmtId="5" fontId="49" fillId="0" borderId="5" xfId="0" applyNumberFormat="1" applyFont="1" applyBorder="1" applyAlignment="1">
      <alignment horizontal="center"/>
    </xf>
    <xf numFmtId="186" fontId="54" fillId="0" borderId="2" xfId="0" applyNumberFormat="1" applyFont="1" applyBorder="1"/>
    <xf numFmtId="5" fontId="49" fillId="0" borderId="28" xfId="0" applyNumberFormat="1" applyFont="1" applyBorder="1" applyAlignment="1">
      <alignment horizontal="center"/>
    </xf>
    <xf numFmtId="175" fontId="49" fillId="0" borderId="2" xfId="0" applyNumberFormat="1" applyFont="1" applyBorder="1"/>
    <xf numFmtId="5" fontId="49" fillId="0" borderId="0" xfId="0" applyNumberFormat="1" applyFont="1"/>
    <xf numFmtId="174" fontId="49" fillId="0" borderId="0" xfId="62" applyNumberFormat="1" applyFont="1" applyBorder="1"/>
    <xf numFmtId="208" fontId="49" fillId="0" borderId="0" xfId="0" applyNumberFormat="1" applyFont="1"/>
    <xf numFmtId="175" fontId="122" fillId="0" borderId="0" xfId="0" applyNumberFormat="1" applyFont="1" applyAlignment="1">
      <alignment horizontal="centerContinuous"/>
    </xf>
    <xf numFmtId="186" fontId="49" fillId="0" borderId="0" xfId="0" applyNumberFormat="1" applyFont="1" applyFill="1"/>
    <xf numFmtId="175" fontId="54" fillId="0" borderId="0" xfId="0" applyNumberFormat="1" applyFont="1" applyFill="1" applyBorder="1"/>
    <xf numFmtId="194" fontId="49" fillId="0" borderId="0" xfId="0" applyNumberFormat="1" applyFont="1" applyFill="1" applyBorder="1"/>
    <xf numFmtId="195" fontId="49" fillId="0" borderId="0" xfId="0" applyNumberFormat="1" applyFont="1" applyFill="1" applyBorder="1"/>
    <xf numFmtId="0" fontId="70" fillId="0" borderId="0" xfId="0" applyFont="1" applyFill="1" applyBorder="1"/>
    <xf numFmtId="175" fontId="49" fillId="0" borderId="0" xfId="0" applyNumberFormat="1" applyFont="1" applyFill="1"/>
    <xf numFmtId="175" fontId="62" fillId="0" borderId="0" xfId="0" applyNumberFormat="1" applyFont="1" applyFill="1"/>
    <xf numFmtId="186" fontId="54" fillId="0" borderId="0" xfId="0" applyNumberFormat="1" applyFont="1" applyFill="1" applyBorder="1"/>
    <xf numFmtId="186" fontId="62" fillId="0" borderId="0" xfId="0" applyNumberFormat="1" applyFont="1" applyFill="1"/>
    <xf numFmtId="186" fontId="49" fillId="0" borderId="2" xfId="0" applyNumberFormat="1" applyFont="1" applyFill="1" applyBorder="1"/>
    <xf numFmtId="186" fontId="62" fillId="0" borderId="2" xfId="0" applyNumberFormat="1" applyFont="1" applyFill="1" applyBorder="1"/>
    <xf numFmtId="174" fontId="49" fillId="0" borderId="0" xfId="0" applyNumberFormat="1" applyFont="1" applyFill="1" applyBorder="1"/>
    <xf numFmtId="172" fontId="49" fillId="0" borderId="0" xfId="0" applyNumberFormat="1" applyFont="1" applyFill="1" applyBorder="1"/>
    <xf numFmtId="223" fontId="49" fillId="0" borderId="0" xfId="0" applyNumberFormat="1" applyFont="1"/>
    <xf numFmtId="173" fontId="9" fillId="0" borderId="0" xfId="0" applyNumberFormat="1" applyFont="1"/>
    <xf numFmtId="197" fontId="122" fillId="0" borderId="0" xfId="0" applyNumberFormat="1" applyFont="1" applyFill="1" applyAlignment="1">
      <alignment horizontal="centerContinuous"/>
    </xf>
    <xf numFmtId="172" fontId="54" fillId="0" borderId="0" xfId="0" applyNumberFormat="1" applyFont="1"/>
    <xf numFmtId="172" fontId="54" fillId="0" borderId="2" xfId="0" applyNumberFormat="1" applyFont="1" applyBorder="1"/>
    <xf numFmtId="174" fontId="54" fillId="0" borderId="0" xfId="0" applyNumberFormat="1" applyFont="1" applyFill="1"/>
    <xf numFmtId="175" fontId="125" fillId="0" borderId="0" xfId="0" applyNumberFormat="1" applyFont="1" applyAlignment="1">
      <alignment horizontal="centerContinuous"/>
    </xf>
    <xf numFmtId="0" fontId="125" fillId="0" borderId="0" xfId="0" applyFont="1" applyAlignment="1">
      <alignment horizontal="left"/>
    </xf>
    <xf numFmtId="224" fontId="70" fillId="0" borderId="0" xfId="0" applyNumberFormat="1" applyFont="1" applyFill="1"/>
    <xf numFmtId="1" fontId="49" fillId="0" borderId="0" xfId="0" applyNumberFormat="1" applyFont="1" applyAlignment="1">
      <alignment horizontal="left"/>
    </xf>
    <xf numFmtId="166" fontId="49" fillId="0" borderId="0" xfId="0" applyNumberFormat="1" applyFont="1" applyFill="1"/>
    <xf numFmtId="206" fontId="49" fillId="0" borderId="0" xfId="0" applyNumberFormat="1" applyFont="1" applyFill="1"/>
    <xf numFmtId="172" fontId="49" fillId="0" borderId="2" xfId="0" applyNumberFormat="1" applyFont="1" applyFill="1" applyBorder="1"/>
    <xf numFmtId="174" fontId="49" fillId="0" borderId="2" xfId="0" applyNumberFormat="1" applyFont="1" applyFill="1" applyBorder="1"/>
    <xf numFmtId="172" fontId="49" fillId="0" borderId="2" xfId="0" applyNumberFormat="1" applyFont="1" applyBorder="1"/>
    <xf numFmtId="172" fontId="122" fillId="0" borderId="0" xfId="0" applyNumberFormat="1" applyFont="1" applyFill="1" applyAlignment="1">
      <alignment horizontal="centerContinuous"/>
    </xf>
    <xf numFmtId="172" fontId="122" fillId="0" borderId="0" xfId="0" applyNumberFormat="1" applyFont="1" applyAlignment="1">
      <alignment horizontal="centerContinuous"/>
    </xf>
    <xf numFmtId="0" fontId="125" fillId="0" borderId="0" xfId="0" applyFont="1" applyFill="1" applyAlignment="1">
      <alignment horizontal="center"/>
    </xf>
    <xf numFmtId="0" fontId="125" fillId="0" borderId="0" xfId="0" applyFont="1" applyAlignment="1">
      <alignment horizontal="centerContinuous"/>
    </xf>
    <xf numFmtId="9" fontId="49" fillId="0" borderId="0" xfId="62" applyFont="1" applyFill="1" applyAlignment="1">
      <alignment horizontal="centerContinuous"/>
    </xf>
    <xf numFmtId="16" fontId="49" fillId="0" borderId="0" xfId="0" applyNumberFormat="1" applyFont="1" applyFill="1"/>
    <xf numFmtId="16" fontId="49" fillId="0" borderId="0" xfId="0" applyNumberFormat="1" applyFont="1"/>
    <xf numFmtId="16" fontId="49" fillId="0" borderId="0" xfId="0" quotePrefix="1" applyNumberFormat="1" applyFont="1"/>
    <xf numFmtId="182" fontId="49" fillId="0" borderId="0" xfId="0" applyNumberFormat="1" applyFont="1"/>
    <xf numFmtId="181" fontId="49" fillId="0" borderId="0" xfId="0" applyNumberFormat="1" applyFont="1"/>
    <xf numFmtId="186" fontId="54" fillId="16" borderId="0" xfId="0" applyNumberFormat="1" applyFont="1" applyFill="1"/>
    <xf numFmtId="172" fontId="73" fillId="0" borderId="0" xfId="0" applyNumberFormat="1" applyFont="1"/>
    <xf numFmtId="0" fontId="54" fillId="0" borderId="0" xfId="0" applyFont="1" applyAlignment="1">
      <alignment horizontal="centerContinuous"/>
    </xf>
    <xf numFmtId="0" fontId="54" fillId="0" borderId="0" xfId="0" applyFont="1" applyFill="1" applyAlignment="1">
      <alignment horizontal="centerContinuous"/>
    </xf>
    <xf numFmtId="174" fontId="54" fillId="0" borderId="0" xfId="0" applyNumberFormat="1" applyFont="1"/>
    <xf numFmtId="194" fontId="49" fillId="0" borderId="0" xfId="0" applyNumberFormat="1" applyFont="1" applyFill="1" applyAlignment="1">
      <alignment horizontal="right"/>
    </xf>
    <xf numFmtId="194" fontId="58" fillId="0" borderId="0" xfId="0" applyNumberFormat="1" applyFont="1"/>
    <xf numFmtId="0" fontId="128" fillId="0" borderId="0" xfId="0" applyFont="1" applyAlignment="1">
      <alignment horizontal="centerContinuous"/>
    </xf>
    <xf numFmtId="2" fontId="125" fillId="0" borderId="0" xfId="0" applyNumberFormat="1" applyFont="1" applyAlignment="1">
      <alignment horizontal="centerContinuous"/>
    </xf>
    <xf numFmtId="0" fontId="49" fillId="0" borderId="2" xfId="0" applyFont="1" applyFill="1" applyBorder="1"/>
    <xf numFmtId="0" fontId="49" fillId="15" borderId="2" xfId="0" applyFont="1" applyFill="1" applyBorder="1"/>
    <xf numFmtId="0" fontId="125" fillId="15" borderId="2" xfId="0" applyFont="1" applyFill="1" applyBorder="1"/>
    <xf numFmtId="0" fontId="49" fillId="15" borderId="2" xfId="0" applyFont="1" applyFill="1" applyBorder="1" applyAlignment="1">
      <alignment horizontal="centerContinuous"/>
    </xf>
    <xf numFmtId="0" fontId="125" fillId="15" borderId="2" xfId="0" applyFont="1" applyFill="1" applyBorder="1" applyAlignment="1">
      <alignment horizontal="centerContinuous"/>
    </xf>
    <xf numFmtId="7" fontId="125" fillId="15" borderId="2" xfId="0" applyNumberFormat="1" applyFont="1" applyFill="1" applyBorder="1" applyAlignment="1">
      <alignment horizontal="centerContinuous"/>
    </xf>
    <xf numFmtId="0" fontId="49" fillId="15" borderId="6" xfId="0" applyFont="1" applyFill="1" applyBorder="1" applyAlignment="1">
      <alignment horizontal="centerContinuous"/>
    </xf>
    <xf numFmtId="0" fontId="125" fillId="15" borderId="6" xfId="0" applyFont="1" applyFill="1" applyBorder="1" applyAlignment="1">
      <alignment horizontal="left"/>
    </xf>
    <xf numFmtId="0" fontId="49" fillId="15" borderId="0" xfId="0" applyFont="1" applyFill="1" applyBorder="1"/>
    <xf numFmtId="0" fontId="129" fillId="0" borderId="0" xfId="0" applyFont="1" applyFill="1" applyBorder="1"/>
    <xf numFmtId="0" fontId="48" fillId="0" borderId="0" xfId="0" applyFont="1" applyFill="1" applyBorder="1"/>
    <xf numFmtId="8" fontId="130" fillId="0" borderId="0" xfId="0" applyNumberFormat="1" applyFont="1" applyFill="1" applyBorder="1" applyAlignment="1">
      <alignment horizontal="center"/>
    </xf>
    <xf numFmtId="0" fontId="56" fillId="0" borderId="0" xfId="0" applyFont="1" applyFill="1" applyBorder="1" applyAlignment="1">
      <alignment horizontal="center"/>
    </xf>
    <xf numFmtId="8" fontId="49" fillId="0" borderId="0" xfId="0" applyNumberFormat="1" applyFont="1" applyFill="1"/>
    <xf numFmtId="8" fontId="70" fillId="0" borderId="0" xfId="0" applyNumberFormat="1" applyFont="1" applyFill="1" applyBorder="1"/>
    <xf numFmtId="2" fontId="70" fillId="0" borderId="0" xfId="0" applyNumberFormat="1" applyFont="1" applyFill="1" applyBorder="1"/>
    <xf numFmtId="8" fontId="49" fillId="0" borderId="0" xfId="0" applyNumberFormat="1" applyFont="1" applyFill="1" applyBorder="1"/>
    <xf numFmtId="8" fontId="131" fillId="0" borderId="0" xfId="0" applyNumberFormat="1" applyFont="1" applyFill="1" applyBorder="1" applyAlignment="1">
      <alignment horizontal="center"/>
    </xf>
    <xf numFmtId="1" fontId="131" fillId="0" borderId="0" xfId="0" applyNumberFormat="1" applyFont="1" applyFill="1" applyBorder="1" applyAlignment="1">
      <alignment horizontal="center"/>
    </xf>
    <xf numFmtId="44" fontId="131" fillId="0" borderId="0" xfId="35" applyFont="1" applyFill="1" applyBorder="1" applyAlignment="1">
      <alignment horizontal="center"/>
    </xf>
    <xf numFmtId="2" fontId="49" fillId="0" borderId="0" xfId="0" applyNumberFormat="1" applyFont="1" applyBorder="1"/>
    <xf numFmtId="8" fontId="132" fillId="0" borderId="0" xfId="0" applyNumberFormat="1" applyFont="1" applyFill="1" applyBorder="1"/>
    <xf numFmtId="2" fontId="76" fillId="0" borderId="0" xfId="0" applyNumberFormat="1" applyFont="1" applyFill="1" applyBorder="1"/>
    <xf numFmtId="8" fontId="54" fillId="0" borderId="0" xfId="0" applyNumberFormat="1" applyFont="1" applyBorder="1" applyAlignment="1">
      <alignment horizontal="center"/>
    </xf>
    <xf numFmtId="40" fontId="49" fillId="0" borderId="0" xfId="0" applyNumberFormat="1" applyFont="1" applyFill="1"/>
    <xf numFmtId="40" fontId="70" fillId="0" borderId="0" xfId="0" applyNumberFormat="1" applyFont="1" applyFill="1" applyBorder="1"/>
    <xf numFmtId="40" fontId="49" fillId="0" borderId="0" xfId="0" applyNumberFormat="1" applyFont="1" applyFill="1" applyBorder="1"/>
    <xf numFmtId="40" fontId="131" fillId="0" borderId="0" xfId="0" applyNumberFormat="1" applyFont="1" applyFill="1" applyBorder="1" applyAlignment="1">
      <alignment horizontal="center"/>
    </xf>
    <xf numFmtId="8" fontId="49" fillId="0" borderId="0" xfId="0" quotePrefix="1" applyNumberFormat="1" applyFont="1" applyFill="1" applyBorder="1"/>
    <xf numFmtId="40" fontId="49" fillId="0" borderId="2" xfId="0" applyNumberFormat="1" applyFont="1" applyFill="1" applyBorder="1"/>
    <xf numFmtId="8" fontId="130" fillId="0" borderId="0" xfId="0" applyNumberFormat="1" applyFont="1" applyFill="1" applyBorder="1"/>
    <xf numFmtId="40" fontId="130" fillId="0" borderId="0" xfId="0" applyNumberFormat="1" applyFont="1" applyFill="1" applyBorder="1" applyAlignment="1">
      <alignment horizontal="center"/>
    </xf>
    <xf numFmtId="8" fontId="132" fillId="0" borderId="0" xfId="0" quotePrefix="1" applyNumberFormat="1" applyFont="1" applyFill="1" applyBorder="1"/>
    <xf numFmtId="2" fontId="56" fillId="0" borderId="0" xfId="0" applyNumberFormat="1" applyFont="1" applyBorder="1" applyAlignment="1">
      <alignment horizontal="center"/>
    </xf>
    <xf numFmtId="8" fontId="131" fillId="0" borderId="0" xfId="0" applyNumberFormat="1" applyFont="1" applyFill="1" applyBorder="1"/>
    <xf numFmtId="1" fontId="130" fillId="0" borderId="0" xfId="0" applyNumberFormat="1" applyFont="1" applyFill="1" applyBorder="1" applyAlignment="1">
      <alignment horizontal="center"/>
    </xf>
    <xf numFmtId="44" fontId="130" fillId="0" borderId="0" xfId="35" applyFont="1" applyFill="1" applyBorder="1" applyAlignment="1">
      <alignment horizontal="center"/>
    </xf>
    <xf numFmtId="8" fontId="49" fillId="0" borderId="0" xfId="0" applyNumberFormat="1" applyFont="1" applyBorder="1" applyAlignment="1">
      <alignment horizontal="center"/>
    </xf>
    <xf numFmtId="40" fontId="49" fillId="0" borderId="0" xfId="0" applyNumberFormat="1" applyFont="1"/>
    <xf numFmtId="0" fontId="54" fillId="0" borderId="0" xfId="0" applyFont="1" applyBorder="1"/>
    <xf numFmtId="44" fontId="49" fillId="0" borderId="0" xfId="35" applyFont="1" applyFill="1"/>
    <xf numFmtId="44" fontId="49" fillId="0" borderId="0" xfId="35" applyFont="1"/>
    <xf numFmtId="8" fontId="49" fillId="0" borderId="0" xfId="0" applyNumberFormat="1" applyFont="1" applyBorder="1"/>
    <xf numFmtId="0" fontId="125" fillId="0" borderId="0" xfId="0" applyFont="1" applyFill="1" applyBorder="1"/>
    <xf numFmtId="0" fontId="49" fillId="0" borderId="0" xfId="0" applyFont="1" applyFill="1" applyBorder="1" applyAlignment="1">
      <alignment horizontal="centerContinuous"/>
    </xf>
    <xf numFmtId="0" fontId="125" fillId="0" borderId="0" xfId="0" applyFont="1" applyFill="1" applyBorder="1" applyAlignment="1">
      <alignment horizontal="centerContinuous"/>
    </xf>
    <xf numFmtId="8" fontId="132" fillId="0" borderId="0" xfId="0" applyNumberFormat="1" applyFont="1" applyBorder="1" applyAlignment="1">
      <alignment horizontal="center"/>
    </xf>
    <xf numFmtId="8" fontId="49" fillId="0" borderId="2" xfId="0" applyNumberFormat="1" applyFont="1" applyFill="1" applyBorder="1"/>
    <xf numFmtId="188" fontId="54" fillId="0" borderId="27" xfId="0" applyNumberFormat="1" applyFont="1" applyFill="1" applyBorder="1"/>
    <xf numFmtId="188" fontId="54" fillId="0" borderId="5" xfId="0" applyNumberFormat="1" applyFont="1" applyFill="1" applyBorder="1"/>
    <xf numFmtId="188" fontId="54" fillId="0" borderId="28" xfId="0" applyNumberFormat="1" applyFont="1" applyFill="1" applyBorder="1"/>
    <xf numFmtId="208" fontId="49" fillId="0" borderId="0" xfId="0" applyNumberFormat="1" applyFont="1" applyAlignment="1">
      <alignment horizontal="centerContinuous"/>
    </xf>
    <xf numFmtId="167" fontId="49" fillId="0" borderId="0" xfId="0" applyNumberFormat="1" applyFont="1" applyFill="1"/>
    <xf numFmtId="206" fontId="49" fillId="0" borderId="0" xfId="45" applyNumberFormat="1" applyFont="1" applyFill="1" applyAlignment="1">
      <alignment horizontal="right"/>
    </xf>
    <xf numFmtId="2" fontId="49" fillId="0" borderId="27" xfId="0" applyNumberFormat="1" applyFont="1" applyBorder="1"/>
    <xf numFmtId="186" fontId="54" fillId="0" borderId="0" xfId="0" applyNumberFormat="1" applyFont="1" applyBorder="1"/>
    <xf numFmtId="186" fontId="54" fillId="0" borderId="5" xfId="0" applyNumberFormat="1" applyFont="1" applyBorder="1"/>
    <xf numFmtId="0" fontId="49" fillId="0" borderId="5" xfId="0" applyFont="1" applyFill="1" applyBorder="1"/>
    <xf numFmtId="186" fontId="49" fillId="0" borderId="0" xfId="0" applyNumberFormat="1" applyFont="1" applyFill="1" applyBorder="1"/>
    <xf numFmtId="186" fontId="132" fillId="0" borderId="0" xfId="0" applyNumberFormat="1" applyFont="1" applyFill="1"/>
    <xf numFmtId="0" fontId="54" fillId="0" borderId="28" xfId="0" applyFont="1" applyFill="1" applyBorder="1"/>
    <xf numFmtId="0" fontId="54" fillId="0" borderId="0" xfId="0" applyFont="1" applyFill="1" applyBorder="1"/>
    <xf numFmtId="207" fontId="54" fillId="0" borderId="0" xfId="0" applyNumberFormat="1" applyFont="1" applyFill="1"/>
    <xf numFmtId="207" fontId="49" fillId="0" borderId="0" xfId="0" applyNumberFormat="1" applyFont="1" applyFill="1"/>
    <xf numFmtId="170" fontId="54" fillId="0" borderId="0" xfId="0" applyNumberFormat="1" applyFont="1" applyFill="1"/>
    <xf numFmtId="170" fontId="49" fillId="0" borderId="0" xfId="0" applyNumberFormat="1" applyFont="1" applyFill="1"/>
    <xf numFmtId="170" fontId="54" fillId="0" borderId="0" xfId="0" applyNumberFormat="1" applyFont="1"/>
    <xf numFmtId="208" fontId="49" fillId="0" borderId="0" xfId="0" applyNumberFormat="1" applyFont="1" applyFill="1"/>
    <xf numFmtId="0" fontId="58" fillId="0" borderId="0" xfId="0" quotePrefix="1" applyFont="1"/>
    <xf numFmtId="0" fontId="58" fillId="0" borderId="0" xfId="0" applyFont="1"/>
    <xf numFmtId="0" fontId="58" fillId="0" borderId="0" xfId="0" applyFont="1" applyFill="1"/>
    <xf numFmtId="186" fontId="58" fillId="0" borderId="0" xfId="0" applyNumberFormat="1" applyFont="1" applyFill="1"/>
    <xf numFmtId="186" fontId="58" fillId="0" borderId="0" xfId="0" applyNumberFormat="1" applyFont="1"/>
    <xf numFmtId="167" fontId="58" fillId="0" borderId="0" xfId="0" applyNumberFormat="1" applyFont="1"/>
    <xf numFmtId="0" fontId="58" fillId="0" borderId="0" xfId="0" applyFont="1" applyFill="1" applyAlignment="1">
      <alignment horizontal="centerContinuous"/>
    </xf>
    <xf numFmtId="0" fontId="58" fillId="0" borderId="0" xfId="0" applyFont="1" applyAlignment="1">
      <alignment horizontal="centerContinuous"/>
    </xf>
    <xf numFmtId="167" fontId="49" fillId="0" borderId="0" xfId="0" applyNumberFormat="1" applyFont="1" applyFill="1" applyBorder="1"/>
    <xf numFmtId="0" fontId="58" fillId="0" borderId="0" xfId="0" applyFont="1" applyFill="1" applyBorder="1"/>
    <xf numFmtId="226" fontId="54" fillId="0" borderId="0" xfId="0" applyNumberFormat="1" applyFont="1" applyFill="1"/>
    <xf numFmtId="2" fontId="54" fillId="0" borderId="0" xfId="0" applyNumberFormat="1" applyFont="1"/>
    <xf numFmtId="226" fontId="54" fillId="0" borderId="2" xfId="0" applyNumberFormat="1" applyFont="1" applyFill="1" applyBorder="1"/>
    <xf numFmtId="0" fontId="54" fillId="0" borderId="2" xfId="0" applyFont="1" applyFill="1" applyBorder="1"/>
    <xf numFmtId="0" fontId="54" fillId="0" borderId="2" xfId="0" applyFont="1" applyBorder="1"/>
    <xf numFmtId="2" fontId="54" fillId="0" borderId="2" xfId="0" applyNumberFormat="1" applyFont="1" applyBorder="1"/>
    <xf numFmtId="170" fontId="54" fillId="0" borderId="0" xfId="0" applyNumberFormat="1" applyFont="1" applyFill="1" applyBorder="1"/>
    <xf numFmtId="170" fontId="49" fillId="0" borderId="0" xfId="0" applyNumberFormat="1" applyFont="1" applyFill="1" applyBorder="1"/>
    <xf numFmtId="39" fontId="54" fillId="0" borderId="0" xfId="0" applyNumberFormat="1" applyFont="1" applyFill="1"/>
    <xf numFmtId="39" fontId="49" fillId="0" borderId="0" xfId="0" applyNumberFormat="1" applyFont="1" applyFill="1"/>
    <xf numFmtId="0" fontId="49" fillId="0" borderId="0" xfId="0" applyFont="1" applyFill="1" applyAlignment="1">
      <alignment horizontal="right"/>
    </xf>
    <xf numFmtId="213" fontId="58" fillId="0" borderId="0" xfId="0" applyNumberFormat="1" applyFont="1" applyFill="1"/>
    <xf numFmtId="0" fontId="59" fillId="0" borderId="0" xfId="0" applyFont="1" applyFill="1"/>
    <xf numFmtId="213" fontId="49" fillId="0" borderId="0" xfId="0" applyNumberFormat="1" applyFont="1"/>
    <xf numFmtId="8" fontId="59" fillId="0" borderId="0" xfId="0" applyNumberFormat="1" applyFont="1"/>
    <xf numFmtId="213" fontId="49" fillId="0" borderId="0" xfId="0" applyNumberFormat="1" applyFont="1" applyFill="1"/>
    <xf numFmtId="2" fontId="58" fillId="0" borderId="0" xfId="0" applyNumberFormat="1" applyFont="1" applyFill="1"/>
    <xf numFmtId="213" fontId="58" fillId="0" borderId="0" xfId="0" applyNumberFormat="1" applyFont="1"/>
    <xf numFmtId="0" fontId="59" fillId="0" borderId="0" xfId="0" applyFont="1" applyBorder="1"/>
    <xf numFmtId="2" fontId="49" fillId="0" borderId="0" xfId="0" applyNumberFormat="1" applyFont="1" applyFill="1"/>
    <xf numFmtId="213" fontId="49" fillId="0" borderId="2" xfId="0" applyNumberFormat="1" applyFont="1" applyBorder="1"/>
    <xf numFmtId="167" fontId="49" fillId="0" borderId="2" xfId="0" applyNumberFormat="1" applyFont="1" applyBorder="1"/>
    <xf numFmtId="8" fontId="49" fillId="0" borderId="2" xfId="0" applyNumberFormat="1" applyFont="1" applyBorder="1"/>
    <xf numFmtId="0" fontId="59" fillId="0" borderId="0" xfId="0" applyFont="1"/>
    <xf numFmtId="2" fontId="49" fillId="0" borderId="2" xfId="0" applyNumberFormat="1" applyFont="1" applyFill="1" applyBorder="1"/>
    <xf numFmtId="213" fontId="49" fillId="0" borderId="2" xfId="0" applyNumberFormat="1" applyFont="1" applyFill="1" applyBorder="1"/>
    <xf numFmtId="2" fontId="58" fillId="0" borderId="0" xfId="0" applyNumberFormat="1" applyFont="1"/>
    <xf numFmtId="173" fontId="49" fillId="0" borderId="0" xfId="0" applyNumberFormat="1" applyFont="1" applyFill="1"/>
    <xf numFmtId="186" fontId="133" fillId="0" borderId="0" xfId="0" applyNumberFormat="1" applyFont="1" applyFill="1"/>
    <xf numFmtId="186" fontId="58" fillId="0" borderId="0" xfId="0" applyNumberFormat="1" applyFont="1" applyFill="1" applyBorder="1"/>
    <xf numFmtId="186" fontId="58" fillId="0" borderId="0" xfId="0" applyNumberFormat="1" applyFont="1" applyBorder="1"/>
    <xf numFmtId="186" fontId="133" fillId="0" borderId="0" xfId="0" applyNumberFormat="1" applyFont="1" applyFill="1" applyBorder="1"/>
    <xf numFmtId="186" fontId="132" fillId="0" borderId="2" xfId="0" applyNumberFormat="1" applyFont="1" applyFill="1" applyBorder="1"/>
    <xf numFmtId="186" fontId="49" fillId="0" borderId="2" xfId="0" applyNumberFormat="1" applyFont="1" applyBorder="1"/>
    <xf numFmtId="167" fontId="58" fillId="0" borderId="0" xfId="0" applyNumberFormat="1" applyFont="1" applyFill="1"/>
    <xf numFmtId="0" fontId="49" fillId="0" borderId="0" xfId="0" applyFont="1" applyFill="1" applyBorder="1" applyAlignment="1">
      <alignment horizontal="right"/>
    </xf>
    <xf numFmtId="0" fontId="59" fillId="0" borderId="7" xfId="0" applyFont="1" applyFill="1" applyBorder="1" applyAlignment="1">
      <alignment horizontal="right"/>
    </xf>
    <xf numFmtId="0" fontId="49" fillId="0" borderId="17" xfId="0" applyFont="1" applyFill="1" applyBorder="1"/>
    <xf numFmtId="0" fontId="59" fillId="0" borderId="25" xfId="0" applyFont="1" applyFill="1" applyBorder="1" applyAlignment="1">
      <alignment horizontal="right"/>
    </xf>
    <xf numFmtId="0" fontId="59" fillId="0" borderId="20" xfId="0" applyFont="1" applyFill="1" applyBorder="1" applyAlignment="1">
      <alignment horizontal="right"/>
    </xf>
    <xf numFmtId="0" fontId="59" fillId="0" borderId="21" xfId="0" applyFont="1" applyFill="1" applyBorder="1" applyAlignment="1">
      <alignment horizontal="right"/>
    </xf>
    <xf numFmtId="186" fontId="54" fillId="18" borderId="33" xfId="0" applyNumberFormat="1" applyFont="1" applyFill="1" applyBorder="1"/>
    <xf numFmtId="186" fontId="54" fillId="18" borderId="31" xfId="0" applyNumberFormat="1" applyFont="1" applyFill="1" applyBorder="1"/>
    <xf numFmtId="186" fontId="54" fillId="18" borderId="34" xfId="0" applyNumberFormat="1" applyFont="1" applyFill="1" applyBorder="1"/>
    <xf numFmtId="170" fontId="54" fillId="18" borderId="32" xfId="0" applyNumberFormat="1" applyFont="1" applyFill="1" applyBorder="1"/>
    <xf numFmtId="0" fontId="60" fillId="0" borderId="0" xfId="0" applyFont="1"/>
    <xf numFmtId="8" fontId="49" fillId="0" borderId="27" xfId="0" applyNumberFormat="1" applyFont="1" applyFill="1" applyBorder="1"/>
    <xf numFmtId="40" fontId="49" fillId="0" borderId="5" xfId="0" applyNumberFormat="1" applyFont="1" applyFill="1" applyBorder="1"/>
    <xf numFmtId="40" fontId="49" fillId="0" borderId="28" xfId="0" applyNumberFormat="1" applyFont="1" applyFill="1" applyBorder="1"/>
    <xf numFmtId="8" fontId="49" fillId="0" borderId="28" xfId="0" applyNumberFormat="1" applyFont="1" applyFill="1" applyBorder="1"/>
    <xf numFmtId="185" fontId="9" fillId="0" borderId="0" xfId="0" applyNumberFormat="1" applyFont="1" applyFill="1" applyBorder="1"/>
    <xf numFmtId="175" fontId="9" fillId="0" borderId="0" xfId="0" applyNumberFormat="1" applyFont="1"/>
    <xf numFmtId="231" fontId="11" fillId="0" borderId="17" xfId="0" applyNumberFormat="1" applyFont="1" applyBorder="1" applyAlignment="1">
      <alignment horizontal="center"/>
    </xf>
    <xf numFmtId="231" fontId="11" fillId="0" borderId="0" xfId="0" applyNumberFormat="1" applyFont="1" applyBorder="1" applyAlignment="1">
      <alignment horizontal="center"/>
    </xf>
    <xf numFmtId="255" fontId="11" fillId="0" borderId="17" xfId="0" applyNumberFormat="1" applyFont="1" applyBorder="1" applyAlignment="1">
      <alignment horizontal="center"/>
    </xf>
    <xf numFmtId="255" fontId="11" fillId="0" borderId="0" xfId="0" applyNumberFormat="1" applyFont="1" applyBorder="1" applyAlignment="1">
      <alignment horizontal="center"/>
    </xf>
    <xf numFmtId="6" fontId="18" fillId="0" borderId="0" xfId="0" applyNumberFormat="1" applyFont="1" applyFill="1"/>
    <xf numFmtId="5" fontId="140" fillId="0" borderId="0" xfId="0" applyNumberFormat="1" applyFont="1" applyFill="1"/>
    <xf numFmtId="186" fontId="46" fillId="0" borderId="0" xfId="0" applyNumberFormat="1" applyFont="1" applyBorder="1"/>
    <xf numFmtId="6" fontId="140" fillId="0" borderId="0" xfId="0" applyNumberFormat="1" applyFont="1" applyFill="1"/>
    <xf numFmtId="8" fontId="131" fillId="0" borderId="0" xfId="35" applyNumberFormat="1" applyFont="1" applyFill="1" applyBorder="1" applyAlignment="1">
      <alignment horizontal="center"/>
    </xf>
    <xf numFmtId="8" fontId="130" fillId="0" borderId="0" xfId="35" applyNumberFormat="1" applyFont="1" applyFill="1" applyBorder="1" applyAlignment="1">
      <alignment horizontal="center"/>
    </xf>
    <xf numFmtId="0" fontId="84" fillId="16" borderId="9" xfId="53" applyFont="1" applyFill="1" applyBorder="1" applyAlignment="1">
      <alignment vertical="center"/>
    </xf>
    <xf numFmtId="0" fontId="22" fillId="0" borderId="0" xfId="53" applyFont="1" applyFill="1" applyBorder="1"/>
    <xf numFmtId="0" fontId="22" fillId="0" borderId="0" xfId="53" applyFont="1" applyBorder="1"/>
    <xf numFmtId="0" fontId="90" fillId="16" borderId="5" xfId="53" applyFont="1" applyFill="1" applyBorder="1"/>
    <xf numFmtId="37" fontId="22" fillId="0" borderId="0" xfId="53" applyNumberFormat="1" applyFont="1" applyFill="1" applyBorder="1"/>
    <xf numFmtId="188" fontId="12" fillId="0" borderId="0" xfId="52" applyNumberFormat="1" applyFont="1" applyFill="1" applyBorder="1"/>
    <xf numFmtId="37" fontId="12" fillId="0" borderId="0" xfId="53" applyNumberFormat="1" applyFont="1" applyFill="1" applyBorder="1"/>
    <xf numFmtId="0" fontId="12" fillId="0" borderId="0" xfId="52" applyFont="1" applyFill="1" applyBorder="1"/>
    <xf numFmtId="0" fontId="12" fillId="0" borderId="0" xfId="52" applyFont="1" applyFill="1" applyBorder="1" applyAlignment="1">
      <alignment horizontal="left" indent="1"/>
    </xf>
    <xf numFmtId="0" fontId="12" fillId="0" borderId="0" xfId="52" applyFont="1" applyBorder="1"/>
    <xf numFmtId="188" fontId="88" fillId="0" borderId="0" xfId="52" applyNumberFormat="1" applyFont="1" applyFill="1" applyBorder="1" applyAlignment="1" applyProtection="1">
      <alignment horizontal="left"/>
    </xf>
    <xf numFmtId="188" fontId="12" fillId="0" borderId="0" xfId="52" applyNumberFormat="1" applyFont="1" applyFill="1" applyBorder="1" applyAlignment="1" applyProtection="1">
      <alignment horizontal="left"/>
    </xf>
    <xf numFmtId="0" fontId="91" fillId="16" borderId="0" xfId="53" applyFont="1" applyFill="1"/>
    <xf numFmtId="0" fontId="5" fillId="16" borderId="0" xfId="53" applyFill="1" applyBorder="1"/>
    <xf numFmtId="0" fontId="5" fillId="16" borderId="0" xfId="53" applyFill="1" applyBorder="1" applyAlignment="1">
      <alignment horizontal="center"/>
    </xf>
    <xf numFmtId="0" fontId="5" fillId="16" borderId="0" xfId="53" applyFill="1" applyBorder="1" applyAlignment="1">
      <alignment horizontal="right"/>
    </xf>
    <xf numFmtId="0" fontId="5" fillId="16" borderId="0" xfId="53" applyFill="1"/>
    <xf numFmtId="0" fontId="90" fillId="16" borderId="0" xfId="53" applyFont="1" applyFill="1"/>
    <xf numFmtId="0" fontId="88" fillId="16" borderId="0" xfId="53" applyFont="1" applyFill="1" applyBorder="1" applyAlignment="1">
      <alignment horizontal="center"/>
    </xf>
    <xf numFmtId="166" fontId="88" fillId="16" borderId="0" xfId="53" applyNumberFormat="1" applyFont="1" applyFill="1" applyBorder="1" applyAlignment="1">
      <alignment horizontal="center"/>
    </xf>
    <xf numFmtId="194" fontId="147" fillId="0" borderId="0" xfId="0" applyNumberFormat="1" applyFont="1" applyFill="1"/>
    <xf numFmtId="0" fontId="13" fillId="15" borderId="26" xfId="51" applyFont="1" applyFill="1" applyBorder="1" applyAlignment="1">
      <alignment horizontal="center"/>
    </xf>
    <xf numFmtId="0" fontId="18" fillId="0" borderId="0" xfId="51" applyFont="1" applyFill="1" applyBorder="1"/>
    <xf numFmtId="0" fontId="12" fillId="0" borderId="0" xfId="69" applyNumberFormat="1" applyFont="1" applyFill="1" applyBorder="1" applyAlignment="1">
      <alignment horizontal="center" wrapText="1"/>
    </xf>
    <xf numFmtId="14" fontId="77" fillId="0" borderId="0" xfId="51" applyNumberFormat="1" applyFont="1" applyFill="1" applyAlignment="1">
      <alignment horizontal="right"/>
    </xf>
    <xf numFmtId="0" fontId="18" fillId="0" borderId="0" xfId="51" applyFont="1" applyBorder="1"/>
    <xf numFmtId="1" fontId="85" fillId="0" borderId="0" xfId="69" applyNumberFormat="1" applyFont="1" applyFill="1" applyBorder="1" applyAlignment="1">
      <alignment horizontal="center" wrapText="1"/>
    </xf>
    <xf numFmtId="0" fontId="39" fillId="0" borderId="0" xfId="51" applyFont="1" applyBorder="1"/>
    <xf numFmtId="281" fontId="12" fillId="0" borderId="6" xfId="51" applyNumberFormat="1" applyFont="1" applyBorder="1" applyAlignment="1">
      <alignment horizontal="right"/>
    </xf>
    <xf numFmtId="258" fontId="18" fillId="0" borderId="0" xfId="51" applyNumberFormat="1" applyFont="1" applyFill="1" applyBorder="1" applyAlignment="1">
      <alignment horizontal="right"/>
    </xf>
    <xf numFmtId="258" fontId="18" fillId="0" borderId="0" xfId="51" applyNumberFormat="1" applyFont="1" applyBorder="1" applyAlignment="1">
      <alignment horizontal="right"/>
    </xf>
    <xf numFmtId="258" fontId="13" fillId="0" borderId="0" xfId="51" applyNumberFormat="1" applyFont="1" applyBorder="1" applyAlignment="1">
      <alignment horizontal="right"/>
    </xf>
    <xf numFmtId="166" fontId="13" fillId="0" borderId="0" xfId="51" applyNumberFormat="1" applyFont="1" applyFill="1" applyBorder="1" applyAlignment="1">
      <alignment horizontal="right"/>
    </xf>
    <xf numFmtId="258" fontId="13" fillId="0" borderId="0" xfId="51" applyNumberFormat="1" applyFont="1" applyFill="1" applyBorder="1" applyAlignment="1">
      <alignment horizontal="right"/>
    </xf>
    <xf numFmtId="253" fontId="86" fillId="0" borderId="0" xfId="51" applyNumberFormat="1" applyFont="1" applyFill="1" applyBorder="1" applyAlignment="1">
      <alignment horizontal="right"/>
    </xf>
    <xf numFmtId="253" fontId="13" fillId="0" borderId="0" xfId="51" applyNumberFormat="1" applyFont="1" applyBorder="1" applyAlignment="1">
      <alignment horizontal="right"/>
    </xf>
    <xf numFmtId="262" fontId="12" fillId="0" borderId="6" xfId="51" applyNumberFormat="1" applyFont="1" applyBorder="1" applyAlignment="1">
      <alignment horizontal="right"/>
    </xf>
    <xf numFmtId="0" fontId="0" fillId="16" borderId="0" xfId="0" applyFill="1"/>
    <xf numFmtId="199" fontId="150" fillId="16" borderId="0" xfId="0" applyNumberFormat="1" applyFont="1" applyFill="1" applyAlignment="1">
      <alignment horizontal="left"/>
    </xf>
    <xf numFmtId="44" fontId="40" fillId="0" borderId="6" xfId="35" applyNumberFormat="1" applyFont="1" applyBorder="1"/>
    <xf numFmtId="0" fontId="48" fillId="16" borderId="0" xfId="0" applyFont="1" applyFill="1"/>
    <xf numFmtId="195" fontId="49" fillId="16" borderId="0" xfId="0" applyNumberFormat="1" applyFont="1" applyFill="1"/>
    <xf numFmtId="0" fontId="9" fillId="16" borderId="0" xfId="0" applyFont="1" applyFill="1"/>
    <xf numFmtId="0" fontId="48" fillId="16" borderId="2" xfId="0" applyFont="1" applyFill="1" applyBorder="1"/>
    <xf numFmtId="195" fontId="49" fillId="16" borderId="2" xfId="0" applyNumberFormat="1" applyFont="1" applyFill="1" applyBorder="1"/>
    <xf numFmtId="0" fontId="133" fillId="16" borderId="0" xfId="0" applyFont="1" applyFill="1" applyAlignment="1" applyProtection="1">
      <alignment horizontal="left"/>
    </xf>
    <xf numFmtId="0" fontId="58" fillId="16" borderId="0" xfId="0" applyFont="1" applyFill="1" applyAlignment="1" applyProtection="1">
      <alignment horizontal="left"/>
    </xf>
    <xf numFmtId="0" fontId="49" fillId="16" borderId="0" xfId="0" applyFont="1" applyFill="1"/>
    <xf numFmtId="0" fontId="49" fillId="16" borderId="0" xfId="0" applyFont="1" applyFill="1" applyAlignment="1">
      <alignment horizontal="center"/>
    </xf>
    <xf numFmtId="198" fontId="50" fillId="16" borderId="2" xfId="0" applyNumberFormat="1" applyFont="1" applyFill="1" applyBorder="1" applyAlignment="1">
      <alignment horizontal="center"/>
    </xf>
    <xf numFmtId="198" fontId="48" fillId="16" borderId="2" xfId="0" applyNumberFormat="1" applyFont="1" applyFill="1" applyBorder="1" applyAlignment="1">
      <alignment horizontal="center"/>
    </xf>
    <xf numFmtId="0" fontId="48" fillId="16" borderId="0" xfId="0" applyFont="1" applyFill="1" applyAlignment="1">
      <alignment horizontal="center"/>
    </xf>
    <xf numFmtId="231" fontId="48" fillId="16" borderId="2" xfId="0" applyNumberFormat="1" applyFont="1" applyFill="1" applyBorder="1" applyAlignment="1">
      <alignment horizontal="center"/>
    </xf>
    <xf numFmtId="200" fontId="50" fillId="16" borderId="0" xfId="0" applyNumberFormat="1" applyFont="1" applyFill="1" applyBorder="1" applyAlignment="1">
      <alignment horizontal="center"/>
    </xf>
    <xf numFmtId="200" fontId="50" fillId="16" borderId="2" xfId="0" applyNumberFormat="1" applyFont="1" applyFill="1" applyBorder="1" applyAlignment="1">
      <alignment horizontal="center"/>
    </xf>
    <xf numFmtId="189" fontId="49" fillId="16" borderId="0" xfId="0" applyNumberFormat="1" applyFont="1" applyFill="1"/>
    <xf numFmtId="0" fontId="58" fillId="16" borderId="0" xfId="0" applyFont="1" applyFill="1"/>
    <xf numFmtId="175" fontId="49" fillId="16" borderId="0" xfId="0" applyNumberFormat="1" applyFont="1" applyFill="1"/>
    <xf numFmtId="37" fontId="125" fillId="16" borderId="0" xfId="56" applyFont="1" applyFill="1" applyAlignment="1" applyProtection="1">
      <alignment horizontal="left"/>
    </xf>
    <xf numFmtId="0" fontId="56" fillId="16" borderId="0" xfId="0" applyFont="1" applyFill="1"/>
    <xf numFmtId="0" fontId="134" fillId="16" borderId="0" xfId="0" applyFont="1" applyFill="1"/>
    <xf numFmtId="230" fontId="49" fillId="16" borderId="0" xfId="62" applyNumberFormat="1" applyFont="1" applyFill="1"/>
    <xf numFmtId="37" fontId="49" fillId="16" borderId="0" xfId="56" applyFont="1" applyFill="1" applyAlignment="1" applyProtection="1">
      <alignment horizontal="left"/>
    </xf>
    <xf numFmtId="175" fontId="54" fillId="16" borderId="0" xfId="0" applyNumberFormat="1" applyFont="1" applyFill="1"/>
    <xf numFmtId="0" fontId="54" fillId="16" borderId="0" xfId="0" applyFont="1" applyFill="1"/>
    <xf numFmtId="170" fontId="54" fillId="16" borderId="0" xfId="0" applyNumberFormat="1" applyFont="1" applyFill="1"/>
    <xf numFmtId="166" fontId="54" fillId="16" borderId="0" xfId="0" applyNumberFormat="1" applyFont="1" applyFill="1"/>
    <xf numFmtId="170" fontId="49" fillId="16" borderId="0" xfId="0" applyNumberFormat="1" applyFont="1" applyFill="1"/>
    <xf numFmtId="170" fontId="54" fillId="16" borderId="2" xfId="0" applyNumberFormat="1" applyFont="1" applyFill="1" applyBorder="1"/>
    <xf numFmtId="170" fontId="49" fillId="16" borderId="0" xfId="0" applyNumberFormat="1" applyFont="1" applyFill="1" applyBorder="1"/>
    <xf numFmtId="174" fontId="49" fillId="16" borderId="0" xfId="0" applyNumberFormat="1" applyFont="1" applyFill="1"/>
    <xf numFmtId="37" fontId="49" fillId="16" borderId="0" xfId="56" applyFont="1" applyFill="1"/>
    <xf numFmtId="174" fontId="54" fillId="16" borderId="0" xfId="0" applyNumberFormat="1" applyFont="1" applyFill="1"/>
    <xf numFmtId="168" fontId="54" fillId="16" borderId="2" xfId="62" applyNumberFormat="1" applyFont="1" applyFill="1" applyBorder="1"/>
    <xf numFmtId="174" fontId="49" fillId="16" borderId="6" xfId="0" applyNumberFormat="1" applyFont="1" applyFill="1" applyBorder="1"/>
    <xf numFmtId="174" fontId="49" fillId="16" borderId="0" xfId="0" applyNumberFormat="1" applyFont="1" applyFill="1" applyBorder="1"/>
    <xf numFmtId="168" fontId="49" fillId="16" borderId="0" xfId="62" applyNumberFormat="1" applyFont="1" applyFill="1"/>
    <xf numFmtId="0" fontId="125" fillId="16" borderId="0" xfId="0" applyFont="1" applyFill="1"/>
    <xf numFmtId="170" fontId="54" fillId="16" borderId="0" xfId="0" applyNumberFormat="1" applyFont="1" applyFill="1" applyBorder="1"/>
    <xf numFmtId="0" fontId="49" fillId="16" borderId="0" xfId="0" applyFont="1" applyFill="1" applyBorder="1"/>
    <xf numFmtId="166" fontId="54" fillId="16" borderId="0" xfId="0" applyNumberFormat="1" applyFont="1" applyFill="1" applyBorder="1"/>
    <xf numFmtId="175" fontId="54" fillId="16" borderId="2" xfId="0" applyNumberFormat="1" applyFont="1" applyFill="1" applyBorder="1"/>
    <xf numFmtId="189" fontId="54" fillId="16" borderId="2" xfId="0" applyNumberFormat="1" applyFont="1" applyFill="1" applyBorder="1"/>
    <xf numFmtId="189" fontId="54" fillId="16" borderId="0" xfId="0" applyNumberFormat="1" applyFont="1" applyFill="1" applyBorder="1"/>
    <xf numFmtId="174" fontId="49" fillId="16" borderId="2" xfId="0" applyNumberFormat="1" applyFont="1" applyFill="1" applyBorder="1"/>
    <xf numFmtId="175" fontId="49" fillId="16" borderId="2" xfId="0" applyNumberFormat="1" applyFont="1" applyFill="1" applyBorder="1"/>
    <xf numFmtId="175" fontId="49" fillId="16" borderId="0" xfId="0" applyNumberFormat="1" applyFont="1" applyFill="1" applyBorder="1"/>
    <xf numFmtId="212" fontId="49" fillId="16" borderId="0" xfId="0" applyNumberFormat="1" applyFont="1" applyFill="1"/>
    <xf numFmtId="175" fontId="54" fillId="16" borderId="0" xfId="0" applyNumberFormat="1" applyFont="1" applyFill="1" applyBorder="1"/>
    <xf numFmtId="183" fontId="49" fillId="16" borderId="0" xfId="50" applyFont="1" applyFill="1" applyAlignment="1"/>
    <xf numFmtId="0" fontId="49" fillId="16" borderId="0" xfId="0" applyFont="1" applyFill="1" applyAlignment="1">
      <alignment horizontal="right"/>
    </xf>
    <xf numFmtId="209" fontId="49" fillId="16" borderId="0" xfId="34" applyNumberFormat="1" applyFont="1" applyFill="1"/>
    <xf numFmtId="249" fontId="49" fillId="16" borderId="0" xfId="0" applyNumberFormat="1" applyFont="1" applyFill="1"/>
    <xf numFmtId="167" fontId="49" fillId="16" borderId="0" xfId="0" applyNumberFormat="1" applyFont="1" applyFill="1" applyAlignment="1">
      <alignment horizontal="center"/>
    </xf>
    <xf numFmtId="166" fontId="49" fillId="16" borderId="0" xfId="0" applyNumberFormat="1" applyFont="1" applyFill="1"/>
    <xf numFmtId="185" fontId="49" fillId="16" borderId="0" xfId="0" applyNumberFormat="1" applyFont="1" applyFill="1"/>
    <xf numFmtId="168" fontId="54" fillId="16" borderId="0" xfId="62" applyNumberFormat="1" applyFont="1" applyFill="1"/>
    <xf numFmtId="167" fontId="132" fillId="16" borderId="0" xfId="0" applyNumberFormat="1" applyFont="1" applyFill="1"/>
    <xf numFmtId="0" fontId="59" fillId="16" borderId="0" xfId="0" applyFont="1" applyFill="1"/>
    <xf numFmtId="167" fontId="59" fillId="16" borderId="0" xfId="0" applyNumberFormat="1" applyFont="1" applyFill="1"/>
    <xf numFmtId="0" fontId="64" fillId="16" borderId="0" xfId="0" applyFont="1" applyFill="1"/>
    <xf numFmtId="43" fontId="64" fillId="16" borderId="0" xfId="0" applyNumberFormat="1" applyFont="1" applyFill="1"/>
    <xf numFmtId="0" fontId="68" fillId="16" borderId="30" xfId="0" applyFont="1" applyFill="1" applyBorder="1"/>
    <xf numFmtId="0" fontId="68" fillId="16" borderId="0" xfId="0" applyFont="1" applyFill="1" applyBorder="1"/>
    <xf numFmtId="172" fontId="64" fillId="16" borderId="0" xfId="34" applyNumberFormat="1" applyFont="1" applyFill="1"/>
    <xf numFmtId="43" fontId="64" fillId="16" borderId="0" xfId="34" applyFont="1" applyFill="1"/>
    <xf numFmtId="172" fontId="69" fillId="16" borderId="0" xfId="34" applyNumberFormat="1" applyFont="1" applyFill="1"/>
    <xf numFmtId="0" fontId="69" fillId="16" borderId="0" xfId="0" applyFont="1" applyFill="1"/>
    <xf numFmtId="43" fontId="69" fillId="16" borderId="0" xfId="34" applyFont="1" applyFill="1"/>
    <xf numFmtId="1" fontId="64" fillId="16" borderId="0" xfId="0" applyNumberFormat="1" applyFont="1" applyFill="1"/>
    <xf numFmtId="7" fontId="49" fillId="16" borderId="0" xfId="0" applyNumberFormat="1" applyFont="1" applyFill="1"/>
    <xf numFmtId="170" fontId="49" fillId="16" borderId="0" xfId="46" applyNumberFormat="1" applyFont="1" applyFill="1" applyBorder="1"/>
    <xf numFmtId="0" fontId="49" fillId="16" borderId="0" xfId="46" applyFont="1" applyFill="1" applyBorder="1"/>
    <xf numFmtId="1" fontId="49" fillId="16" borderId="0" xfId="46" applyNumberFormat="1" applyFont="1" applyFill="1" applyBorder="1"/>
    <xf numFmtId="0" fontId="55" fillId="16" borderId="0" xfId="46" applyFont="1" applyFill="1" applyBorder="1"/>
    <xf numFmtId="175" fontId="48" fillId="16" borderId="2" xfId="46" applyNumberFormat="1" applyFont="1" applyFill="1" applyBorder="1" applyAlignment="1" applyProtection="1">
      <alignment horizontal="left"/>
    </xf>
    <xf numFmtId="170" fontId="49" fillId="16" borderId="2" xfId="46" applyNumberFormat="1" applyFont="1" applyFill="1" applyBorder="1"/>
    <xf numFmtId="0" fontId="49" fillId="16" borderId="2" xfId="46" applyFont="1" applyFill="1" applyBorder="1"/>
    <xf numFmtId="0" fontId="55" fillId="16" borderId="2" xfId="46" applyFont="1" applyFill="1" applyBorder="1"/>
    <xf numFmtId="0" fontId="53" fillId="16" borderId="0" xfId="0" applyFont="1" applyFill="1" applyAlignment="1" applyProtection="1">
      <alignment horizontal="left"/>
    </xf>
    <xf numFmtId="0" fontId="51" fillId="16" borderId="0" xfId="0" applyFont="1" applyFill="1"/>
    <xf numFmtId="168" fontId="53" fillId="16" borderId="0" xfId="0" applyNumberFormat="1" applyFont="1" applyFill="1"/>
    <xf numFmtId="10" fontId="51" fillId="16" borderId="0" xfId="0" applyNumberFormat="1" applyFont="1" applyFill="1"/>
    <xf numFmtId="7" fontId="51" fillId="16" borderId="0" xfId="0" applyNumberFormat="1" applyFont="1" applyFill="1"/>
    <xf numFmtId="0" fontId="55" fillId="16" borderId="0" xfId="0" applyFont="1" applyFill="1"/>
    <xf numFmtId="190" fontId="56" fillId="16" borderId="0" xfId="46" applyNumberFormat="1" applyFont="1" applyFill="1" applyBorder="1" applyAlignment="1">
      <alignment horizontal="right"/>
    </xf>
    <xf numFmtId="10" fontId="56" fillId="16" borderId="0" xfId="62" applyNumberFormat="1" applyFont="1" applyFill="1" applyBorder="1" applyAlignment="1">
      <alignment horizontal="right"/>
    </xf>
    <xf numFmtId="168" fontId="56" fillId="16" borderId="0" xfId="46" applyNumberFormat="1" applyFont="1" applyFill="1" applyBorder="1" applyAlignment="1">
      <alignment horizontal="right"/>
    </xf>
    <xf numFmtId="254" fontId="56" fillId="16" borderId="0" xfId="46" applyNumberFormat="1" applyFont="1" applyFill="1" applyBorder="1" applyAlignment="1">
      <alignment horizontal="right"/>
    </xf>
    <xf numFmtId="168" fontId="56" fillId="16" borderId="0" xfId="62" applyNumberFormat="1" applyFont="1" applyFill="1" applyBorder="1" applyAlignment="1">
      <alignment horizontal="right"/>
    </xf>
    <xf numFmtId="183" fontId="49" fillId="16" borderId="6" xfId="57" quotePrefix="1" applyFont="1" applyFill="1" applyBorder="1" applyAlignment="1" applyProtection="1">
      <alignment horizontal="center"/>
    </xf>
    <xf numFmtId="183" fontId="57" fillId="16" borderId="6" xfId="57" applyFont="1" applyFill="1" applyBorder="1" applyAlignment="1">
      <alignment horizontal="center"/>
    </xf>
    <xf numFmtId="183" fontId="57" fillId="16" borderId="25" xfId="57" applyFont="1" applyFill="1" applyBorder="1"/>
    <xf numFmtId="0" fontId="48" fillId="16" borderId="0" xfId="46" applyFont="1" applyFill="1" applyBorder="1"/>
    <xf numFmtId="198" fontId="50" fillId="16" borderId="2" xfId="46" applyNumberFormat="1" applyFont="1" applyFill="1" applyBorder="1" applyAlignment="1">
      <alignment horizontal="center"/>
    </xf>
    <xf numFmtId="198" fontId="48" fillId="16" borderId="2" xfId="46" applyNumberFormat="1" applyFont="1" applyFill="1" applyBorder="1" applyAlignment="1">
      <alignment horizontal="center"/>
    </xf>
    <xf numFmtId="231" fontId="48" fillId="16" borderId="2" xfId="46" applyNumberFormat="1" applyFont="1" applyFill="1" applyBorder="1" applyAlignment="1">
      <alignment horizontal="center"/>
    </xf>
    <xf numFmtId="200" fontId="50" fillId="16" borderId="2" xfId="46" applyNumberFormat="1" applyFont="1" applyFill="1" applyBorder="1" applyAlignment="1">
      <alignment horizontal="center"/>
    </xf>
    <xf numFmtId="183" fontId="18" fillId="16" borderId="6" xfId="57" quotePrefix="1" applyFont="1" applyFill="1" applyBorder="1" applyAlignment="1" applyProtection="1">
      <alignment horizontal="center"/>
    </xf>
    <xf numFmtId="183" fontId="34" fillId="16" borderId="0" xfId="57" applyFont="1" applyFill="1" applyBorder="1"/>
    <xf numFmtId="183" fontId="57" fillId="16" borderId="22" xfId="57" applyFont="1" applyFill="1" applyBorder="1"/>
    <xf numFmtId="0" fontId="58" fillId="16" borderId="0" xfId="46" applyFont="1" applyFill="1" applyBorder="1"/>
    <xf numFmtId="43" fontId="49" fillId="16" borderId="0" xfId="46" applyNumberFormat="1" applyFont="1" applyFill="1" applyBorder="1"/>
    <xf numFmtId="189" fontId="49" fillId="16" borderId="0" xfId="46" applyNumberFormat="1" applyFont="1" applyFill="1" applyBorder="1"/>
    <xf numFmtId="7" fontId="49" fillId="16" borderId="0" xfId="46" applyNumberFormat="1" applyFont="1" applyFill="1" applyBorder="1"/>
    <xf numFmtId="183" fontId="55" fillId="16" borderId="22" xfId="57" applyFont="1" applyFill="1" applyBorder="1"/>
    <xf numFmtId="175" fontId="49" fillId="16" borderId="0" xfId="46" applyNumberFormat="1" applyFont="1" applyFill="1" applyBorder="1"/>
    <xf numFmtId="5" fontId="49" fillId="16" borderId="0" xfId="46" applyNumberFormat="1" applyFont="1" applyFill="1" applyBorder="1"/>
    <xf numFmtId="170" fontId="9" fillId="16" borderId="0" xfId="57" applyNumberFormat="1" applyFont="1" applyFill="1" applyBorder="1" applyProtection="1"/>
    <xf numFmtId="183" fontId="29" fillId="16" borderId="0" xfId="57" applyFont="1" applyFill="1" applyBorder="1" applyAlignment="1" applyProtection="1">
      <alignment horizontal="left"/>
    </xf>
    <xf numFmtId="170" fontId="49" fillId="16" borderId="0" xfId="57" applyNumberFormat="1" applyFont="1" applyFill="1" applyBorder="1" applyProtection="1"/>
    <xf numFmtId="0" fontId="49" fillId="16" borderId="0" xfId="46" applyFont="1" applyFill="1" applyBorder="1" applyAlignment="1">
      <alignment horizontal="left" indent="2"/>
    </xf>
    <xf numFmtId="168" fontId="49" fillId="16" borderId="0" xfId="62" applyNumberFormat="1" applyFont="1" applyFill="1" applyBorder="1"/>
    <xf numFmtId="183" fontId="55" fillId="16" borderId="0" xfId="57" applyFont="1" applyFill="1" applyBorder="1"/>
    <xf numFmtId="183" fontId="55" fillId="16" borderId="22" xfId="57" applyFont="1" applyFill="1" applyBorder="1" applyAlignment="1" applyProtection="1">
      <alignment horizontal="left"/>
    </xf>
    <xf numFmtId="212" fontId="49" fillId="16" borderId="0" xfId="46" applyNumberFormat="1" applyFont="1" applyFill="1" applyBorder="1"/>
    <xf numFmtId="10" fontId="49" fillId="16" borderId="0" xfId="46" applyNumberFormat="1" applyFont="1" applyFill="1" applyBorder="1"/>
    <xf numFmtId="37" fontId="49" fillId="16" borderId="0" xfId="46" applyNumberFormat="1" applyFont="1" applyFill="1" applyBorder="1"/>
    <xf numFmtId="183" fontId="55" fillId="16" borderId="0" xfId="57" applyFont="1" applyFill="1" applyBorder="1" applyAlignment="1" applyProtection="1">
      <alignment horizontal="left"/>
    </xf>
    <xf numFmtId="0" fontId="49" fillId="16" borderId="0" xfId="46" applyFont="1" applyFill="1" applyBorder="1" applyAlignment="1">
      <alignment horizontal="left" indent="1"/>
    </xf>
    <xf numFmtId="168" fontId="54" fillId="16" borderId="0" xfId="62" applyNumberFormat="1" applyFont="1" applyFill="1" applyBorder="1"/>
    <xf numFmtId="0" fontId="59" fillId="16" borderId="0" xfId="46" applyFont="1" applyFill="1" applyBorder="1" applyAlignment="1">
      <alignment horizontal="left" indent="2"/>
    </xf>
    <xf numFmtId="0" fontId="60" fillId="16" borderId="0" xfId="46" applyFont="1" applyFill="1" applyBorder="1" applyAlignment="1">
      <alignment horizontal="left" indent="2"/>
    </xf>
    <xf numFmtId="170" fontId="54" fillId="16" borderId="0" xfId="46" applyNumberFormat="1" applyFont="1" applyFill="1" applyBorder="1"/>
    <xf numFmtId="37" fontId="55" fillId="16" borderId="22" xfId="57" applyNumberFormat="1" applyFont="1" applyFill="1" applyBorder="1" applyProtection="1"/>
    <xf numFmtId="168" fontId="49" fillId="16" borderId="0" xfId="46" applyNumberFormat="1" applyFont="1" applyFill="1" applyBorder="1"/>
    <xf numFmtId="170" fontId="62" fillId="16" borderId="0" xfId="46" applyNumberFormat="1" applyFont="1" applyFill="1" applyBorder="1"/>
    <xf numFmtId="170" fontId="63" fillId="16" borderId="0" xfId="46" applyNumberFormat="1" applyFont="1" applyFill="1" applyBorder="1"/>
    <xf numFmtId="168" fontId="62" fillId="16" borderId="0" xfId="62" applyNumberFormat="1" applyFont="1" applyFill="1" applyBorder="1"/>
    <xf numFmtId="10" fontId="63" fillId="16" borderId="0" xfId="62" applyNumberFormat="1" applyFont="1" applyFill="1" applyBorder="1"/>
    <xf numFmtId="170" fontId="59" fillId="16" borderId="0" xfId="46" applyNumberFormat="1" applyFont="1" applyFill="1" applyBorder="1"/>
    <xf numFmtId="10" fontId="49" fillId="16" borderId="0" xfId="62" applyNumberFormat="1" applyFont="1" applyFill="1" applyBorder="1"/>
    <xf numFmtId="207" fontId="49" fillId="16" borderId="0" xfId="46" applyNumberFormat="1" applyFont="1" applyFill="1" applyBorder="1"/>
    <xf numFmtId="175" fontId="54" fillId="16" borderId="0" xfId="46" applyNumberFormat="1" applyFont="1" applyFill="1" applyBorder="1"/>
    <xf numFmtId="43" fontId="49" fillId="16" borderId="0" xfId="34" applyFont="1" applyFill="1" applyBorder="1"/>
    <xf numFmtId="168" fontId="49" fillId="16" borderId="0" xfId="62" applyNumberFormat="1" applyFont="1" applyFill="1" applyBorder="1" applyAlignment="1"/>
    <xf numFmtId="168" fontId="54" fillId="16" borderId="0" xfId="62" applyNumberFormat="1" applyFont="1" applyFill="1" applyBorder="1" applyAlignment="1"/>
    <xf numFmtId="37" fontId="55" fillId="16" borderId="0" xfId="57" applyNumberFormat="1" applyFont="1" applyFill="1" applyBorder="1" applyProtection="1"/>
    <xf numFmtId="10" fontId="49" fillId="16" borderId="0" xfId="46" applyNumberFormat="1" applyFont="1" applyFill="1"/>
    <xf numFmtId="39" fontId="64" fillId="16" borderId="0" xfId="46" applyNumberFormat="1" applyFont="1" applyFill="1" applyBorder="1"/>
    <xf numFmtId="39" fontId="70" fillId="16" borderId="0" xfId="46" applyNumberFormat="1" applyFont="1" applyFill="1" applyBorder="1"/>
    <xf numFmtId="39" fontId="76" fillId="16" borderId="0" xfId="46" applyNumberFormat="1" applyFont="1" applyFill="1" applyBorder="1"/>
    <xf numFmtId="7" fontId="78" fillId="16" borderId="0" xfId="46" applyNumberFormat="1" applyFont="1" applyFill="1" applyBorder="1"/>
    <xf numFmtId="13" fontId="78" fillId="16" borderId="0" xfId="46" applyNumberFormat="1" applyFont="1" applyFill="1" applyBorder="1"/>
    <xf numFmtId="200" fontId="49" fillId="16" borderId="0" xfId="46" applyNumberFormat="1" applyFont="1" applyFill="1" applyBorder="1" applyAlignment="1">
      <alignment horizontal="center"/>
    </xf>
    <xf numFmtId="7" fontId="59" fillId="16" borderId="0" xfId="46" applyNumberFormat="1" applyFont="1" applyFill="1" applyBorder="1"/>
    <xf numFmtId="203" fontId="49" fillId="16" borderId="0" xfId="62" applyNumberFormat="1" applyFont="1" applyFill="1" applyBorder="1"/>
    <xf numFmtId="203" fontId="49" fillId="16" borderId="0" xfId="62" applyNumberFormat="1" applyFont="1" applyFill="1" applyBorder="1" applyAlignment="1">
      <alignment horizontal="right"/>
    </xf>
    <xf numFmtId="2" fontId="49" fillId="16" borderId="22" xfId="46" applyNumberFormat="1" applyFont="1" applyFill="1" applyBorder="1"/>
    <xf numFmtId="2" fontId="49" fillId="16" borderId="0" xfId="46" applyNumberFormat="1" applyFont="1" applyFill="1" applyBorder="1"/>
    <xf numFmtId="44" fontId="49" fillId="16" borderId="0" xfId="35" applyFont="1" applyFill="1" applyBorder="1"/>
    <xf numFmtId="0" fontId="62" fillId="16" borderId="0" xfId="46" applyFont="1" applyFill="1" applyBorder="1"/>
    <xf numFmtId="7" fontId="62" fillId="16" borderId="0" xfId="46" applyNumberFormat="1" applyFont="1" applyFill="1" applyBorder="1"/>
    <xf numFmtId="203" fontId="62" fillId="16" borderId="0" xfId="62" applyNumberFormat="1" applyFont="1" applyFill="1" applyBorder="1"/>
    <xf numFmtId="203" fontId="62" fillId="16" borderId="0" xfId="62" applyNumberFormat="1" applyFont="1" applyFill="1" applyBorder="1" applyAlignment="1">
      <alignment horizontal="right"/>
    </xf>
    <xf numFmtId="39" fontId="49" fillId="16" borderId="0" xfId="46" applyNumberFormat="1" applyFont="1" applyFill="1" applyBorder="1"/>
    <xf numFmtId="9" fontId="49" fillId="16" borderId="0" xfId="62" applyFont="1" applyFill="1" applyBorder="1"/>
    <xf numFmtId="178" fontId="49" fillId="16" borderId="0" xfId="34" applyNumberFormat="1" applyFont="1" applyFill="1" applyBorder="1"/>
    <xf numFmtId="10" fontId="49" fillId="16" borderId="0" xfId="46" applyNumberFormat="1" applyFont="1" applyFill="1" applyAlignment="1">
      <alignment horizontal="left" indent="2"/>
    </xf>
    <xf numFmtId="178" fontId="49" fillId="16" borderId="0" xfId="46" applyNumberFormat="1" applyFont="1" applyFill="1" applyBorder="1"/>
    <xf numFmtId="0" fontId="49" fillId="16" borderId="2" xfId="0" applyFont="1" applyFill="1" applyBorder="1"/>
    <xf numFmtId="0" fontId="55" fillId="16" borderId="2" xfId="0" applyFont="1" applyFill="1" applyBorder="1"/>
    <xf numFmtId="0" fontId="49" fillId="16" borderId="21" xfId="46" applyFont="1" applyFill="1" applyBorder="1"/>
    <xf numFmtId="43" fontId="49" fillId="16" borderId="0" xfId="0" applyNumberFormat="1" applyFont="1" applyFill="1"/>
    <xf numFmtId="9" fontId="49" fillId="16" borderId="0" xfId="62" applyFont="1" applyFill="1"/>
    <xf numFmtId="183" fontId="49" fillId="16" borderId="0" xfId="57" applyFont="1" applyFill="1"/>
    <xf numFmtId="183" fontId="55" fillId="16" borderId="0" xfId="57" applyFont="1" applyFill="1"/>
    <xf numFmtId="170" fontId="58" fillId="16" borderId="0" xfId="46" applyNumberFormat="1" applyFont="1" applyFill="1" applyBorder="1"/>
    <xf numFmtId="7" fontId="58" fillId="16" borderId="0" xfId="0" applyNumberFormat="1" applyFont="1" applyFill="1"/>
    <xf numFmtId="7" fontId="58" fillId="16" borderId="0" xfId="0" applyNumberFormat="1" applyFont="1" applyFill="1" applyBorder="1"/>
    <xf numFmtId="0" fontId="65" fillId="16" borderId="0" xfId="0" applyFont="1" applyFill="1"/>
    <xf numFmtId="8" fontId="49" fillId="16" borderId="0" xfId="0" applyNumberFormat="1" applyFont="1" applyFill="1"/>
    <xf numFmtId="40" fontId="49" fillId="16" borderId="0" xfId="46" applyNumberFormat="1" applyFont="1" applyFill="1" applyBorder="1"/>
    <xf numFmtId="167" fontId="49" fillId="16" borderId="0" xfId="0" applyNumberFormat="1" applyFont="1" applyFill="1"/>
    <xf numFmtId="0" fontId="66" fillId="16" borderId="0" xfId="0" applyFont="1" applyFill="1" applyBorder="1" applyAlignment="1">
      <alignment wrapText="1"/>
    </xf>
    <xf numFmtId="0" fontId="49" fillId="16" borderId="0" xfId="0" applyFont="1" applyFill="1" applyBorder="1" applyAlignment="1">
      <alignment wrapText="1"/>
    </xf>
    <xf numFmtId="7" fontId="49" fillId="16" borderId="0" xfId="0" applyNumberFormat="1" applyFont="1" applyFill="1" applyAlignment="1">
      <alignment horizontal="right"/>
    </xf>
    <xf numFmtId="168" fontId="67" fillId="16" borderId="0" xfId="0" applyNumberFormat="1" applyFont="1" applyFill="1"/>
    <xf numFmtId="2" fontId="49" fillId="16" borderId="0" xfId="0" applyNumberFormat="1" applyFont="1" applyFill="1"/>
    <xf numFmtId="0" fontId="51" fillId="16" borderId="0" xfId="0" applyFont="1" applyFill="1" applyBorder="1" applyAlignment="1">
      <alignment horizontal="right"/>
    </xf>
    <xf numFmtId="0" fontId="52" fillId="16" borderId="7" xfId="0" applyFont="1" applyFill="1" applyBorder="1" applyAlignment="1">
      <alignment horizontal="right"/>
    </xf>
    <xf numFmtId="0" fontId="52" fillId="16" borderId="17" xfId="0" applyFont="1" applyFill="1" applyBorder="1" applyAlignment="1">
      <alignment horizontal="right"/>
    </xf>
    <xf numFmtId="0" fontId="52" fillId="16" borderId="25" xfId="0" applyFont="1" applyFill="1" applyBorder="1" applyAlignment="1">
      <alignment horizontal="right"/>
    </xf>
    <xf numFmtId="0" fontId="52" fillId="16" borderId="0" xfId="0" applyFont="1" applyFill="1" applyBorder="1" applyAlignment="1">
      <alignment horizontal="right"/>
    </xf>
    <xf numFmtId="0" fontId="52" fillId="16" borderId="20" xfId="0" applyFont="1" applyFill="1" applyBorder="1" applyAlignment="1">
      <alignment horizontal="right"/>
    </xf>
    <xf numFmtId="0" fontId="52" fillId="16" borderId="2" xfId="0" applyFont="1" applyFill="1" applyBorder="1" applyAlignment="1">
      <alignment horizontal="right"/>
    </xf>
    <xf numFmtId="0" fontId="52" fillId="16" borderId="21" xfId="0" applyFont="1" applyFill="1" applyBorder="1" applyAlignment="1">
      <alignment horizontal="right"/>
    </xf>
    <xf numFmtId="0" fontId="115" fillId="16" borderId="0" xfId="0" applyFont="1" applyFill="1"/>
    <xf numFmtId="0" fontId="35" fillId="16" borderId="0" xfId="49" applyFont="1" applyFill="1" applyAlignment="1">
      <alignment horizontal="left"/>
    </xf>
    <xf numFmtId="0" fontId="35" fillId="16" borderId="0" xfId="49" applyFont="1" applyFill="1"/>
    <xf numFmtId="0" fontId="18" fillId="16" borderId="2" xfId="49" applyFont="1" applyFill="1" applyBorder="1"/>
    <xf numFmtId="0" fontId="35" fillId="16" borderId="2" xfId="49" applyFont="1" applyFill="1" applyBorder="1" applyAlignment="1">
      <alignment horizontal="left"/>
    </xf>
    <xf numFmtId="0" fontId="35" fillId="16" borderId="2" xfId="49" applyFont="1" applyFill="1" applyBorder="1"/>
    <xf numFmtId="0" fontId="0" fillId="16" borderId="2" xfId="0" applyFill="1" applyBorder="1"/>
    <xf numFmtId="0" fontId="35" fillId="16" borderId="0" xfId="49" applyFont="1" applyFill="1" applyBorder="1"/>
    <xf numFmtId="168" fontId="35" fillId="16" borderId="0" xfId="62" applyNumberFormat="1" applyFont="1" applyFill="1" applyAlignment="1">
      <alignment horizontal="left"/>
    </xf>
    <xf numFmtId="2" fontId="35" fillId="16" borderId="0" xfId="49" applyNumberFormat="1" applyFont="1" applyFill="1" applyAlignment="1">
      <alignment horizontal="left"/>
    </xf>
    <xf numFmtId="168" fontId="9" fillId="16" borderId="0" xfId="62" applyNumberFormat="1" applyFont="1" applyFill="1"/>
    <xf numFmtId="5" fontId="0" fillId="16" borderId="0" xfId="0" applyNumberFormat="1" applyFill="1"/>
    <xf numFmtId="193" fontId="35" fillId="16" borderId="0" xfId="49" applyNumberFormat="1" applyFont="1" applyFill="1" applyAlignment="1">
      <alignment horizontal="left"/>
    </xf>
    <xf numFmtId="277" fontId="35" fillId="16" borderId="0" xfId="49" applyNumberFormat="1" applyFont="1" applyFill="1" applyAlignment="1">
      <alignment horizontal="left"/>
    </xf>
    <xf numFmtId="168" fontId="0" fillId="16" borderId="0" xfId="62" applyNumberFormat="1" applyFont="1" applyFill="1"/>
    <xf numFmtId="15" fontId="35" fillId="16" borderId="0" xfId="49" applyNumberFormat="1" applyFont="1" applyFill="1"/>
    <xf numFmtId="0" fontId="115" fillId="16" borderId="0" xfId="49" applyFont="1" applyFill="1" applyBorder="1" applyAlignment="1">
      <alignment horizontal="centerContinuous"/>
    </xf>
    <xf numFmtId="0" fontId="115" fillId="16" borderId="2" xfId="49" applyFont="1" applyFill="1" applyBorder="1" applyAlignment="1">
      <alignment horizontal="centerContinuous"/>
    </xf>
    <xf numFmtId="0" fontId="115" fillId="16" borderId="2" xfId="49" applyFont="1" applyFill="1" applyBorder="1" applyAlignment="1">
      <alignment horizontal="center"/>
    </xf>
    <xf numFmtId="0" fontId="115" fillId="16" borderId="0" xfId="49" applyFont="1" applyFill="1" applyBorder="1" applyAlignment="1">
      <alignment horizontal="center"/>
    </xf>
    <xf numFmtId="5" fontId="9" fillId="16" borderId="0" xfId="0" applyNumberFormat="1" applyFont="1" applyFill="1"/>
    <xf numFmtId="7" fontId="115" fillId="16" borderId="0" xfId="49" applyNumberFormat="1" applyFont="1" applyFill="1" applyBorder="1" applyAlignment="1">
      <alignment horizontal="center"/>
    </xf>
    <xf numFmtId="0" fontId="115" fillId="16" borderId="0" xfId="49" applyFont="1" applyFill="1" applyBorder="1" applyAlignment="1"/>
    <xf numFmtId="0" fontId="9" fillId="16" borderId="0" xfId="0" applyFont="1" applyFill="1" applyAlignment="1">
      <alignment horizontal="centerContinuous"/>
    </xf>
    <xf numFmtId="168" fontId="9" fillId="16" borderId="0" xfId="62" applyNumberFormat="1" applyFont="1" applyFill="1" applyBorder="1"/>
    <xf numFmtId="0" fontId="35" fillId="16" borderId="0" xfId="49" applyNumberFormat="1" applyFont="1" applyFill="1"/>
    <xf numFmtId="0" fontId="35" fillId="16" borderId="0" xfId="62" quotePrefix="1" applyNumberFormat="1" applyFont="1" applyFill="1" applyBorder="1" applyAlignment="1">
      <alignment horizontal="centerContinuous"/>
    </xf>
    <xf numFmtId="0" fontId="18" fillId="16" borderId="2" xfId="62" applyNumberFormat="1" applyFont="1" applyFill="1" applyBorder="1" applyAlignment="1">
      <alignment horizontal="centerContinuous"/>
    </xf>
    <xf numFmtId="0" fontId="35" fillId="16" borderId="2" xfId="62" applyNumberFormat="1" applyFont="1" applyFill="1" applyBorder="1" applyAlignment="1">
      <alignment horizontal="centerContinuous"/>
    </xf>
    <xf numFmtId="0" fontId="35" fillId="16" borderId="0" xfId="62" applyNumberFormat="1" applyFont="1" applyFill="1" applyBorder="1" applyAlignment="1">
      <alignment horizontal="centerContinuous"/>
    </xf>
    <xf numFmtId="0" fontId="12" fillId="16" borderId="2" xfId="62" applyNumberFormat="1" applyFont="1" applyFill="1" applyBorder="1" applyAlignment="1">
      <alignment horizontal="centerContinuous"/>
    </xf>
    <xf numFmtId="0" fontId="9" fillId="16" borderId="2" xfId="62" applyNumberFormat="1" applyFont="1" applyFill="1" applyBorder="1" applyAlignment="1">
      <alignment horizontal="centerContinuous"/>
    </xf>
    <xf numFmtId="0" fontId="13" fillId="16" borderId="2" xfId="62" applyNumberFormat="1" applyFont="1" applyFill="1" applyBorder="1" applyAlignment="1">
      <alignment horizontal="centerContinuous"/>
    </xf>
    <xf numFmtId="0" fontId="13" fillId="16" borderId="0" xfId="62" applyNumberFormat="1" applyFont="1" applyFill="1" applyBorder="1" applyAlignment="1">
      <alignment horizontal="centerContinuous"/>
    </xf>
    <xf numFmtId="0" fontId="9" fillId="16" borderId="0" xfId="0" applyFont="1" applyFill="1" applyBorder="1" applyAlignment="1">
      <alignment horizontal="center" wrapText="1"/>
    </xf>
    <xf numFmtId="0" fontId="116" fillId="16" borderId="0" xfId="49" applyFont="1" applyFill="1"/>
    <xf numFmtId="172" fontId="116" fillId="16" borderId="0" xfId="72" applyFont="1" applyFill="1" applyAlignment="1">
      <alignment horizontal="center"/>
    </xf>
    <xf numFmtId="172" fontId="117" fillId="16" borderId="0" xfId="72" applyFont="1" applyFill="1" applyAlignment="1">
      <alignment horizontal="center"/>
    </xf>
    <xf numFmtId="172" fontId="42" fillId="16" borderId="0" xfId="72" applyFont="1" applyFill="1" applyAlignment="1">
      <alignment horizontal="center"/>
    </xf>
    <xf numFmtId="0" fontId="116" fillId="16" borderId="0" xfId="49" applyFont="1" applyFill="1" applyAlignment="1">
      <alignment horizontal="center"/>
    </xf>
    <xf numFmtId="172" fontId="117" fillId="16" borderId="0" xfId="72" applyFont="1" applyFill="1" applyBorder="1" applyAlignment="1">
      <alignment horizontal="center"/>
    </xf>
    <xf numFmtId="172" fontId="42" fillId="16" borderId="0" xfId="72" applyFont="1" applyFill="1" applyBorder="1" applyAlignment="1">
      <alignment horizontal="center"/>
    </xf>
    <xf numFmtId="172" fontId="42" fillId="16" borderId="22" xfId="72" applyFont="1" applyFill="1" applyBorder="1" applyAlignment="1">
      <alignment horizontal="center"/>
    </xf>
    <xf numFmtId="172" fontId="42" fillId="16" borderId="1" xfId="72" applyFont="1" applyFill="1" applyBorder="1" applyAlignment="1">
      <alignment horizontal="center"/>
    </xf>
    <xf numFmtId="172" fontId="118" fillId="16" borderId="0" xfId="72" applyFont="1" applyFill="1" applyAlignment="1">
      <alignment horizontal="center"/>
    </xf>
    <xf numFmtId="0" fontId="118" fillId="16" borderId="0" xfId="49" applyFont="1" applyFill="1" applyAlignment="1">
      <alignment horizontal="center"/>
    </xf>
    <xf numFmtId="172" fontId="118" fillId="16" borderId="0" xfId="72" applyFont="1" applyFill="1" applyBorder="1" applyAlignment="1">
      <alignment horizontal="center"/>
    </xf>
    <xf numFmtId="0" fontId="118" fillId="16" borderId="0" xfId="49" applyFont="1" applyFill="1" applyBorder="1" applyAlignment="1">
      <alignment horizontal="center"/>
    </xf>
    <xf numFmtId="0" fontId="35" fillId="16" borderId="22" xfId="49" applyFont="1" applyFill="1" applyBorder="1"/>
    <xf numFmtId="0" fontId="35" fillId="16" borderId="1" xfId="49" applyFont="1" applyFill="1" applyBorder="1"/>
    <xf numFmtId="5" fontId="35" fillId="16" borderId="0" xfId="49" applyNumberFormat="1" applyFont="1" applyFill="1"/>
    <xf numFmtId="5" fontId="35" fillId="16" borderId="0" xfId="49" applyNumberFormat="1" applyFont="1" applyFill="1" applyAlignment="1">
      <alignment horizontal="right"/>
    </xf>
    <xf numFmtId="5" fontId="35" fillId="16" borderId="0" xfId="49" applyNumberFormat="1" applyFont="1" applyFill="1" applyBorder="1" applyAlignment="1">
      <alignment horizontal="right"/>
    </xf>
    <xf numFmtId="5" fontId="35" fillId="16" borderId="22" xfId="49" applyNumberFormat="1" applyFont="1" applyFill="1" applyBorder="1" applyAlignment="1">
      <alignment horizontal="right"/>
    </xf>
    <xf numFmtId="5" fontId="35" fillId="16" borderId="1" xfId="49" applyNumberFormat="1" applyFont="1" applyFill="1" applyBorder="1" applyAlignment="1">
      <alignment horizontal="right"/>
    </xf>
    <xf numFmtId="192" fontId="35" fillId="16" borderId="0" xfId="49" applyNumberFormat="1" applyFont="1" applyFill="1" applyAlignment="1">
      <alignment horizontal="right"/>
    </xf>
    <xf numFmtId="37" fontId="35" fillId="16" borderId="0" xfId="49" applyNumberFormat="1" applyFont="1" applyFill="1"/>
    <xf numFmtId="37" fontId="35" fillId="16" borderId="0" xfId="49" applyNumberFormat="1" applyFont="1" applyFill="1" applyAlignment="1">
      <alignment horizontal="center"/>
    </xf>
    <xf numFmtId="37" fontId="35" fillId="16" borderId="0" xfId="49" applyNumberFormat="1" applyFont="1" applyFill="1" applyBorder="1"/>
    <xf numFmtId="37" fontId="35" fillId="16" borderId="22" xfId="49" applyNumberFormat="1" applyFont="1" applyFill="1" applyBorder="1"/>
    <xf numFmtId="37" fontId="35" fillId="16" borderId="1" xfId="49" applyNumberFormat="1" applyFont="1" applyFill="1" applyBorder="1"/>
    <xf numFmtId="37" fontId="119" fillId="16" borderId="0" xfId="49" applyNumberFormat="1" applyFont="1" applyFill="1"/>
    <xf numFmtId="37" fontId="119" fillId="16" borderId="0" xfId="49" applyNumberFormat="1" applyFont="1" applyFill="1" applyBorder="1"/>
    <xf numFmtId="37" fontId="119" fillId="16" borderId="1" xfId="49" applyNumberFormat="1" applyFont="1" applyFill="1" applyBorder="1"/>
    <xf numFmtId="37" fontId="88" fillId="16" borderId="0" xfId="49" applyNumberFormat="1" applyFont="1" applyFill="1" applyBorder="1"/>
    <xf numFmtId="37" fontId="88" fillId="16" borderId="1" xfId="49" applyNumberFormat="1" applyFont="1" applyFill="1" applyBorder="1"/>
    <xf numFmtId="37" fontId="88" fillId="16" borderId="22" xfId="49" applyNumberFormat="1" applyFont="1" applyFill="1" applyBorder="1"/>
    <xf numFmtId="37" fontId="88" fillId="16" borderId="0" xfId="49" applyNumberFormat="1" applyFont="1" applyFill="1"/>
    <xf numFmtId="0" fontId="88" fillId="16" borderId="0" xfId="0" applyFont="1" applyFill="1"/>
    <xf numFmtId="2" fontId="35" fillId="16" borderId="0" xfId="49" applyNumberFormat="1" applyFont="1" applyFill="1"/>
    <xf numFmtId="2" fontId="35" fillId="16" borderId="0" xfId="49" applyNumberFormat="1" applyFont="1" applyFill="1" applyBorder="1"/>
    <xf numFmtId="2" fontId="35" fillId="16" borderId="22" xfId="49" applyNumberFormat="1" applyFont="1" applyFill="1" applyBorder="1"/>
    <xf numFmtId="2" fontId="35" fillId="16" borderId="1" xfId="49" applyNumberFormat="1" applyFont="1" applyFill="1" applyBorder="1"/>
    <xf numFmtId="9" fontId="9" fillId="16" borderId="0" xfId="62" applyFont="1" applyFill="1"/>
    <xf numFmtId="192" fontId="35" fillId="16" borderId="0" xfId="49" applyNumberFormat="1" applyFont="1" applyFill="1"/>
    <xf numFmtId="192" fontId="35" fillId="16" borderId="0" xfId="49" applyNumberFormat="1" applyFont="1" applyFill="1" applyBorder="1"/>
    <xf numFmtId="252" fontId="35" fillId="16" borderId="0" xfId="49" applyNumberFormat="1" applyFont="1" applyFill="1"/>
    <xf numFmtId="252" fontId="120" fillId="16" borderId="0" xfId="49" applyNumberFormat="1" applyFont="1" applyFill="1"/>
    <xf numFmtId="192" fontId="35" fillId="16" borderId="22" xfId="49" applyNumberFormat="1" applyFont="1" applyFill="1" applyBorder="1"/>
    <xf numFmtId="192" fontId="35" fillId="16" borderId="1" xfId="49" applyNumberFormat="1" applyFont="1" applyFill="1" applyBorder="1"/>
    <xf numFmtId="252" fontId="35" fillId="16" borderId="0" xfId="49" applyNumberFormat="1" applyFont="1" applyFill="1" applyBorder="1"/>
    <xf numFmtId="5" fontId="35" fillId="16" borderId="6" xfId="49" applyNumberFormat="1" applyFont="1" applyFill="1" applyBorder="1" applyAlignment="1">
      <alignment horizontal="right"/>
    </xf>
    <xf numFmtId="7" fontId="35" fillId="16" borderId="6" xfId="49" applyNumberFormat="1" applyFont="1" applyFill="1" applyBorder="1" applyAlignment="1">
      <alignment horizontal="right"/>
    </xf>
    <xf numFmtId="7" fontId="19" fillId="16" borderId="6" xfId="49" applyNumberFormat="1" applyFont="1" applyFill="1" applyBorder="1" applyAlignment="1">
      <alignment horizontal="right"/>
    </xf>
    <xf numFmtId="7" fontId="9" fillId="16" borderId="6" xfId="49" applyNumberFormat="1" applyFont="1" applyFill="1" applyBorder="1" applyAlignment="1">
      <alignment horizontal="right"/>
    </xf>
    <xf numFmtId="170" fontId="35" fillId="16" borderId="0" xfId="49" applyNumberFormat="1" applyFont="1" applyFill="1"/>
    <xf numFmtId="170" fontId="35" fillId="16" borderId="0" xfId="49" applyNumberFormat="1" applyFont="1" applyFill="1" applyAlignment="1">
      <alignment horizontal="right"/>
    </xf>
    <xf numFmtId="170" fontId="35" fillId="16" borderId="0" xfId="49" applyNumberFormat="1" applyFont="1" applyFill="1" applyBorder="1" applyAlignment="1">
      <alignment horizontal="right"/>
    </xf>
    <xf numFmtId="170" fontId="35" fillId="16" borderId="22" xfId="49" applyNumberFormat="1" applyFont="1" applyFill="1" applyBorder="1" applyAlignment="1">
      <alignment horizontal="right"/>
    </xf>
    <xf numFmtId="170" fontId="35" fillId="16" borderId="1" xfId="49" applyNumberFormat="1" applyFont="1" applyFill="1" applyBorder="1" applyAlignment="1">
      <alignment horizontal="right"/>
    </xf>
    <xf numFmtId="186" fontId="35" fillId="16" borderId="0" xfId="49" applyNumberFormat="1" applyFont="1" applyFill="1"/>
    <xf numFmtId="186" fontId="35" fillId="16" borderId="0" xfId="49" applyNumberFormat="1" applyFont="1" applyFill="1" applyBorder="1"/>
    <xf numFmtId="186" fontId="35" fillId="16" borderId="1" xfId="49" applyNumberFormat="1" applyFont="1" applyFill="1" applyBorder="1"/>
    <xf numFmtId="186" fontId="35" fillId="16" borderId="22" xfId="49" applyNumberFormat="1" applyFont="1" applyFill="1" applyBorder="1"/>
    <xf numFmtId="7" fontId="35" fillId="16" borderId="0" xfId="49" applyNumberFormat="1" applyFont="1" applyFill="1"/>
    <xf numFmtId="7" fontId="35" fillId="16" borderId="0" xfId="49" applyNumberFormat="1" applyFont="1" applyFill="1" applyBorder="1"/>
    <xf numFmtId="175" fontId="35" fillId="16" borderId="0" xfId="49" applyNumberFormat="1" applyFont="1" applyFill="1" applyAlignment="1">
      <alignment horizontal="right"/>
    </xf>
    <xf numFmtId="7" fontId="9" fillId="16" borderId="0" xfId="0" applyNumberFormat="1" applyFont="1" applyFill="1"/>
    <xf numFmtId="170" fontId="35" fillId="16" borderId="0" xfId="49" applyNumberFormat="1" applyFont="1" applyFill="1" applyBorder="1"/>
    <xf numFmtId="277" fontId="35" fillId="16" borderId="0" xfId="49" applyNumberFormat="1" applyFont="1" applyFill="1" applyBorder="1"/>
    <xf numFmtId="193" fontId="35" fillId="16" borderId="0" xfId="49" applyNumberFormat="1" applyFont="1" applyFill="1" applyBorder="1"/>
    <xf numFmtId="43" fontId="35" fillId="16" borderId="0" xfId="34" applyFont="1" applyFill="1" applyBorder="1"/>
    <xf numFmtId="7" fontId="35" fillId="16" borderId="1" xfId="49" applyNumberFormat="1" applyFont="1" applyFill="1" applyBorder="1"/>
    <xf numFmtId="168" fontId="35" fillId="16" borderId="0" xfId="49" applyNumberFormat="1" applyFont="1" applyFill="1" applyAlignment="1">
      <alignment horizontal="right"/>
    </xf>
    <xf numFmtId="193" fontId="35" fillId="16" borderId="0" xfId="62" applyNumberFormat="1" applyFont="1" applyFill="1" applyAlignment="1">
      <alignment horizontal="right"/>
    </xf>
    <xf numFmtId="193" fontId="35" fillId="16" borderId="0" xfId="62" applyNumberFormat="1" applyFont="1" applyFill="1" applyBorder="1" applyAlignment="1">
      <alignment horizontal="right"/>
    </xf>
    <xf numFmtId="168" fontId="35" fillId="16" borderId="0" xfId="62" applyNumberFormat="1" applyFont="1" applyFill="1" applyBorder="1" applyAlignment="1">
      <alignment horizontal="right"/>
    </xf>
    <xf numFmtId="168" fontId="35" fillId="16" borderId="22" xfId="62" applyNumberFormat="1" applyFont="1" applyFill="1" applyBorder="1" applyAlignment="1">
      <alignment horizontal="right"/>
    </xf>
    <xf numFmtId="168" fontId="35" fillId="16" borderId="1" xfId="62" applyNumberFormat="1" applyFont="1" applyFill="1" applyBorder="1" applyAlignment="1">
      <alignment horizontal="right"/>
    </xf>
    <xf numFmtId="168" fontId="35" fillId="16" borderId="0" xfId="62" applyNumberFormat="1" applyFont="1" applyFill="1" applyAlignment="1">
      <alignment horizontal="right"/>
    </xf>
    <xf numFmtId="168" fontId="35" fillId="16" borderId="0" xfId="49" applyNumberFormat="1" applyFont="1" applyFill="1"/>
    <xf numFmtId="168" fontId="35" fillId="16" borderId="0" xfId="49" applyNumberFormat="1" applyFont="1" applyFill="1" applyBorder="1"/>
    <xf numFmtId="168" fontId="35" fillId="16" borderId="22" xfId="49" applyNumberFormat="1" applyFont="1" applyFill="1" applyBorder="1"/>
    <xf numFmtId="168" fontId="35" fillId="16" borderId="1" xfId="49" applyNumberFormat="1" applyFont="1" applyFill="1" applyBorder="1"/>
    <xf numFmtId="227" fontId="35" fillId="16" borderId="0" xfId="49" applyNumberFormat="1" applyFont="1" applyFill="1" applyBorder="1"/>
    <xf numFmtId="43" fontId="35" fillId="16" borderId="1" xfId="34" applyFont="1" applyFill="1" applyBorder="1"/>
    <xf numFmtId="193" fontId="35" fillId="16" borderId="0" xfId="55" applyNumberFormat="1" applyFont="1" applyFill="1" applyAlignment="1">
      <alignment horizontal="right"/>
    </xf>
    <xf numFmtId="168" fontId="35" fillId="16" borderId="0" xfId="55" applyNumberFormat="1" applyFont="1" applyFill="1" applyAlignment="1">
      <alignment horizontal="right"/>
    </xf>
    <xf numFmtId="277" fontId="35" fillId="16" borderId="0" xfId="62" applyNumberFormat="1" applyFont="1" applyFill="1" applyBorder="1" applyAlignment="1">
      <alignment horizontal="right"/>
    </xf>
    <xf numFmtId="172" fontId="35" fillId="16" borderId="0" xfId="34" applyNumberFormat="1" applyFont="1" applyFill="1" applyAlignment="1">
      <alignment horizontal="right"/>
    </xf>
    <xf numFmtId="168" fontId="35" fillId="16" borderId="0" xfId="34" applyNumberFormat="1" applyFont="1" applyFill="1" applyAlignment="1">
      <alignment horizontal="right"/>
    </xf>
    <xf numFmtId="193" fontId="46" fillId="16" borderId="0" xfId="62" applyNumberFormat="1" applyFont="1" applyFill="1" applyAlignment="1">
      <alignment horizontal="right"/>
    </xf>
    <xf numFmtId="168" fontId="46" fillId="16" borderId="0" xfId="34" applyNumberFormat="1" applyFont="1" applyFill="1" applyAlignment="1">
      <alignment horizontal="right"/>
    </xf>
    <xf numFmtId="193" fontId="46" fillId="16" borderId="0" xfId="62" applyNumberFormat="1" applyFont="1" applyFill="1" applyBorder="1" applyAlignment="1">
      <alignment horizontal="right"/>
    </xf>
    <xf numFmtId="193" fontId="46" fillId="16" borderId="1" xfId="62" applyNumberFormat="1" applyFont="1" applyFill="1" applyBorder="1" applyAlignment="1">
      <alignment horizontal="right"/>
    </xf>
    <xf numFmtId="170" fontId="35" fillId="16" borderId="0" xfId="49" applyNumberFormat="1" applyFont="1" applyFill="1" applyAlignment="1">
      <alignment horizontal="left" indent="1"/>
    </xf>
    <xf numFmtId="168" fontId="9" fillId="16" borderId="0" xfId="62" applyNumberFormat="1" applyFont="1" applyFill="1" applyAlignment="1">
      <alignment horizontal="right"/>
    </xf>
    <xf numFmtId="193" fontId="35" fillId="16" borderId="1" xfId="62" applyNumberFormat="1" applyFont="1" applyFill="1" applyBorder="1" applyAlignment="1">
      <alignment horizontal="right"/>
    </xf>
    <xf numFmtId="168" fontId="121" fillId="16" borderId="2" xfId="62" applyNumberFormat="1" applyFont="1" applyFill="1" applyBorder="1" applyAlignment="1">
      <alignment horizontal="right"/>
    </xf>
    <xf numFmtId="168" fontId="35" fillId="16" borderId="2" xfId="49" applyNumberFormat="1" applyFont="1" applyFill="1" applyBorder="1" applyAlignment="1">
      <alignment horizontal="right"/>
    </xf>
    <xf numFmtId="193" fontId="35" fillId="16" borderId="2" xfId="62" applyNumberFormat="1" applyFont="1" applyFill="1" applyBorder="1" applyAlignment="1">
      <alignment horizontal="right"/>
    </xf>
    <xf numFmtId="168" fontId="35" fillId="16" borderId="2" xfId="62" applyNumberFormat="1" applyFont="1" applyFill="1" applyBorder="1" applyAlignment="1">
      <alignment horizontal="right"/>
    </xf>
    <xf numFmtId="168" fontId="35" fillId="16" borderId="21" xfId="62" applyNumberFormat="1" applyFont="1" applyFill="1" applyBorder="1" applyAlignment="1">
      <alignment horizontal="right"/>
    </xf>
    <xf numFmtId="193" fontId="35" fillId="16" borderId="20" xfId="62" applyNumberFormat="1" applyFont="1" applyFill="1" applyBorder="1" applyAlignment="1">
      <alignment horizontal="right"/>
    </xf>
    <xf numFmtId="168" fontId="35" fillId="16" borderId="20" xfId="62" applyNumberFormat="1" applyFont="1" applyFill="1" applyBorder="1" applyAlignment="1">
      <alignment horizontal="right"/>
    </xf>
    <xf numFmtId="0" fontId="35" fillId="16" borderId="0" xfId="49" applyNumberFormat="1" applyFont="1" applyFill="1" applyBorder="1"/>
    <xf numFmtId="0" fontId="12" fillId="16" borderId="0" xfId="0" applyFont="1" applyFill="1" applyBorder="1" applyAlignment="1">
      <alignment horizontal="center" wrapText="1"/>
    </xf>
    <xf numFmtId="0" fontId="0" fillId="16" borderId="0" xfId="0" applyFill="1" applyBorder="1"/>
    <xf numFmtId="2" fontId="0" fillId="0" borderId="0" xfId="0" applyNumberFormat="1"/>
    <xf numFmtId="5" fontId="35" fillId="16" borderId="6" xfId="49" applyNumberFormat="1" applyFont="1" applyFill="1" applyBorder="1"/>
    <xf numFmtId="0" fontId="116" fillId="16" borderId="7" xfId="49" applyFont="1" applyFill="1" applyBorder="1"/>
    <xf numFmtId="0" fontId="1" fillId="16" borderId="17" xfId="0" applyFont="1" applyFill="1" applyBorder="1"/>
    <xf numFmtId="0" fontId="42" fillId="16" borderId="17" xfId="72" applyNumberFormat="1" applyFont="1" applyFill="1" applyBorder="1" applyAlignment="1">
      <alignment horizontal="right"/>
    </xf>
    <xf numFmtId="0" fontId="116" fillId="16" borderId="17" xfId="49" applyFont="1" applyFill="1" applyBorder="1" applyAlignment="1">
      <alignment horizontal="right"/>
    </xf>
    <xf numFmtId="175" fontId="35" fillId="16" borderId="1" xfId="49" applyNumberFormat="1" applyFont="1" applyFill="1" applyBorder="1"/>
    <xf numFmtId="0" fontId="1" fillId="16" borderId="0" xfId="0" applyFont="1" applyFill="1" applyBorder="1"/>
    <xf numFmtId="37" fontId="35" fillId="16" borderId="0" xfId="49" applyNumberFormat="1" applyFont="1" applyFill="1" applyBorder="1" applyAlignment="1">
      <alignment horizontal="right"/>
    </xf>
    <xf numFmtId="0" fontId="35" fillId="16" borderId="0" xfId="49" applyFont="1" applyFill="1" applyBorder="1"/>
    <xf numFmtId="0" fontId="0" fillId="16" borderId="1" xfId="0" applyFill="1" applyBorder="1"/>
    <xf numFmtId="0" fontId="0" fillId="16" borderId="0" xfId="0" applyFill="1" applyBorder="1"/>
    <xf numFmtId="0" fontId="35" fillId="16" borderId="0" xfId="49" applyNumberFormat="1" applyFont="1" applyFill="1" applyBorder="1"/>
    <xf numFmtId="168" fontId="35" fillId="16" borderId="0" xfId="62" applyNumberFormat="1" applyFont="1" applyFill="1" applyBorder="1" applyAlignment="1">
      <alignment horizontal="right"/>
    </xf>
    <xf numFmtId="0" fontId="35" fillId="16" borderId="1" xfId="49" applyFont="1" applyFill="1" applyBorder="1"/>
    <xf numFmtId="0" fontId="1" fillId="16" borderId="1" xfId="0" applyFont="1" applyFill="1" applyBorder="1"/>
    <xf numFmtId="282" fontId="0" fillId="16" borderId="0" xfId="35" applyNumberFormat="1" applyFont="1" applyFill="1" applyBorder="1"/>
    <xf numFmtId="0" fontId="1" fillId="16" borderId="20" xfId="0" applyFont="1" applyFill="1" applyBorder="1"/>
    <xf numFmtId="0" fontId="1" fillId="16" borderId="2" xfId="0" applyFont="1" applyFill="1" applyBorder="1"/>
    <xf numFmtId="0" fontId="0" fillId="16" borderId="2" xfId="0" applyFill="1" applyBorder="1"/>
    <xf numFmtId="282" fontId="0" fillId="16" borderId="2" xfId="35" applyNumberFormat="1" applyFont="1" applyFill="1" applyBorder="1"/>
    <xf numFmtId="9" fontId="1" fillId="0" borderId="0" xfId="62" applyFont="1" applyFill="1" applyBorder="1"/>
    <xf numFmtId="9" fontId="1" fillId="0" borderId="0" xfId="62" applyFont="1" applyFill="1" applyBorder="1" applyAlignment="1">
      <alignment horizontal="right"/>
    </xf>
    <xf numFmtId="0" fontId="5" fillId="0" borderId="19" xfId="74" applyFont="1" applyBorder="1" applyAlignment="1">
      <alignment wrapText="1"/>
    </xf>
    <xf numFmtId="0" fontId="77" fillId="0" borderId="9" xfId="74" applyFont="1" applyBorder="1"/>
    <xf numFmtId="0" fontId="5" fillId="0" borderId="9" xfId="74" applyFont="1" applyBorder="1"/>
    <xf numFmtId="0" fontId="5" fillId="0" borderId="9" xfId="74" applyFont="1" applyBorder="1" applyAlignment="1">
      <alignment horizontal="right"/>
    </xf>
    <xf numFmtId="0" fontId="77" fillId="0" borderId="9" xfId="74" applyFont="1" applyBorder="1" applyAlignment="1">
      <alignment horizontal="right"/>
    </xf>
    <xf numFmtId="0" fontId="5" fillId="0" borderId="23" xfId="74" applyFont="1" applyBorder="1"/>
    <xf numFmtId="0" fontId="5" fillId="0" borderId="0" xfId="74" applyFont="1"/>
    <xf numFmtId="0" fontId="90" fillId="0" borderId="5" xfId="74" applyFont="1" applyBorder="1"/>
    <xf numFmtId="0" fontId="1" fillId="17" borderId="0" xfId="74" applyFont="1" applyFill="1" applyAlignment="1">
      <alignment wrapText="1"/>
    </xf>
    <xf numFmtId="0" fontId="45" fillId="17" borderId="0" xfId="74" applyFont="1" applyFill="1"/>
    <xf numFmtId="0" fontId="1" fillId="17" borderId="0" xfId="74" applyFont="1" applyFill="1" applyBorder="1"/>
    <xf numFmtId="0" fontId="1" fillId="17" borderId="0" xfId="74" applyFont="1" applyFill="1" applyAlignment="1">
      <alignment horizontal="right"/>
    </xf>
    <xf numFmtId="0" fontId="142" fillId="17" borderId="0" xfId="74" applyFont="1" applyFill="1" applyAlignment="1">
      <alignment horizontal="right"/>
    </xf>
    <xf numFmtId="0" fontId="1" fillId="17" borderId="0" xfId="74" applyFont="1" applyFill="1"/>
    <xf numFmtId="0" fontId="1" fillId="0" borderId="0" xfId="74" applyFont="1"/>
    <xf numFmtId="0" fontId="91" fillId="0" borderId="5" xfId="74" applyFont="1" applyBorder="1"/>
    <xf numFmtId="0" fontId="1" fillId="0" borderId="0" xfId="74" applyFont="1" applyFill="1" applyAlignment="1">
      <alignment wrapText="1"/>
    </xf>
    <xf numFmtId="0" fontId="45" fillId="0" borderId="0" xfId="74" applyFont="1" applyFill="1"/>
    <xf numFmtId="0" fontId="1" fillId="0" borderId="0" xfId="74" applyFont="1" applyFill="1" applyBorder="1"/>
    <xf numFmtId="0" fontId="1" fillId="0" borderId="0" xfId="74" applyFont="1" applyFill="1" applyAlignment="1">
      <alignment horizontal="right"/>
    </xf>
    <xf numFmtId="0" fontId="143" fillId="19" borderId="26" xfId="74" applyFont="1" applyFill="1" applyBorder="1" applyAlignment="1">
      <alignment horizontal="center"/>
    </xf>
    <xf numFmtId="0" fontId="1" fillId="0" borderId="0" xfId="74" applyFont="1" applyFill="1"/>
    <xf numFmtId="0" fontId="1" fillId="16" borderId="0" xfId="74" applyFont="1" applyFill="1" applyBorder="1" applyAlignment="1">
      <alignment horizontal="left"/>
    </xf>
    <xf numFmtId="0" fontId="1" fillId="16" borderId="0" xfId="74" applyFont="1" applyFill="1" applyBorder="1" applyAlignment="1">
      <alignment horizontal="right"/>
    </xf>
    <xf numFmtId="0" fontId="119" fillId="16" borderId="0" xfId="74" applyFont="1" applyFill="1" applyBorder="1" applyAlignment="1">
      <alignment horizontal="right"/>
    </xf>
    <xf numFmtId="0" fontId="119" fillId="0" borderId="0" xfId="74" applyFont="1" applyFill="1" applyAlignment="1">
      <alignment horizontal="right"/>
    </xf>
    <xf numFmtId="0" fontId="91" fillId="0" borderId="0" xfId="74" applyFont="1" applyFill="1" applyAlignment="1">
      <alignment horizontal="right"/>
    </xf>
    <xf numFmtId="0" fontId="91" fillId="0" borderId="5" xfId="74" applyFont="1" applyFill="1" applyBorder="1"/>
    <xf numFmtId="0" fontId="1" fillId="0" borderId="0" xfId="74" applyFont="1" applyAlignment="1">
      <alignment wrapText="1"/>
    </xf>
    <xf numFmtId="0" fontId="45" fillId="0" borderId="0" xfId="74" applyFont="1"/>
    <xf numFmtId="0" fontId="45" fillId="0" borderId="0" xfId="74" applyFont="1" applyFill="1" applyBorder="1"/>
    <xf numFmtId="0" fontId="1" fillId="0" borderId="0" xfId="74" applyFont="1" applyAlignment="1">
      <alignment horizontal="right"/>
    </xf>
    <xf numFmtId="0" fontId="1" fillId="0" borderId="0" xfId="74" applyFont="1" applyBorder="1"/>
    <xf numFmtId="0" fontId="45" fillId="0" borderId="0" xfId="74" applyFont="1" applyAlignment="1">
      <alignment horizontal="right"/>
    </xf>
    <xf numFmtId="0" fontId="1" fillId="0" borderId="0" xfId="74" applyNumberFormat="1" applyFont="1" applyBorder="1"/>
    <xf numFmtId="0" fontId="45" fillId="16" borderId="0" xfId="74" applyFont="1" applyFill="1" applyAlignment="1">
      <alignment horizontal="right"/>
    </xf>
    <xf numFmtId="0" fontId="45" fillId="0" borderId="0" xfId="74" applyFont="1" applyAlignment="1">
      <alignment wrapText="1"/>
    </xf>
    <xf numFmtId="1" fontId="1" fillId="0" borderId="0" xfId="51" applyNumberFormat="1" applyFont="1" applyBorder="1" applyAlignment="1">
      <alignment horizontal="right"/>
    </xf>
    <xf numFmtId="188" fontId="1" fillId="0" borderId="0" xfId="52" applyNumberFormat="1" applyFont="1" applyFill="1" applyBorder="1"/>
    <xf numFmtId="182" fontId="1" fillId="0" borderId="0" xfId="74" applyNumberFormat="1" applyFont="1" applyAlignment="1">
      <alignment horizontal="right"/>
    </xf>
    <xf numFmtId="0" fontId="1" fillId="0" borderId="0" xfId="52" applyFont="1" applyFill="1" applyBorder="1"/>
    <xf numFmtId="253" fontId="1" fillId="0" borderId="0" xfId="75" applyNumberFormat="1" applyFont="1" applyFill="1" applyBorder="1" applyAlignment="1">
      <alignment horizontal="right"/>
    </xf>
    <xf numFmtId="253" fontId="1" fillId="0" borderId="0" xfId="75" applyNumberFormat="1" applyFont="1" applyFill="1" applyAlignment="1">
      <alignment horizontal="right"/>
    </xf>
    <xf numFmtId="188" fontId="1" fillId="0" borderId="0" xfId="52" applyNumberFormat="1" applyFont="1" applyFill="1" applyBorder="1" applyAlignment="1" applyProtection="1">
      <alignment horizontal="left"/>
    </xf>
    <xf numFmtId="253" fontId="1" fillId="0" borderId="2" xfId="75" applyNumberFormat="1" applyFont="1" applyFill="1" applyBorder="1" applyAlignment="1">
      <alignment horizontal="right"/>
    </xf>
    <xf numFmtId="253" fontId="12" fillId="0" borderId="0" xfId="75" applyNumberFormat="1" applyFont="1" applyFill="1" applyAlignment="1">
      <alignment horizontal="right"/>
    </xf>
    <xf numFmtId="182" fontId="1" fillId="0" borderId="0" xfId="74" applyNumberFormat="1" applyFont="1" applyFill="1" applyBorder="1" applyAlignment="1">
      <alignment horizontal="right"/>
    </xf>
    <xf numFmtId="182" fontId="1" fillId="0" borderId="0" xfId="74" applyNumberFormat="1" applyFont="1" applyFill="1" applyAlignment="1">
      <alignment horizontal="right"/>
    </xf>
    <xf numFmtId="0" fontId="1" fillId="0" borderId="0" xfId="74" applyFont="1" applyBorder="1" applyAlignment="1">
      <alignment wrapText="1"/>
    </xf>
    <xf numFmtId="0" fontId="12" fillId="0" borderId="0" xfId="74" applyFont="1" applyFill="1" applyBorder="1"/>
    <xf numFmtId="259" fontId="12" fillId="0" borderId="0" xfId="76" applyNumberFormat="1" applyFont="1" applyFill="1" applyBorder="1" applyAlignment="1">
      <alignment horizontal="right"/>
    </xf>
    <xf numFmtId="0" fontId="45" fillId="0" borderId="0" xfId="74" applyFont="1" applyBorder="1"/>
    <xf numFmtId="0" fontId="1" fillId="0" borderId="0" xfId="52" applyFont="1" applyFill="1" applyBorder="1" applyAlignment="1">
      <alignment horizontal="left"/>
    </xf>
    <xf numFmtId="253" fontId="1" fillId="0" borderId="0" xfId="74" applyNumberFormat="1" applyFont="1" applyFill="1" applyAlignment="1">
      <alignment horizontal="right"/>
    </xf>
    <xf numFmtId="253" fontId="45" fillId="0" borderId="0" xfId="74" applyNumberFormat="1" applyFont="1"/>
    <xf numFmtId="0" fontId="1" fillId="0" borderId="0" xfId="74" applyFont="1" applyFill="1" applyBorder="1" applyAlignment="1">
      <alignment horizontal="left" indent="1"/>
    </xf>
    <xf numFmtId="253" fontId="1" fillId="0" borderId="2" xfId="74" applyNumberFormat="1" applyFont="1" applyFill="1" applyBorder="1" applyAlignment="1">
      <alignment horizontal="right"/>
    </xf>
    <xf numFmtId="253" fontId="12" fillId="0" borderId="0" xfId="74" applyNumberFormat="1" applyFont="1" applyFill="1" applyAlignment="1">
      <alignment horizontal="right"/>
    </xf>
    <xf numFmtId="259" fontId="12" fillId="0" borderId="0" xfId="76" applyNumberFormat="1" applyFont="1" applyBorder="1" applyAlignment="1">
      <alignment horizontal="right"/>
    </xf>
    <xf numFmtId="0" fontId="1" fillId="0" borderId="0" xfId="52" applyFont="1" applyFill="1" applyBorder="1" applyAlignment="1">
      <alignment horizontal="left" indent="1"/>
    </xf>
    <xf numFmtId="0" fontId="1" fillId="0" borderId="0" xfId="52" applyFont="1" applyFill="1" applyBorder="1" applyAlignment="1">
      <alignment horizontal="left" indent="2"/>
    </xf>
    <xf numFmtId="0" fontId="12" fillId="0" borderId="0" xfId="74" applyFont="1" applyAlignment="1">
      <alignment wrapText="1"/>
    </xf>
    <xf numFmtId="0" fontId="39" fillId="0" borderId="0" xfId="74" applyFont="1"/>
    <xf numFmtId="0" fontId="12" fillId="0" borderId="0" xfId="74" applyFont="1"/>
    <xf numFmtId="0" fontId="144" fillId="0" borderId="5" xfId="74" applyFont="1" applyBorder="1"/>
    <xf numFmtId="253" fontId="86" fillId="0" borderId="0" xfId="74" applyNumberFormat="1" applyFont="1" applyAlignment="1">
      <alignment horizontal="right"/>
    </xf>
    <xf numFmtId="0" fontId="1" fillId="16" borderId="0" xfId="74" applyFont="1" applyFill="1" applyAlignment="1">
      <alignment wrapText="1"/>
    </xf>
    <xf numFmtId="0" fontId="45" fillId="16" borderId="0" xfId="74" applyFont="1" applyFill="1"/>
    <xf numFmtId="0" fontId="1" fillId="16" borderId="0" xfId="74" applyFont="1" applyFill="1" applyBorder="1"/>
    <xf numFmtId="0" fontId="12" fillId="16" borderId="0" xfId="74" applyFont="1" applyFill="1" applyBorder="1"/>
    <xf numFmtId="9" fontId="18" fillId="16" borderId="14" xfId="62" applyFont="1" applyFill="1" applyBorder="1" applyAlignment="1">
      <alignment horizontal="right"/>
    </xf>
    <xf numFmtId="9" fontId="1" fillId="16" borderId="0" xfId="62" applyFont="1" applyFill="1" applyAlignment="1">
      <alignment horizontal="right"/>
    </xf>
    <xf numFmtId="9" fontId="1" fillId="16" borderId="0" xfId="62" applyFont="1" applyFill="1"/>
    <xf numFmtId="0" fontId="1" fillId="16" borderId="0" xfId="74" applyFont="1" applyFill="1"/>
    <xf numFmtId="0" fontId="91" fillId="16" borderId="5" xfId="74" applyFont="1" applyFill="1" applyBorder="1"/>
    <xf numFmtId="253" fontId="1" fillId="0" borderId="0" xfId="74" applyNumberFormat="1" applyFont="1" applyAlignment="1">
      <alignment horizontal="right"/>
    </xf>
    <xf numFmtId="0" fontId="12" fillId="0" borderId="0" xfId="74" applyFont="1" applyBorder="1" applyAlignment="1">
      <alignment horizontal="left" indent="1"/>
    </xf>
    <xf numFmtId="0" fontId="1" fillId="0" borderId="0" xfId="74" applyFont="1" applyBorder="1" applyAlignment="1">
      <alignment horizontal="left" indent="1"/>
    </xf>
    <xf numFmtId="168" fontId="1" fillId="0" borderId="0" xfId="74" applyNumberFormat="1" applyFont="1" applyAlignment="1">
      <alignment horizontal="right"/>
    </xf>
    <xf numFmtId="0" fontId="22" fillId="0" borderId="0" xfId="74" applyFont="1" applyBorder="1"/>
    <xf numFmtId="0" fontId="12" fillId="0" borderId="0" xfId="74" applyFont="1" applyBorder="1"/>
    <xf numFmtId="0" fontId="21" fillId="0" borderId="0" xfId="74" applyFont="1" applyAlignment="1">
      <alignment wrapText="1"/>
    </xf>
    <xf numFmtId="0" fontId="44" fillId="0" borderId="0" xfId="74" applyFont="1"/>
    <xf numFmtId="0" fontId="21" fillId="0" borderId="0" xfId="74" applyFont="1" applyBorder="1"/>
    <xf numFmtId="0" fontId="21" fillId="0" borderId="0" xfId="74" applyFont="1"/>
    <xf numFmtId="0" fontId="145" fillId="0" borderId="5" xfId="74" applyFont="1" applyBorder="1"/>
    <xf numFmtId="168" fontId="1" fillId="16" borderId="0" xfId="74" applyNumberFormat="1" applyFont="1" applyFill="1" applyAlignment="1">
      <alignment wrapText="1"/>
    </xf>
    <xf numFmtId="168" fontId="1" fillId="15" borderId="0" xfId="74" applyNumberFormat="1" applyFont="1" applyFill="1" applyAlignment="1"/>
    <xf numFmtId="168" fontId="1" fillId="15" borderId="0" xfId="74" applyNumberFormat="1" applyFont="1" applyFill="1" applyAlignment="1">
      <alignment wrapText="1"/>
    </xf>
    <xf numFmtId="168" fontId="13" fillId="16" borderId="0" xfId="74" applyNumberFormat="1" applyFont="1" applyFill="1" applyAlignment="1">
      <alignment wrapText="1"/>
    </xf>
    <xf numFmtId="168" fontId="47" fillId="16" borderId="0" xfId="74" applyNumberFormat="1" applyFont="1" applyFill="1" applyBorder="1" applyAlignment="1">
      <alignment horizontal="right"/>
    </xf>
    <xf numFmtId="168" fontId="45" fillId="16" borderId="0" xfId="74" applyNumberFormat="1" applyFont="1" applyFill="1" applyAlignment="1">
      <alignment wrapText="1"/>
    </xf>
    <xf numFmtId="168" fontId="13" fillId="16" borderId="0" xfId="62" applyNumberFormat="1" applyFont="1" applyFill="1" applyBorder="1"/>
    <xf numFmtId="168" fontId="1" fillId="16" borderId="0" xfId="74" applyNumberFormat="1" applyFont="1" applyFill="1" applyAlignment="1"/>
    <xf numFmtId="168" fontId="13" fillId="0" borderId="0" xfId="62" applyNumberFormat="1" applyFont="1" applyFill="1" applyBorder="1"/>
    <xf numFmtId="167" fontId="1" fillId="0" borderId="0" xfId="74" applyNumberFormat="1" applyFont="1" applyFill="1" applyAlignment="1">
      <alignment horizontal="right"/>
    </xf>
    <xf numFmtId="253" fontId="13" fillId="0" borderId="0" xfId="75" applyNumberFormat="1" applyFont="1" applyFill="1" applyAlignment="1">
      <alignment horizontal="right"/>
    </xf>
    <xf numFmtId="253" fontId="1" fillId="0" borderId="0" xfId="75" applyNumberFormat="1" applyFont="1" applyAlignment="1">
      <alignment horizontal="right"/>
    </xf>
    <xf numFmtId="168" fontId="1" fillId="0" borderId="0" xfId="62" applyNumberFormat="1" applyFont="1" applyBorder="1" applyAlignment="1">
      <alignment horizontal="right"/>
    </xf>
    <xf numFmtId="168" fontId="13" fillId="0" borderId="0" xfId="62" applyNumberFormat="1" applyFont="1" applyFill="1" applyBorder="1" applyAlignment="1">
      <alignment horizontal="right"/>
    </xf>
    <xf numFmtId="257" fontId="1" fillId="0" borderId="0" xfId="76" applyNumberFormat="1" applyFont="1" applyBorder="1" applyAlignment="1">
      <alignment horizontal="right"/>
    </xf>
    <xf numFmtId="168" fontId="1" fillId="0" borderId="0" xfId="76" quotePrefix="1" applyNumberFormat="1" applyFont="1" applyBorder="1" applyAlignment="1">
      <alignment horizontal="right"/>
    </xf>
    <xf numFmtId="253" fontId="1" fillId="0" borderId="0" xfId="51" applyNumberFormat="1" applyFont="1" applyBorder="1" applyAlignment="1">
      <alignment horizontal="right"/>
    </xf>
    <xf numFmtId="193" fontId="1" fillId="0" borderId="0" xfId="62" applyNumberFormat="1" applyFont="1" applyBorder="1" applyAlignment="1">
      <alignment horizontal="right"/>
    </xf>
    <xf numFmtId="253" fontId="1" fillId="0" borderId="0" xfId="51" applyNumberFormat="1" applyFont="1" applyFill="1" applyBorder="1" applyAlignment="1">
      <alignment horizontal="right"/>
    </xf>
    <xf numFmtId="168" fontId="1" fillId="0" borderId="0" xfId="62" applyNumberFormat="1" applyFont="1" applyFill="1" applyBorder="1" applyAlignment="1">
      <alignment horizontal="right"/>
    </xf>
    <xf numFmtId="168" fontId="18" fillId="17" borderId="14" xfId="62" applyNumberFormat="1" applyFont="1" applyFill="1" applyBorder="1" applyAlignment="1">
      <alignment horizontal="right"/>
    </xf>
    <xf numFmtId="0" fontId="1" fillId="0" borderId="0" xfId="53" applyNumberFormat="1" applyFont="1"/>
    <xf numFmtId="168" fontId="1" fillId="16" borderId="0" xfId="62" applyNumberFormat="1" applyFont="1" applyFill="1" applyBorder="1" applyAlignment="1">
      <alignment horizontal="right"/>
    </xf>
    <xf numFmtId="9" fontId="13" fillId="16" borderId="0" xfId="62" applyNumberFormat="1" applyFont="1" applyFill="1" applyBorder="1" applyAlignment="1">
      <alignment horizontal="right"/>
    </xf>
    <xf numFmtId="0" fontId="39" fillId="0" borderId="0" xfId="74" applyFont="1" applyBorder="1"/>
    <xf numFmtId="9" fontId="87" fillId="0" borderId="0" xfId="62" applyFont="1" applyFill="1" applyBorder="1" applyAlignment="1">
      <alignment horizontal="right"/>
    </xf>
    <xf numFmtId="168" fontId="12" fillId="0" borderId="0" xfId="62" applyNumberFormat="1" applyFont="1" applyFill="1" applyBorder="1" applyAlignment="1">
      <alignment horizontal="right"/>
    </xf>
    <xf numFmtId="253" fontId="13" fillId="0" borderId="0" xfId="75" applyNumberFormat="1" applyFont="1" applyFill="1" applyBorder="1" applyAlignment="1">
      <alignment horizontal="right"/>
    </xf>
    <xf numFmtId="166" fontId="1" fillId="0" borderId="0" xfId="76" applyNumberFormat="1" applyFont="1" applyFill="1" applyBorder="1" applyAlignment="1">
      <alignment horizontal="right"/>
    </xf>
    <xf numFmtId="9" fontId="13" fillId="0" borderId="0" xfId="62" applyFont="1" applyFill="1" applyBorder="1" applyAlignment="1">
      <alignment horizontal="right"/>
    </xf>
    <xf numFmtId="253" fontId="12" fillId="0" borderId="0" xfId="75" applyNumberFormat="1" applyFont="1" applyBorder="1" applyAlignment="1">
      <alignment horizontal="right"/>
    </xf>
    <xf numFmtId="0" fontId="21" fillId="0" borderId="0" xfId="74" applyFont="1" applyBorder="1" applyAlignment="1">
      <alignment horizontal="left" indent="2"/>
    </xf>
    <xf numFmtId="9" fontId="1" fillId="0" borderId="0" xfId="62" applyNumberFormat="1" applyFont="1" applyAlignment="1">
      <alignment horizontal="right"/>
    </xf>
    <xf numFmtId="180" fontId="13" fillId="0" borderId="0" xfId="34" applyNumberFormat="1" applyFont="1" applyFill="1" applyBorder="1"/>
    <xf numFmtId="9" fontId="1" fillId="0" borderId="0" xfId="62" applyFont="1" applyAlignment="1">
      <alignment horizontal="right"/>
    </xf>
    <xf numFmtId="168" fontId="1" fillId="0" borderId="0" xfId="62" applyNumberFormat="1" applyFont="1" applyAlignment="1">
      <alignment horizontal="right"/>
    </xf>
    <xf numFmtId="3" fontId="13" fillId="0" borderId="0" xfId="62" applyNumberFormat="1" applyFont="1" applyFill="1" applyBorder="1" applyAlignment="1">
      <alignment horizontal="right"/>
    </xf>
    <xf numFmtId="0" fontId="1" fillId="0" borderId="0" xfId="74" applyFont="1" applyBorder="1" applyAlignment="1">
      <alignment horizontal="left"/>
    </xf>
    <xf numFmtId="253" fontId="13" fillId="0" borderId="0" xfId="75" applyNumberFormat="1" applyFont="1" applyBorder="1" applyAlignment="1">
      <alignment horizontal="right"/>
    </xf>
    <xf numFmtId="182" fontId="1" fillId="0" borderId="0" xfId="74" applyNumberFormat="1" applyFont="1" applyAlignment="1">
      <alignment wrapText="1"/>
    </xf>
    <xf numFmtId="188" fontId="1" fillId="0" borderId="0" xfId="52" applyNumberFormat="1" applyFont="1" applyBorder="1" applyAlignment="1" applyProtection="1">
      <alignment horizontal="left"/>
    </xf>
    <xf numFmtId="253" fontId="13" fillId="0" borderId="7" xfId="75" applyNumberFormat="1" applyFont="1" applyFill="1" applyBorder="1" applyAlignment="1">
      <alignment horizontal="right"/>
    </xf>
    <xf numFmtId="253" fontId="13" fillId="0" borderId="17" xfId="75" applyNumberFormat="1" applyFont="1" applyFill="1" applyBorder="1" applyAlignment="1">
      <alignment horizontal="right"/>
    </xf>
    <xf numFmtId="253" fontId="13" fillId="0" borderId="25" xfId="75" applyNumberFormat="1" applyFont="1" applyFill="1" applyBorder="1" applyAlignment="1">
      <alignment horizontal="right"/>
    </xf>
    <xf numFmtId="182" fontId="1" fillId="0" borderId="0" xfId="74" applyNumberFormat="1" applyFont="1"/>
    <xf numFmtId="182" fontId="91" fillId="0" borderId="5" xfId="74" applyNumberFormat="1" applyFont="1" applyBorder="1"/>
    <xf numFmtId="253" fontId="13" fillId="0" borderId="1" xfId="75" applyNumberFormat="1" applyFont="1" applyFill="1" applyBorder="1" applyAlignment="1">
      <alignment horizontal="right"/>
    </xf>
    <xf numFmtId="253" fontId="13" fillId="0" borderId="22" xfId="75" applyNumberFormat="1" applyFont="1" applyFill="1" applyBorder="1" applyAlignment="1">
      <alignment horizontal="right"/>
    </xf>
    <xf numFmtId="253" fontId="13" fillId="0" borderId="20" xfId="75" applyNumberFormat="1" applyFont="1" applyFill="1" applyBorder="1" applyAlignment="1">
      <alignment horizontal="right"/>
    </xf>
    <xf numFmtId="253" fontId="13" fillId="0" borderId="2" xfId="75" applyNumberFormat="1" applyFont="1" applyFill="1" applyBorder="1" applyAlignment="1">
      <alignment horizontal="right"/>
    </xf>
    <xf numFmtId="253" fontId="13" fillId="0" borderId="21" xfId="75" applyNumberFormat="1" applyFont="1" applyFill="1" applyBorder="1" applyAlignment="1">
      <alignment horizontal="right"/>
    </xf>
    <xf numFmtId="0" fontId="45" fillId="0" borderId="0" xfId="74" applyFont="1" applyFill="1" applyAlignment="1">
      <alignment vertical="justify" textRotation="90" readingOrder="2"/>
    </xf>
    <xf numFmtId="180" fontId="88" fillId="0" borderId="0" xfId="75" applyNumberFormat="1" applyFont="1" applyFill="1" applyBorder="1"/>
    <xf numFmtId="3" fontId="1" fillId="0" borderId="0" xfId="74" applyNumberFormat="1" applyFont="1"/>
    <xf numFmtId="182" fontId="1" fillId="0" borderId="0" xfId="74" applyNumberFormat="1" applyFont="1" applyBorder="1" applyAlignment="1">
      <alignment wrapText="1"/>
    </xf>
    <xf numFmtId="0" fontId="45" fillId="0" borderId="0" xfId="74" applyFont="1" applyFill="1" applyBorder="1" applyAlignment="1">
      <alignment vertical="justify" textRotation="90" readingOrder="2"/>
    </xf>
    <xf numFmtId="182" fontId="1" fillId="0" borderId="0" xfId="74" applyNumberFormat="1" applyFont="1" applyBorder="1"/>
    <xf numFmtId="180" fontId="1" fillId="0" borderId="0" xfId="75" applyNumberFormat="1" applyFont="1" applyFill="1" applyBorder="1"/>
    <xf numFmtId="253" fontId="42" fillId="0" borderId="0" xfId="75" applyNumberFormat="1" applyFont="1" applyFill="1" applyBorder="1" applyAlignment="1">
      <alignment horizontal="left" indent="1"/>
    </xf>
    <xf numFmtId="0" fontId="45" fillId="0" borderId="0" xfId="74" applyFont="1" applyBorder="1" applyAlignment="1">
      <alignment vertical="center" textRotation="90" readingOrder="2"/>
    </xf>
    <xf numFmtId="259" fontId="1" fillId="0" borderId="0" xfId="76" applyNumberFormat="1" applyFont="1" applyBorder="1" applyAlignment="1">
      <alignment horizontal="right"/>
    </xf>
    <xf numFmtId="258" fontId="1" fillId="0" borderId="0" xfId="51" applyNumberFormat="1" applyFont="1" applyBorder="1" applyAlignment="1">
      <alignment horizontal="right"/>
    </xf>
    <xf numFmtId="167" fontId="45" fillId="0" borderId="0" xfId="74" applyNumberFormat="1" applyFont="1" applyFill="1"/>
    <xf numFmtId="169" fontId="1" fillId="0" borderId="0" xfId="75" applyNumberFormat="1" applyFont="1" applyFill="1" applyBorder="1" applyAlignment="1">
      <alignment horizontal="right"/>
    </xf>
    <xf numFmtId="182" fontId="1" fillId="0" borderId="0" xfId="74" applyNumberFormat="1" applyFont="1" applyFill="1" applyAlignment="1">
      <alignment wrapText="1"/>
    </xf>
    <xf numFmtId="182" fontId="1" fillId="0" borderId="0" xfId="74" applyNumberFormat="1" applyFont="1" applyFill="1"/>
    <xf numFmtId="182" fontId="91" fillId="0" borderId="5" xfId="74" applyNumberFormat="1" applyFont="1" applyFill="1" applyBorder="1"/>
    <xf numFmtId="182" fontId="45" fillId="0" borderId="0" xfId="74" applyNumberFormat="1" applyFont="1"/>
    <xf numFmtId="253" fontId="1" fillId="0" borderId="0" xfId="75" applyNumberFormat="1" applyFont="1" applyBorder="1" applyAlignment="1">
      <alignment horizontal="right"/>
    </xf>
    <xf numFmtId="253" fontId="1" fillId="0" borderId="0" xfId="74" applyNumberFormat="1" applyFont="1" applyBorder="1" applyAlignment="1">
      <alignment horizontal="right"/>
    </xf>
    <xf numFmtId="169" fontId="1" fillId="0" borderId="0" xfId="74" applyNumberFormat="1" applyFont="1" applyAlignment="1">
      <alignment horizontal="right"/>
    </xf>
    <xf numFmtId="253" fontId="1" fillId="0" borderId="0" xfId="74" applyNumberFormat="1" applyFont="1" applyFill="1" applyBorder="1" applyAlignment="1">
      <alignment horizontal="right"/>
    </xf>
    <xf numFmtId="253" fontId="1" fillId="0" borderId="0" xfId="74" applyNumberFormat="1" applyFont="1" applyFill="1"/>
    <xf numFmtId="0" fontId="1" fillId="0" borderId="0" xfId="53" applyNumberFormat="1" applyFont="1" applyFill="1"/>
    <xf numFmtId="260" fontId="18" fillId="0" borderId="14" xfId="76" applyNumberFormat="1" applyFont="1" applyFill="1" applyBorder="1" applyAlignment="1">
      <alignment horizontal="right"/>
    </xf>
    <xf numFmtId="0" fontId="1" fillId="0" borderId="0" xfId="74" applyFont="1" applyFill="1" applyBorder="1" applyAlignment="1">
      <alignment wrapText="1"/>
    </xf>
    <xf numFmtId="261" fontId="1" fillId="0" borderId="0" xfId="76" applyNumberFormat="1" applyFont="1" applyFill="1" applyBorder="1" applyAlignment="1">
      <alignment horizontal="right"/>
    </xf>
    <xf numFmtId="253" fontId="1" fillId="0" borderId="0" xfId="74" applyNumberFormat="1" applyFont="1" applyFill="1" applyBorder="1"/>
    <xf numFmtId="167" fontId="1" fillId="0" borderId="0" xfId="74" applyNumberFormat="1" applyFont="1" applyFill="1" applyBorder="1" applyAlignment="1">
      <alignment horizontal="right"/>
    </xf>
    <xf numFmtId="169" fontId="1" fillId="0" borderId="0" xfId="74" applyNumberFormat="1" applyFont="1" applyFill="1" applyBorder="1" applyAlignment="1">
      <alignment horizontal="right"/>
    </xf>
    <xf numFmtId="0" fontId="1" fillId="0" borderId="0" xfId="52" applyNumberFormat="1" applyFont="1" applyFill="1" applyBorder="1" applyAlignment="1" applyProtection="1">
      <alignment horizontal="left"/>
    </xf>
    <xf numFmtId="169" fontId="1" fillId="0" borderId="0" xfId="74" applyNumberFormat="1" applyFont="1" applyFill="1" applyAlignment="1">
      <alignment horizontal="right"/>
    </xf>
    <xf numFmtId="253" fontId="45" fillId="0" borderId="0" xfId="74" applyNumberFormat="1" applyFont="1" applyFill="1"/>
    <xf numFmtId="253" fontId="45" fillId="0" borderId="0" xfId="74" applyNumberFormat="1" applyFont="1" applyFill="1" applyBorder="1"/>
    <xf numFmtId="180" fontId="19" fillId="0" borderId="0" xfId="75" applyNumberFormat="1" applyFont="1" applyFill="1" applyBorder="1"/>
    <xf numFmtId="0" fontId="19" fillId="0" borderId="0" xfId="74" applyFont="1" applyFill="1" applyBorder="1"/>
    <xf numFmtId="0" fontId="1" fillId="0" borderId="0" xfId="74" applyFont="1" applyFill="1" applyAlignment="1">
      <alignment horizontal="center" wrapText="1"/>
    </xf>
    <xf numFmtId="0" fontId="45" fillId="0" borderId="0" xfId="74" applyFont="1" applyFill="1" applyAlignment="1">
      <alignment horizontal="center"/>
    </xf>
    <xf numFmtId="0" fontId="1" fillId="0" borderId="0" xfId="74" applyFont="1" applyFill="1" applyBorder="1" applyAlignment="1">
      <alignment horizontal="center"/>
    </xf>
    <xf numFmtId="0" fontId="1" fillId="0" borderId="0" xfId="74" applyFont="1" applyFill="1" applyAlignment="1">
      <alignment horizontal="center"/>
    </xf>
    <xf numFmtId="0" fontId="91" fillId="0" borderId="5" xfId="74" applyFont="1" applyFill="1" applyBorder="1" applyAlignment="1">
      <alignment horizontal="center"/>
    </xf>
    <xf numFmtId="0" fontId="18" fillId="0" borderId="0" xfId="74" applyFont="1" applyFill="1" applyBorder="1"/>
    <xf numFmtId="281" fontId="12" fillId="16" borderId="6" xfId="74" applyNumberFormat="1" applyFont="1" applyFill="1" applyBorder="1" applyAlignment="1">
      <alignment horizontal="right"/>
    </xf>
    <xf numFmtId="281" fontId="1" fillId="0" borderId="6" xfId="74" applyNumberFormat="1" applyFont="1" applyFill="1" applyBorder="1" applyAlignment="1">
      <alignment horizontal="right"/>
    </xf>
    <xf numFmtId="281" fontId="1" fillId="0" borderId="6" xfId="74" applyNumberFormat="1" applyFont="1" applyFill="1" applyBorder="1"/>
    <xf numFmtId="0" fontId="112" fillId="0" borderId="0" xfId="74" applyFont="1" applyFill="1" applyBorder="1"/>
    <xf numFmtId="0" fontId="1" fillId="0" borderId="0" xfId="74" applyFont="1" applyFill="1" applyBorder="1" applyAlignment="1">
      <alignment horizontal="right"/>
    </xf>
    <xf numFmtId="0" fontId="1" fillId="16" borderId="0" xfId="53" applyFont="1" applyFill="1" applyBorder="1"/>
    <xf numFmtId="0" fontId="1" fillId="16" borderId="0" xfId="53" applyFont="1" applyFill="1" applyBorder="1" applyAlignment="1">
      <alignment horizontal="center"/>
    </xf>
    <xf numFmtId="168" fontId="1" fillId="16" borderId="0" xfId="53" applyNumberFormat="1" applyFont="1" applyFill="1" applyBorder="1" applyAlignment="1">
      <alignment horizontal="right"/>
    </xf>
    <xf numFmtId="0" fontId="1" fillId="16" borderId="0" xfId="53" applyFont="1" applyFill="1"/>
    <xf numFmtId="180" fontId="1" fillId="16" borderId="0" xfId="34" applyNumberFormat="1" applyFont="1" applyFill="1" applyBorder="1" applyAlignment="1">
      <alignment horizontal="right"/>
    </xf>
    <xf numFmtId="0" fontId="1" fillId="16" borderId="0" xfId="53" applyFont="1" applyFill="1" applyBorder="1" applyAlignment="1">
      <alignment horizontal="right"/>
    </xf>
    <xf numFmtId="168" fontId="1" fillId="16" borderId="0" xfId="53" applyNumberFormat="1" applyFont="1" applyFill="1" applyBorder="1" applyAlignment="1">
      <alignment horizontal="center"/>
    </xf>
    <xf numFmtId="166" fontId="1" fillId="16" borderId="0" xfId="53" applyNumberFormat="1" applyFont="1" applyFill="1" applyBorder="1" applyAlignment="1">
      <alignment horizontal="center"/>
    </xf>
    <xf numFmtId="0" fontId="153" fillId="22" borderId="0" xfId="79" applyFont="1" applyFill="1"/>
    <xf numFmtId="0" fontId="153" fillId="22" borderId="0" xfId="79" applyFont="1" applyFill="1" applyAlignment="1">
      <alignment horizontal="right"/>
    </xf>
    <xf numFmtId="0" fontId="154" fillId="23" borderId="0" xfId="79" applyFont="1" applyFill="1"/>
    <xf numFmtId="0" fontId="154" fillId="23" borderId="0" xfId="79" applyFont="1" applyFill="1" applyAlignment="1">
      <alignment horizontal="right"/>
    </xf>
    <xf numFmtId="0" fontId="154" fillId="23" borderId="2" xfId="79" applyFont="1" applyFill="1" applyBorder="1"/>
    <xf numFmtId="0" fontId="154" fillId="23" borderId="2" xfId="79" applyFont="1" applyFill="1" applyBorder="1" applyAlignment="1">
      <alignment horizontal="right"/>
    </xf>
    <xf numFmtId="0" fontId="154" fillId="24" borderId="0" xfId="79" applyFont="1" applyFill="1"/>
    <xf numFmtId="0" fontId="154" fillId="24" borderId="0" xfId="79" applyFont="1" applyFill="1" applyAlignment="1">
      <alignment horizontal="right"/>
    </xf>
    <xf numFmtId="0" fontId="155" fillId="23" borderId="0" xfId="79" applyFont="1" applyFill="1"/>
    <xf numFmtId="168" fontId="155" fillId="23" borderId="0" xfId="62" applyNumberFormat="1" applyFont="1" applyFill="1"/>
    <xf numFmtId="0" fontId="154" fillId="23" borderId="0" xfId="79" applyFont="1" applyFill="1" applyAlignment="1">
      <alignment horizontal="center"/>
    </xf>
    <xf numFmtId="0" fontId="154" fillId="23" borderId="2" xfId="79" applyFont="1" applyFill="1" applyBorder="1" applyAlignment="1">
      <alignment horizontal="center"/>
    </xf>
    <xf numFmtId="0" fontId="154" fillId="24" borderId="0" xfId="79" applyFont="1" applyFill="1" applyAlignment="1">
      <alignment horizontal="center"/>
    </xf>
    <xf numFmtId="168" fontId="131" fillId="0" borderId="0" xfId="62" applyNumberFormat="1" applyFont="1" applyFill="1" applyBorder="1" applyAlignment="1">
      <alignment horizontal="center"/>
    </xf>
    <xf numFmtId="10" fontId="9" fillId="0" borderId="0" xfId="62" applyNumberFormat="1" applyFont="1"/>
    <xf numFmtId="0" fontId="0" fillId="0" borderId="0" xfId="0"/>
    <xf numFmtId="0" fontId="0" fillId="16" borderId="0" xfId="0" applyFill="1"/>
    <xf numFmtId="44" fontId="0" fillId="0" borderId="0" xfId="0" applyNumberFormat="1"/>
    <xf numFmtId="190" fontId="56" fillId="16" borderId="7" xfId="46" applyNumberFormat="1" applyFont="1" applyFill="1" applyBorder="1" applyAlignment="1">
      <alignment horizontal="right"/>
    </xf>
    <xf numFmtId="190" fontId="48" fillId="16" borderId="1" xfId="46" applyNumberFormat="1" applyFont="1" applyFill="1" applyBorder="1" applyAlignment="1">
      <alignment horizontal="right"/>
    </xf>
    <xf numFmtId="190" fontId="56" fillId="16" borderId="1" xfId="46" applyNumberFormat="1" applyFont="1" applyFill="1" applyBorder="1" applyAlignment="1">
      <alignment horizontal="right"/>
    </xf>
    <xf numFmtId="175" fontId="49" fillId="16" borderId="1" xfId="46" applyNumberFormat="1" applyFont="1" applyFill="1" applyBorder="1"/>
    <xf numFmtId="170" fontId="49" fillId="16" borderId="1" xfId="46" applyNumberFormat="1" applyFont="1" applyFill="1" applyBorder="1"/>
    <xf numFmtId="7" fontId="49" fillId="16" borderId="1" xfId="46" applyNumberFormat="1" applyFont="1" applyFill="1" applyBorder="1"/>
    <xf numFmtId="0" fontId="49" fillId="16" borderId="1" xfId="46" applyFont="1" applyFill="1" applyBorder="1"/>
    <xf numFmtId="170" fontId="49" fillId="16" borderId="20" xfId="46" applyNumberFormat="1" applyFont="1" applyFill="1" applyBorder="1"/>
    <xf numFmtId="0" fontId="0" fillId="16" borderId="2" xfId="0" applyFill="1" applyBorder="1"/>
    <xf numFmtId="0" fontId="0" fillId="0" borderId="0" xfId="0"/>
    <xf numFmtId="0" fontId="12" fillId="16" borderId="0" xfId="72" applyNumberFormat="1" applyFont="1" applyFill="1" applyBorder="1" applyAlignment="1">
      <alignment horizontal="center"/>
    </xf>
    <xf numFmtId="0" fontId="12" fillId="16" borderId="22" xfId="72" applyNumberFormat="1" applyFont="1" applyFill="1" applyBorder="1" applyAlignment="1">
      <alignment horizontal="center"/>
    </xf>
    <xf numFmtId="0" fontId="12" fillId="16" borderId="1" xfId="72" applyNumberFormat="1" applyFont="1" applyFill="1" applyBorder="1" applyAlignment="1">
      <alignment horizontal="center"/>
    </xf>
    <xf numFmtId="15" fontId="35" fillId="16" borderId="2" xfId="49" applyNumberFormat="1" applyFont="1" applyFill="1" applyBorder="1"/>
    <xf numFmtId="0" fontId="9" fillId="16" borderId="2" xfId="0" applyFont="1" applyFill="1" applyBorder="1"/>
    <xf numFmtId="0" fontId="115" fillId="16" borderId="2" xfId="49" applyFont="1" applyFill="1" applyBorder="1" applyAlignment="1"/>
    <xf numFmtId="0" fontId="9" fillId="16" borderId="2" xfId="0" applyFont="1" applyFill="1" applyBorder="1" applyAlignment="1">
      <alignment horizontal="centerContinuous"/>
    </xf>
    <xf numFmtId="5" fontId="9" fillId="16" borderId="2" xfId="0" applyNumberFormat="1" applyFont="1" applyFill="1" applyBorder="1"/>
    <xf numFmtId="5" fontId="35" fillId="16" borderId="2" xfId="49" applyNumberFormat="1" applyFont="1" applyFill="1" applyBorder="1"/>
    <xf numFmtId="170" fontId="35" fillId="16" borderId="2" xfId="49" applyNumberFormat="1" applyFont="1" applyFill="1" applyBorder="1" applyAlignment="1">
      <alignment horizontal="right"/>
    </xf>
    <xf numFmtId="7" fontId="9" fillId="16" borderId="1" xfId="49" applyNumberFormat="1" applyFont="1" applyFill="1" applyBorder="1" applyAlignment="1">
      <alignment horizontal="right"/>
    </xf>
    <xf numFmtId="0" fontId="0" fillId="0" borderId="0" xfId="0"/>
    <xf numFmtId="0" fontId="0" fillId="16" borderId="0" xfId="0" applyFill="1"/>
    <xf numFmtId="198" fontId="12" fillId="0" borderId="0" xfId="0" applyNumberFormat="1" applyFont="1" applyBorder="1" applyAlignment="1">
      <alignment horizontal="centerContinuous"/>
    </xf>
    <xf numFmtId="0" fontId="49" fillId="15" borderId="0" xfId="0" applyFont="1" applyFill="1" applyBorder="1" applyAlignment="1">
      <alignment horizontal="centerContinuous"/>
    </xf>
    <xf numFmtId="0" fontId="0" fillId="16" borderId="0" xfId="0" applyFill="1"/>
    <xf numFmtId="0" fontId="0" fillId="16" borderId="2" xfId="0" applyFill="1" applyBorder="1"/>
    <xf numFmtId="2" fontId="49" fillId="16" borderId="2" xfId="0" applyNumberFormat="1" applyFont="1" applyFill="1" applyBorder="1"/>
    <xf numFmtId="0" fontId="1" fillId="16" borderId="0" xfId="0" applyFont="1" applyFill="1"/>
    <xf numFmtId="173" fontId="0" fillId="16" borderId="0" xfId="0" applyNumberFormat="1" applyFill="1"/>
    <xf numFmtId="0" fontId="0" fillId="0" borderId="0" xfId="0"/>
    <xf numFmtId="0" fontId="0" fillId="16" borderId="2" xfId="0" applyFill="1" applyBorder="1"/>
    <xf numFmtId="0" fontId="12" fillId="23" borderId="0" xfId="0" applyFont="1" applyFill="1"/>
    <xf numFmtId="0" fontId="12" fillId="23" borderId="0" xfId="0" applyFont="1" applyFill="1" applyAlignment="1">
      <alignment horizontal="left"/>
    </xf>
    <xf numFmtId="195" fontId="9" fillId="23" borderId="0" xfId="0" applyNumberFormat="1" applyFont="1" applyFill="1"/>
    <xf numFmtId="0" fontId="12" fillId="23" borderId="0" xfId="0" applyFont="1" applyFill="1" applyBorder="1"/>
    <xf numFmtId="0" fontId="9" fillId="23" borderId="0" xfId="0" applyFont="1" applyFill="1"/>
    <xf numFmtId="0" fontId="12" fillId="23" borderId="2" xfId="0" applyFont="1" applyFill="1" applyBorder="1"/>
    <xf numFmtId="0" fontId="12" fillId="23" borderId="2" xfId="0" applyFont="1" applyFill="1" applyBorder="1" applyAlignment="1">
      <alignment horizontal="left"/>
    </xf>
    <xf numFmtId="195" fontId="9" fillId="23" borderId="2" xfId="0" applyNumberFormat="1" applyFont="1" applyFill="1" applyBorder="1"/>
    <xf numFmtId="37" fontId="21" fillId="23" borderId="0" xfId="48" applyFont="1" applyFill="1"/>
    <xf numFmtId="0" fontId="12" fillId="23" borderId="0" xfId="0" applyFont="1" applyFill="1" applyAlignment="1">
      <alignment horizontal="center"/>
    </xf>
    <xf numFmtId="198" fontId="12" fillId="23" borderId="2" xfId="0" applyNumberFormat="1" applyFont="1" applyFill="1" applyBorder="1" applyAlignment="1">
      <alignment horizontal="centerContinuous"/>
    </xf>
    <xf numFmtId="200" fontId="12" fillId="23" borderId="2" xfId="0" applyNumberFormat="1" applyFont="1" applyFill="1" applyBorder="1" applyAlignment="1">
      <alignment horizontal="centerContinuous"/>
    </xf>
    <xf numFmtId="231" fontId="12" fillId="23" borderId="2" xfId="0" applyNumberFormat="1" applyFont="1" applyFill="1" applyBorder="1" applyAlignment="1">
      <alignment horizontal="centerContinuous"/>
    </xf>
    <xf numFmtId="0" fontId="12" fillId="23" borderId="2" xfId="0" applyFont="1" applyFill="1" applyBorder="1" applyAlignment="1">
      <alignment horizontal="center"/>
    </xf>
    <xf numFmtId="0" fontId="12" fillId="23" borderId="6" xfId="0" applyFont="1" applyFill="1" applyBorder="1" applyAlignment="1">
      <alignment horizontal="center"/>
    </xf>
    <xf numFmtId="0" fontId="12" fillId="23" borderId="2" xfId="0" applyFont="1" applyFill="1" applyBorder="1" applyAlignment="1">
      <alignment horizontal="centerContinuous"/>
    </xf>
    <xf numFmtId="0" fontId="12" fillId="23" borderId="0" xfId="0" applyFont="1" applyFill="1" applyBorder="1" applyAlignment="1">
      <alignment horizontal="centerContinuous"/>
    </xf>
    <xf numFmtId="0" fontId="12" fillId="23" borderId="0" xfId="0" applyFont="1" applyFill="1" applyBorder="1" applyAlignment="1">
      <alignment horizontal="center"/>
    </xf>
    <xf numFmtId="0" fontId="42" fillId="23" borderId="0" xfId="0" applyFont="1" applyFill="1" applyAlignment="1">
      <alignment horizontal="center"/>
    </xf>
    <xf numFmtId="0" fontId="13" fillId="23" borderId="0" xfId="0" applyFont="1" applyFill="1"/>
    <xf numFmtId="168" fontId="9" fillId="23" borderId="0" xfId="62" applyNumberFormat="1" applyFont="1" applyFill="1"/>
    <xf numFmtId="0" fontId="9" fillId="23" borderId="0" xfId="0" applyFont="1" applyFill="1" applyBorder="1"/>
    <xf numFmtId="168" fontId="9" fillId="23" borderId="0" xfId="0" applyNumberFormat="1" applyFont="1" applyFill="1"/>
    <xf numFmtId="9" fontId="9" fillId="23" borderId="0" xfId="0" applyNumberFormat="1" applyFont="1" applyFill="1"/>
    <xf numFmtId="0" fontId="9" fillId="23" borderId="2" xfId="0" applyFont="1" applyFill="1" applyBorder="1"/>
    <xf numFmtId="195" fontId="9" fillId="23" borderId="0" xfId="0" applyNumberFormat="1" applyFont="1" applyFill="1" applyBorder="1"/>
    <xf numFmtId="0" fontId="0" fillId="23" borderId="0" xfId="0" applyFill="1"/>
    <xf numFmtId="167" fontId="9" fillId="23" borderId="0" xfId="0" applyNumberFormat="1" applyFont="1" applyFill="1"/>
    <xf numFmtId="183" fontId="9" fillId="23" borderId="0" xfId="57" applyFont="1" applyFill="1"/>
    <xf numFmtId="0" fontId="21" fillId="23" borderId="0" xfId="0" applyFont="1" applyFill="1"/>
    <xf numFmtId="5" fontId="21" fillId="23" borderId="0" xfId="0" applyNumberFormat="1" applyFont="1" applyFill="1"/>
    <xf numFmtId="5" fontId="9" fillId="23" borderId="0" xfId="0" applyNumberFormat="1" applyFont="1" applyFill="1"/>
    <xf numFmtId="183" fontId="29" fillId="23" borderId="0" xfId="57" applyFont="1" applyFill="1"/>
    <xf numFmtId="183" fontId="9" fillId="23" borderId="2" xfId="57" applyFont="1" applyFill="1" applyBorder="1"/>
    <xf numFmtId="168" fontId="9" fillId="23" borderId="2" xfId="62" applyNumberFormat="1" applyFont="1" applyFill="1" applyBorder="1"/>
    <xf numFmtId="183" fontId="29" fillId="23" borderId="2" xfId="57" applyFont="1" applyFill="1" applyBorder="1"/>
    <xf numFmtId="183" fontId="9" fillId="23" borderId="0" xfId="57" applyFont="1" applyFill="1" applyBorder="1"/>
    <xf numFmtId="183" fontId="9" fillId="23" borderId="6" xfId="57" applyFont="1" applyFill="1" applyBorder="1"/>
    <xf numFmtId="183" fontId="29" fillId="23" borderId="0" xfId="57" applyFont="1" applyFill="1" applyBorder="1"/>
    <xf numFmtId="183" fontId="12" fillId="23" borderId="7" xfId="57" applyFont="1" applyFill="1" applyBorder="1"/>
    <xf numFmtId="183" fontId="9" fillId="23" borderId="17" xfId="57" applyFont="1" applyFill="1" applyBorder="1"/>
    <xf numFmtId="183" fontId="33" fillId="23" borderId="25" xfId="57" applyFont="1" applyFill="1" applyBorder="1" applyAlignment="1" applyProtection="1">
      <alignment horizontal="center"/>
    </xf>
    <xf numFmtId="183" fontId="33" fillId="23" borderId="25" xfId="57" applyFont="1" applyFill="1" applyBorder="1"/>
    <xf numFmtId="183" fontId="9" fillId="23" borderId="0" xfId="57" applyNumberFormat="1" applyFont="1" applyFill="1" applyProtection="1"/>
    <xf numFmtId="198" fontId="12" fillId="23" borderId="2" xfId="46" applyNumberFormat="1" applyFont="1" applyFill="1" applyBorder="1" applyAlignment="1">
      <alignment horizontal="center"/>
    </xf>
    <xf numFmtId="231" fontId="12" fillId="23" borderId="2" xfId="46" applyNumberFormat="1" applyFont="1" applyFill="1" applyBorder="1" applyAlignment="1">
      <alignment horizontal="center"/>
    </xf>
    <xf numFmtId="200" fontId="18" fillId="23" borderId="2" xfId="46" applyNumberFormat="1" applyFont="1" applyFill="1" applyBorder="1" applyAlignment="1">
      <alignment horizontal="center"/>
    </xf>
    <xf numFmtId="183" fontId="18" fillId="23" borderId="6" xfId="57" quotePrefix="1" applyFont="1" applyFill="1" applyBorder="1" applyAlignment="1" applyProtection="1">
      <alignment horizontal="center"/>
    </xf>
    <xf numFmtId="168" fontId="9" fillId="23" borderId="0" xfId="57" applyNumberFormat="1" applyFont="1" applyFill="1" applyProtection="1"/>
    <xf numFmtId="183" fontId="9" fillId="23" borderId="1" xfId="57" applyFont="1" applyFill="1" applyBorder="1"/>
    <xf numFmtId="183" fontId="29" fillId="23" borderId="22" xfId="57" applyFont="1" applyFill="1" applyBorder="1"/>
    <xf numFmtId="5" fontId="19" fillId="23" borderId="0" xfId="57" applyNumberFormat="1" applyFont="1" applyFill="1" applyProtection="1"/>
    <xf numFmtId="5" fontId="9" fillId="23" borderId="0" xfId="57" applyNumberFormat="1" applyFont="1" applyFill="1" applyProtection="1"/>
    <xf numFmtId="170" fontId="9" fillId="23" borderId="0" xfId="57" applyNumberFormat="1" applyFont="1" applyFill="1" applyBorder="1" applyProtection="1"/>
    <xf numFmtId="183" fontId="29" fillId="23" borderId="22" xfId="57" applyFont="1" applyFill="1" applyBorder="1" applyAlignment="1" applyProtection="1">
      <alignment horizontal="left"/>
    </xf>
    <xf numFmtId="180" fontId="9" fillId="23" borderId="0" xfId="34" applyNumberFormat="1" applyFont="1" applyFill="1" applyProtection="1"/>
    <xf numFmtId="188" fontId="9" fillId="23" borderId="0" xfId="57" applyNumberFormat="1" applyFont="1" applyFill="1" applyProtection="1"/>
    <xf numFmtId="5" fontId="0" fillId="23" borderId="0" xfId="0" applyNumberFormat="1" applyFill="1"/>
    <xf numFmtId="7" fontId="0" fillId="23" borderId="0" xfId="0" applyNumberFormat="1" applyFill="1"/>
    <xf numFmtId="37" fontId="9" fillId="23" borderId="1" xfId="57" applyNumberFormat="1" applyFont="1" applyFill="1" applyBorder="1" applyProtection="1"/>
    <xf numFmtId="37" fontId="29" fillId="23" borderId="22" xfId="57" applyNumberFormat="1" applyFont="1" applyFill="1" applyBorder="1" applyProtection="1"/>
    <xf numFmtId="189" fontId="9" fillId="23" borderId="0" xfId="57" applyNumberFormat="1" applyFont="1" applyFill="1" applyProtection="1"/>
    <xf numFmtId="193" fontId="9" fillId="23" borderId="0" xfId="58" applyNumberFormat="1" applyFont="1" applyFill="1" applyProtection="1"/>
    <xf numFmtId="196" fontId="9" fillId="23" borderId="0" xfId="57" applyNumberFormat="1" applyFont="1" applyFill="1" applyProtection="1"/>
    <xf numFmtId="196" fontId="19" fillId="23" borderId="0" xfId="57" applyNumberFormat="1" applyFont="1" applyFill="1" applyProtection="1"/>
    <xf numFmtId="168" fontId="9" fillId="23" borderId="0" xfId="57" applyNumberFormat="1" applyFont="1" applyFill="1"/>
    <xf numFmtId="37" fontId="9" fillId="23" borderId="0" xfId="57" applyNumberFormat="1" applyFont="1" applyFill="1" applyProtection="1"/>
    <xf numFmtId="193" fontId="9" fillId="23" borderId="1" xfId="58" applyNumberFormat="1" applyFont="1" applyFill="1" applyBorder="1" applyProtection="1"/>
    <xf numFmtId="168" fontId="9" fillId="23" borderId="0" xfId="57" applyNumberFormat="1" applyFont="1" applyFill="1" applyBorder="1" applyProtection="1"/>
    <xf numFmtId="183" fontId="29" fillId="23" borderId="0" xfId="57" applyFont="1" applyFill="1" applyBorder="1" applyAlignment="1" applyProtection="1">
      <alignment horizontal="left"/>
    </xf>
    <xf numFmtId="183" fontId="9" fillId="23" borderId="20" xfId="57" applyFont="1" applyFill="1" applyBorder="1"/>
    <xf numFmtId="183" fontId="29" fillId="23" borderId="21" xfId="57" applyFont="1" applyFill="1" applyBorder="1"/>
    <xf numFmtId="183" fontId="9" fillId="23" borderId="0" xfId="50" applyFont="1" applyFill="1" applyAlignment="1"/>
    <xf numFmtId="168" fontId="0" fillId="23" borderId="0" xfId="0" applyNumberFormat="1" applyFill="1"/>
    <xf numFmtId="207" fontId="9" fillId="23" borderId="0" xfId="57" applyNumberFormat="1" applyFont="1" applyFill="1" applyProtection="1"/>
    <xf numFmtId="0" fontId="4" fillId="23" borderId="0" xfId="0" applyFont="1" applyFill="1" applyBorder="1"/>
    <xf numFmtId="183" fontId="9" fillId="23" borderId="7" xfId="57" applyFont="1" applyFill="1" applyBorder="1"/>
    <xf numFmtId="183" fontId="33" fillId="23" borderId="6" xfId="57" applyFont="1" applyFill="1" applyBorder="1" applyAlignment="1" applyProtection="1">
      <alignment horizontal="center"/>
    </xf>
    <xf numFmtId="183" fontId="29" fillId="23" borderId="25" xfId="57" applyFont="1" applyFill="1" applyBorder="1"/>
    <xf numFmtId="183" fontId="10" fillId="23" borderId="1" xfId="57" applyFont="1" applyFill="1" applyBorder="1"/>
    <xf numFmtId="183" fontId="18" fillId="23" borderId="6" xfId="57" applyFont="1" applyFill="1" applyBorder="1" applyAlignment="1" applyProtection="1">
      <alignment horizontal="center"/>
    </xf>
    <xf numFmtId="0" fontId="4" fillId="23" borderId="0" xfId="0" applyFont="1" applyFill="1"/>
    <xf numFmtId="168" fontId="4" fillId="23" borderId="0" xfId="62" applyNumberFormat="1" applyFont="1" applyFill="1"/>
    <xf numFmtId="5" fontId="13" fillId="23" borderId="0" xfId="57" applyNumberFormat="1" applyFont="1" applyFill="1" applyProtection="1"/>
    <xf numFmtId="183" fontId="46" fillId="23" borderId="0" xfId="57" applyFont="1" applyFill="1"/>
    <xf numFmtId="183" fontId="13" fillId="23" borderId="0" xfId="57" applyNumberFormat="1" applyFont="1" applyFill="1" applyProtection="1"/>
    <xf numFmtId="188" fontId="13" fillId="23" borderId="0" xfId="57" applyNumberFormat="1" applyFont="1" applyFill="1" applyProtection="1"/>
    <xf numFmtId="37" fontId="29" fillId="23" borderId="0" xfId="57" applyNumberFormat="1" applyFont="1" applyFill="1" applyBorder="1" applyProtection="1"/>
    <xf numFmtId="196" fontId="9" fillId="23" borderId="0" xfId="57" applyNumberFormat="1" applyFont="1" applyFill="1" applyBorder="1" applyProtection="1"/>
    <xf numFmtId="196" fontId="46" fillId="23" borderId="0" xfId="57" applyNumberFormat="1" applyFont="1" applyFill="1" applyBorder="1" applyProtection="1"/>
    <xf numFmtId="183" fontId="13" fillId="23" borderId="0" xfId="57" applyFont="1" applyFill="1"/>
    <xf numFmtId="193" fontId="13" fillId="23" borderId="0" xfId="58" applyNumberFormat="1" applyFont="1" applyFill="1" applyAlignment="1" applyProtection="1">
      <alignment horizontal="right"/>
    </xf>
    <xf numFmtId="193" fontId="9" fillId="23" borderId="0" xfId="58" applyNumberFormat="1" applyFont="1" applyFill="1" applyAlignment="1" applyProtection="1">
      <alignment horizontal="right"/>
    </xf>
    <xf numFmtId="193" fontId="46" fillId="23" borderId="0" xfId="58" applyNumberFormat="1" applyFont="1" applyFill="1" applyProtection="1"/>
    <xf numFmtId="37" fontId="9" fillId="23" borderId="0" xfId="57" applyNumberFormat="1" applyFont="1" applyFill="1" applyBorder="1" applyProtection="1"/>
    <xf numFmtId="0" fontId="29" fillId="23" borderId="0" xfId="0" applyFont="1" applyFill="1"/>
    <xf numFmtId="43" fontId="9" fillId="23" borderId="0" xfId="34" applyFont="1" applyFill="1"/>
    <xf numFmtId="43" fontId="9" fillId="23" borderId="2" xfId="34" applyFont="1" applyFill="1" applyBorder="1"/>
    <xf numFmtId="183" fontId="34" fillId="23" borderId="0" xfId="57" applyFont="1" applyFill="1" applyBorder="1"/>
    <xf numFmtId="39" fontId="9" fillId="23" borderId="0" xfId="57" applyNumberFormat="1" applyFont="1" applyFill="1"/>
    <xf numFmtId="9" fontId="9" fillId="23" borderId="0" xfId="57" applyNumberFormat="1" applyFont="1" applyFill="1" applyBorder="1" applyProtection="1"/>
    <xf numFmtId="200" fontId="12" fillId="23" borderId="2" xfId="46" applyNumberFormat="1" applyFont="1" applyFill="1" applyBorder="1" applyAlignment="1">
      <alignment horizontal="center"/>
    </xf>
    <xf numFmtId="200" fontId="12" fillId="23" borderId="21" xfId="46" applyNumberFormat="1" applyFont="1" applyFill="1" applyBorder="1" applyAlignment="1">
      <alignment horizontal="center"/>
    </xf>
    <xf numFmtId="200" fontId="12" fillId="23" borderId="0" xfId="46" applyNumberFormat="1" applyFont="1" applyFill="1" applyBorder="1" applyAlignment="1">
      <alignment horizontal="center"/>
    </xf>
    <xf numFmtId="183" fontId="33" fillId="23" borderId="22" xfId="57" applyFont="1" applyFill="1" applyBorder="1"/>
    <xf numFmtId="170" fontId="13" fillId="23" borderId="0" xfId="57" applyNumberFormat="1" applyFont="1" applyFill="1" applyBorder="1" applyAlignment="1" applyProtection="1">
      <alignment horizontal="right"/>
    </xf>
    <xf numFmtId="193" fontId="13" fillId="23" borderId="0" xfId="58" applyNumberFormat="1" applyFont="1" applyFill="1" applyProtection="1"/>
    <xf numFmtId="168" fontId="0" fillId="23" borderId="0" xfId="62" applyNumberFormat="1" applyFont="1" applyFill="1"/>
    <xf numFmtId="37" fontId="46" fillId="23" borderId="0" xfId="57" applyNumberFormat="1" applyFont="1" applyFill="1" applyProtection="1"/>
    <xf numFmtId="1" fontId="0" fillId="23" borderId="0" xfId="0" applyNumberFormat="1" applyFill="1"/>
    <xf numFmtId="9" fontId="72" fillId="23" borderId="0" xfId="0" applyNumberFormat="1" applyFont="1" applyFill="1"/>
    <xf numFmtId="9" fontId="0" fillId="23" borderId="0" xfId="62" applyFont="1" applyFill="1"/>
    <xf numFmtId="280" fontId="9" fillId="23" borderId="0" xfId="57" applyNumberFormat="1" applyFont="1" applyFill="1" applyBorder="1" applyProtection="1"/>
    <xf numFmtId="0" fontId="9" fillId="23" borderId="0" xfId="0" applyFont="1" applyFill="1" applyAlignment="1">
      <alignment horizontal="left"/>
    </xf>
    <xf numFmtId="0" fontId="9" fillId="23" borderId="0" xfId="0" applyFont="1" applyFill="1" applyAlignment="1">
      <alignment horizontal="center"/>
    </xf>
    <xf numFmtId="0" fontId="12" fillId="23" borderId="29" xfId="0" applyFont="1" applyFill="1" applyBorder="1" applyAlignment="1">
      <alignment horizontal="centerContinuous"/>
    </xf>
    <xf numFmtId="0" fontId="12" fillId="23" borderId="6" xfId="0" applyFont="1" applyFill="1" applyBorder="1" applyAlignment="1">
      <alignment horizontal="centerContinuous"/>
    </xf>
    <xf numFmtId="0" fontId="12" fillId="23" borderId="24" xfId="0" applyFont="1" applyFill="1" applyBorder="1" applyAlignment="1">
      <alignment horizontal="centerContinuous"/>
    </xf>
    <xf numFmtId="0" fontId="9" fillId="23" borderId="6" xfId="0" applyFont="1" applyFill="1" applyBorder="1"/>
    <xf numFmtId="0" fontId="9" fillId="23" borderId="2" xfId="0" applyFont="1" applyFill="1" applyBorder="1" applyAlignment="1">
      <alignment horizontal="center"/>
    </xf>
    <xf numFmtId="0" fontId="42" fillId="23" borderId="0" xfId="0" applyFont="1" applyFill="1"/>
    <xf numFmtId="0" fontId="112" fillId="23" borderId="2" xfId="0" applyFont="1" applyFill="1" applyBorder="1" applyAlignment="1">
      <alignment horizontal="center"/>
    </xf>
    <xf numFmtId="0" fontId="12" fillId="23" borderId="0" xfId="0" quotePrefix="1" applyFont="1" applyFill="1" applyAlignment="1">
      <alignment horizontal="center"/>
    </xf>
    <xf numFmtId="0" fontId="12" fillId="23" borderId="0" xfId="0" quotePrefix="1" applyFont="1" applyFill="1" applyBorder="1" applyAlignment="1">
      <alignment horizontal="centerContinuous"/>
    </xf>
    <xf numFmtId="0" fontId="21" fillId="23" borderId="0" xfId="0" applyFont="1" applyFill="1" applyAlignment="1">
      <alignment horizontal="center"/>
    </xf>
    <xf numFmtId="0" fontId="42" fillId="23" borderId="0" xfId="0" quotePrefix="1" applyFont="1" applyFill="1" applyAlignment="1">
      <alignment horizontal="left"/>
    </xf>
    <xf numFmtId="198" fontId="117" fillId="23" borderId="0" xfId="0" applyNumberFormat="1" applyFont="1" applyFill="1" applyAlignment="1">
      <alignment horizontal="left"/>
    </xf>
    <xf numFmtId="202" fontId="9" fillId="23" borderId="0" xfId="0" applyNumberFormat="1" applyFont="1" applyFill="1"/>
    <xf numFmtId="1" fontId="9" fillId="23" borderId="0" xfId="0" applyNumberFormat="1" applyFont="1" applyFill="1" applyBorder="1"/>
    <xf numFmtId="185" fontId="9" fillId="23" borderId="0" xfId="0" applyNumberFormat="1" applyFont="1" applyFill="1"/>
    <xf numFmtId="181" fontId="9" fillId="23" borderId="0" xfId="0" applyNumberFormat="1" applyFont="1" applyFill="1"/>
    <xf numFmtId="173" fontId="13" fillId="23" borderId="0" xfId="0" applyNumberFormat="1" applyFont="1" applyFill="1"/>
    <xf numFmtId="173" fontId="35" fillId="23" borderId="0" xfId="0" applyNumberFormat="1" applyFont="1" applyFill="1"/>
    <xf numFmtId="182" fontId="9" fillId="23" borderId="0" xfId="0" applyNumberFormat="1" applyFont="1" applyFill="1"/>
    <xf numFmtId="1" fontId="9" fillId="23" borderId="0" xfId="0" applyNumberFormat="1" applyFont="1" applyFill="1"/>
    <xf numFmtId="166" fontId="9" fillId="23" borderId="0" xfId="0" applyNumberFormat="1" applyFont="1" applyFill="1"/>
    <xf numFmtId="4" fontId="9" fillId="23" borderId="0" xfId="0" applyNumberFormat="1" applyFont="1" applyFill="1"/>
    <xf numFmtId="3" fontId="9" fillId="23" borderId="0" xfId="0" applyNumberFormat="1" applyFont="1" applyFill="1"/>
    <xf numFmtId="167" fontId="9" fillId="23" borderId="2" xfId="0" applyNumberFormat="1" applyFont="1" applyFill="1" applyBorder="1"/>
    <xf numFmtId="202" fontId="9" fillId="23" borderId="2" xfId="0" applyNumberFormat="1" applyFont="1" applyFill="1" applyBorder="1"/>
    <xf numFmtId="0" fontId="35" fillId="23" borderId="0" xfId="0" applyFont="1" applyFill="1"/>
    <xf numFmtId="1" fontId="9" fillId="23" borderId="2" xfId="0" applyNumberFormat="1" applyFont="1" applyFill="1" applyBorder="1"/>
    <xf numFmtId="166" fontId="9" fillId="23" borderId="2" xfId="0" applyNumberFormat="1" applyFont="1" applyFill="1" applyBorder="1"/>
    <xf numFmtId="4" fontId="9" fillId="23" borderId="2" xfId="0" applyNumberFormat="1" applyFont="1" applyFill="1" applyBorder="1"/>
    <xf numFmtId="173" fontId="9" fillId="23" borderId="0" xfId="0" applyNumberFormat="1" applyFont="1" applyFill="1"/>
    <xf numFmtId="173" fontId="35" fillId="23" borderId="2" xfId="0" applyNumberFormat="1" applyFont="1" applyFill="1" applyBorder="1"/>
    <xf numFmtId="3" fontId="9" fillId="23" borderId="2" xfId="0" applyNumberFormat="1" applyFont="1" applyFill="1" applyBorder="1"/>
    <xf numFmtId="198" fontId="42" fillId="23" borderId="0" xfId="0" applyNumberFormat="1" applyFont="1" applyFill="1" applyAlignment="1">
      <alignment horizontal="left"/>
    </xf>
    <xf numFmtId="178" fontId="9" fillId="23" borderId="0" xfId="34" applyNumberFormat="1" applyFont="1" applyFill="1"/>
    <xf numFmtId="198" fontId="42" fillId="23" borderId="0" xfId="0" quotePrefix="1" applyNumberFormat="1" applyFont="1" applyFill="1"/>
    <xf numFmtId="202" fontId="9" fillId="23" borderId="0" xfId="0" applyNumberFormat="1" applyFont="1" applyFill="1" applyBorder="1"/>
    <xf numFmtId="37" fontId="9" fillId="23" borderId="0" xfId="0" applyNumberFormat="1" applyFont="1" applyFill="1"/>
    <xf numFmtId="180" fontId="9" fillId="23" borderId="0" xfId="34" applyNumberFormat="1" applyFont="1" applyFill="1"/>
    <xf numFmtId="1" fontId="13" fillId="23" borderId="0" xfId="0" applyNumberFormat="1" applyFont="1" applyFill="1" applyBorder="1" applyAlignment="1">
      <alignment horizontal="right"/>
    </xf>
    <xf numFmtId="204" fontId="9" fillId="23" borderId="0" xfId="0" applyNumberFormat="1" applyFont="1" applyFill="1"/>
    <xf numFmtId="166" fontId="9" fillId="23" borderId="27" xfId="0" applyNumberFormat="1" applyFont="1" applyFill="1" applyBorder="1"/>
    <xf numFmtId="166" fontId="9" fillId="23" borderId="0" xfId="0" applyNumberFormat="1" applyFont="1" applyFill="1" applyBorder="1"/>
    <xf numFmtId="167" fontId="9" fillId="23" borderId="0" xfId="0" applyNumberFormat="1" applyFont="1" applyFill="1" applyAlignment="1">
      <alignment horizontal="center"/>
    </xf>
    <xf numFmtId="166" fontId="9" fillId="23" borderId="5" xfId="0" applyNumberFormat="1" applyFont="1" applyFill="1" applyBorder="1"/>
    <xf numFmtId="166" fontId="12" fillId="23" borderId="28" xfId="0" applyNumberFormat="1" applyFont="1" applyFill="1" applyBorder="1"/>
    <xf numFmtId="166" fontId="12" fillId="23" borderId="0" xfId="0" applyNumberFormat="1" applyFont="1" applyFill="1" applyBorder="1"/>
    <xf numFmtId="166" fontId="12" fillId="23" borderId="0" xfId="0" applyNumberFormat="1" applyFont="1" applyFill="1"/>
    <xf numFmtId="204" fontId="9" fillId="23" borderId="2" xfId="0" applyNumberFormat="1" applyFont="1" applyFill="1" applyBorder="1"/>
    <xf numFmtId="231" fontId="42" fillId="23" borderId="0" xfId="0" applyNumberFormat="1" applyFont="1" applyFill="1" applyAlignment="1">
      <alignment horizontal="left"/>
    </xf>
    <xf numFmtId="201" fontId="9" fillId="23" borderId="0" xfId="0" applyNumberFormat="1" applyFont="1" applyFill="1" applyBorder="1"/>
    <xf numFmtId="201" fontId="9" fillId="23" borderId="0" xfId="0" applyNumberFormat="1" applyFont="1" applyFill="1"/>
    <xf numFmtId="3" fontId="13" fillId="23" borderId="0" xfId="0" applyNumberFormat="1" applyFont="1" applyFill="1"/>
    <xf numFmtId="204" fontId="13" fillId="23" borderId="0" xfId="0" applyNumberFormat="1" applyFont="1" applyFill="1"/>
    <xf numFmtId="9" fontId="88" fillId="23" borderId="0" xfId="62" applyFont="1" applyFill="1"/>
    <xf numFmtId="1" fontId="13" fillId="23" borderId="0" xfId="0" applyNumberFormat="1" applyFont="1" applyFill="1"/>
    <xf numFmtId="167" fontId="21" fillId="23" borderId="0" xfId="0" applyNumberFormat="1" applyFont="1" applyFill="1" applyAlignment="1">
      <alignment horizontal="right"/>
    </xf>
    <xf numFmtId="204" fontId="13" fillId="23" borderId="2" xfId="0" applyNumberFormat="1" applyFont="1" applyFill="1" applyBorder="1"/>
    <xf numFmtId="204" fontId="88" fillId="23" borderId="0" xfId="0" applyNumberFormat="1" applyFont="1" applyFill="1"/>
    <xf numFmtId="1" fontId="9" fillId="23" borderId="0" xfId="0" applyNumberFormat="1" applyFont="1" applyFill="1" applyBorder="1" applyAlignment="1">
      <alignment horizontal="right"/>
    </xf>
    <xf numFmtId="9" fontId="13" fillId="23" borderId="0" xfId="0" applyNumberFormat="1" applyFont="1" applyFill="1"/>
    <xf numFmtId="9" fontId="9" fillId="23" borderId="0" xfId="62" applyFont="1" applyFill="1"/>
    <xf numFmtId="182" fontId="13" fillId="23" borderId="0" xfId="0" applyNumberFormat="1" applyFont="1" applyFill="1"/>
    <xf numFmtId="1" fontId="9" fillId="23" borderId="2" xfId="0" applyNumberFormat="1" applyFont="1" applyFill="1" applyBorder="1" applyAlignment="1">
      <alignment horizontal="right"/>
    </xf>
    <xf numFmtId="205" fontId="88" fillId="23" borderId="0" xfId="0" applyNumberFormat="1" applyFont="1" applyFill="1"/>
    <xf numFmtId="9" fontId="35" fillId="23" borderId="0" xfId="0" applyNumberFormat="1" applyFont="1" applyFill="1"/>
    <xf numFmtId="44" fontId="9" fillId="23" borderId="0" xfId="35" applyFont="1" applyFill="1"/>
    <xf numFmtId="0" fontId="32" fillId="23" borderId="0" xfId="0" applyFont="1" applyFill="1" applyAlignment="1">
      <alignment horizontal="left"/>
    </xf>
    <xf numFmtId="3" fontId="9" fillId="23" borderId="0" xfId="0" applyNumberFormat="1" applyFont="1" applyFill="1" applyBorder="1"/>
    <xf numFmtId="205" fontId="9" fillId="23" borderId="0" xfId="0" applyNumberFormat="1" applyFont="1" applyFill="1"/>
    <xf numFmtId="168" fontId="13" fillId="23" borderId="0" xfId="0" applyNumberFormat="1" applyFont="1" applyFill="1"/>
    <xf numFmtId="166" fontId="9" fillId="23" borderId="8" xfId="0" applyNumberFormat="1" applyFont="1" applyFill="1" applyBorder="1"/>
    <xf numFmtId="167" fontId="9" fillId="23" borderId="0" xfId="0" applyNumberFormat="1" applyFont="1" applyFill="1" applyBorder="1"/>
    <xf numFmtId="4" fontId="12" fillId="23" borderId="0" xfId="0" applyNumberFormat="1" applyFont="1" applyFill="1"/>
    <xf numFmtId="7" fontId="9" fillId="23" borderId="0" xfId="0" applyNumberFormat="1" applyFont="1" applyFill="1"/>
    <xf numFmtId="167" fontId="13" fillId="23" borderId="0" xfId="0" applyNumberFormat="1" applyFont="1" applyFill="1"/>
    <xf numFmtId="204" fontId="146" fillId="23" borderId="0" xfId="0" applyNumberFormat="1" applyFont="1" applyFill="1"/>
    <xf numFmtId="9" fontId="13" fillId="23" borderId="0" xfId="62" applyFont="1" applyFill="1"/>
    <xf numFmtId="0" fontId="1" fillId="23" borderId="0" xfId="0" applyFont="1" applyFill="1"/>
    <xf numFmtId="185" fontId="1" fillId="23" borderId="0" xfId="0" applyNumberFormat="1" applyFont="1" applyFill="1"/>
    <xf numFmtId="166" fontId="1" fillId="23" borderId="0" xfId="0" applyNumberFormat="1" applyFont="1" applyFill="1"/>
    <xf numFmtId="1" fontId="1" fillId="23" borderId="0" xfId="0" applyNumberFormat="1" applyFont="1" applyFill="1" applyBorder="1" applyAlignment="1">
      <alignment horizontal="right"/>
    </xf>
    <xf numFmtId="0" fontId="12" fillId="23" borderId="2" xfId="0" applyFont="1" applyFill="1" applyBorder="1" applyAlignment="1" applyProtection="1">
      <alignment horizontal="left"/>
    </xf>
    <xf numFmtId="6" fontId="21" fillId="23" borderId="0" xfId="0" quotePrefix="1" applyNumberFormat="1" applyFont="1" applyFill="1"/>
    <xf numFmtId="0" fontId="117" fillId="23" borderId="0" xfId="0" applyFont="1" applyFill="1" applyAlignment="1">
      <alignment horizontal="center"/>
    </xf>
    <xf numFmtId="175" fontId="13" fillId="23" borderId="0" xfId="0" applyNumberFormat="1" applyFont="1" applyFill="1"/>
    <xf numFmtId="5" fontId="13" fillId="23" borderId="0" xfId="0" applyNumberFormat="1" applyFont="1" applyFill="1"/>
    <xf numFmtId="170" fontId="13" fillId="23" borderId="0" xfId="0" applyNumberFormat="1" applyFont="1" applyFill="1"/>
    <xf numFmtId="170" fontId="9" fillId="23" borderId="0" xfId="0" applyNumberFormat="1" applyFont="1" applyFill="1"/>
    <xf numFmtId="174" fontId="9" fillId="23" borderId="0" xfId="0" applyNumberFormat="1" applyFont="1" applyFill="1"/>
    <xf numFmtId="175" fontId="9" fillId="23" borderId="0" xfId="0" applyNumberFormat="1" applyFont="1" applyFill="1"/>
    <xf numFmtId="193" fontId="9" fillId="23" borderId="0" xfId="0" applyNumberFormat="1" applyFont="1" applyFill="1"/>
    <xf numFmtId="174" fontId="13" fillId="23" borderId="0" xfId="0" applyNumberFormat="1" applyFont="1" applyFill="1"/>
    <xf numFmtId="195" fontId="9" fillId="23" borderId="0" xfId="62" applyNumberFormat="1" applyFont="1" applyFill="1"/>
    <xf numFmtId="199" fontId="9" fillId="23" borderId="0" xfId="0" applyNumberFormat="1" applyFont="1" applyFill="1" applyAlignment="1">
      <alignment horizontal="left"/>
    </xf>
    <xf numFmtId="198" fontId="12" fillId="23" borderId="0" xfId="0" applyNumberFormat="1" applyFont="1" applyFill="1" applyBorder="1" applyAlignment="1">
      <alignment horizontal="center"/>
    </xf>
    <xf numFmtId="172" fontId="13" fillId="23" borderId="0" xfId="0" applyNumberFormat="1" applyFont="1" applyFill="1"/>
    <xf numFmtId="198" fontId="18" fillId="23" borderId="2" xfId="0" applyNumberFormat="1" applyFont="1" applyFill="1" applyBorder="1" applyAlignment="1">
      <alignment horizontal="center"/>
    </xf>
    <xf numFmtId="0" fontId="42" fillId="23" borderId="0" xfId="0" applyFont="1" applyFill="1" applyAlignment="1">
      <alignment horizontal="left"/>
    </xf>
    <xf numFmtId="0" fontId="42" fillId="23" borderId="0" xfId="0" applyFont="1" applyFill="1" applyBorder="1" applyAlignment="1">
      <alignment horizontal="center"/>
    </xf>
    <xf numFmtId="38" fontId="13" fillId="23" borderId="0" xfId="0" applyNumberFormat="1" applyFont="1" applyFill="1"/>
    <xf numFmtId="6" fontId="13" fillId="23" borderId="0" xfId="0" applyNumberFormat="1" applyFont="1" applyFill="1"/>
    <xf numFmtId="40" fontId="13" fillId="23" borderId="0" xfId="0" applyNumberFormat="1" applyFont="1" applyFill="1"/>
    <xf numFmtId="6" fontId="9" fillId="23" borderId="0" xfId="0" applyNumberFormat="1" applyFont="1" applyFill="1"/>
    <xf numFmtId="199" fontId="9" fillId="23" borderId="0" xfId="0" applyNumberFormat="1" applyFont="1" applyFill="1"/>
    <xf numFmtId="0" fontId="10" fillId="23" borderId="0" xfId="0" applyFont="1" applyFill="1" applyBorder="1"/>
    <xf numFmtId="174" fontId="9" fillId="23" borderId="0" xfId="0" applyNumberFormat="1" applyFont="1" applyFill="1" applyBorder="1"/>
    <xf numFmtId="38" fontId="9" fillId="23" borderId="0" xfId="0" applyNumberFormat="1" applyFont="1" applyFill="1"/>
    <xf numFmtId="172" fontId="9" fillId="23" borderId="0" xfId="0" applyNumberFormat="1" applyFont="1" applyFill="1"/>
    <xf numFmtId="172" fontId="10" fillId="23" borderId="0" xfId="0" applyNumberFormat="1" applyFont="1" applyFill="1" applyBorder="1"/>
    <xf numFmtId="0" fontId="48" fillId="23" borderId="0" xfId="0" applyFont="1" applyFill="1"/>
    <xf numFmtId="195" fontId="49" fillId="23" borderId="0" xfId="0" applyNumberFormat="1" applyFont="1" applyFill="1"/>
    <xf numFmtId="0" fontId="48" fillId="23" borderId="0" xfId="0" applyFont="1" applyFill="1" applyBorder="1"/>
    <xf numFmtId="195" fontId="49" fillId="23" borderId="0" xfId="0" applyNumberFormat="1" applyFont="1" applyFill="1" applyBorder="1"/>
    <xf numFmtId="0" fontId="48" fillId="23" borderId="2" xfId="0" applyFont="1" applyFill="1" applyBorder="1"/>
    <xf numFmtId="195" fontId="49" fillId="23" borderId="2" xfId="0" applyNumberFormat="1" applyFont="1" applyFill="1" applyBorder="1"/>
    <xf numFmtId="180" fontId="49" fillId="23" borderId="2" xfId="34" applyNumberFormat="1" applyFont="1" applyFill="1" applyBorder="1"/>
    <xf numFmtId="0" fontId="58" fillId="23" borderId="0" xfId="0" applyFont="1" applyFill="1" applyAlignment="1" applyProtection="1">
      <alignment horizontal="left"/>
    </xf>
    <xf numFmtId="0" fontId="49" fillId="23" borderId="0" xfId="0" applyFont="1" applyFill="1"/>
    <xf numFmtId="210" fontId="49" fillId="23" borderId="0" xfId="0" applyNumberFormat="1" applyFont="1" applyFill="1"/>
    <xf numFmtId="0" fontId="49" fillId="23" borderId="0" xfId="0" quotePrefix="1" applyFont="1" applyFill="1"/>
    <xf numFmtId="174" fontId="49" fillId="23" borderId="0" xfId="0" applyNumberFormat="1" applyFont="1" applyFill="1"/>
    <xf numFmtId="0" fontId="49" fillId="23" borderId="2" xfId="0" applyFont="1" applyFill="1" applyBorder="1"/>
    <xf numFmtId="0" fontId="125" fillId="23" borderId="2" xfId="0" applyFont="1" applyFill="1" applyBorder="1" applyAlignment="1">
      <alignment horizontal="center"/>
    </xf>
    <xf numFmtId="0" fontId="48" fillId="23" borderId="2" xfId="0" applyFont="1" applyFill="1" applyBorder="1" applyAlignment="1">
      <alignment horizontal="center"/>
    </xf>
    <xf numFmtId="0" fontId="48" fillId="23" borderId="2" xfId="0" applyFont="1" applyFill="1" applyBorder="1" applyAlignment="1">
      <alignment horizontal="centerContinuous"/>
    </xf>
    <xf numFmtId="0" fontId="49" fillId="23" borderId="2" xfId="0" applyFont="1" applyFill="1" applyBorder="1" applyAlignment="1">
      <alignment horizontal="centerContinuous"/>
    </xf>
    <xf numFmtId="0" fontId="49" fillId="23" borderId="0" xfId="0" applyFont="1" applyFill="1" applyBorder="1" applyAlignment="1">
      <alignment horizontal="centerContinuous"/>
    </xf>
    <xf numFmtId="198" fontId="50" fillId="23" borderId="2" xfId="0" applyNumberFormat="1" applyFont="1" applyFill="1" applyBorder="1" applyAlignment="1">
      <alignment horizontal="center"/>
    </xf>
    <xf numFmtId="0" fontId="48" fillId="23" borderId="0" xfId="0" applyFont="1" applyFill="1" applyAlignment="1">
      <alignment horizontal="center"/>
    </xf>
    <xf numFmtId="198" fontId="48" fillId="23" borderId="2" xfId="0" applyNumberFormat="1" applyFont="1" applyFill="1" applyBorder="1" applyAlignment="1">
      <alignment horizontal="center"/>
    </xf>
    <xf numFmtId="198" fontId="66" fillId="23" borderId="2" xfId="0" applyNumberFormat="1" applyFont="1" applyFill="1" applyBorder="1" applyAlignment="1">
      <alignment horizontal="center"/>
    </xf>
    <xf numFmtId="231" fontId="48" fillId="23" borderId="2" xfId="0" applyNumberFormat="1" applyFont="1" applyFill="1" applyBorder="1" applyAlignment="1">
      <alignment horizontal="center"/>
    </xf>
    <xf numFmtId="0" fontId="48" fillId="23" borderId="0" xfId="0" applyFont="1" applyFill="1" applyBorder="1" applyAlignment="1">
      <alignment horizontal="center"/>
    </xf>
    <xf numFmtId="200" fontId="50" fillId="23" borderId="0" xfId="0" applyNumberFormat="1" applyFont="1" applyFill="1" applyBorder="1" applyAlignment="1">
      <alignment horizontal="center"/>
    </xf>
    <xf numFmtId="200" fontId="50" fillId="23" borderId="2" xfId="0" applyNumberFormat="1" applyFont="1" applyFill="1" applyBorder="1" applyAlignment="1">
      <alignment horizontal="center"/>
    </xf>
    <xf numFmtId="0" fontId="58" fillId="23" borderId="0" xfId="0" applyFont="1" applyFill="1"/>
    <xf numFmtId="209" fontId="49" fillId="23" borderId="0" xfId="34" applyNumberFormat="1" applyFont="1" applyFill="1"/>
    <xf numFmtId="174" fontId="49" fillId="23" borderId="0" xfId="0" quotePrefix="1" applyNumberFormat="1" applyFont="1" applyFill="1"/>
    <xf numFmtId="172" fontId="49" fillId="23" borderId="0" xfId="0" applyNumberFormat="1" applyFont="1" applyFill="1"/>
    <xf numFmtId="172" fontId="54" fillId="23" borderId="0" xfId="0" applyNumberFormat="1" applyFont="1" applyFill="1"/>
    <xf numFmtId="170" fontId="54" fillId="23" borderId="0" xfId="0" applyNumberFormat="1" applyFont="1" applyFill="1"/>
    <xf numFmtId="170" fontId="49" fillId="23" borderId="0" xfId="0" applyNumberFormat="1" applyFont="1" applyFill="1"/>
    <xf numFmtId="172" fontId="54" fillId="23" borderId="2" xfId="0" applyNumberFormat="1" applyFont="1" applyFill="1" applyBorder="1"/>
    <xf numFmtId="170" fontId="54" fillId="23" borderId="2" xfId="0" applyNumberFormat="1" applyFont="1" applyFill="1" applyBorder="1"/>
    <xf numFmtId="172" fontId="54" fillId="23" borderId="0" xfId="0" applyNumberFormat="1" applyFont="1" applyFill="1" applyBorder="1"/>
    <xf numFmtId="174" fontId="48" fillId="23" borderId="0" xfId="0" applyNumberFormat="1" applyFont="1" applyFill="1"/>
    <xf numFmtId="174" fontId="49" fillId="23" borderId="0" xfId="0" applyNumberFormat="1" applyFont="1" applyFill="1" applyBorder="1"/>
    <xf numFmtId="208" fontId="49" fillId="23" borderId="0" xfId="0" applyNumberFormat="1" applyFont="1" applyFill="1"/>
    <xf numFmtId="174" fontId="54" fillId="23" borderId="0" xfId="0" applyNumberFormat="1" applyFont="1" applyFill="1"/>
    <xf numFmtId="175" fontId="54" fillId="23" borderId="0" xfId="0" applyNumberFormat="1" applyFont="1" applyFill="1"/>
    <xf numFmtId="175" fontId="49" fillId="23" borderId="0" xfId="0" applyNumberFormat="1" applyFont="1" applyFill="1"/>
    <xf numFmtId="176" fontId="49" fillId="23" borderId="0" xfId="0" applyNumberFormat="1" applyFont="1" applyFill="1"/>
    <xf numFmtId="166" fontId="49" fillId="23" borderId="0" xfId="0" applyNumberFormat="1" applyFont="1" applyFill="1"/>
    <xf numFmtId="177" fontId="49" fillId="23" borderId="0" xfId="0" applyNumberFormat="1" applyFont="1" applyFill="1"/>
    <xf numFmtId="170" fontId="49" fillId="23" borderId="2" xfId="0" applyNumberFormat="1" applyFont="1" applyFill="1" applyBorder="1"/>
    <xf numFmtId="170" fontId="49" fillId="23" borderId="0" xfId="0" applyNumberFormat="1" applyFont="1" applyFill="1" applyBorder="1"/>
    <xf numFmtId="0" fontId="48" fillId="23" borderId="29" xfId="0" applyFont="1" applyFill="1" applyBorder="1"/>
    <xf numFmtId="0" fontId="48" fillId="23" borderId="6" xfId="0" applyFont="1" applyFill="1" applyBorder="1"/>
    <xf numFmtId="174" fontId="48" fillId="23" borderId="6" xfId="0" applyNumberFormat="1" applyFont="1" applyFill="1" applyBorder="1"/>
    <xf numFmtId="0" fontId="49" fillId="23" borderId="0" xfId="0" applyFont="1" applyFill="1" applyBorder="1"/>
    <xf numFmtId="8" fontId="49" fillId="23" borderId="0" xfId="0" applyNumberFormat="1" applyFont="1" applyFill="1"/>
    <xf numFmtId="0" fontId="56" fillId="23" borderId="2" xfId="0" applyFont="1" applyFill="1" applyBorder="1"/>
    <xf numFmtId="0" fontId="54" fillId="23" borderId="0" xfId="0" applyFont="1" applyFill="1"/>
    <xf numFmtId="208" fontId="54" fillId="23" borderId="0" xfId="0" applyNumberFormat="1" applyFont="1" applyFill="1"/>
    <xf numFmtId="185" fontId="49" fillId="23" borderId="0" xfId="0" applyNumberFormat="1" applyFont="1" applyFill="1"/>
    <xf numFmtId="175" fontId="49" fillId="23" borderId="0" xfId="0" applyNumberFormat="1" applyFont="1" applyFill="1" applyBorder="1"/>
    <xf numFmtId="39" fontId="49" fillId="23" borderId="0" xfId="0" applyNumberFormat="1" applyFont="1" applyFill="1"/>
    <xf numFmtId="0" fontId="63" fillId="23" borderId="0" xfId="0" applyFont="1" applyFill="1"/>
    <xf numFmtId="179" fontId="49" fillId="23" borderId="0" xfId="0" applyNumberFormat="1" applyFont="1" applyFill="1"/>
    <xf numFmtId="172" fontId="135" fillId="23" borderId="0" xfId="0" applyNumberFormat="1" applyFont="1" applyFill="1"/>
    <xf numFmtId="0" fontId="135" fillId="23" borderId="0" xfId="0" applyFont="1" applyFill="1"/>
    <xf numFmtId="0" fontId="136" fillId="23" borderId="0" xfId="0" applyFont="1" applyFill="1"/>
    <xf numFmtId="187" fontId="49" fillId="23" borderId="0" xfId="34" applyNumberFormat="1" applyFont="1" applyFill="1"/>
    <xf numFmtId="170" fontId="64" fillId="23" borderId="0" xfId="0" applyNumberFormat="1" applyFont="1" applyFill="1"/>
    <xf numFmtId="183" fontId="49" fillId="23" borderId="0" xfId="50" applyFont="1" applyFill="1" applyAlignment="1"/>
    <xf numFmtId="0" fontId="68" fillId="23" borderId="30" xfId="0" applyFont="1" applyFill="1" applyBorder="1"/>
    <xf numFmtId="167" fontId="64" fillId="23" borderId="0" xfId="0" applyNumberFormat="1" applyFont="1" applyFill="1"/>
    <xf numFmtId="0" fontId="68" fillId="23" borderId="0" xfId="0" applyFont="1" applyFill="1" applyBorder="1"/>
    <xf numFmtId="0" fontId="64" fillId="23" borderId="0" xfId="0" applyFont="1" applyFill="1" applyBorder="1"/>
    <xf numFmtId="0" fontId="64" fillId="23" borderId="0" xfId="0" applyFont="1" applyFill="1"/>
    <xf numFmtId="172" fontId="64" fillId="23" borderId="0" xfId="0" applyNumberFormat="1" applyFont="1" applyFill="1"/>
    <xf numFmtId="9" fontId="64" fillId="23" borderId="0" xfId="62" applyNumberFormat="1" applyFont="1" applyFill="1"/>
    <xf numFmtId="183" fontId="64" fillId="23" borderId="0" xfId="54" applyFont="1" applyFill="1"/>
    <xf numFmtId="0" fontId="62" fillId="23" borderId="0" xfId="0" applyFont="1" applyFill="1"/>
    <xf numFmtId="0" fontId="62" fillId="23" borderId="0" xfId="0" applyFont="1" applyFill="1" applyBorder="1"/>
    <xf numFmtId="2" fontId="49" fillId="23" borderId="0" xfId="0" applyNumberFormat="1" applyFont="1" applyFill="1" applyBorder="1"/>
    <xf numFmtId="43" fontId="49" fillId="23" borderId="0" xfId="0" applyNumberFormat="1" applyFont="1" applyFill="1" applyBorder="1"/>
    <xf numFmtId="168" fontId="49" fillId="23" borderId="0" xfId="62" applyNumberFormat="1" applyFont="1" applyFill="1" applyBorder="1" applyProtection="1"/>
    <xf numFmtId="168" fontId="49" fillId="23" borderId="0" xfId="62" applyNumberFormat="1" applyFont="1" applyFill="1" applyBorder="1"/>
    <xf numFmtId="8" fontId="49" fillId="23" borderId="0" xfId="0" applyNumberFormat="1" applyFont="1" applyFill="1" applyBorder="1"/>
    <xf numFmtId="173" fontId="49" fillId="23" borderId="0" xfId="0" applyNumberFormat="1" applyFont="1" applyFill="1" applyBorder="1"/>
    <xf numFmtId="8" fontId="62" fillId="23" borderId="0" xfId="0" applyNumberFormat="1" applyFont="1" applyFill="1" applyBorder="1"/>
    <xf numFmtId="170" fontId="49" fillId="23" borderId="0" xfId="0" applyNumberFormat="1" applyFont="1" applyFill="1" applyAlignment="1">
      <alignment horizontal="center"/>
    </xf>
    <xf numFmtId="0" fontId="49" fillId="23" borderId="0" xfId="0" applyFont="1" applyFill="1" applyAlignment="1">
      <alignment horizontal="center"/>
    </xf>
    <xf numFmtId="287" fontId="156" fillId="22" borderId="0" xfId="0" applyNumberFormat="1" applyFont="1" applyFill="1" applyBorder="1" applyAlignment="1">
      <alignment horizontal="centerContinuous"/>
    </xf>
    <xf numFmtId="0" fontId="156" fillId="22" borderId="0" xfId="0" applyFont="1" applyFill="1" applyBorder="1" applyAlignment="1">
      <alignment horizontal="centerContinuous"/>
    </xf>
    <xf numFmtId="209" fontId="1" fillId="23" borderId="35" xfId="34" applyNumberFormat="1" applyFont="1" applyFill="1" applyBorder="1"/>
    <xf numFmtId="0" fontId="1" fillId="23" borderId="36" xfId="0" applyFont="1" applyFill="1" applyBorder="1"/>
    <xf numFmtId="168" fontId="1" fillId="23" borderId="37" xfId="62" applyNumberFormat="1" applyFont="1" applyFill="1" applyBorder="1"/>
    <xf numFmtId="0" fontId="1" fillId="23" borderId="38" xfId="0" applyFont="1" applyFill="1" applyBorder="1" applyAlignment="1">
      <alignment horizontal="centerContinuous"/>
    </xf>
    <xf numFmtId="43" fontId="1" fillId="23" borderId="37" xfId="0" applyNumberFormat="1" applyFont="1" applyFill="1" applyBorder="1" applyAlignment="1">
      <alignment horizontal="right"/>
    </xf>
    <xf numFmtId="43" fontId="1" fillId="23" borderId="38" xfId="0" applyNumberFormat="1" applyFont="1" applyFill="1" applyBorder="1" applyAlignment="1">
      <alignment horizontal="right"/>
    </xf>
    <xf numFmtId="43" fontId="1" fillId="24" borderId="37" xfId="0" applyNumberFormat="1" applyFont="1" applyFill="1" applyBorder="1" applyAlignment="1">
      <alignment horizontal="right"/>
    </xf>
    <xf numFmtId="43" fontId="1" fillId="24" borderId="38" xfId="0" applyNumberFormat="1" applyFont="1" applyFill="1" applyBorder="1" applyAlignment="1">
      <alignment horizontal="right"/>
    </xf>
    <xf numFmtId="168" fontId="1" fillId="23" borderId="37" xfId="62" applyNumberFormat="1" applyFont="1" applyFill="1" applyBorder="1" applyAlignment="1">
      <alignment horizontal="right"/>
    </xf>
    <xf numFmtId="0" fontId="1" fillId="23" borderId="38" xfId="0" applyFont="1" applyFill="1" applyBorder="1" applyAlignment="1">
      <alignment horizontal="right"/>
    </xf>
    <xf numFmtId="0" fontId="1" fillId="23" borderId="37" xfId="0" applyFont="1" applyFill="1" applyBorder="1" applyAlignment="1">
      <alignment horizontal="right"/>
    </xf>
    <xf numFmtId="37" fontId="12" fillId="23" borderId="37" xfId="0" applyNumberFormat="1" applyFont="1" applyFill="1" applyBorder="1" applyAlignment="1">
      <alignment horizontal="right"/>
    </xf>
    <xf numFmtId="0" fontId="12" fillId="23" borderId="37" xfId="0" applyFont="1" applyFill="1" applyBorder="1" applyAlignment="1">
      <alignment horizontal="right"/>
    </xf>
    <xf numFmtId="167" fontId="1" fillId="23" borderId="41" xfId="0" applyNumberFormat="1" applyFont="1" applyFill="1" applyBorder="1"/>
    <xf numFmtId="167" fontId="1" fillId="23" borderId="42" xfId="0" applyNumberFormat="1" applyFont="1" applyFill="1" applyBorder="1"/>
    <xf numFmtId="168" fontId="9" fillId="23" borderId="0" xfId="0" applyNumberFormat="1" applyFont="1" applyFill="1" applyBorder="1"/>
    <xf numFmtId="0" fontId="0" fillId="16" borderId="7" xfId="0" applyFill="1" applyBorder="1"/>
    <xf numFmtId="0" fontId="0" fillId="16" borderId="17" xfId="0" applyFill="1" applyBorder="1"/>
    <xf numFmtId="0" fontId="9" fillId="16" borderId="17" xfId="0" applyFont="1" applyFill="1" applyBorder="1"/>
    <xf numFmtId="0" fontId="42" fillId="16" borderId="17" xfId="0" applyFont="1" applyFill="1" applyBorder="1" applyAlignment="1">
      <alignment horizontal="center"/>
    </xf>
    <xf numFmtId="0" fontId="42" fillId="16" borderId="25" xfId="0" applyFont="1" applyFill="1" applyBorder="1" applyAlignment="1">
      <alignment horizontal="center"/>
    </xf>
    <xf numFmtId="2" fontId="0" fillId="16" borderId="0" xfId="0" applyNumberFormat="1" applyFill="1" applyBorder="1"/>
    <xf numFmtId="0" fontId="0" fillId="16" borderId="20" xfId="0" applyFill="1" applyBorder="1"/>
    <xf numFmtId="0" fontId="1" fillId="16" borderId="7" xfId="0" applyFont="1" applyFill="1" applyBorder="1"/>
    <xf numFmtId="1" fontId="0" fillId="16" borderId="0" xfId="0" applyNumberFormat="1" applyFill="1" applyBorder="1"/>
    <xf numFmtId="1" fontId="0" fillId="16" borderId="22" xfId="0" applyNumberFormat="1" applyFill="1" applyBorder="1"/>
    <xf numFmtId="1" fontId="0" fillId="16" borderId="2" xfId="0" applyNumberFormat="1" applyFill="1" applyBorder="1"/>
    <xf numFmtId="1" fontId="0" fillId="16" borderId="21" xfId="0" applyNumberFormat="1" applyFill="1" applyBorder="1"/>
    <xf numFmtId="9" fontId="0" fillId="16" borderId="0" xfId="0" applyNumberFormat="1" applyFill="1" applyBorder="1"/>
    <xf numFmtId="167" fontId="0" fillId="16" borderId="2" xfId="0" applyNumberFormat="1" applyFill="1" applyBorder="1"/>
    <xf numFmtId="0" fontId="42" fillId="16" borderId="0" xfId="72" applyNumberFormat="1" applyFont="1" applyFill="1" applyBorder="1" applyAlignment="1">
      <alignment horizontal="center"/>
    </xf>
    <xf numFmtId="0" fontId="158" fillId="16" borderId="0" xfId="72" applyNumberFormat="1" applyFont="1" applyFill="1" applyBorder="1" applyAlignment="1">
      <alignment horizontal="center"/>
    </xf>
    <xf numFmtId="0" fontId="158" fillId="16" borderId="17" xfId="49" applyFont="1" applyFill="1" applyBorder="1" applyAlignment="1">
      <alignment horizontal="right"/>
    </xf>
    <xf numFmtId="0" fontId="42" fillId="16" borderId="17" xfId="72" applyNumberFormat="1" applyFont="1" applyFill="1" applyBorder="1" applyAlignment="1">
      <alignment horizontal="center"/>
    </xf>
    <xf numFmtId="172" fontId="158" fillId="16" borderId="22" xfId="72" applyFont="1" applyFill="1" applyBorder="1" applyAlignment="1">
      <alignment horizontal="center"/>
    </xf>
    <xf numFmtId="172" fontId="118" fillId="16" borderId="22" xfId="72" applyFont="1" applyFill="1" applyBorder="1" applyAlignment="1">
      <alignment horizontal="center"/>
    </xf>
    <xf numFmtId="168" fontId="0" fillId="16" borderId="0" xfId="62" applyNumberFormat="1" applyFont="1" applyFill="1" applyBorder="1"/>
    <xf numFmtId="191" fontId="21" fillId="23" borderId="0" xfId="48" applyNumberFormat="1" applyFont="1" applyFill="1" applyProtection="1"/>
    <xf numFmtId="37" fontId="21" fillId="23" borderId="0" xfId="48" applyFont="1" applyFill="1" applyBorder="1"/>
    <xf numFmtId="0" fontId="137" fillId="23" borderId="0" xfId="0" applyFont="1" applyFill="1" applyBorder="1" applyAlignment="1">
      <alignment horizontal="right"/>
    </xf>
    <xf numFmtId="0" fontId="137" fillId="23" borderId="2" xfId="0" applyFont="1" applyFill="1" applyBorder="1" applyAlignment="1">
      <alignment horizontal="right"/>
    </xf>
    <xf numFmtId="0" fontId="137" fillId="23" borderId="0" xfId="0" applyFont="1" applyFill="1" applyAlignment="1">
      <alignment horizontal="right"/>
    </xf>
    <xf numFmtId="0" fontId="9" fillId="23" borderId="29" xfId="0" applyFont="1" applyFill="1" applyBorder="1"/>
    <xf numFmtId="0" fontId="9" fillId="23" borderId="24" xfId="0" applyFont="1" applyFill="1" applyBorder="1"/>
    <xf numFmtId="172" fontId="9" fillId="23" borderId="0" xfId="0" applyNumberFormat="1" applyFont="1" applyFill="1" applyBorder="1"/>
    <xf numFmtId="0" fontId="9" fillId="23" borderId="0" xfId="0" applyFont="1" applyFill="1" applyBorder="1" applyAlignment="1">
      <alignment horizontal="center"/>
    </xf>
    <xf numFmtId="172" fontId="9" fillId="23" borderId="2" xfId="0" applyNumberFormat="1" applyFont="1" applyFill="1" applyBorder="1"/>
    <xf numFmtId="4" fontId="9" fillId="23" borderId="29" xfId="0" applyNumberFormat="1" applyFont="1" applyFill="1" applyBorder="1"/>
    <xf numFmtId="0" fontId="138" fillId="23" borderId="0" xfId="0" applyFont="1" applyFill="1" applyBorder="1" applyAlignment="1">
      <alignment horizontal="right"/>
    </xf>
    <xf numFmtId="4" fontId="138" fillId="23" borderId="0" xfId="0" applyNumberFormat="1" applyFont="1" applyFill="1" applyBorder="1" applyAlignment="1">
      <alignment horizontal="right"/>
    </xf>
    <xf numFmtId="0" fontId="138" fillId="23" borderId="0" xfId="0" applyFont="1" applyFill="1" applyAlignment="1">
      <alignment horizontal="right"/>
    </xf>
    <xf numFmtId="4" fontId="138" fillId="23" borderId="6" xfId="0" applyNumberFormat="1" applyFont="1" applyFill="1" applyBorder="1" applyAlignment="1">
      <alignment horizontal="right"/>
    </xf>
    <xf numFmtId="0" fontId="138" fillId="23" borderId="24" xfId="0" applyFont="1" applyFill="1" applyBorder="1" applyAlignment="1">
      <alignment horizontal="right"/>
    </xf>
    <xf numFmtId="170" fontId="19" fillId="23" borderId="0" xfId="0" applyNumberFormat="1" applyFont="1" applyFill="1" applyProtection="1"/>
    <xf numFmtId="172" fontId="13" fillId="23" borderId="0" xfId="0" applyNumberFormat="1" applyFont="1" applyFill="1" applyBorder="1"/>
    <xf numFmtId="4" fontId="138" fillId="23" borderId="29" xfId="0" applyNumberFormat="1" applyFont="1" applyFill="1" applyBorder="1" applyAlignment="1">
      <alignment horizontal="right"/>
    </xf>
    <xf numFmtId="170" fontId="9" fillId="23" borderId="0" xfId="0" applyNumberFormat="1" applyFont="1" applyFill="1" applyProtection="1"/>
    <xf numFmtId="205" fontId="13" fillId="23" borderId="0" xfId="0" applyNumberFormat="1" applyFont="1" applyFill="1" applyAlignment="1">
      <alignment horizontal="right"/>
    </xf>
    <xf numFmtId="14" fontId="9" fillId="23" borderId="0" xfId="0" applyNumberFormat="1" applyFont="1" applyFill="1"/>
    <xf numFmtId="4" fontId="13" fillId="23" borderId="0" xfId="0" applyNumberFormat="1" applyFont="1" applyFill="1" applyAlignment="1">
      <alignment horizontal="right"/>
    </xf>
    <xf numFmtId="4" fontId="9" fillId="23" borderId="0" xfId="0" applyNumberFormat="1" applyFont="1" applyFill="1" applyBorder="1"/>
    <xf numFmtId="168" fontId="46" fillId="23" borderId="0" xfId="0" applyNumberFormat="1" applyFont="1" applyFill="1"/>
    <xf numFmtId="168" fontId="9" fillId="23" borderId="0" xfId="62" applyNumberFormat="1" applyFont="1" applyFill="1" applyBorder="1"/>
    <xf numFmtId="200" fontId="42" fillId="23" borderId="0" xfId="0" applyNumberFormat="1" applyFont="1" applyFill="1" applyAlignment="1">
      <alignment horizontal="left"/>
    </xf>
    <xf numFmtId="37" fontId="21" fillId="23" borderId="0" xfId="48" applyFont="1" applyFill="1" applyAlignment="1" applyProtection="1">
      <alignment horizontal="left"/>
    </xf>
    <xf numFmtId="184" fontId="21" fillId="23" borderId="0" xfId="48" applyNumberFormat="1" applyFont="1" applyFill="1" applyProtection="1"/>
    <xf numFmtId="168" fontId="21" fillId="23" borderId="0" xfId="48" applyNumberFormat="1" applyFont="1" applyFill="1"/>
    <xf numFmtId="168" fontId="21" fillId="23" borderId="0" xfId="62" applyNumberFormat="1" applyFont="1" applyFill="1" applyProtection="1"/>
    <xf numFmtId="37" fontId="9" fillId="23" borderId="0" xfId="48" applyFont="1" applyFill="1" applyAlignment="1" applyProtection="1">
      <alignment horizontal="left"/>
    </xf>
    <xf numFmtId="37" fontId="9" fillId="23" borderId="0" xfId="48" applyFont="1" applyFill="1"/>
    <xf numFmtId="184" fontId="9" fillId="23" borderId="0" xfId="48" applyNumberFormat="1" applyFont="1" applyFill="1" applyProtection="1"/>
    <xf numFmtId="37" fontId="9" fillId="23" borderId="0" xfId="48" applyFont="1" applyFill="1" applyBorder="1"/>
    <xf numFmtId="37" fontId="9" fillId="23" borderId="0" xfId="48" applyFont="1" applyFill="1" applyAlignment="1">
      <alignment horizontal="center"/>
    </xf>
    <xf numFmtId="201" fontId="159" fillId="23" borderId="2" xfId="0" applyNumberFormat="1" applyFont="1" applyFill="1" applyBorder="1"/>
    <xf numFmtId="186" fontId="159" fillId="23" borderId="2" xfId="0" applyNumberFormat="1" applyFont="1" applyFill="1" applyBorder="1"/>
    <xf numFmtId="2" fontId="0" fillId="0" borderId="2" xfId="0" applyNumberFormat="1" applyFill="1" applyBorder="1"/>
    <xf numFmtId="178" fontId="160" fillId="0" borderId="2" xfId="34" applyNumberFormat="1" applyFont="1" applyFill="1" applyBorder="1"/>
    <xf numFmtId="9" fontId="49" fillId="0" borderId="0" xfId="62" applyFont="1" applyFill="1"/>
    <xf numFmtId="288" fontId="0" fillId="16" borderId="0" xfId="0" applyNumberFormat="1" applyFill="1"/>
    <xf numFmtId="0" fontId="1" fillId="0" borderId="0" xfId="0" applyFont="1"/>
    <xf numFmtId="186" fontId="160" fillId="0" borderId="2" xfId="0" applyNumberFormat="1" applyFont="1" applyFill="1" applyBorder="1"/>
    <xf numFmtId="186" fontId="160" fillId="0" borderId="0" xfId="0" applyNumberFormat="1" applyFont="1" applyFill="1"/>
    <xf numFmtId="170" fontId="160" fillId="0" borderId="0" xfId="0" applyNumberFormat="1" applyFont="1" applyFill="1"/>
    <xf numFmtId="170" fontId="160" fillId="0" borderId="0" xfId="0" applyNumberFormat="1" applyFont="1"/>
    <xf numFmtId="6" fontId="159" fillId="23" borderId="0" xfId="0" applyNumberFormat="1" applyFont="1" applyFill="1"/>
    <xf numFmtId="170" fontId="1" fillId="23" borderId="0" xfId="0" applyNumberFormat="1" applyFont="1" applyFill="1" applyProtection="1"/>
    <xf numFmtId="0" fontId="42" fillId="16" borderId="17" xfId="49" applyFont="1" applyFill="1" applyBorder="1" applyAlignment="1">
      <alignment horizontal="right"/>
    </xf>
    <xf numFmtId="201" fontId="159" fillId="23" borderId="0" xfId="0" applyNumberFormat="1" applyFont="1" applyFill="1" applyBorder="1"/>
    <xf numFmtId="167" fontId="154" fillId="24" borderId="0" xfId="79" applyNumberFormat="1" applyFont="1" applyFill="1" applyAlignment="1">
      <alignment horizontal="center"/>
    </xf>
    <xf numFmtId="167" fontId="154" fillId="23" borderId="0" xfId="79" applyNumberFormat="1" applyFont="1" applyFill="1" applyAlignment="1">
      <alignment horizontal="center"/>
    </xf>
    <xf numFmtId="1" fontId="154" fillId="23" borderId="2" xfId="79" applyNumberFormat="1" applyFont="1" applyFill="1" applyBorder="1" applyAlignment="1">
      <alignment horizontal="center"/>
    </xf>
    <xf numFmtId="170" fontId="160" fillId="16" borderId="0" xfId="46" applyNumberFormat="1" applyFont="1" applyFill="1" applyBorder="1"/>
    <xf numFmtId="5" fontId="49" fillId="16" borderId="0" xfId="0" applyNumberFormat="1" applyFont="1" applyFill="1"/>
    <xf numFmtId="5" fontId="54" fillId="16" borderId="0" xfId="0" applyNumberFormat="1" applyFont="1" applyFill="1"/>
    <xf numFmtId="5" fontId="160" fillId="16" borderId="0" xfId="0" applyNumberFormat="1" applyFont="1" applyFill="1"/>
    <xf numFmtId="5" fontId="160" fillId="16" borderId="2" xfId="0" applyNumberFormat="1" applyFont="1" applyFill="1" applyBorder="1"/>
    <xf numFmtId="5" fontId="49" fillId="16" borderId="6" xfId="0" applyNumberFormat="1" applyFont="1" applyFill="1" applyBorder="1"/>
    <xf numFmtId="5" fontId="160" fillId="16" borderId="0" xfId="0" applyNumberFormat="1" applyFont="1" applyFill="1" applyBorder="1"/>
    <xf numFmtId="5" fontId="54" fillId="16" borderId="0" xfId="0" applyNumberFormat="1" applyFont="1" applyFill="1" applyBorder="1"/>
    <xf numFmtId="5" fontId="54" fillId="16" borderId="2" xfId="0" applyNumberFormat="1" applyFont="1" applyFill="1" applyBorder="1"/>
    <xf numFmtId="5" fontId="49" fillId="16" borderId="2" xfId="0" applyNumberFormat="1" applyFont="1" applyFill="1" applyBorder="1"/>
    <xf numFmtId="5" fontId="49" fillId="16" borderId="0" xfId="0" applyNumberFormat="1" applyFont="1" applyFill="1" applyBorder="1"/>
    <xf numFmtId="5" fontId="56" fillId="16" borderId="0" xfId="0" applyNumberFormat="1" applyFont="1" applyFill="1"/>
    <xf numFmtId="6" fontId="49" fillId="23" borderId="0" xfId="0" applyNumberFormat="1" applyFont="1" applyFill="1"/>
    <xf numFmtId="6" fontId="54" fillId="23" borderId="0" xfId="0" applyNumberFormat="1" applyFont="1" applyFill="1"/>
    <xf numFmtId="6" fontId="54" fillId="23" borderId="2" xfId="0" applyNumberFormat="1" applyFont="1" applyFill="1" applyBorder="1"/>
    <xf numFmtId="6" fontId="54" fillId="23" borderId="0" xfId="0" applyNumberFormat="1" applyFont="1" applyFill="1" applyBorder="1"/>
    <xf numFmtId="6" fontId="48" fillId="23" borderId="0" xfId="0" applyNumberFormat="1" applyFont="1" applyFill="1"/>
    <xf numFmtId="6" fontId="49" fillId="23" borderId="0" xfId="0" applyNumberFormat="1" applyFont="1" applyFill="1" applyBorder="1"/>
    <xf numFmtId="6" fontId="48" fillId="23" borderId="2" xfId="0" applyNumberFormat="1" applyFont="1" applyFill="1" applyBorder="1" applyAlignment="1">
      <alignment horizontal="centerContinuous"/>
    </xf>
    <xf numFmtId="6" fontId="49" fillId="23" borderId="2" xfId="0" applyNumberFormat="1" applyFont="1" applyFill="1" applyBorder="1"/>
    <xf numFmtId="6" fontId="48" fillId="23" borderId="6" xfId="0" applyNumberFormat="1" applyFont="1" applyFill="1" applyBorder="1"/>
    <xf numFmtId="6" fontId="0" fillId="23" borderId="0" xfId="0" applyNumberFormat="1" applyFill="1"/>
    <xf numFmtId="6" fontId="135" fillId="23" borderId="0" xfId="0" applyNumberFormat="1" applyFont="1" applyFill="1"/>
    <xf numFmtId="6" fontId="160" fillId="23" borderId="0" xfId="0" applyNumberFormat="1" applyFont="1" applyFill="1"/>
    <xf numFmtId="173" fontId="49" fillId="16" borderId="0" xfId="0" applyNumberFormat="1" applyFont="1" applyFill="1"/>
    <xf numFmtId="167" fontId="0" fillId="16" borderId="0" xfId="0" applyNumberFormat="1" applyFill="1" applyBorder="1"/>
    <xf numFmtId="178" fontId="160" fillId="0" borderId="0" xfId="34" applyNumberFormat="1" applyFont="1" applyFill="1" applyBorder="1"/>
    <xf numFmtId="167" fontId="154" fillId="23" borderId="2" xfId="79" applyNumberFormat="1" applyFont="1" applyFill="1" applyBorder="1" applyAlignment="1">
      <alignment horizontal="center"/>
    </xf>
    <xf numFmtId="289" fontId="54" fillId="0" borderId="0" xfId="0" applyNumberFormat="1" applyFont="1" applyFill="1" applyAlignment="1">
      <alignment horizontal="left"/>
    </xf>
    <xf numFmtId="289" fontId="54" fillId="16" borderId="0" xfId="0" applyNumberFormat="1" applyFont="1" applyFill="1" applyAlignment="1">
      <alignment horizontal="left"/>
    </xf>
    <xf numFmtId="289" fontId="160" fillId="16" borderId="0" xfId="0" applyNumberFormat="1" applyFont="1" applyFill="1" applyAlignment="1">
      <alignment horizontal="left"/>
    </xf>
    <xf numFmtId="289" fontId="160" fillId="0" borderId="0" xfId="0" applyNumberFormat="1" applyFont="1" applyFill="1" applyAlignment="1">
      <alignment horizontal="left"/>
    </xf>
    <xf numFmtId="289" fontId="49" fillId="0" borderId="0" xfId="0" applyNumberFormat="1" applyFont="1" applyFill="1" applyAlignment="1">
      <alignment horizontal="left"/>
    </xf>
    <xf numFmtId="211" fontId="46" fillId="16" borderId="0" xfId="62" applyNumberFormat="1" applyFont="1" applyFill="1" applyBorder="1" applyAlignment="1">
      <alignment horizontal="right"/>
    </xf>
    <xf numFmtId="211" fontId="46" fillId="16" borderId="0" xfId="62" applyNumberFormat="1" applyFont="1" applyFill="1" applyAlignment="1">
      <alignment horizontal="right"/>
    </xf>
    <xf numFmtId="282" fontId="49" fillId="0" borderId="0" xfId="35" applyNumberFormat="1" applyFont="1"/>
    <xf numFmtId="0" fontId="1" fillId="23" borderId="0" xfId="77" applyFont="1" applyFill="1"/>
    <xf numFmtId="0" fontId="35" fillId="23" borderId="0" xfId="77" applyFont="1" applyFill="1"/>
    <xf numFmtId="0" fontId="1" fillId="0" borderId="0" xfId="77" applyFont="1"/>
    <xf numFmtId="0" fontId="12" fillId="23" borderId="0" xfId="77" applyFont="1" applyFill="1"/>
    <xf numFmtId="0" fontId="115" fillId="23" borderId="2" xfId="77" applyFont="1" applyFill="1" applyBorder="1"/>
    <xf numFmtId="200" fontId="18" fillId="25" borderId="2" xfId="46" applyNumberFormat="1" applyFont="1" applyFill="1" applyBorder="1" applyAlignment="1">
      <alignment horizontal="center"/>
    </xf>
    <xf numFmtId="17" fontId="12" fillId="23" borderId="0" xfId="77" applyNumberFormat="1" applyFont="1" applyFill="1"/>
    <xf numFmtId="0" fontId="12" fillId="0" borderId="0" xfId="77" applyFont="1"/>
    <xf numFmtId="0" fontId="115" fillId="23" borderId="0" xfId="77" applyFont="1" applyFill="1"/>
    <xf numFmtId="17" fontId="12" fillId="25" borderId="0" xfId="77" applyNumberFormat="1" applyFont="1" applyFill="1"/>
    <xf numFmtId="180" fontId="1" fillId="23" borderId="0" xfId="80" applyNumberFormat="1" applyFont="1" applyFill="1"/>
    <xf numFmtId="180" fontId="1" fillId="25" borderId="0" xfId="80" applyNumberFormat="1" applyFont="1" applyFill="1"/>
    <xf numFmtId="168" fontId="1" fillId="23" borderId="0" xfId="81" applyNumberFormat="1" applyFont="1" applyFill="1"/>
    <xf numFmtId="168" fontId="161" fillId="25" borderId="0" xfId="81" applyNumberFormat="1" applyFont="1" applyFill="1"/>
    <xf numFmtId="0" fontId="21" fillId="23" borderId="0" xfId="77" applyFont="1" applyFill="1"/>
    <xf numFmtId="0" fontId="162" fillId="23" borderId="0" xfId="77" applyFont="1" applyFill="1"/>
    <xf numFmtId="9" fontId="163" fillId="23" borderId="0" xfId="77" applyNumberFormat="1" applyFont="1" applyFill="1"/>
    <xf numFmtId="9" fontId="161" fillId="25" borderId="0" xfId="81" applyNumberFormat="1" applyFont="1" applyFill="1"/>
    <xf numFmtId="0" fontId="21" fillId="0" borderId="0" xfId="77" applyFont="1"/>
    <xf numFmtId="180" fontId="1" fillId="23" borderId="2" xfId="80" applyNumberFormat="1" applyFont="1" applyFill="1" applyBorder="1"/>
    <xf numFmtId="180" fontId="1" fillId="25" borderId="2" xfId="80" applyNumberFormat="1" applyFont="1" applyFill="1" applyBorder="1"/>
    <xf numFmtId="180" fontId="1" fillId="23" borderId="0" xfId="77" applyNumberFormat="1" applyFont="1" applyFill="1"/>
    <xf numFmtId="180" fontId="1" fillId="25" borderId="0" xfId="77" applyNumberFormat="1" applyFont="1" applyFill="1"/>
    <xf numFmtId="0" fontId="164" fillId="23" borderId="0" xfId="77" applyFont="1" applyFill="1"/>
    <xf numFmtId="9" fontId="164" fillId="23" borderId="0" xfId="81" applyFont="1" applyFill="1"/>
    <xf numFmtId="168" fontId="164" fillId="23" borderId="0" xfId="81" applyNumberFormat="1" applyFont="1" applyFill="1"/>
    <xf numFmtId="168" fontId="165" fillId="25" borderId="0" xfId="81" applyNumberFormat="1" applyFont="1" applyFill="1"/>
    <xf numFmtId="0" fontId="164" fillId="0" borderId="0" xfId="77" applyFont="1"/>
    <xf numFmtId="0" fontId="1" fillId="25" borderId="0" xfId="77" applyFont="1" applyFill="1"/>
    <xf numFmtId="180" fontId="35" fillId="23" borderId="0" xfId="80" quotePrefix="1" applyNumberFormat="1" applyFont="1" applyFill="1"/>
    <xf numFmtId="168" fontId="159" fillId="25" borderId="0" xfId="81" applyNumberFormat="1" applyFont="1" applyFill="1"/>
    <xf numFmtId="168" fontId="1" fillId="25" borderId="0" xfId="81" applyNumberFormat="1" applyFont="1" applyFill="1"/>
    <xf numFmtId="9" fontId="44" fillId="23" borderId="0" xfId="81" applyFont="1" applyFill="1"/>
    <xf numFmtId="9" fontId="165" fillId="25" borderId="0" xfId="81" applyFont="1" applyFill="1"/>
    <xf numFmtId="0" fontId="1" fillId="23" borderId="2" xfId="77" applyFont="1" applyFill="1" applyBorder="1"/>
    <xf numFmtId="0" fontId="1" fillId="25" borderId="2" xfId="77" applyFont="1" applyFill="1" applyBorder="1"/>
    <xf numFmtId="180" fontId="12" fillId="23" borderId="0" xfId="77" applyNumberFormat="1" applyFont="1" applyFill="1"/>
    <xf numFmtId="180" fontId="12" fillId="25" borderId="0" xfId="77" applyNumberFormat="1" applyFont="1" applyFill="1"/>
    <xf numFmtId="0" fontId="44" fillId="23" borderId="0" xfId="77" applyFont="1" applyFill="1"/>
    <xf numFmtId="0" fontId="44" fillId="0" borderId="0" xfId="77" applyFont="1"/>
    <xf numFmtId="0" fontId="166" fillId="23" borderId="0" xfId="77" applyFont="1" applyFill="1" applyAlignment="1">
      <alignment horizontal="center"/>
    </xf>
    <xf numFmtId="180" fontId="166" fillId="23" borderId="0" xfId="80" applyNumberFormat="1" applyFont="1" applyFill="1" applyAlignment="1">
      <alignment horizontal="center"/>
    </xf>
    <xf numFmtId="0" fontId="167" fillId="23" borderId="0" xfId="77" applyFont="1" applyFill="1" applyAlignment="1">
      <alignment horizontal="center"/>
    </xf>
    <xf numFmtId="0" fontId="166" fillId="0" borderId="0" xfId="77" applyFont="1" applyAlignment="1">
      <alignment horizontal="center"/>
    </xf>
    <xf numFmtId="180" fontId="35" fillId="23" borderId="0" xfId="80" applyNumberFormat="1" applyFont="1" applyFill="1"/>
    <xf numFmtId="43" fontId="20" fillId="23" borderId="0" xfId="80" applyNumberFormat="1" applyFont="1" applyFill="1"/>
    <xf numFmtId="180" fontId="115" fillId="20" borderId="29" xfId="80" applyNumberFormat="1" applyFont="1" applyFill="1" applyBorder="1"/>
    <xf numFmtId="180" fontId="1" fillId="20" borderId="6" xfId="80" applyNumberFormat="1" applyFont="1" applyFill="1" applyBorder="1"/>
    <xf numFmtId="180" fontId="1" fillId="20" borderId="24" xfId="80" applyNumberFormat="1" applyFont="1" applyFill="1" applyBorder="1"/>
    <xf numFmtId="180" fontId="35" fillId="20" borderId="29" xfId="80" applyNumberFormat="1" applyFont="1" applyFill="1" applyBorder="1"/>
    <xf numFmtId="0" fontId="1" fillId="20" borderId="6" xfId="77" applyFont="1" applyFill="1" applyBorder="1"/>
    <xf numFmtId="168" fontId="159" fillId="23" borderId="0" xfId="77" applyNumberFormat="1" applyFont="1" applyFill="1"/>
    <xf numFmtId="168" fontId="159" fillId="23" borderId="0" xfId="81" applyNumberFormat="1" applyFont="1" applyFill="1" applyAlignment="1">
      <alignment horizontal="right"/>
    </xf>
    <xf numFmtId="180" fontId="35" fillId="23" borderId="2" xfId="80" applyNumberFormat="1" applyFont="1" applyFill="1" applyBorder="1"/>
    <xf numFmtId="180" fontId="115" fillId="23" borderId="0" xfId="80" applyNumberFormat="1" applyFont="1" applyFill="1"/>
    <xf numFmtId="180" fontId="162" fillId="23" borderId="0" xfId="80" applyNumberFormat="1" applyFont="1" applyFill="1"/>
    <xf numFmtId="168" fontId="163" fillId="23" borderId="0" xfId="81" applyNumberFormat="1" applyFont="1" applyFill="1"/>
    <xf numFmtId="168" fontId="1" fillId="23" borderId="0" xfId="81" applyNumberFormat="1" applyFont="1" applyFill="1" applyAlignment="1">
      <alignment horizontal="right"/>
    </xf>
    <xf numFmtId="168" fontId="162" fillId="23" borderId="0" xfId="81" applyNumberFormat="1" applyFont="1" applyFill="1"/>
    <xf numFmtId="180" fontId="162" fillId="23" borderId="0" xfId="80" applyNumberFormat="1" applyFont="1" applyFill="1" applyAlignment="1">
      <alignment horizontal="center"/>
    </xf>
    <xf numFmtId="168" fontId="35" fillId="23" borderId="0" xfId="81" applyNumberFormat="1" applyFont="1" applyFill="1"/>
    <xf numFmtId="44" fontId="159" fillId="23" borderId="0" xfId="82" applyFont="1" applyFill="1"/>
    <xf numFmtId="9" fontId="35" fillId="23" borderId="0" xfId="81" applyFont="1" applyFill="1"/>
    <xf numFmtId="9" fontId="162" fillId="23" borderId="0" xfId="81" applyFont="1" applyFill="1" applyAlignment="1">
      <alignment horizontal="center"/>
    </xf>
    <xf numFmtId="180" fontId="115" fillId="20" borderId="6" xfId="80" applyNumberFormat="1" applyFont="1" applyFill="1" applyBorder="1" applyAlignment="1">
      <alignment horizontal="center"/>
    </xf>
    <xf numFmtId="168" fontId="115" fillId="20" borderId="24" xfId="81" applyNumberFormat="1" applyFont="1" applyFill="1" applyBorder="1"/>
    <xf numFmtId="180" fontId="35" fillId="23" borderId="0" xfId="80" applyNumberFormat="1" applyFont="1" applyFill="1" applyBorder="1"/>
    <xf numFmtId="180" fontId="35" fillId="23" borderId="2" xfId="80" applyNumberFormat="1" applyFont="1" applyFill="1" applyBorder="1" applyAlignment="1">
      <alignment horizontal="center"/>
    </xf>
    <xf numFmtId="180" fontId="115" fillId="26" borderId="29" xfId="80" applyNumberFormat="1" applyFont="1" applyFill="1" applyBorder="1"/>
    <xf numFmtId="44" fontId="115" fillId="26" borderId="24" xfId="82" applyFont="1" applyFill="1" applyBorder="1"/>
    <xf numFmtId="180" fontId="35" fillId="0" borderId="0" xfId="80" applyNumberFormat="1" applyFont="1"/>
    <xf numFmtId="9" fontId="1" fillId="23" borderId="0" xfId="81" applyFont="1" applyFill="1"/>
    <xf numFmtId="0" fontId="35" fillId="0" borderId="0" xfId="77" applyFont="1"/>
    <xf numFmtId="173" fontId="159" fillId="0" borderId="0" xfId="77" applyNumberFormat="1" applyFont="1" applyFill="1" applyAlignment="1">
      <alignment horizontal="right"/>
    </xf>
    <xf numFmtId="183" fontId="1" fillId="23" borderId="0" xfId="50" applyFont="1" applyFill="1" applyAlignment="1"/>
    <xf numFmtId="172" fontId="160" fillId="0" borderId="0" xfId="0" applyNumberFormat="1" applyFont="1" applyBorder="1"/>
    <xf numFmtId="195" fontId="9" fillId="0" borderId="0" xfId="62" applyNumberFormat="1" applyFont="1" applyFill="1"/>
    <xf numFmtId="182" fontId="159" fillId="0" borderId="2" xfId="0" applyNumberFormat="1" applyFont="1" applyFill="1" applyBorder="1"/>
    <xf numFmtId="37" fontId="13" fillId="23" borderId="0" xfId="0" applyNumberFormat="1" applyFont="1" applyFill="1"/>
    <xf numFmtId="2" fontId="131" fillId="0" borderId="0" xfId="0" applyNumberFormat="1" applyFont="1" applyFill="1" applyBorder="1" applyAlignment="1">
      <alignment horizontal="center"/>
    </xf>
    <xf numFmtId="172" fontId="35" fillId="16" borderId="2" xfId="34" applyNumberFormat="1" applyFont="1" applyFill="1" applyBorder="1" applyAlignment="1">
      <alignment horizontal="right"/>
    </xf>
    <xf numFmtId="168" fontId="35" fillId="16" borderId="2" xfId="34" applyNumberFormat="1" applyFont="1" applyFill="1" applyBorder="1" applyAlignment="1">
      <alignment horizontal="right"/>
    </xf>
    <xf numFmtId="193" fontId="46" fillId="16" borderId="2" xfId="62" applyNumberFormat="1" applyFont="1" applyFill="1" applyBorder="1" applyAlignment="1">
      <alignment horizontal="right"/>
    </xf>
    <xf numFmtId="168" fontId="46" fillId="16" borderId="2" xfId="34" applyNumberFormat="1" applyFont="1" applyFill="1" applyBorder="1" applyAlignment="1">
      <alignment horizontal="right"/>
    </xf>
    <xf numFmtId="211" fontId="46" fillId="16" borderId="2" xfId="62" applyNumberFormat="1" applyFont="1" applyFill="1" applyBorder="1" applyAlignment="1">
      <alignment horizontal="right"/>
    </xf>
    <xf numFmtId="10" fontId="0" fillId="16" borderId="0" xfId="0" applyNumberFormat="1" applyFill="1" applyBorder="1"/>
    <xf numFmtId="209" fontId="49" fillId="0" borderId="0" xfId="34" applyNumberFormat="1" applyFont="1"/>
    <xf numFmtId="0" fontId="0" fillId="0" borderId="0" xfId="0"/>
    <xf numFmtId="0" fontId="0" fillId="16" borderId="0" xfId="0" applyFill="1"/>
    <xf numFmtId="0" fontId="0" fillId="16" borderId="2" xfId="0" applyFill="1" applyBorder="1"/>
    <xf numFmtId="0" fontId="49" fillId="27" borderId="0" xfId="0" applyFont="1" applyFill="1"/>
    <xf numFmtId="172" fontId="49" fillId="27" borderId="0" xfId="0" applyNumberFormat="1" applyFont="1" applyFill="1"/>
    <xf numFmtId="194" fontId="49" fillId="27" borderId="0" xfId="0" applyNumberFormat="1" applyFont="1" applyFill="1"/>
    <xf numFmtId="195" fontId="49" fillId="27" borderId="0" xfId="0" applyNumberFormat="1" applyFont="1" applyFill="1"/>
    <xf numFmtId="209" fontId="12" fillId="27" borderId="37" xfId="0" applyNumberFormat="1" applyFont="1" applyFill="1" applyBorder="1" applyAlignment="1">
      <alignment horizontal="right"/>
    </xf>
    <xf numFmtId="0" fontId="12" fillId="27" borderId="38" xfId="0" applyFont="1" applyFill="1" applyBorder="1" applyAlignment="1">
      <alignment horizontal="right"/>
    </xf>
    <xf numFmtId="43" fontId="1" fillId="27" borderId="37" xfId="0" applyNumberFormat="1" applyFont="1" applyFill="1" applyBorder="1" applyAlignment="1">
      <alignment horizontal="right"/>
    </xf>
    <xf numFmtId="43" fontId="1" fillId="27" borderId="38" xfId="0" applyNumberFormat="1" applyFont="1" applyFill="1" applyBorder="1" applyAlignment="1">
      <alignment horizontal="right"/>
    </xf>
    <xf numFmtId="43" fontId="1" fillId="27" borderId="39" xfId="0" applyNumberFormat="1" applyFont="1" applyFill="1" applyBorder="1" applyAlignment="1">
      <alignment horizontal="right"/>
    </xf>
    <xf numFmtId="43" fontId="1" fillId="27" borderId="40" xfId="0" applyNumberFormat="1" applyFont="1" applyFill="1" applyBorder="1" applyAlignment="1">
      <alignment horizontal="right"/>
    </xf>
    <xf numFmtId="0" fontId="42" fillId="0" borderId="0" xfId="0" quotePrefix="1" applyFont="1" applyFill="1" applyAlignment="1">
      <alignment horizontal="left"/>
    </xf>
    <xf numFmtId="231" fontId="42" fillId="0" borderId="0" xfId="0" applyNumberFormat="1" applyFont="1" applyFill="1" applyAlignment="1">
      <alignment horizontal="left"/>
    </xf>
    <xf numFmtId="167" fontId="9" fillId="0" borderId="0" xfId="0" applyNumberFormat="1" applyFont="1" applyFill="1"/>
    <xf numFmtId="201" fontId="9" fillId="0" borderId="0" xfId="0" applyNumberFormat="1" applyFont="1" applyFill="1"/>
    <xf numFmtId="1" fontId="9" fillId="0" borderId="0" xfId="0" applyNumberFormat="1" applyFont="1" applyFill="1"/>
    <xf numFmtId="1" fontId="13" fillId="0" borderId="0" xfId="0" applyNumberFormat="1" applyFont="1" applyFill="1" applyBorder="1" applyAlignment="1">
      <alignment horizontal="right"/>
    </xf>
    <xf numFmtId="182" fontId="9" fillId="0" borderId="0" xfId="0" applyNumberFormat="1" applyFont="1" applyFill="1" applyBorder="1"/>
    <xf numFmtId="181" fontId="9" fillId="0" borderId="0" xfId="0" applyNumberFormat="1" applyFont="1" applyFill="1"/>
    <xf numFmtId="202" fontId="9" fillId="0" borderId="0" xfId="0" applyNumberFormat="1" applyFont="1" applyFill="1" applyBorder="1"/>
    <xf numFmtId="173" fontId="35" fillId="0" borderId="0" xfId="0" applyNumberFormat="1" applyFont="1" applyFill="1"/>
    <xf numFmtId="1" fontId="9" fillId="0" borderId="0" xfId="0" applyNumberFormat="1" applyFont="1" applyFill="1" applyBorder="1"/>
    <xf numFmtId="185" fontId="9" fillId="0" borderId="0" xfId="0" applyNumberFormat="1" applyFont="1" applyFill="1"/>
    <xf numFmtId="182" fontId="9" fillId="0" borderId="0" xfId="0" applyNumberFormat="1" applyFont="1" applyFill="1"/>
    <xf numFmtId="168" fontId="13" fillId="0" borderId="0" xfId="0" applyNumberFormat="1" applyFont="1" applyFill="1"/>
    <xf numFmtId="201" fontId="146" fillId="0" borderId="0" xfId="0" applyNumberFormat="1" applyFont="1" applyFill="1" applyBorder="1"/>
    <xf numFmtId="37" fontId="9" fillId="0" borderId="0" xfId="0" applyNumberFormat="1" applyFont="1" applyFill="1"/>
    <xf numFmtId="185" fontId="35" fillId="0" borderId="0" xfId="0" applyNumberFormat="1" applyFont="1" applyFill="1"/>
    <xf numFmtId="182" fontId="13" fillId="0" borderId="0" xfId="0" applyNumberFormat="1" applyFont="1" applyFill="1"/>
    <xf numFmtId="173" fontId="9" fillId="0" borderId="0" xfId="0" applyNumberFormat="1" applyFont="1" applyFill="1"/>
    <xf numFmtId="3" fontId="13" fillId="0" borderId="0" xfId="0" applyNumberFormat="1" applyFont="1" applyFill="1" applyBorder="1"/>
    <xf numFmtId="168" fontId="9" fillId="0" borderId="0" xfId="0" applyNumberFormat="1" applyFont="1" applyFill="1"/>
    <xf numFmtId="166" fontId="35" fillId="0" borderId="0" xfId="0" applyNumberFormat="1" applyFont="1" applyFill="1" applyBorder="1"/>
    <xf numFmtId="182" fontId="13" fillId="0" borderId="0" xfId="0" applyNumberFormat="1" applyFont="1" applyFill="1" applyBorder="1"/>
    <xf numFmtId="4" fontId="9" fillId="0" borderId="0" xfId="0" applyNumberFormat="1" applyFont="1" applyFill="1"/>
    <xf numFmtId="166" fontId="9" fillId="0" borderId="0" xfId="0" applyNumberFormat="1" applyFont="1" applyFill="1"/>
    <xf numFmtId="3" fontId="9" fillId="0" borderId="0" xfId="0" applyNumberFormat="1" applyFont="1" applyFill="1"/>
    <xf numFmtId="1" fontId="141" fillId="0" borderId="0" xfId="0" applyNumberFormat="1" applyFont="1" applyFill="1"/>
    <xf numFmtId="167" fontId="9" fillId="0" borderId="2" xfId="0" applyNumberFormat="1" applyFont="1" applyFill="1" applyBorder="1"/>
    <xf numFmtId="201" fontId="159" fillId="0" borderId="2" xfId="0" applyNumberFormat="1" applyFont="1" applyFill="1" applyBorder="1"/>
    <xf numFmtId="1" fontId="9" fillId="0" borderId="2" xfId="0" applyNumberFormat="1" applyFont="1" applyFill="1" applyBorder="1"/>
    <xf numFmtId="1" fontId="13" fillId="0" borderId="2" xfId="0" applyNumberFormat="1" applyFont="1" applyFill="1" applyBorder="1" applyAlignment="1">
      <alignment horizontal="right"/>
    </xf>
    <xf numFmtId="166" fontId="35" fillId="0" borderId="2" xfId="0" applyNumberFormat="1" applyFont="1" applyFill="1" applyBorder="1"/>
    <xf numFmtId="4" fontId="9" fillId="0" borderId="2" xfId="0" applyNumberFormat="1" applyFont="1" applyFill="1" applyBorder="1"/>
    <xf numFmtId="202" fontId="9" fillId="0" borderId="2" xfId="0" applyNumberFormat="1" applyFont="1" applyFill="1" applyBorder="1"/>
    <xf numFmtId="173" fontId="35" fillId="0" borderId="2" xfId="0" applyNumberFormat="1" applyFont="1" applyFill="1" applyBorder="1"/>
    <xf numFmtId="166" fontId="9" fillId="0" borderId="2" xfId="0" applyNumberFormat="1" applyFont="1" applyFill="1" applyBorder="1"/>
    <xf numFmtId="3" fontId="9" fillId="0" borderId="2" xfId="0" applyNumberFormat="1" applyFont="1" applyFill="1" applyBorder="1"/>
    <xf numFmtId="201" fontId="159" fillId="0" borderId="0" xfId="0" applyNumberFormat="1" applyFont="1" applyFill="1"/>
    <xf numFmtId="185" fontId="35" fillId="0" borderId="0" xfId="0" applyNumberFormat="1" applyFont="1" applyFill="1" applyBorder="1"/>
    <xf numFmtId="182" fontId="35" fillId="0" borderId="0" xfId="0" applyNumberFormat="1" applyFont="1" applyFill="1" applyBorder="1"/>
    <xf numFmtId="172" fontId="158" fillId="16" borderId="0" xfId="72" applyFont="1" applyFill="1" applyBorder="1" applyAlignment="1">
      <alignment horizontal="center"/>
    </xf>
    <xf numFmtId="200" fontId="42" fillId="0" borderId="0" xfId="0" applyNumberFormat="1" applyFont="1" applyFill="1" applyAlignment="1">
      <alignment horizontal="left"/>
    </xf>
    <xf numFmtId="172" fontId="9" fillId="0" borderId="0" xfId="0" applyNumberFormat="1" applyFont="1" applyFill="1"/>
    <xf numFmtId="172" fontId="9" fillId="0" borderId="2" xfId="0" applyNumberFormat="1" applyFont="1" applyFill="1" applyBorder="1"/>
    <xf numFmtId="4" fontId="9" fillId="0" borderId="0" xfId="0" applyNumberFormat="1" applyFont="1" applyFill="1" applyBorder="1"/>
    <xf numFmtId="172" fontId="9" fillId="0" borderId="0" xfId="0" applyNumberFormat="1" applyFont="1" applyFill="1" applyBorder="1"/>
    <xf numFmtId="4" fontId="9" fillId="0" borderId="29" xfId="0" applyNumberFormat="1" applyFont="1" applyFill="1" applyBorder="1"/>
    <xf numFmtId="0" fontId="9" fillId="0" borderId="24" xfId="0" applyFont="1" applyFill="1" applyBorder="1"/>
    <xf numFmtId="4" fontId="13" fillId="0" borderId="0" xfId="0" applyNumberFormat="1" applyFont="1" applyFill="1" applyAlignment="1">
      <alignment horizontal="right"/>
    </xf>
    <xf numFmtId="0" fontId="138" fillId="0" borderId="0" xfId="0" applyFont="1" applyFill="1" applyBorder="1" applyAlignment="1">
      <alignment horizontal="right"/>
    </xf>
    <xf numFmtId="4" fontId="138" fillId="0" borderId="0" xfId="0" applyNumberFormat="1" applyFont="1" applyFill="1" applyBorder="1" applyAlignment="1">
      <alignment horizontal="right"/>
    </xf>
    <xf numFmtId="9" fontId="9" fillId="0" borderId="0" xfId="0" applyNumberFormat="1" applyFont="1" applyFill="1"/>
    <xf numFmtId="170" fontId="157" fillId="0" borderId="0" xfId="0" applyNumberFormat="1" applyFont="1" applyFill="1" applyProtection="1"/>
    <xf numFmtId="0" fontId="138" fillId="0" borderId="0" xfId="0" applyFont="1" applyFill="1" applyAlignment="1">
      <alignment horizontal="right"/>
    </xf>
    <xf numFmtId="205" fontId="9" fillId="0" borderId="0" xfId="0" applyNumberFormat="1" applyFont="1" applyFill="1"/>
    <xf numFmtId="170" fontId="9" fillId="0" borderId="0" xfId="0" applyNumberFormat="1" applyFont="1" applyFill="1" applyProtection="1"/>
    <xf numFmtId="205" fontId="13" fillId="0" borderId="0" xfId="0" applyNumberFormat="1" applyFont="1" applyFill="1" applyAlignment="1">
      <alignment horizontal="right"/>
    </xf>
    <xf numFmtId="170" fontId="9" fillId="0" borderId="0" xfId="0" applyNumberFormat="1" applyFont="1" applyFill="1"/>
    <xf numFmtId="4" fontId="138" fillId="0" borderId="29" xfId="0" applyNumberFormat="1" applyFont="1" applyFill="1" applyBorder="1" applyAlignment="1">
      <alignment horizontal="right"/>
    </xf>
    <xf numFmtId="0" fontId="138" fillId="0" borderId="24" xfId="0" applyFont="1" applyFill="1" applyBorder="1" applyAlignment="1">
      <alignment horizontal="right"/>
    </xf>
    <xf numFmtId="200" fontId="18" fillId="0" borderId="2" xfId="46" applyNumberFormat="1" applyFont="1" applyFill="1" applyBorder="1" applyAlignment="1">
      <alignment horizontal="center"/>
    </xf>
    <xf numFmtId="5" fontId="9" fillId="0" borderId="0" xfId="57" applyNumberFormat="1" applyFont="1" applyFill="1" applyProtection="1"/>
    <xf numFmtId="9" fontId="72" fillId="0" borderId="0" xfId="0" applyNumberFormat="1" applyFont="1" applyFill="1"/>
    <xf numFmtId="9" fontId="0" fillId="0" borderId="0" xfId="62" applyFont="1" applyFill="1"/>
    <xf numFmtId="1" fontId="0" fillId="0" borderId="0" xfId="0" applyNumberFormat="1" applyFill="1"/>
    <xf numFmtId="183" fontId="9" fillId="0" borderId="0" xfId="57" applyNumberFormat="1" applyFont="1" applyFill="1" applyProtection="1"/>
    <xf numFmtId="183" fontId="13" fillId="0" borderId="0" xfId="57" applyNumberFormat="1" applyFont="1" applyFill="1" applyProtection="1"/>
    <xf numFmtId="188" fontId="13" fillId="0" borderId="0" xfId="57" applyNumberFormat="1" applyFont="1" applyFill="1" applyProtection="1"/>
    <xf numFmtId="37" fontId="9" fillId="0" borderId="0" xfId="57" applyNumberFormat="1" applyFont="1" applyFill="1" applyProtection="1"/>
    <xf numFmtId="168" fontId="9" fillId="0" borderId="0" xfId="57" applyNumberFormat="1" applyFont="1" applyFill="1" applyProtection="1"/>
    <xf numFmtId="189" fontId="9" fillId="0" borderId="0" xfId="57" applyNumberFormat="1" applyFont="1" applyFill="1" applyProtection="1"/>
    <xf numFmtId="193" fontId="9" fillId="0" borderId="0" xfId="58" applyNumberFormat="1" applyFont="1" applyFill="1" applyProtection="1"/>
    <xf numFmtId="183" fontId="9" fillId="0" borderId="0" xfId="57" applyFont="1" applyFill="1"/>
    <xf numFmtId="196" fontId="9" fillId="0" borderId="0" xfId="57" applyNumberFormat="1" applyFont="1" applyFill="1" applyProtection="1"/>
    <xf numFmtId="196" fontId="9" fillId="0" borderId="0" xfId="57" applyNumberFormat="1" applyFont="1" applyFill="1" applyBorder="1" applyProtection="1"/>
    <xf numFmtId="280" fontId="9" fillId="0" borderId="0" xfId="57" applyNumberFormat="1" applyFont="1" applyFill="1" applyBorder="1" applyProtection="1"/>
    <xf numFmtId="37" fontId="46" fillId="0" borderId="0" xfId="57" applyNumberFormat="1" applyFont="1" applyFill="1" applyProtection="1"/>
    <xf numFmtId="0" fontId="4" fillId="0" borderId="0" xfId="0" applyFont="1" applyFill="1"/>
    <xf numFmtId="168" fontId="4" fillId="0" borderId="0" xfId="62" applyNumberFormat="1" applyFont="1" applyFill="1"/>
    <xf numFmtId="183" fontId="46" fillId="0" borderId="0" xfId="57" applyFont="1" applyFill="1"/>
    <xf numFmtId="196" fontId="46" fillId="0" borderId="0" xfId="57" applyNumberFormat="1" applyFont="1" applyFill="1" applyBorder="1" applyProtection="1"/>
    <xf numFmtId="193" fontId="46" fillId="0" borderId="0" xfId="58" applyNumberFormat="1" applyFont="1" applyFill="1" applyProtection="1"/>
    <xf numFmtId="168" fontId="9" fillId="0" borderId="0" xfId="57" applyNumberFormat="1" applyFont="1" applyFill="1" applyBorder="1" applyProtection="1"/>
    <xf numFmtId="183" fontId="9" fillId="0" borderId="2" xfId="57" applyFont="1" applyFill="1" applyBorder="1"/>
    <xf numFmtId="9" fontId="9" fillId="0" borderId="0" xfId="57" applyNumberFormat="1" applyFont="1" applyFill="1" applyBorder="1" applyProtection="1"/>
    <xf numFmtId="183" fontId="9" fillId="0" borderId="0" xfId="57" applyFont="1" applyFill="1" applyBorder="1"/>
    <xf numFmtId="200" fontId="12" fillId="0" borderId="0" xfId="46" applyNumberFormat="1" applyFont="1" applyFill="1" applyBorder="1" applyAlignment="1">
      <alignment horizontal="center"/>
    </xf>
    <xf numFmtId="5" fontId="13" fillId="0" borderId="0" xfId="57" applyNumberFormat="1" applyFont="1" applyFill="1" applyProtection="1"/>
    <xf numFmtId="193" fontId="13" fillId="0" borderId="0" xfId="58" applyNumberFormat="1" applyFont="1" applyFill="1" applyProtection="1"/>
    <xf numFmtId="168" fontId="0" fillId="0" borderId="0" xfId="0" applyNumberFormat="1" applyFill="1"/>
    <xf numFmtId="5" fontId="9" fillId="0" borderId="0" xfId="0" applyNumberFormat="1" applyFont="1" applyFill="1"/>
    <xf numFmtId="168" fontId="9" fillId="0" borderId="2" xfId="62" applyNumberFormat="1" applyFont="1" applyFill="1" applyBorder="1"/>
    <xf numFmtId="5" fontId="19" fillId="0" borderId="0" xfId="57" applyNumberFormat="1" applyFont="1" applyFill="1" applyProtection="1"/>
    <xf numFmtId="180" fontId="9" fillId="0" borderId="0" xfId="34" applyNumberFormat="1" applyFont="1" applyFill="1" applyProtection="1"/>
    <xf numFmtId="188" fontId="9" fillId="0" borderId="0" xfId="57" applyNumberFormat="1" applyFont="1" applyFill="1" applyProtection="1"/>
    <xf numFmtId="196" fontId="19" fillId="0" borderId="0" xfId="57" applyNumberFormat="1" applyFont="1" applyFill="1" applyProtection="1"/>
    <xf numFmtId="168" fontId="9" fillId="0" borderId="0" xfId="62" applyNumberFormat="1" applyFont="1" applyFill="1"/>
    <xf numFmtId="0" fontId="4" fillId="0" borderId="0" xfId="0" applyFont="1" applyFill="1" applyBorder="1"/>
    <xf numFmtId="168" fontId="9" fillId="0" borderId="0" xfId="57" applyNumberFormat="1" applyFont="1" applyFill="1"/>
    <xf numFmtId="5" fontId="0" fillId="0" borderId="0" xfId="0" applyNumberFormat="1" applyFill="1"/>
    <xf numFmtId="43" fontId="9" fillId="0" borderId="2" xfId="34" applyFont="1" applyFill="1" applyBorder="1"/>
    <xf numFmtId="39" fontId="9" fillId="0" borderId="0" xfId="57" applyNumberFormat="1" applyFont="1" applyFill="1"/>
    <xf numFmtId="183" fontId="12" fillId="0" borderId="17" xfId="57" applyFont="1" applyFill="1" applyBorder="1" applyAlignment="1" applyProtection="1">
      <alignment horizontal="center"/>
    </xf>
    <xf numFmtId="183" fontId="18" fillId="0" borderId="6" xfId="57" quotePrefix="1" applyFont="1" applyFill="1" applyBorder="1" applyAlignment="1" applyProtection="1">
      <alignment horizontal="center"/>
    </xf>
    <xf numFmtId="170" fontId="9" fillId="0" borderId="0" xfId="57" applyNumberFormat="1" applyFont="1" applyFill="1" applyBorder="1" applyProtection="1"/>
    <xf numFmtId="183" fontId="12" fillId="0" borderId="0" xfId="57" applyFont="1" applyFill="1" applyAlignment="1">
      <alignment horizontal="center"/>
    </xf>
    <xf numFmtId="183" fontId="18" fillId="0" borderId="6" xfId="57" applyFont="1" applyFill="1" applyBorder="1" applyAlignment="1" applyProtection="1">
      <alignment horizontal="center"/>
    </xf>
    <xf numFmtId="183" fontId="34" fillId="23" borderId="17" xfId="57" applyFont="1" applyFill="1" applyBorder="1"/>
    <xf numFmtId="0" fontId="49" fillId="0" borderId="0" xfId="46" applyFont="1" applyFill="1" applyBorder="1"/>
    <xf numFmtId="0" fontId="49" fillId="0" borderId="2" xfId="46" applyFont="1" applyFill="1" applyBorder="1"/>
    <xf numFmtId="0" fontId="51" fillId="0" borderId="0" xfId="0" applyFont="1" applyFill="1"/>
    <xf numFmtId="190" fontId="56" fillId="0" borderId="0" xfId="46" applyNumberFormat="1" applyFont="1" applyFill="1" applyBorder="1" applyAlignment="1">
      <alignment horizontal="right"/>
    </xf>
    <xf numFmtId="200" fontId="50" fillId="0" borderId="2" xfId="46" applyNumberFormat="1" applyFont="1" applyFill="1" applyBorder="1" applyAlignment="1">
      <alignment horizontal="center"/>
    </xf>
    <xf numFmtId="189" fontId="49" fillId="0" borderId="0" xfId="46" applyNumberFormat="1" applyFont="1" applyFill="1" applyBorder="1"/>
    <xf numFmtId="5" fontId="49" fillId="0" borderId="0" xfId="46" applyNumberFormat="1" applyFont="1" applyFill="1" applyBorder="1"/>
    <xf numFmtId="168" fontId="49" fillId="0" borderId="0" xfId="62" applyNumberFormat="1" applyFont="1" applyFill="1" applyBorder="1"/>
    <xf numFmtId="170" fontId="49" fillId="0" borderId="0" xfId="46" applyNumberFormat="1" applyFont="1" applyFill="1" applyBorder="1"/>
    <xf numFmtId="170" fontId="54" fillId="0" borderId="0" xfId="46" applyNumberFormat="1" applyFont="1" applyFill="1" applyBorder="1"/>
    <xf numFmtId="168" fontId="49" fillId="0" borderId="0" xfId="46" applyNumberFormat="1" applyFont="1" applyFill="1" applyBorder="1"/>
    <xf numFmtId="170" fontId="63" fillId="0" borderId="0" xfId="46" applyNumberFormat="1" applyFont="1" applyFill="1" applyBorder="1"/>
    <xf numFmtId="10" fontId="63" fillId="0" borderId="0" xfId="62" applyNumberFormat="1" applyFont="1" applyFill="1" applyBorder="1"/>
    <xf numFmtId="168" fontId="54" fillId="0" borderId="0" xfId="62" applyNumberFormat="1" applyFont="1" applyFill="1" applyBorder="1" applyAlignment="1"/>
    <xf numFmtId="7" fontId="78" fillId="0" borderId="0" xfId="46" applyNumberFormat="1" applyFont="1" applyFill="1" applyBorder="1"/>
    <xf numFmtId="7" fontId="49" fillId="0" borderId="0" xfId="46" applyNumberFormat="1" applyFont="1" applyFill="1" applyBorder="1"/>
    <xf numFmtId="203" fontId="49" fillId="0" borderId="0" xfId="62" applyNumberFormat="1" applyFont="1" applyFill="1" applyBorder="1"/>
    <xf numFmtId="44" fontId="49" fillId="0" borderId="0" xfId="35" applyFont="1" applyFill="1" applyBorder="1"/>
    <xf numFmtId="7" fontId="62" fillId="0" borderId="0" xfId="46" applyNumberFormat="1" applyFont="1" applyFill="1" applyBorder="1"/>
    <xf numFmtId="203" fontId="62" fillId="0" borderId="0" xfId="62" applyNumberFormat="1" applyFont="1" applyFill="1" applyBorder="1"/>
    <xf numFmtId="39" fontId="49" fillId="0" borderId="0" xfId="46" applyNumberFormat="1" applyFont="1" applyFill="1" applyBorder="1"/>
    <xf numFmtId="178" fontId="49" fillId="0" borderId="0" xfId="34" applyNumberFormat="1" applyFont="1" applyFill="1" applyBorder="1"/>
    <xf numFmtId="9" fontId="49" fillId="0" borderId="0" xfId="62" applyFont="1" applyFill="1" applyBorder="1"/>
    <xf numFmtId="7" fontId="58" fillId="0" borderId="0" xfId="0" applyNumberFormat="1" applyFont="1" applyFill="1" applyBorder="1"/>
    <xf numFmtId="2" fontId="49" fillId="0" borderId="0" xfId="46" applyNumberFormat="1" applyFont="1" applyFill="1" applyBorder="1"/>
    <xf numFmtId="0" fontId="52" fillId="0" borderId="0" xfId="0" applyFont="1" applyFill="1" applyBorder="1" applyAlignment="1">
      <alignment horizontal="right"/>
    </xf>
    <xf numFmtId="183" fontId="48" fillId="0" borderId="6" xfId="57" applyFont="1" applyFill="1" applyBorder="1" applyAlignment="1" applyProtection="1">
      <alignment horizontal="center"/>
    </xf>
    <xf numFmtId="183" fontId="49" fillId="0" borderId="0" xfId="57" applyFont="1" applyFill="1" applyBorder="1"/>
    <xf numFmtId="200" fontId="117" fillId="0" borderId="0" xfId="0" applyNumberFormat="1" applyFont="1" applyFill="1" applyAlignment="1">
      <alignment horizontal="left"/>
    </xf>
    <xf numFmtId="182" fontId="159" fillId="0" borderId="0" xfId="0" applyNumberFormat="1" applyFont="1" applyFill="1" applyBorder="1"/>
    <xf numFmtId="182" fontId="35" fillId="0" borderId="2" xfId="0" applyNumberFormat="1" applyFont="1" applyFill="1" applyBorder="1"/>
    <xf numFmtId="167" fontId="1" fillId="0" borderId="2" xfId="0" applyNumberFormat="1" applyFont="1" applyFill="1" applyBorder="1"/>
    <xf numFmtId="1" fontId="9" fillId="0" borderId="0" xfId="0" applyNumberFormat="1" applyFont="1" applyFill="1" applyBorder="1" applyAlignment="1">
      <alignment horizontal="right"/>
    </xf>
    <xf numFmtId="1" fontId="9" fillId="0" borderId="2" xfId="0" applyNumberFormat="1" applyFont="1" applyFill="1" applyBorder="1" applyAlignment="1">
      <alignment horizontal="right"/>
    </xf>
    <xf numFmtId="0" fontId="42" fillId="0" borderId="0" xfId="0" applyFont="1" applyFill="1" applyAlignment="1">
      <alignment horizontal="center"/>
    </xf>
    <xf numFmtId="4" fontId="12" fillId="0" borderId="0" xfId="0" applyNumberFormat="1" applyFont="1" applyFill="1"/>
    <xf numFmtId="204" fontId="9" fillId="0" borderId="0" xfId="0" applyNumberFormat="1" applyFont="1" applyFill="1"/>
    <xf numFmtId="7" fontId="9" fillId="0" borderId="0" xfId="0" applyNumberFormat="1" applyFont="1" applyFill="1"/>
    <xf numFmtId="166" fontId="9" fillId="0" borderId="27" xfId="0" applyNumberFormat="1" applyFont="1" applyFill="1" applyBorder="1"/>
    <xf numFmtId="9" fontId="9" fillId="0" borderId="0" xfId="62" applyFont="1" applyFill="1"/>
    <xf numFmtId="3" fontId="13" fillId="0" borderId="0" xfId="0" applyNumberFormat="1" applyFont="1" applyFill="1"/>
    <xf numFmtId="44" fontId="9" fillId="0" borderId="0" xfId="35" applyFont="1" applyFill="1"/>
    <xf numFmtId="9" fontId="141" fillId="0" borderId="0" xfId="0" applyNumberFormat="1" applyFont="1" applyFill="1"/>
    <xf numFmtId="9" fontId="13" fillId="0" borderId="0" xfId="62" applyFont="1" applyFill="1"/>
    <xf numFmtId="166" fontId="9" fillId="0" borderId="8" xfId="0" applyNumberFormat="1" applyFont="1" applyFill="1" applyBorder="1"/>
    <xf numFmtId="166" fontId="12" fillId="0" borderId="28" xfId="0" applyNumberFormat="1" applyFont="1" applyFill="1" applyBorder="1"/>
    <xf numFmtId="0" fontId="0" fillId="16" borderId="2" xfId="0" applyFill="1" applyBorder="1"/>
    <xf numFmtId="0" fontId="1" fillId="0" borderId="0" xfId="77" applyFont="1" applyFill="1"/>
    <xf numFmtId="0" fontId="1" fillId="0" borderId="0" xfId="77" applyFont="1" applyFill="1" applyAlignment="1">
      <alignment horizontal="center"/>
    </xf>
    <xf numFmtId="1" fontId="1" fillId="0" borderId="0" xfId="77" applyNumberFormat="1" applyFont="1" applyFill="1" applyBorder="1"/>
    <xf numFmtId="202" fontId="1" fillId="0" borderId="0" xfId="77" applyNumberFormat="1" applyFont="1" applyFill="1" applyBorder="1"/>
    <xf numFmtId="185" fontId="1" fillId="0" borderId="0" xfId="77" applyNumberFormat="1" applyFont="1" applyFill="1" applyBorder="1"/>
    <xf numFmtId="201" fontId="1" fillId="0" borderId="2" xfId="77" applyNumberFormat="1" applyFont="1" applyFill="1" applyBorder="1"/>
    <xf numFmtId="185" fontId="1" fillId="0" borderId="2" xfId="77" applyNumberFormat="1" applyFont="1" applyFill="1" applyBorder="1"/>
    <xf numFmtId="166" fontId="13" fillId="0" borderId="0" xfId="77" applyNumberFormat="1" applyFont="1" applyFill="1" applyBorder="1"/>
    <xf numFmtId="178" fontId="1" fillId="0" borderId="0" xfId="34" applyNumberFormat="1" applyFont="1" applyFill="1" applyBorder="1"/>
    <xf numFmtId="201" fontId="1" fillId="0" borderId="0" xfId="77" applyNumberFormat="1" applyFont="1" applyFill="1" applyBorder="1"/>
    <xf numFmtId="9" fontId="1" fillId="0" borderId="0" xfId="62" applyFont="1" applyFill="1"/>
    <xf numFmtId="167" fontId="1" fillId="0" borderId="0" xfId="77" applyNumberFormat="1" applyFont="1" applyFill="1" applyBorder="1"/>
    <xf numFmtId="4" fontId="1" fillId="0" borderId="0" xfId="77" applyNumberFormat="1" applyFont="1" applyFill="1" applyBorder="1"/>
    <xf numFmtId="173" fontId="35" fillId="0" borderId="0" xfId="77" applyNumberFormat="1" applyFont="1" applyFill="1" applyBorder="1"/>
    <xf numFmtId="166" fontId="1" fillId="0" borderId="0" xfId="77" applyNumberFormat="1" applyFont="1" applyFill="1" applyBorder="1"/>
    <xf numFmtId="3" fontId="1" fillId="0" borderId="0" xfId="77" applyNumberFormat="1" applyFont="1" applyFill="1" applyBorder="1"/>
    <xf numFmtId="2" fontId="42" fillId="23" borderId="25" xfId="0" applyNumberFormat="1" applyFont="1" applyFill="1" applyBorder="1" applyAlignment="1">
      <alignment horizontal="center"/>
    </xf>
    <xf numFmtId="2" fontId="0" fillId="23" borderId="22" xfId="0" applyNumberFormat="1" applyFill="1" applyBorder="1"/>
    <xf numFmtId="168" fontId="0" fillId="23" borderId="22" xfId="0" applyNumberFormat="1" applyFill="1" applyBorder="1"/>
    <xf numFmtId="167" fontId="0" fillId="23" borderId="21" xfId="0" applyNumberFormat="1" applyFill="1" applyBorder="1"/>
    <xf numFmtId="0" fontId="158" fillId="16" borderId="17" xfId="72" applyNumberFormat="1" applyFont="1" applyFill="1" applyBorder="1" applyAlignment="1">
      <alignment horizontal="center"/>
    </xf>
    <xf numFmtId="0" fontId="9" fillId="16" borderId="1" xfId="0" applyFont="1" applyFill="1" applyBorder="1"/>
    <xf numFmtId="0" fontId="158" fillId="16" borderId="7" xfId="49" applyFont="1" applyFill="1" applyBorder="1" applyAlignment="1">
      <alignment horizontal="right"/>
    </xf>
    <xf numFmtId="37" fontId="35" fillId="16" borderId="1" xfId="49" applyNumberFormat="1" applyFont="1" applyFill="1" applyBorder="1" applyAlignment="1">
      <alignment horizontal="right"/>
    </xf>
    <xf numFmtId="282" fontId="0" fillId="16" borderId="1" xfId="35" applyNumberFormat="1" applyFont="1" applyFill="1" applyBorder="1"/>
    <xf numFmtId="282" fontId="0" fillId="16" borderId="20" xfId="35" applyNumberFormat="1" applyFont="1" applyFill="1" applyBorder="1"/>
    <xf numFmtId="0" fontId="35" fillId="0" borderId="2" xfId="49" applyFont="1" applyFill="1" applyBorder="1"/>
    <xf numFmtId="168" fontId="9" fillId="0" borderId="0" xfId="62" applyNumberFormat="1" applyFont="1" applyFill="1" applyBorder="1"/>
    <xf numFmtId="0" fontId="9" fillId="0" borderId="2" xfId="0" applyFont="1" applyFill="1" applyBorder="1"/>
    <xf numFmtId="0" fontId="158" fillId="0" borderId="22" xfId="72" applyNumberFormat="1" applyFont="1" applyFill="1" applyBorder="1" applyAlignment="1">
      <alignment horizontal="center"/>
    </xf>
    <xf numFmtId="172" fontId="42" fillId="0" borderId="22" xfId="72" applyFont="1" applyFill="1" applyBorder="1" applyAlignment="1">
      <alignment horizontal="center"/>
    </xf>
    <xf numFmtId="0" fontId="9" fillId="0" borderId="22" xfId="0" applyFont="1" applyFill="1" applyBorder="1"/>
    <xf numFmtId="5" fontId="35" fillId="0" borderId="22" xfId="49" applyNumberFormat="1" applyFont="1" applyFill="1" applyBorder="1" applyAlignment="1">
      <alignment horizontal="right"/>
    </xf>
    <xf numFmtId="37" fontId="35" fillId="0" borderId="22" xfId="49" applyNumberFormat="1" applyFont="1" applyFill="1" applyBorder="1"/>
    <xf numFmtId="37" fontId="88" fillId="0" borderId="22" xfId="49" applyNumberFormat="1" applyFont="1" applyFill="1" applyBorder="1"/>
    <xf numFmtId="2" fontId="35" fillId="0" borderId="22" xfId="49" applyNumberFormat="1" applyFont="1" applyFill="1" applyBorder="1"/>
    <xf numFmtId="192" fontId="35" fillId="0" borderId="22" xfId="49" applyNumberFormat="1" applyFont="1" applyFill="1" applyBorder="1"/>
    <xf numFmtId="7" fontId="9" fillId="0" borderId="6" xfId="49" applyNumberFormat="1" applyFont="1" applyFill="1" applyBorder="1" applyAlignment="1">
      <alignment horizontal="right"/>
    </xf>
    <xf numFmtId="170" fontId="35" fillId="0" borderId="22" xfId="49" applyNumberFormat="1" applyFont="1" applyFill="1" applyBorder="1" applyAlignment="1">
      <alignment horizontal="right"/>
    </xf>
    <xf numFmtId="186" fontId="35" fillId="0" borderId="22" xfId="49" applyNumberFormat="1" applyFont="1" applyFill="1" applyBorder="1"/>
    <xf numFmtId="168" fontId="35" fillId="0" borderId="22" xfId="62" applyNumberFormat="1" applyFont="1" applyFill="1" applyBorder="1" applyAlignment="1">
      <alignment horizontal="right"/>
    </xf>
    <xf numFmtId="168" fontId="35" fillId="0" borderId="0" xfId="62" applyNumberFormat="1" applyFont="1" applyFill="1" applyBorder="1" applyAlignment="1">
      <alignment horizontal="right"/>
    </xf>
    <xf numFmtId="168" fontId="35" fillId="0" borderId="21" xfId="62" applyNumberFormat="1" applyFont="1" applyFill="1" applyBorder="1" applyAlignment="1">
      <alignment horizontal="right"/>
    </xf>
    <xf numFmtId="0" fontId="158" fillId="0" borderId="25" xfId="49" applyFont="1" applyFill="1" applyBorder="1" applyAlignment="1">
      <alignment horizontal="right"/>
    </xf>
    <xf numFmtId="37" fontId="35" fillId="0" borderId="22" xfId="49" applyNumberFormat="1" applyFont="1" applyFill="1" applyBorder="1" applyAlignment="1">
      <alignment horizontal="right"/>
    </xf>
    <xf numFmtId="0" fontId="0" fillId="0" borderId="22" xfId="0" applyFill="1" applyBorder="1"/>
    <xf numFmtId="282" fontId="0" fillId="0" borderId="22" xfId="35" applyNumberFormat="1" applyFont="1" applyFill="1" applyBorder="1"/>
    <xf numFmtId="282" fontId="0" fillId="0" borderId="21" xfId="35" applyNumberFormat="1" applyFont="1" applyFill="1" applyBorder="1"/>
    <xf numFmtId="0" fontId="1" fillId="0" borderId="0" xfId="0" applyFont="1" applyFill="1"/>
    <xf numFmtId="181" fontId="1" fillId="0" borderId="0" xfId="77" applyNumberFormat="1" applyFont="1" applyFill="1" applyBorder="1"/>
    <xf numFmtId="182" fontId="1" fillId="0" borderId="0" xfId="77" applyNumberFormat="1" applyFont="1" applyFill="1" applyBorder="1"/>
    <xf numFmtId="173" fontId="1" fillId="0" borderId="0" xfId="77" applyNumberFormat="1" applyFont="1" applyFill="1" applyBorder="1"/>
    <xf numFmtId="0" fontId="1" fillId="0" borderId="0" xfId="77" applyFont="1" applyFill="1" applyBorder="1" applyAlignment="1">
      <alignment horizontal="left"/>
    </xf>
    <xf numFmtId="0" fontId="1" fillId="0" borderId="2" xfId="77" applyFont="1" applyFill="1" applyBorder="1" applyAlignment="1">
      <alignment horizontal="left"/>
    </xf>
    <xf numFmtId="0" fontId="1" fillId="0" borderId="2" xfId="77" applyFont="1" applyFill="1" applyBorder="1"/>
    <xf numFmtId="167" fontId="1" fillId="0" borderId="2" xfId="77" applyNumberFormat="1" applyFont="1" applyFill="1" applyBorder="1"/>
    <xf numFmtId="202" fontId="1" fillId="0" borderId="2" xfId="77" applyNumberFormat="1" applyFont="1" applyFill="1" applyBorder="1"/>
    <xf numFmtId="1" fontId="1" fillId="0" borderId="2" xfId="77" applyNumberFormat="1" applyFont="1" applyFill="1" applyBorder="1"/>
    <xf numFmtId="0" fontId="1" fillId="0" borderId="2" xfId="77" applyFont="1" applyFill="1" applyBorder="1" applyAlignment="1">
      <alignment horizontal="center"/>
    </xf>
    <xf numFmtId="181" fontId="1" fillId="0" borderId="2" xfId="77" applyNumberFormat="1" applyFont="1" applyFill="1" applyBorder="1"/>
    <xf numFmtId="173" fontId="35" fillId="0" borderId="2" xfId="77" applyNumberFormat="1" applyFont="1" applyFill="1" applyBorder="1"/>
    <xf numFmtId="182" fontId="1" fillId="0" borderId="2" xfId="77" applyNumberFormat="1" applyFont="1" applyFill="1" applyBorder="1"/>
    <xf numFmtId="9" fontId="1" fillId="0" borderId="2" xfId="62" applyFont="1" applyFill="1" applyBorder="1"/>
    <xf numFmtId="168" fontId="1" fillId="0" borderId="0" xfId="77" applyNumberFormat="1" applyFont="1" applyFill="1"/>
    <xf numFmtId="37" fontId="1" fillId="0" borderId="0" xfId="0" applyNumberFormat="1" applyFont="1" applyFill="1"/>
    <xf numFmtId="202" fontId="159" fillId="23" borderId="0" xfId="0" applyNumberFormat="1" applyFont="1" applyFill="1"/>
    <xf numFmtId="202" fontId="159" fillId="23" borderId="2" xfId="0" applyNumberFormat="1" applyFont="1" applyFill="1" applyBorder="1"/>
    <xf numFmtId="0" fontId="159" fillId="23" borderId="0" xfId="0" applyFont="1" applyFill="1"/>
    <xf numFmtId="202" fontId="159" fillId="23" borderId="0" xfId="0" applyNumberFormat="1" applyFont="1" applyFill="1" applyBorder="1"/>
    <xf numFmtId="204" fontId="159" fillId="23" borderId="0" xfId="0" applyNumberFormat="1" applyFont="1" applyFill="1"/>
    <xf numFmtId="204" fontId="159" fillId="23" borderId="2" xfId="0" applyNumberFormat="1" applyFont="1" applyFill="1" applyBorder="1"/>
    <xf numFmtId="201" fontId="159" fillId="23" borderId="0" xfId="0" applyNumberFormat="1" applyFont="1" applyFill="1"/>
    <xf numFmtId="186" fontId="159" fillId="23" borderId="0" xfId="0" applyNumberFormat="1" applyFont="1" applyFill="1"/>
    <xf numFmtId="0" fontId="169" fillId="23" borderId="0" xfId="79" applyFont="1" applyFill="1"/>
    <xf numFmtId="166" fontId="12" fillId="23" borderId="17" xfId="0" applyNumberFormat="1" applyFont="1" applyFill="1" applyBorder="1"/>
    <xf numFmtId="0" fontId="0" fillId="23" borderId="0" xfId="0" applyFill="1"/>
    <xf numFmtId="166" fontId="1" fillId="23" borderId="0" xfId="0" applyNumberFormat="1" applyFont="1" applyFill="1" applyBorder="1"/>
    <xf numFmtId="182" fontId="1" fillId="0" borderId="0" xfId="0" applyNumberFormat="1" applyFont="1" applyFill="1"/>
    <xf numFmtId="182" fontId="1" fillId="0" borderId="0" xfId="0" applyNumberFormat="1" applyFont="1" applyFill="1" applyBorder="1"/>
    <xf numFmtId="201" fontId="159" fillId="0" borderId="0" xfId="0" applyNumberFormat="1" applyFont="1" applyFill="1" applyBorder="1"/>
    <xf numFmtId="1" fontId="170" fillId="0" borderId="0" xfId="0" applyNumberFormat="1" applyFont="1" applyFill="1" applyBorder="1" applyAlignment="1">
      <alignment horizontal="right"/>
    </xf>
    <xf numFmtId="1" fontId="170" fillId="0" borderId="2" xfId="0" applyNumberFormat="1" applyFont="1" applyFill="1" applyBorder="1" applyAlignment="1">
      <alignment horizontal="right"/>
    </xf>
    <xf numFmtId="0" fontId="159" fillId="0" borderId="0" xfId="0" applyFont="1" applyFill="1"/>
    <xf numFmtId="167" fontId="159" fillId="0" borderId="0" xfId="0" applyNumberFormat="1" applyFont="1" applyFill="1"/>
    <xf numFmtId="37" fontId="159" fillId="0" borderId="0" xfId="0" applyNumberFormat="1" applyFont="1" applyFill="1"/>
    <xf numFmtId="201" fontId="159" fillId="0" borderId="0" xfId="77" applyNumberFormat="1" applyFont="1" applyFill="1" applyBorder="1"/>
    <xf numFmtId="0" fontId="159" fillId="0" borderId="0" xfId="77" applyFont="1" applyFill="1" applyBorder="1"/>
    <xf numFmtId="1" fontId="1" fillId="0" borderId="0" xfId="0" applyNumberFormat="1" applyFont="1" applyFill="1" applyBorder="1" applyAlignment="1">
      <alignment horizontal="right"/>
    </xf>
    <xf numFmtId="1" fontId="1" fillId="0" borderId="2" xfId="0" applyNumberFormat="1" applyFont="1" applyFill="1" applyBorder="1" applyAlignment="1">
      <alignment horizontal="right"/>
    </xf>
    <xf numFmtId="185" fontId="1" fillId="0" borderId="0" xfId="0" applyNumberFormat="1" applyFont="1" applyFill="1" applyBorder="1"/>
    <xf numFmtId="185" fontId="1" fillId="0" borderId="0" xfId="0" applyNumberFormat="1" applyFont="1" applyFill="1"/>
    <xf numFmtId="166" fontId="1" fillId="0" borderId="0" xfId="0" applyNumberFormat="1" applyFont="1" applyFill="1" applyBorder="1"/>
    <xf numFmtId="166" fontId="1" fillId="0" borderId="2" xfId="0" applyNumberFormat="1" applyFont="1" applyFill="1" applyBorder="1"/>
    <xf numFmtId="0" fontId="171" fillId="23" borderId="0" xfId="79" applyFont="1" applyFill="1" applyAlignment="1">
      <alignment horizontal="right"/>
    </xf>
    <xf numFmtId="0" fontId="171" fillId="23" borderId="2" xfId="79" applyFont="1" applyFill="1" applyBorder="1" applyAlignment="1">
      <alignment horizontal="right"/>
    </xf>
    <xf numFmtId="188" fontId="170" fillId="0" borderId="0" xfId="57" applyNumberFormat="1" applyFont="1" applyFill="1" applyProtection="1"/>
    <xf numFmtId="211" fontId="13" fillId="0" borderId="0" xfId="58" quotePrefix="1" applyNumberFormat="1" applyFont="1" applyFill="1" applyAlignment="1" applyProtection="1">
      <alignment horizontal="right"/>
    </xf>
    <xf numFmtId="193" fontId="13" fillId="0" borderId="0" xfId="58" applyNumberFormat="1" applyFont="1" applyFill="1" applyAlignment="1" applyProtection="1">
      <alignment horizontal="right"/>
    </xf>
    <xf numFmtId="193" fontId="13" fillId="0" borderId="0" xfId="58" quotePrefix="1" applyNumberFormat="1" applyFont="1" applyFill="1" applyAlignment="1" applyProtection="1">
      <alignment horizontal="right"/>
    </xf>
    <xf numFmtId="193" fontId="9" fillId="0" borderId="0" xfId="58" quotePrefix="1" applyNumberFormat="1" applyFont="1" applyFill="1" applyAlignment="1" applyProtection="1">
      <alignment horizontal="right"/>
    </xf>
    <xf numFmtId="183" fontId="4" fillId="0" borderId="0" xfId="0" applyNumberFormat="1" applyFont="1" applyFill="1"/>
    <xf numFmtId="183" fontId="170" fillId="23" borderId="0" xfId="57" applyNumberFormat="1" applyFont="1" applyFill="1" applyProtection="1"/>
    <xf numFmtId="183" fontId="170" fillId="0" borderId="0" xfId="57" applyNumberFormat="1" applyFont="1" applyFill="1" applyProtection="1"/>
    <xf numFmtId="188" fontId="170" fillId="23" borderId="0" xfId="57" applyNumberFormat="1" applyFont="1" applyFill="1" applyProtection="1"/>
    <xf numFmtId="167" fontId="1" fillId="0" borderId="0" xfId="0" applyNumberFormat="1" applyFont="1" applyFill="1"/>
    <xf numFmtId="0" fontId="1" fillId="0" borderId="0" xfId="0" applyFont="1" applyFill="1" applyAlignment="1">
      <alignment horizontal="center"/>
    </xf>
    <xf numFmtId="0" fontId="48" fillId="0" borderId="0" xfId="0" applyFont="1" applyFill="1"/>
    <xf numFmtId="0" fontId="48" fillId="0" borderId="2" xfId="0" applyFont="1" applyFill="1" applyBorder="1"/>
    <xf numFmtId="200" fontId="50" fillId="0" borderId="2" xfId="0" applyNumberFormat="1" applyFont="1" applyFill="1" applyBorder="1" applyAlignment="1">
      <alignment horizontal="center"/>
    </xf>
    <xf numFmtId="5" fontId="49" fillId="0" borderId="0" xfId="0" applyNumberFormat="1" applyFont="1" applyFill="1"/>
    <xf numFmtId="5" fontId="54" fillId="0" borderId="0" xfId="0" applyNumberFormat="1" applyFont="1" applyFill="1"/>
    <xf numFmtId="5" fontId="49" fillId="0" borderId="2" xfId="0" applyNumberFormat="1" applyFont="1" applyFill="1" applyBorder="1"/>
    <xf numFmtId="5" fontId="49" fillId="0" borderId="6" xfId="0" applyNumberFormat="1" applyFont="1" applyFill="1" applyBorder="1"/>
    <xf numFmtId="5" fontId="49" fillId="0" borderId="0" xfId="0" applyNumberFormat="1" applyFont="1" applyFill="1" applyBorder="1"/>
    <xf numFmtId="5" fontId="54" fillId="0" borderId="0" xfId="0" applyNumberFormat="1" applyFont="1" applyFill="1" applyBorder="1"/>
    <xf numFmtId="5" fontId="54" fillId="0" borderId="2" xfId="0" applyNumberFormat="1" applyFont="1" applyFill="1" applyBorder="1"/>
    <xf numFmtId="249" fontId="49" fillId="0" borderId="0" xfId="0" applyNumberFormat="1" applyFont="1" applyFill="1"/>
    <xf numFmtId="168" fontId="49" fillId="0" borderId="0" xfId="62" applyNumberFormat="1" applyFont="1" applyFill="1"/>
    <xf numFmtId="168" fontId="54" fillId="0" borderId="0" xfId="62" applyNumberFormat="1" applyFont="1" applyFill="1"/>
    <xf numFmtId="167" fontId="132" fillId="0" borderId="0" xfId="0" applyNumberFormat="1" applyFont="1" applyFill="1"/>
    <xf numFmtId="43" fontId="64" fillId="0" borderId="0" xfId="0" applyNumberFormat="1" applyFont="1" applyFill="1"/>
    <xf numFmtId="0" fontId="64" fillId="0" borderId="0" xfId="0" applyFont="1" applyFill="1"/>
    <xf numFmtId="7" fontId="49" fillId="0" borderId="0" xfId="0" applyNumberFormat="1" applyFont="1" applyFill="1"/>
    <xf numFmtId="0" fontId="49" fillId="0" borderId="2" xfId="0" applyFont="1" applyFill="1" applyBorder="1" applyAlignment="1">
      <alignment horizontal="centerContinuous"/>
    </xf>
    <xf numFmtId="6" fontId="49" fillId="0" borderId="0" xfId="0" applyNumberFormat="1" applyFont="1" applyFill="1"/>
    <xf numFmtId="6" fontId="54" fillId="0" borderId="0" xfId="0" applyNumberFormat="1" applyFont="1" applyFill="1"/>
    <xf numFmtId="6" fontId="54" fillId="0" borderId="2" xfId="0" applyNumberFormat="1" applyFont="1" applyFill="1" applyBorder="1"/>
    <xf numFmtId="6" fontId="54" fillId="0" borderId="0" xfId="0" applyNumberFormat="1" applyFont="1" applyFill="1" applyBorder="1"/>
    <xf numFmtId="6" fontId="48" fillId="0" borderId="0" xfId="0" applyNumberFormat="1" applyFont="1" applyFill="1"/>
    <xf numFmtId="6" fontId="49" fillId="0" borderId="0" xfId="0" applyNumberFormat="1" applyFont="1" applyFill="1" applyBorder="1"/>
    <xf numFmtId="6" fontId="48" fillId="0" borderId="2" xfId="0" applyNumberFormat="1" applyFont="1" applyFill="1" applyBorder="1" applyAlignment="1">
      <alignment horizontal="centerContinuous"/>
    </xf>
    <xf numFmtId="6" fontId="48" fillId="0" borderId="6" xfId="0" applyNumberFormat="1" applyFont="1" applyFill="1" applyBorder="1"/>
    <xf numFmtId="6" fontId="135" fillId="0" borderId="0" xfId="0" applyNumberFormat="1" applyFont="1" applyFill="1"/>
    <xf numFmtId="0" fontId="68" fillId="0" borderId="30" xfId="0" applyFont="1" applyFill="1" applyBorder="1"/>
    <xf numFmtId="167" fontId="64" fillId="0" borderId="0" xfId="0" applyNumberFormat="1" applyFont="1" applyFill="1"/>
    <xf numFmtId="172" fontId="64" fillId="0" borderId="0" xfId="0" applyNumberFormat="1" applyFont="1" applyFill="1"/>
    <xf numFmtId="9" fontId="64" fillId="0" borderId="0" xfId="62" applyNumberFormat="1" applyFont="1" applyFill="1"/>
    <xf numFmtId="43" fontId="49" fillId="0" borderId="0" xfId="0" applyNumberFormat="1" applyFont="1" applyFill="1" applyBorder="1"/>
    <xf numFmtId="170" fontId="49" fillId="0" borderId="0" xfId="0" applyNumberFormat="1" applyFont="1" applyFill="1" applyAlignment="1">
      <alignment horizontal="center"/>
    </xf>
    <xf numFmtId="0" fontId="49" fillId="0" borderId="0" xfId="0" applyFont="1" applyFill="1" applyAlignment="1">
      <alignment horizontal="center"/>
    </xf>
    <xf numFmtId="0" fontId="12" fillId="0" borderId="29" xfId="0" applyFont="1" applyFill="1" applyBorder="1" applyAlignment="1">
      <alignment horizontal="centerContinuous"/>
    </xf>
    <xf numFmtId="0" fontId="12" fillId="0" borderId="6" xfId="0" applyFont="1" applyFill="1" applyBorder="1" applyAlignment="1">
      <alignment horizontal="centerContinuous"/>
    </xf>
    <xf numFmtId="0" fontId="12" fillId="0" borderId="24" xfId="0" applyFont="1" applyFill="1" applyBorder="1" applyAlignment="1">
      <alignment horizontal="centerContinuous"/>
    </xf>
    <xf numFmtId="0" fontId="12" fillId="0" borderId="2" xfId="0" applyFont="1" applyFill="1" applyBorder="1" applyAlignment="1">
      <alignment horizontal="center"/>
    </xf>
    <xf numFmtId="0" fontId="12" fillId="0" borderId="0" xfId="0" applyFont="1" applyFill="1" applyBorder="1" applyAlignment="1">
      <alignment horizontal="centerContinuous"/>
    </xf>
    <xf numFmtId="0" fontId="12" fillId="0" borderId="2" xfId="0" applyFont="1" applyFill="1" applyBorder="1" applyAlignment="1">
      <alignment horizontal="centerContinuous"/>
    </xf>
    <xf numFmtId="0" fontId="12" fillId="0" borderId="0" xfId="0" applyFont="1" applyFill="1" applyBorder="1" applyAlignment="1">
      <alignment horizontal="center"/>
    </xf>
    <xf numFmtId="0" fontId="12" fillId="0" borderId="0" xfId="0" quotePrefix="1" applyFont="1" applyFill="1" applyAlignment="1">
      <alignment horizontal="center"/>
    </xf>
    <xf numFmtId="0" fontId="12" fillId="0" borderId="0" xfId="0" quotePrefix="1" applyFont="1" applyFill="1" applyBorder="1" applyAlignment="1">
      <alignment horizontal="centerContinuous"/>
    </xf>
    <xf numFmtId="0" fontId="12" fillId="0" borderId="0" xfId="77" applyFont="1" applyFill="1"/>
    <xf numFmtId="0" fontId="12" fillId="0" borderId="0" xfId="77" applyFont="1" applyFill="1" applyAlignment="1">
      <alignment horizontal="left"/>
    </xf>
    <xf numFmtId="195" fontId="1" fillId="0" borderId="0" xfId="77" applyNumberFormat="1" applyFont="1" applyFill="1"/>
    <xf numFmtId="195" fontId="1" fillId="0" borderId="0" xfId="77" applyNumberFormat="1" applyFont="1" applyFill="1" applyBorder="1"/>
    <xf numFmtId="185" fontId="12" fillId="0" borderId="0" xfId="77" applyNumberFormat="1" applyFont="1" applyFill="1" applyBorder="1"/>
    <xf numFmtId="0" fontId="18" fillId="0" borderId="2" xfId="77" applyFont="1" applyFill="1" applyBorder="1"/>
    <xf numFmtId="0" fontId="12" fillId="0" borderId="2" xfId="77" applyFont="1" applyFill="1" applyBorder="1" applyAlignment="1">
      <alignment horizontal="left"/>
    </xf>
    <xf numFmtId="0" fontId="12" fillId="0" borderId="2" xfId="77" applyFont="1" applyFill="1" applyBorder="1"/>
    <xf numFmtId="195" fontId="1" fillId="0" borderId="2" xfId="77" applyNumberFormat="1" applyFont="1" applyFill="1" applyBorder="1"/>
    <xf numFmtId="185" fontId="12" fillId="0" borderId="2" xfId="77" applyNumberFormat="1" applyFont="1" applyFill="1" applyBorder="1"/>
    <xf numFmtId="0" fontId="12" fillId="0" borderId="2" xfId="77" applyFont="1" applyFill="1" applyBorder="1" applyAlignment="1">
      <alignment horizontal="center"/>
    </xf>
    <xf numFmtId="0" fontId="1" fillId="0" borderId="0" xfId="77" applyFont="1" applyFill="1" applyAlignment="1">
      <alignment horizontal="left"/>
    </xf>
    <xf numFmtId="0" fontId="12" fillId="0" borderId="29" xfId="77" applyFont="1" applyFill="1" applyBorder="1" applyAlignment="1">
      <alignment horizontal="centerContinuous"/>
    </xf>
    <xf numFmtId="0" fontId="12" fillId="0" borderId="6" xfId="77" applyFont="1" applyFill="1" applyBorder="1" applyAlignment="1">
      <alignment horizontal="centerContinuous"/>
    </xf>
    <xf numFmtId="0" fontId="12" fillId="0" borderId="24" xfId="77" applyFont="1" applyFill="1" applyBorder="1" applyAlignment="1">
      <alignment horizontal="centerContinuous"/>
    </xf>
    <xf numFmtId="0" fontId="12" fillId="0" borderId="0" xfId="77" applyFont="1" applyFill="1" applyBorder="1" applyAlignment="1">
      <alignment horizontal="centerContinuous"/>
    </xf>
    <xf numFmtId="0" fontId="1" fillId="0" borderId="0" xfId="77" applyFont="1" applyFill="1" applyAlignment="1">
      <alignment horizontal="right"/>
    </xf>
    <xf numFmtId="0" fontId="12" fillId="0" borderId="2" xfId="77" applyFont="1" applyFill="1" applyBorder="1" applyAlignment="1">
      <alignment horizontal="centerContinuous"/>
    </xf>
    <xf numFmtId="0" fontId="12" fillId="0" borderId="0" xfId="77" quotePrefix="1" applyFont="1" applyFill="1" applyAlignment="1">
      <alignment horizontal="center"/>
    </xf>
    <xf numFmtId="0" fontId="12" fillId="0" borderId="0" xfId="77" quotePrefix="1" applyFont="1" applyFill="1" applyBorder="1" applyAlignment="1">
      <alignment horizontal="centerContinuous"/>
    </xf>
    <xf numFmtId="0" fontId="168" fillId="0" borderId="0" xfId="77" applyFont="1" applyFill="1" applyBorder="1" applyAlignment="1">
      <alignment horizontal="left"/>
    </xf>
    <xf numFmtId="0" fontId="18" fillId="0" borderId="0" xfId="77" applyFont="1" applyFill="1" applyBorder="1"/>
    <xf numFmtId="198" fontId="42" fillId="0" borderId="0" xfId="77" quotePrefix="1" applyNumberFormat="1" applyFont="1" applyFill="1" applyBorder="1"/>
    <xf numFmtId="198" fontId="117" fillId="0" borderId="0" xfId="77" quotePrefix="1" applyNumberFormat="1" applyFont="1" applyFill="1" applyBorder="1" applyAlignment="1">
      <alignment horizontal="left"/>
    </xf>
    <xf numFmtId="198" fontId="42" fillId="0" borderId="0" xfId="0" quotePrefix="1" applyNumberFormat="1" applyFont="1" applyFill="1"/>
    <xf numFmtId="198" fontId="42" fillId="0" borderId="0" xfId="0" applyNumberFormat="1" applyFont="1" applyFill="1" applyAlignment="1">
      <alignment horizontal="left"/>
    </xf>
    <xf numFmtId="202" fontId="1" fillId="0" borderId="0" xfId="0" applyNumberFormat="1" applyFont="1" applyFill="1"/>
    <xf numFmtId="202" fontId="9" fillId="0" borderId="0" xfId="0" applyNumberFormat="1" applyFont="1" applyFill="1"/>
    <xf numFmtId="173" fontId="13" fillId="0" borderId="0" xfId="0" applyNumberFormat="1" applyFont="1" applyFill="1"/>
    <xf numFmtId="167" fontId="24" fillId="0" borderId="0" xfId="0" applyNumberFormat="1" applyFont="1" applyFill="1"/>
    <xf numFmtId="0" fontId="13" fillId="0" borderId="0" xfId="0" applyFont="1" applyFill="1"/>
    <xf numFmtId="202" fontId="159" fillId="0" borderId="0" xfId="0" applyNumberFormat="1" applyFont="1" applyFill="1"/>
    <xf numFmtId="202" fontId="159" fillId="0" borderId="2" xfId="0" applyNumberFormat="1" applyFont="1" applyFill="1" applyBorder="1"/>
    <xf numFmtId="185" fontId="13" fillId="0" borderId="0" xfId="0" applyNumberFormat="1" applyFont="1" applyFill="1"/>
    <xf numFmtId="166" fontId="13" fillId="0" borderId="0" xfId="0" applyNumberFormat="1" applyFont="1" applyFill="1"/>
    <xf numFmtId="166" fontId="13" fillId="0" borderId="2" xfId="0" applyNumberFormat="1" applyFont="1" applyFill="1" applyBorder="1"/>
    <xf numFmtId="166" fontId="13" fillId="0" borderId="0" xfId="0" applyNumberFormat="1" applyFont="1" applyFill="1" applyBorder="1"/>
    <xf numFmtId="202" fontId="159" fillId="0" borderId="0" xfId="0" applyNumberFormat="1" applyFont="1" applyFill="1" applyBorder="1"/>
    <xf numFmtId="204" fontId="159" fillId="0" borderId="0" xfId="0" applyNumberFormat="1" applyFont="1" applyFill="1"/>
    <xf numFmtId="204" fontId="159" fillId="0" borderId="17" xfId="0" applyNumberFormat="1" applyFont="1" applyFill="1" applyBorder="1"/>
    <xf numFmtId="0" fontId="159" fillId="0" borderId="17" xfId="0" applyFont="1" applyFill="1" applyBorder="1"/>
    <xf numFmtId="0" fontId="159" fillId="0" borderId="2" xfId="0" applyFont="1" applyFill="1" applyBorder="1"/>
    <xf numFmtId="185" fontId="35" fillId="0" borderId="17" xfId="0" applyNumberFormat="1" applyFont="1" applyFill="1" applyBorder="1"/>
    <xf numFmtId="0" fontId="158" fillId="0" borderId="0" xfId="0" applyFont="1" applyFill="1"/>
    <xf numFmtId="166" fontId="35" fillId="0" borderId="0" xfId="0" applyNumberFormat="1" applyFont="1" applyFill="1"/>
    <xf numFmtId="0" fontId="32" fillId="0" borderId="0" xfId="0" applyFont="1" applyFill="1" applyAlignment="1">
      <alignment horizontal="left"/>
    </xf>
    <xf numFmtId="185" fontId="32" fillId="0" borderId="0" xfId="0" applyNumberFormat="1" applyFont="1" applyFill="1"/>
    <xf numFmtId="3" fontId="159" fillId="0" borderId="0" xfId="0" applyNumberFormat="1" applyFont="1" applyFill="1" applyBorder="1"/>
    <xf numFmtId="3" fontId="159" fillId="0" borderId="2" xfId="0" applyNumberFormat="1" applyFont="1" applyFill="1" applyBorder="1"/>
    <xf numFmtId="1" fontId="159" fillId="0" borderId="0" xfId="0" applyNumberFormat="1" applyFont="1" applyFill="1"/>
    <xf numFmtId="1" fontId="12" fillId="0" borderId="0" xfId="0" applyNumberFormat="1" applyFont="1" applyFill="1"/>
    <xf numFmtId="1" fontId="13" fillId="0" borderId="2" xfId="0" applyNumberFormat="1" applyFont="1" applyFill="1" applyBorder="1"/>
    <xf numFmtId="9" fontId="35" fillId="0" borderId="0" xfId="62" applyFont="1" applyFill="1" applyBorder="1"/>
    <xf numFmtId="201" fontId="149" fillId="0" borderId="2" xfId="0" applyNumberFormat="1" applyFont="1" applyFill="1" applyBorder="1"/>
    <xf numFmtId="201" fontId="170" fillId="0" borderId="0" xfId="0" applyNumberFormat="1" applyFont="1" applyFill="1" applyBorder="1"/>
    <xf numFmtId="201" fontId="170" fillId="0" borderId="2" xfId="0" applyNumberFormat="1" applyFont="1" applyFill="1" applyBorder="1"/>
    <xf numFmtId="0" fontId="18" fillId="0" borderId="2" xfId="0" applyFont="1" applyFill="1" applyBorder="1"/>
    <xf numFmtId="0" fontId="18" fillId="0" borderId="0" xfId="0" applyFont="1" applyFill="1" applyBorder="1"/>
    <xf numFmtId="0" fontId="159" fillId="0" borderId="0" xfId="77" applyFont="1" applyFill="1"/>
    <xf numFmtId="0" fontId="159" fillId="0" borderId="17" xfId="77" applyFont="1" applyFill="1" applyBorder="1"/>
    <xf numFmtId="182" fontId="159" fillId="0" borderId="0" xfId="77" applyNumberFormat="1" applyFont="1" applyFill="1" applyBorder="1"/>
    <xf numFmtId="0" fontId="159" fillId="0" borderId="2" xfId="77" applyFont="1" applyFill="1" applyBorder="1"/>
    <xf numFmtId="185" fontId="159" fillId="0" borderId="0" xfId="77" applyNumberFormat="1" applyFont="1" applyFill="1" applyBorder="1"/>
    <xf numFmtId="201" fontId="159" fillId="0" borderId="17" xfId="0" applyNumberFormat="1" applyFont="1" applyFill="1" applyBorder="1"/>
    <xf numFmtId="182" fontId="13" fillId="0" borderId="2" xfId="0" applyNumberFormat="1" applyFont="1" applyFill="1" applyBorder="1"/>
    <xf numFmtId="201" fontId="13" fillId="0" borderId="0" xfId="0" applyNumberFormat="1" applyFont="1" applyFill="1"/>
    <xf numFmtId="185" fontId="159" fillId="0" borderId="0" xfId="0" applyNumberFormat="1" applyFont="1" applyFill="1"/>
    <xf numFmtId="166" fontId="159" fillId="0" borderId="0" xfId="0" applyNumberFormat="1" applyFont="1" applyFill="1"/>
    <xf numFmtId="166" fontId="159" fillId="0" borderId="2" xfId="0" applyNumberFormat="1" applyFont="1" applyFill="1" applyBorder="1"/>
    <xf numFmtId="1" fontId="1" fillId="0" borderId="0" xfId="0" applyNumberFormat="1" applyFont="1" applyFill="1" applyBorder="1"/>
    <xf numFmtId="0" fontId="1" fillId="0" borderId="0" xfId="0" applyFont="1" applyFill="1" applyBorder="1"/>
    <xf numFmtId="166" fontId="1" fillId="0" borderId="0" xfId="0" applyNumberFormat="1" applyFont="1" applyFill="1"/>
    <xf numFmtId="1" fontId="1" fillId="0" borderId="2" xfId="0" applyNumberFormat="1" applyFont="1" applyFill="1" applyBorder="1"/>
    <xf numFmtId="168" fontId="1" fillId="0" borderId="0" xfId="62" applyNumberFormat="1" applyFont="1" applyFill="1"/>
    <xf numFmtId="9" fontId="1" fillId="0" borderId="0" xfId="0" applyNumberFormat="1" applyFont="1" applyFill="1"/>
    <xf numFmtId="201" fontId="13" fillId="0" borderId="2" xfId="0" applyNumberFormat="1" applyFont="1" applyFill="1" applyBorder="1"/>
    <xf numFmtId="185" fontId="12" fillId="0" borderId="0" xfId="0" applyNumberFormat="1" applyFont="1" applyFill="1"/>
    <xf numFmtId="201" fontId="159" fillId="0" borderId="2" xfId="77" applyNumberFormat="1" applyFont="1" applyFill="1" applyBorder="1"/>
    <xf numFmtId="201" fontId="1" fillId="0" borderId="2" xfId="0" applyNumberFormat="1" applyFont="1" applyFill="1" applyBorder="1"/>
    <xf numFmtId="201" fontId="9" fillId="0" borderId="0" xfId="0" applyNumberFormat="1" applyFont="1" applyFill="1" applyBorder="1"/>
    <xf numFmtId="201" fontId="1" fillId="0" borderId="0" xfId="0" applyNumberFormat="1" applyFont="1" applyFill="1" applyBorder="1"/>
    <xf numFmtId="167" fontId="9" fillId="0" borderId="0" xfId="0" applyNumberFormat="1" applyFont="1" applyFill="1" applyBorder="1"/>
    <xf numFmtId="167" fontId="13" fillId="0" borderId="0" xfId="0" applyNumberFormat="1" applyFont="1" applyFill="1"/>
    <xf numFmtId="37" fontId="9" fillId="28" borderId="0" xfId="57" applyNumberFormat="1" applyFont="1" applyFill="1" applyProtection="1"/>
    <xf numFmtId="5" fontId="35" fillId="0" borderId="0" xfId="49" applyNumberFormat="1" applyFont="1" applyFill="1" applyBorder="1" applyAlignment="1">
      <alignment horizontal="right"/>
    </xf>
    <xf numFmtId="37" fontId="119" fillId="0" borderId="0" xfId="49" applyNumberFormat="1" applyFont="1" applyFill="1" applyBorder="1"/>
    <xf numFmtId="37" fontId="119" fillId="0" borderId="22" xfId="49" applyNumberFormat="1" applyFont="1" applyFill="1" applyBorder="1"/>
    <xf numFmtId="37" fontId="35" fillId="0" borderId="0" xfId="49" applyNumberFormat="1" applyFont="1" applyFill="1" applyBorder="1"/>
    <xf numFmtId="2" fontId="35" fillId="0" borderId="0" xfId="49" applyNumberFormat="1" applyFont="1" applyFill="1" applyBorder="1"/>
    <xf numFmtId="192" fontId="35" fillId="0" borderId="0" xfId="49" applyNumberFormat="1" applyFont="1" applyFill="1" applyBorder="1"/>
    <xf numFmtId="170" fontId="35" fillId="0" borderId="0" xfId="49" applyNumberFormat="1" applyFont="1" applyFill="1" applyBorder="1" applyAlignment="1">
      <alignment horizontal="right"/>
    </xf>
    <xf numFmtId="0" fontId="35" fillId="0" borderId="0" xfId="49" applyFont="1" applyFill="1" applyBorder="1"/>
    <xf numFmtId="0" fontId="35" fillId="0" borderId="22" xfId="49" applyFont="1" applyFill="1" applyBorder="1"/>
    <xf numFmtId="0" fontId="0" fillId="0" borderId="0" xfId="0" applyFill="1" applyBorder="1"/>
    <xf numFmtId="168" fontId="0" fillId="0" borderId="0" xfId="62" applyNumberFormat="1" applyFont="1" applyFill="1" applyBorder="1"/>
    <xf numFmtId="10" fontId="0" fillId="0" borderId="0" xfId="0" applyNumberFormat="1" applyFill="1" applyBorder="1"/>
    <xf numFmtId="193" fontId="35" fillId="0" borderId="0" xfId="62" applyNumberFormat="1" applyFont="1" applyFill="1" applyBorder="1" applyAlignment="1">
      <alignment horizontal="right"/>
    </xf>
    <xf numFmtId="193" fontId="35" fillId="0" borderId="22" xfId="62" applyNumberFormat="1" applyFont="1" applyFill="1" applyBorder="1" applyAlignment="1">
      <alignment horizontal="right"/>
    </xf>
    <xf numFmtId="168" fontId="35" fillId="0" borderId="0" xfId="49" applyNumberFormat="1" applyFont="1" applyFill="1" applyBorder="1"/>
    <xf numFmtId="168" fontId="35" fillId="0" borderId="22" xfId="49" applyNumberFormat="1" applyFont="1" applyFill="1" applyBorder="1"/>
    <xf numFmtId="211" fontId="1" fillId="16" borderId="2" xfId="62" applyNumberFormat="1" applyFont="1" applyFill="1" applyBorder="1" applyAlignment="1">
      <alignment horizontal="right"/>
    </xf>
    <xf numFmtId="193" fontId="1" fillId="16" borderId="2" xfId="62" applyNumberFormat="1" applyFont="1" applyFill="1" applyBorder="1" applyAlignment="1">
      <alignment horizontal="right"/>
    </xf>
    <xf numFmtId="211" fontId="1" fillId="0" borderId="2" xfId="62" applyNumberFormat="1" applyFont="1" applyFill="1" applyBorder="1" applyAlignment="1">
      <alignment horizontal="right"/>
    </xf>
    <xf numFmtId="193" fontId="1" fillId="0" borderId="2" xfId="62" applyNumberFormat="1" applyFont="1" applyFill="1" applyBorder="1" applyAlignment="1">
      <alignment horizontal="right"/>
    </xf>
    <xf numFmtId="193" fontId="1" fillId="0" borderId="21" xfId="62" applyNumberFormat="1" applyFont="1" applyFill="1" applyBorder="1" applyAlignment="1">
      <alignment horizontal="right"/>
    </xf>
    <xf numFmtId="211" fontId="1" fillId="16" borderId="0" xfId="62" applyNumberFormat="1" applyFont="1" applyFill="1" applyAlignment="1">
      <alignment horizontal="right"/>
    </xf>
    <xf numFmtId="211" fontId="1" fillId="16" borderId="0" xfId="62" applyNumberFormat="1" applyFont="1" applyFill="1" applyBorder="1" applyAlignment="1">
      <alignment horizontal="right"/>
    </xf>
    <xf numFmtId="193" fontId="1" fillId="16" borderId="0" xfId="62" applyNumberFormat="1" applyFont="1" applyFill="1" applyBorder="1" applyAlignment="1">
      <alignment horizontal="right"/>
    </xf>
    <xf numFmtId="193" fontId="35" fillId="0" borderId="2" xfId="62" applyNumberFormat="1" applyFont="1" applyFill="1" applyBorder="1" applyAlignment="1">
      <alignment horizontal="right"/>
    </xf>
    <xf numFmtId="193" fontId="35" fillId="0" borderId="21" xfId="62" applyNumberFormat="1" applyFont="1" applyFill="1" applyBorder="1" applyAlignment="1">
      <alignment horizontal="right"/>
    </xf>
    <xf numFmtId="167" fontId="154" fillId="23" borderId="2" xfId="79" applyNumberFormat="1" applyFont="1" applyFill="1" applyBorder="1"/>
    <xf numFmtId="167" fontId="154" fillId="23" borderId="0" xfId="79" applyNumberFormat="1" applyFont="1" applyFill="1"/>
    <xf numFmtId="198" fontId="12" fillId="0" borderId="2" xfId="46" applyNumberFormat="1" applyFont="1" applyFill="1" applyBorder="1" applyAlignment="1">
      <alignment horizontal="center"/>
    </xf>
    <xf numFmtId="37" fontId="172" fillId="0" borderId="0" xfId="0" applyNumberFormat="1" applyFont="1" applyFill="1"/>
    <xf numFmtId="0" fontId="172" fillId="0" borderId="0" xfId="0" applyFont="1" applyFill="1"/>
    <xf numFmtId="195" fontId="9" fillId="0" borderId="0" xfId="0" applyNumberFormat="1" applyFont="1" applyFill="1" applyBorder="1"/>
    <xf numFmtId="37" fontId="21" fillId="0" borderId="0" xfId="48" applyFont="1" applyFill="1"/>
    <xf numFmtId="37" fontId="46" fillId="0" borderId="0" xfId="0" applyNumberFormat="1" applyFont="1" applyFill="1"/>
    <xf numFmtId="37" fontId="9" fillId="0" borderId="0" xfId="48" applyFont="1" applyFill="1"/>
    <xf numFmtId="168" fontId="46" fillId="0" borderId="0" xfId="0" applyNumberFormat="1" applyFont="1" applyFill="1"/>
    <xf numFmtId="10" fontId="46" fillId="0" borderId="0" xfId="0" applyNumberFormat="1" applyFont="1" applyFill="1"/>
    <xf numFmtId="227" fontId="9" fillId="0" borderId="0" xfId="0" applyNumberFormat="1" applyFont="1" applyFill="1"/>
    <xf numFmtId="168" fontId="21" fillId="0" borderId="0" xfId="48" applyNumberFormat="1" applyFont="1" applyFill="1"/>
    <xf numFmtId="5" fontId="172" fillId="23" borderId="0" xfId="57" applyNumberFormat="1" applyFont="1" applyFill="1" applyProtection="1"/>
    <xf numFmtId="1" fontId="4" fillId="23" borderId="0" xfId="62" applyNumberFormat="1" applyFont="1" applyFill="1"/>
    <xf numFmtId="1" fontId="4" fillId="0" borderId="0" xfId="62" applyNumberFormat="1" applyFont="1" applyFill="1"/>
    <xf numFmtId="180" fontId="24" fillId="0" borderId="0" xfId="34" applyNumberFormat="1" applyFont="1" applyFill="1" applyBorder="1" applyProtection="1"/>
    <xf numFmtId="180" fontId="19" fillId="0" borderId="0" xfId="34" applyNumberFormat="1" applyFont="1" applyFill="1" applyProtection="1"/>
    <xf numFmtId="211" fontId="172" fillId="0" borderId="0" xfId="58" quotePrefix="1" applyNumberFormat="1" applyFont="1" applyFill="1" applyAlignment="1" applyProtection="1">
      <alignment horizontal="right"/>
    </xf>
    <xf numFmtId="193" fontId="172" fillId="0" borderId="0" xfId="58" applyNumberFormat="1" applyFont="1" applyFill="1" applyAlignment="1" applyProtection="1">
      <alignment horizontal="right"/>
    </xf>
    <xf numFmtId="193" fontId="172" fillId="0" borderId="0" xfId="58" quotePrefix="1" applyNumberFormat="1" applyFont="1" applyFill="1" applyAlignment="1" applyProtection="1">
      <alignment horizontal="right"/>
    </xf>
    <xf numFmtId="193" fontId="172" fillId="0" borderId="0" xfId="58" applyNumberFormat="1" applyFont="1" applyFill="1" applyProtection="1"/>
    <xf numFmtId="5" fontId="172" fillId="0" borderId="0" xfId="57" applyNumberFormat="1" applyFont="1" applyFill="1" applyProtection="1"/>
    <xf numFmtId="193" fontId="9" fillId="0" borderId="0" xfId="58" applyNumberFormat="1" applyFont="1" applyFill="1" applyAlignment="1" applyProtection="1">
      <alignment horizontal="right"/>
    </xf>
    <xf numFmtId="183" fontId="172" fillId="0" borderId="0" xfId="57" applyNumberFormat="1" applyFont="1" applyFill="1" applyProtection="1"/>
    <xf numFmtId="182" fontId="49" fillId="0" borderId="0" xfId="0" applyNumberFormat="1" applyFont="1" applyFill="1"/>
    <xf numFmtId="200" fontId="18" fillId="0" borderId="2" xfId="0" applyNumberFormat="1" applyFont="1" applyFill="1" applyBorder="1" applyAlignment="1">
      <alignment horizontal="centerContinuous"/>
    </xf>
    <xf numFmtId="289" fontId="150" fillId="0" borderId="0" xfId="0" applyNumberFormat="1" applyFont="1" applyFill="1" applyAlignment="1">
      <alignment horizontal="left"/>
    </xf>
    <xf numFmtId="175" fontId="49" fillId="0" borderId="0" xfId="0" applyNumberFormat="1" applyFont="1" applyFill="1" applyAlignment="1">
      <alignment horizontal="centerContinuous"/>
    </xf>
    <xf numFmtId="175" fontId="173" fillId="0" borderId="0" xfId="0" applyNumberFormat="1" applyFont="1"/>
    <xf numFmtId="174" fontId="173" fillId="0" borderId="0" xfId="0" applyNumberFormat="1" applyFont="1" applyFill="1"/>
    <xf numFmtId="194" fontId="160" fillId="0" borderId="0" xfId="0" applyNumberFormat="1" applyFont="1" applyFill="1"/>
    <xf numFmtId="172" fontId="173" fillId="0" borderId="0" xfId="0" applyNumberFormat="1" applyFont="1" applyFill="1" applyBorder="1"/>
    <xf numFmtId="2" fontId="0" fillId="0" borderId="0" xfId="0" applyNumberFormat="1" applyFill="1"/>
    <xf numFmtId="186" fontId="160" fillId="0" borderId="0" xfId="0" applyNumberFormat="1" applyFont="1" applyFill="1" applyBorder="1"/>
    <xf numFmtId="2" fontId="54" fillId="0" borderId="0" xfId="0" applyNumberFormat="1" applyFont="1" applyFill="1"/>
    <xf numFmtId="2" fontId="54" fillId="0" borderId="2" xfId="0" applyNumberFormat="1" applyFont="1" applyFill="1" applyBorder="1"/>
    <xf numFmtId="183" fontId="12" fillId="0" borderId="2" xfId="57" applyFont="1" applyFill="1" applyBorder="1" applyAlignment="1" applyProtection="1">
      <alignment horizontal="left"/>
    </xf>
    <xf numFmtId="183" fontId="12" fillId="0" borderId="0" xfId="57" applyFont="1" applyFill="1" applyBorder="1" applyAlignment="1" applyProtection="1">
      <alignment horizontal="left"/>
    </xf>
    <xf numFmtId="191" fontId="9" fillId="0" borderId="0" xfId="57" applyNumberFormat="1" applyFont="1" applyFill="1" applyBorder="1" applyAlignment="1" applyProtection="1">
      <alignment horizontal="left"/>
    </xf>
    <xf numFmtId="183" fontId="9" fillId="0" borderId="0" xfId="57" applyNumberFormat="1" applyFont="1" applyFill="1" applyAlignment="1" applyProtection="1">
      <alignment horizontal="left"/>
    </xf>
    <xf numFmtId="183" fontId="19" fillId="0" borderId="0" xfId="57" applyNumberFormat="1" applyFont="1" applyFill="1" applyProtection="1"/>
    <xf numFmtId="205" fontId="19" fillId="0" borderId="0" xfId="57" applyNumberFormat="1" applyFont="1" applyFill="1" applyProtection="1"/>
    <xf numFmtId="183" fontId="9" fillId="0" borderId="0" xfId="57" quotePrefix="1" applyNumberFormat="1" applyFont="1" applyFill="1" applyAlignment="1" applyProtection="1">
      <alignment horizontal="left"/>
    </xf>
    <xf numFmtId="188" fontId="19" fillId="0" borderId="0" xfId="57" applyNumberFormat="1" applyFont="1" applyFill="1" applyProtection="1"/>
    <xf numFmtId="205" fontId="13" fillId="0" borderId="0" xfId="57" applyNumberFormat="1" applyFont="1" applyFill="1" applyProtection="1"/>
    <xf numFmtId="205" fontId="12" fillId="0" borderId="0" xfId="57" applyNumberFormat="1" applyFont="1" applyFill="1" applyProtection="1"/>
    <xf numFmtId="205" fontId="9" fillId="0" borderId="0" xfId="57" applyNumberFormat="1" applyFont="1" applyFill="1" applyProtection="1"/>
    <xf numFmtId="168" fontId="24" fillId="0" borderId="0" xfId="57" applyNumberFormat="1" applyFont="1" applyFill="1" applyBorder="1" applyProtection="1"/>
    <xf numFmtId="9" fontId="9" fillId="0" borderId="0" xfId="57" applyNumberFormat="1" applyFont="1" applyFill="1" applyAlignment="1" applyProtection="1">
      <alignment horizontal="left"/>
    </xf>
    <xf numFmtId="196" fontId="12" fillId="0" borderId="0" xfId="57" applyNumberFormat="1" applyFont="1" applyFill="1" applyProtection="1"/>
    <xf numFmtId="175" fontId="9" fillId="0" borderId="0" xfId="57" applyNumberFormat="1" applyFont="1" applyFill="1" applyProtection="1"/>
    <xf numFmtId="0" fontId="12" fillId="0" borderId="0" xfId="46" applyFont="1" applyFill="1" applyAlignment="1" applyProtection="1">
      <alignment horizontal="left"/>
    </xf>
    <xf numFmtId="183" fontId="12" fillId="0" borderId="2" xfId="46" applyNumberFormat="1" applyFont="1" applyFill="1" applyBorder="1"/>
    <xf numFmtId="183" fontId="9" fillId="0" borderId="0" xfId="57" applyNumberFormat="1" applyFont="1" applyFill="1" applyBorder="1" applyProtection="1"/>
    <xf numFmtId="37" fontId="9" fillId="0" borderId="0" xfId="57" applyNumberFormat="1" applyFont="1" applyFill="1" applyBorder="1" applyProtection="1"/>
    <xf numFmtId="196" fontId="13" fillId="0" borderId="0" xfId="57" applyNumberFormat="1" applyFont="1" applyFill="1" applyProtection="1"/>
    <xf numFmtId="0" fontId="9" fillId="0" borderId="0" xfId="57" applyNumberFormat="1" applyFont="1" applyFill="1" applyProtection="1"/>
    <xf numFmtId="183" fontId="12" fillId="0" borderId="0" xfId="57" applyFont="1" applyFill="1"/>
    <xf numFmtId="198" fontId="18" fillId="0" borderId="2" xfId="46" applyNumberFormat="1" applyFont="1" applyFill="1" applyBorder="1" applyAlignment="1">
      <alignment horizontal="center"/>
    </xf>
    <xf numFmtId="188" fontId="9" fillId="0" borderId="0" xfId="57" applyNumberFormat="1" applyFont="1" applyFill="1" applyBorder="1" applyProtection="1"/>
    <xf numFmtId="168" fontId="9" fillId="0" borderId="0" xfId="57" applyNumberFormat="1" applyFont="1" applyFill="1" applyAlignment="1" applyProtection="1">
      <alignment horizontal="right"/>
    </xf>
    <xf numFmtId="207" fontId="9" fillId="0" borderId="0" xfId="57" applyNumberFormat="1" applyFont="1" applyFill="1" applyProtection="1"/>
    <xf numFmtId="198" fontId="23" fillId="0" borderId="2" xfId="46" applyNumberFormat="1" applyFont="1" applyFill="1" applyBorder="1" applyAlignment="1">
      <alignment horizontal="center"/>
    </xf>
    <xf numFmtId="183" fontId="24" fillId="0" borderId="0" xfId="57" applyNumberFormat="1" applyFont="1" applyFill="1" applyProtection="1"/>
    <xf numFmtId="188" fontId="24" fillId="0" borderId="0" xfId="57" applyNumberFormat="1" applyFont="1" applyFill="1" applyProtection="1"/>
    <xf numFmtId="37" fontId="24" fillId="0" borderId="0" xfId="57" applyNumberFormat="1" applyFont="1" applyFill="1" applyProtection="1"/>
    <xf numFmtId="168" fontId="24" fillId="0" borderId="0" xfId="57" applyNumberFormat="1" applyFont="1" applyFill="1" applyProtection="1"/>
    <xf numFmtId="196" fontId="13" fillId="0" borderId="0" xfId="57" applyNumberFormat="1" applyFont="1" applyFill="1" applyBorder="1" applyProtection="1"/>
    <xf numFmtId="193" fontId="36" fillId="0" borderId="0" xfId="58" applyNumberFormat="1" applyFont="1" applyFill="1" applyAlignment="1" applyProtection="1">
      <alignment horizontal="right"/>
    </xf>
    <xf numFmtId="43" fontId="9" fillId="0" borderId="0" xfId="34" applyFont="1" applyFill="1"/>
    <xf numFmtId="183" fontId="24" fillId="0" borderId="0" xfId="57" applyNumberFormat="1" applyFont="1" applyFill="1" applyBorder="1" applyProtection="1"/>
    <xf numFmtId="188" fontId="24" fillId="0" borderId="0" xfId="57" applyNumberFormat="1" applyFont="1" applyFill="1" applyBorder="1" applyProtection="1"/>
    <xf numFmtId="37" fontId="24" fillId="0" borderId="0" xfId="57" applyNumberFormat="1" applyFont="1" applyFill="1" applyBorder="1" applyProtection="1"/>
    <xf numFmtId="37" fontId="13" fillId="0" borderId="0" xfId="57" applyNumberFormat="1" applyFont="1" applyFill="1" applyProtection="1"/>
    <xf numFmtId="0" fontId="12" fillId="0" borderId="2" xfId="46" applyFont="1" applyFill="1" applyBorder="1"/>
    <xf numFmtId="200" fontId="12" fillId="0" borderId="2" xfId="46" applyNumberFormat="1" applyFont="1" applyFill="1" applyBorder="1" applyAlignment="1">
      <alignment horizontal="center"/>
    </xf>
    <xf numFmtId="183" fontId="19" fillId="0" borderId="0" xfId="57" applyNumberFormat="1" applyFont="1" applyFill="1" applyAlignment="1" applyProtection="1">
      <alignment horizontal="left"/>
    </xf>
    <xf numFmtId="183" fontId="24" fillId="0" borderId="0" xfId="57" applyNumberFormat="1" applyFont="1" applyFill="1" applyAlignment="1" applyProtection="1">
      <alignment horizontal="right"/>
    </xf>
    <xf numFmtId="183" fontId="9" fillId="0" borderId="0" xfId="57" applyNumberFormat="1" applyFont="1" applyFill="1" applyAlignment="1" applyProtection="1">
      <alignment horizontal="right"/>
    </xf>
    <xf numFmtId="183" fontId="19" fillId="0" borderId="0" xfId="57" quotePrefix="1" applyNumberFormat="1" applyFont="1" applyFill="1" applyAlignment="1" applyProtection="1">
      <alignment horizontal="left"/>
    </xf>
    <xf numFmtId="183" fontId="9" fillId="0" borderId="0" xfId="57" applyFont="1" applyFill="1" applyAlignment="1">
      <alignment horizontal="left"/>
    </xf>
    <xf numFmtId="5" fontId="21" fillId="0" borderId="0" xfId="0" applyNumberFormat="1" applyFont="1" applyFill="1"/>
    <xf numFmtId="231" fontId="12" fillId="0" borderId="2" xfId="46" applyNumberFormat="1" applyFont="1" applyFill="1" applyBorder="1" applyAlignment="1">
      <alignment horizontal="center"/>
    </xf>
    <xf numFmtId="168" fontId="9" fillId="0" borderId="0" xfId="57" applyNumberFormat="1" applyFont="1" applyFill="1" applyBorder="1" applyAlignment="1" applyProtection="1">
      <alignment horizontal="right"/>
    </xf>
    <xf numFmtId="9" fontId="0" fillId="0" borderId="0" xfId="0" applyNumberFormat="1" applyFill="1"/>
    <xf numFmtId="5" fontId="4" fillId="0" borderId="0" xfId="0" applyNumberFormat="1" applyFont="1" applyFill="1"/>
    <xf numFmtId="5" fontId="139" fillId="0" borderId="0" xfId="0" applyNumberFormat="1" applyFont="1" applyFill="1"/>
    <xf numFmtId="0" fontId="0" fillId="0" borderId="2" xfId="0" applyFill="1" applyBorder="1"/>
    <xf numFmtId="204" fontId="146" fillId="0" borderId="0" xfId="0" applyNumberFormat="1" applyFont="1" applyFill="1"/>
    <xf numFmtId="166" fontId="12" fillId="0" borderId="0" xfId="0" applyNumberFormat="1" applyFont="1" applyFill="1" applyBorder="1"/>
    <xf numFmtId="185" fontId="9" fillId="0" borderId="2" xfId="0" applyNumberFormat="1" applyFont="1" applyFill="1" applyBorder="1"/>
    <xf numFmtId="168" fontId="170" fillId="0" borderId="0" xfId="0" applyNumberFormat="1" applyFont="1" applyFill="1"/>
    <xf numFmtId="193" fontId="1" fillId="0" borderId="0" xfId="62" applyNumberFormat="1" applyFont="1" applyFill="1" applyBorder="1" applyAlignment="1">
      <alignment horizontal="right"/>
    </xf>
    <xf numFmtId="193" fontId="1" fillId="0" borderId="22" xfId="62" applyNumberFormat="1" applyFont="1" applyFill="1" applyBorder="1" applyAlignment="1">
      <alignment horizontal="right"/>
    </xf>
    <xf numFmtId="7" fontId="35" fillId="0" borderId="6" xfId="49" applyNumberFormat="1" applyFont="1" applyFill="1" applyBorder="1" applyAlignment="1">
      <alignment horizontal="right"/>
    </xf>
    <xf numFmtId="7" fontId="35" fillId="0" borderId="24" xfId="49" applyNumberFormat="1" applyFont="1" applyFill="1" applyBorder="1" applyAlignment="1">
      <alignment horizontal="right"/>
    </xf>
    <xf numFmtId="193" fontId="1" fillId="16" borderId="22" xfId="62" applyNumberFormat="1" applyFont="1" applyFill="1" applyBorder="1" applyAlignment="1">
      <alignment horizontal="right"/>
    </xf>
    <xf numFmtId="193" fontId="1" fillId="16" borderId="1" xfId="62" applyNumberFormat="1" applyFont="1" applyFill="1" applyBorder="1" applyAlignment="1">
      <alignment horizontal="right"/>
    </xf>
    <xf numFmtId="193" fontId="46" fillId="16" borderId="7" xfId="62" applyNumberFormat="1" applyFont="1" applyFill="1" applyBorder="1" applyAlignment="1">
      <alignment horizontal="right"/>
    </xf>
    <xf numFmtId="193" fontId="1" fillId="16" borderId="17" xfId="62" applyNumberFormat="1" applyFont="1" applyFill="1" applyBorder="1" applyAlignment="1">
      <alignment horizontal="right"/>
    </xf>
    <xf numFmtId="193" fontId="1" fillId="16" borderId="25" xfId="62" applyNumberFormat="1" applyFont="1" applyFill="1" applyBorder="1" applyAlignment="1">
      <alignment horizontal="right"/>
    </xf>
    <xf numFmtId="193" fontId="1" fillId="16" borderId="7" xfId="62" applyNumberFormat="1" applyFont="1" applyFill="1" applyBorder="1" applyAlignment="1">
      <alignment horizontal="right"/>
    </xf>
    <xf numFmtId="193" fontId="1" fillId="0" borderId="25" xfId="62" applyNumberFormat="1" applyFont="1" applyFill="1" applyBorder="1" applyAlignment="1">
      <alignment horizontal="right"/>
    </xf>
    <xf numFmtId="178" fontId="49" fillId="0" borderId="0" xfId="34" applyNumberFormat="1" applyFont="1" applyFill="1"/>
    <xf numFmtId="255" fontId="11" fillId="0" borderId="17" xfId="0" applyNumberFormat="1" applyFont="1" applyFill="1" applyBorder="1" applyAlignment="1">
      <alignment horizontal="center"/>
    </xf>
    <xf numFmtId="0" fontId="14" fillId="0" borderId="0" xfId="0" applyFont="1" applyFill="1" applyBorder="1" applyAlignment="1">
      <alignment horizontal="center"/>
    </xf>
    <xf numFmtId="0" fontId="40" fillId="0" borderId="0" xfId="0" applyFont="1" applyFill="1" applyBorder="1"/>
    <xf numFmtId="271" fontId="109" fillId="0" borderId="0" xfId="35" applyNumberFormat="1" applyFont="1" applyFill="1" applyBorder="1"/>
    <xf numFmtId="0" fontId="109" fillId="0" borderId="0" xfId="0" applyFont="1" applyFill="1" applyBorder="1"/>
    <xf numFmtId="178" fontId="109" fillId="0" borderId="0" xfId="34" applyNumberFormat="1" applyFont="1" applyFill="1" applyBorder="1"/>
    <xf numFmtId="271" fontId="109" fillId="0" borderId="0" xfId="0" applyNumberFormat="1" applyFont="1" applyFill="1" applyBorder="1"/>
    <xf numFmtId="44" fontId="40" fillId="0" borderId="6" xfId="35" applyFont="1" applyFill="1" applyBorder="1"/>
    <xf numFmtId="168" fontId="109" fillId="0" borderId="0" xfId="62" applyNumberFormat="1" applyFont="1" applyFill="1" applyBorder="1"/>
    <xf numFmtId="255" fontId="11" fillId="0" borderId="0" xfId="0" applyNumberFormat="1" applyFont="1" applyFill="1" applyBorder="1" applyAlignment="1">
      <alignment horizontal="center"/>
    </xf>
    <xf numFmtId="271" fontId="40" fillId="0" borderId="0" xfId="35" applyNumberFormat="1" applyFont="1" applyFill="1" applyBorder="1"/>
    <xf numFmtId="178" fontId="40" fillId="0" borderId="0" xfId="34" applyNumberFormat="1" applyFont="1" applyFill="1" applyBorder="1"/>
    <xf numFmtId="271" fontId="40" fillId="0" borderId="0" xfId="0" applyNumberFormat="1" applyFont="1" applyFill="1" applyBorder="1"/>
    <xf numFmtId="44" fontId="40" fillId="0" borderId="6" xfId="35" applyNumberFormat="1" applyFont="1" applyFill="1" applyBorder="1"/>
    <xf numFmtId="168" fontId="0" fillId="0" borderId="0" xfId="62" applyNumberFormat="1" applyFont="1" applyFill="1"/>
    <xf numFmtId="168" fontId="41" fillId="0" borderId="0" xfId="62" applyNumberFormat="1" applyFont="1" applyFill="1" applyBorder="1"/>
    <xf numFmtId="44" fontId="5" fillId="0" borderId="6" xfId="0" applyNumberFormat="1" applyFont="1" applyFill="1" applyBorder="1"/>
    <xf numFmtId="172" fontId="160" fillId="0" borderId="2" xfId="0" applyNumberFormat="1" applyFont="1" applyBorder="1"/>
    <xf numFmtId="231" fontId="48" fillId="0" borderId="2" xfId="0" applyNumberFormat="1" applyFont="1" applyFill="1" applyBorder="1" applyAlignment="1">
      <alignment horizontal="center"/>
    </xf>
    <xf numFmtId="6" fontId="160" fillId="0" borderId="0" xfId="0" applyNumberFormat="1" applyFont="1" applyFill="1"/>
    <xf numFmtId="1" fontId="159" fillId="0" borderId="2" xfId="0" applyNumberFormat="1" applyFont="1" applyFill="1" applyBorder="1" applyAlignment="1">
      <alignment horizontal="right"/>
    </xf>
    <xf numFmtId="0" fontId="158" fillId="16" borderId="25" xfId="72" applyNumberFormat="1" applyFont="1" applyFill="1" applyBorder="1" applyAlignment="1">
      <alignment horizontal="center"/>
    </xf>
    <xf numFmtId="0" fontId="9" fillId="16" borderId="22" xfId="0" applyFont="1" applyFill="1" applyBorder="1"/>
    <xf numFmtId="7" fontId="9" fillId="16" borderId="24" xfId="49" applyNumberFormat="1" applyFont="1" applyFill="1" applyBorder="1" applyAlignment="1">
      <alignment horizontal="right"/>
    </xf>
    <xf numFmtId="7" fontId="0" fillId="16" borderId="0" xfId="0" applyNumberFormat="1" applyFill="1"/>
    <xf numFmtId="170" fontId="160" fillId="0" borderId="2" xfId="0" applyNumberFormat="1" applyFont="1" applyFill="1" applyBorder="1"/>
    <xf numFmtId="0" fontId="158" fillId="16" borderId="25" xfId="49" applyFont="1" applyFill="1" applyBorder="1" applyAlignment="1">
      <alignment horizontal="right"/>
    </xf>
    <xf numFmtId="37" fontId="35" fillId="16" borderId="22" xfId="49" applyNumberFormat="1" applyFont="1" applyFill="1" applyBorder="1" applyAlignment="1">
      <alignment horizontal="right"/>
    </xf>
    <xf numFmtId="0" fontId="0" fillId="16" borderId="22" xfId="0" applyFill="1" applyBorder="1"/>
    <xf numFmtId="282" fontId="0" fillId="16" borderId="22" xfId="35" applyNumberFormat="1" applyFont="1" applyFill="1" applyBorder="1"/>
    <xf numFmtId="282" fontId="0" fillId="16" borderId="21" xfId="35" applyNumberFormat="1" applyFont="1" applyFill="1" applyBorder="1"/>
    <xf numFmtId="201" fontId="13" fillId="0" borderId="0" xfId="0" applyNumberFormat="1" applyFont="1" applyFill="1" applyBorder="1"/>
    <xf numFmtId="5" fontId="160" fillId="0" borderId="0" xfId="0" applyNumberFormat="1" applyFont="1" applyFill="1"/>
    <xf numFmtId="0" fontId="160" fillId="0" borderId="0" xfId="0" applyFont="1"/>
    <xf numFmtId="0" fontId="0" fillId="0" borderId="0" xfId="0"/>
    <xf numFmtId="0" fontId="0" fillId="23" borderId="0" xfId="0" applyFill="1"/>
    <xf numFmtId="0" fontId="157" fillId="16" borderId="17" xfId="0" applyFont="1" applyFill="1" applyBorder="1" applyAlignment="1">
      <alignment horizontal="center"/>
    </xf>
    <xf numFmtId="0" fontId="157" fillId="16" borderId="25" xfId="0" applyFont="1" applyFill="1" applyBorder="1" applyAlignment="1">
      <alignment horizontal="center"/>
    </xf>
    <xf numFmtId="0" fontId="12" fillId="16" borderId="0" xfId="0" applyFont="1" applyFill="1" applyBorder="1" applyAlignment="1">
      <alignment horizontal="center"/>
    </xf>
    <xf numFmtId="0" fontId="0" fillId="16" borderId="0" xfId="0" applyFill="1"/>
    <xf numFmtId="0" fontId="0" fillId="16" borderId="2" xfId="0" applyFill="1" applyBorder="1"/>
    <xf numFmtId="0" fontId="12" fillId="23" borderId="0" xfId="77" applyFont="1" applyFill="1" applyAlignment="1">
      <alignment horizontal="center"/>
    </xf>
    <xf numFmtId="0" fontId="12" fillId="25" borderId="0" xfId="77" applyFont="1" applyFill="1" applyAlignment="1">
      <alignment horizontal="center"/>
    </xf>
    <xf numFmtId="0" fontId="1" fillId="29" borderId="0" xfId="88" applyFont="1" applyFill="1" applyAlignment="1">
      <alignment vertical="top"/>
    </xf>
    <xf numFmtId="0" fontId="1" fillId="29" borderId="0" xfId="77" applyFill="1" applyAlignment="1">
      <alignment vertical="top"/>
    </xf>
    <xf numFmtId="0" fontId="1" fillId="29" borderId="0" xfId="77" applyFill="1"/>
    <xf numFmtId="0" fontId="89" fillId="29" borderId="0" xfId="88" applyFont="1" applyFill="1" applyAlignment="1">
      <alignment horizontal="left" vertical="top"/>
    </xf>
    <xf numFmtId="0" fontId="1" fillId="29" borderId="0" xfId="77" applyFont="1" applyFill="1" applyAlignment="1">
      <alignment vertical="top"/>
    </xf>
    <xf numFmtId="0" fontId="21" fillId="29" borderId="0" xfId="88" applyFont="1" applyFill="1" applyAlignment="1">
      <alignment vertical="top"/>
    </xf>
    <xf numFmtId="0" fontId="0" fillId="29" borderId="0" xfId="0" applyFill="1" applyAlignment="1">
      <alignment vertical="top"/>
    </xf>
    <xf numFmtId="0" fontId="174" fillId="29" borderId="0" xfId="0" applyFont="1" applyFill="1" applyAlignment="1">
      <alignment vertical="top"/>
    </xf>
    <xf numFmtId="0" fontId="175" fillId="29" borderId="0" xfId="0" applyFont="1" applyFill="1" applyAlignment="1">
      <alignment vertical="top"/>
    </xf>
    <xf numFmtId="0" fontId="175" fillId="29" borderId="0" xfId="0" applyFont="1" applyFill="1" applyAlignment="1">
      <alignment vertical="top"/>
    </xf>
    <xf numFmtId="0" fontId="174" fillId="29" borderId="0" xfId="0" applyFont="1" applyFill="1" applyAlignment="1">
      <alignment vertical="top"/>
    </xf>
    <xf numFmtId="0" fontId="0" fillId="29" borderId="0" xfId="0" applyFill="1" applyAlignment="1">
      <alignment vertical="top"/>
    </xf>
    <xf numFmtId="0" fontId="0" fillId="29" borderId="47" xfId="0" applyFill="1" applyBorder="1" applyAlignment="1">
      <alignment vertical="top"/>
    </xf>
    <xf numFmtId="0" fontId="174" fillId="29" borderId="43" xfId="0" applyFont="1" applyFill="1" applyBorder="1" applyAlignment="1">
      <alignment vertical="top"/>
    </xf>
    <xf numFmtId="0" fontId="174" fillId="29" borderId="44" xfId="0" applyFont="1" applyFill="1" applyBorder="1" applyAlignment="1">
      <alignment vertical="top"/>
    </xf>
    <xf numFmtId="0" fontId="174" fillId="29" borderId="45" xfId="0" applyFont="1" applyFill="1" applyBorder="1" applyAlignment="1">
      <alignment vertical="top"/>
    </xf>
    <xf numFmtId="0" fontId="174" fillId="29" borderId="46" xfId="0" applyFont="1" applyFill="1" applyBorder="1" applyAlignment="1">
      <alignment vertical="top"/>
    </xf>
    <xf numFmtId="9" fontId="174" fillId="29" borderId="43" xfId="0" applyNumberFormat="1" applyFont="1" applyFill="1" applyBorder="1" applyAlignment="1">
      <alignment vertical="top"/>
    </xf>
    <xf numFmtId="3" fontId="174" fillId="29" borderId="43" xfId="0" applyNumberFormat="1" applyFont="1" applyFill="1" applyBorder="1" applyAlignment="1">
      <alignment vertical="top"/>
    </xf>
    <xf numFmtId="0" fontId="0" fillId="29" borderId="48" xfId="0" applyFill="1" applyBorder="1" applyAlignment="1">
      <alignment vertical="top"/>
    </xf>
    <xf numFmtId="2" fontId="1" fillId="0" borderId="0" xfId="77" applyNumberFormat="1" applyAlignment="1">
      <alignment horizontal="left"/>
    </xf>
    <xf numFmtId="0" fontId="1" fillId="0" borderId="0" xfId="77" applyNumberFormat="1" applyAlignment="1">
      <alignment horizontal="left"/>
    </xf>
    <xf numFmtId="1" fontId="1" fillId="0" borderId="0" xfId="77" applyNumberFormat="1" applyAlignment="1">
      <alignment horizontal="left"/>
    </xf>
    <xf numFmtId="295" fontId="1" fillId="0" borderId="0" xfId="77" applyNumberFormat="1" applyAlignment="1">
      <alignment horizontal="left"/>
    </xf>
    <xf numFmtId="49" fontId="1" fillId="0" borderId="0" xfId="77" applyNumberFormat="1"/>
  </cellXfs>
  <cellStyles count="89">
    <cellStyle name=" 1" xfId="2"/>
    <cellStyle name="******************************************" xfId="83"/>
    <cellStyle name="****************************************** 2" xfId="1"/>
    <cellStyle name="_FY Guidancev2 " xfId="84"/>
    <cellStyle name="_SUMMARY " xfId="3"/>
    <cellStyle name="0_Capex &amp; Depreciation " xfId="4"/>
    <cellStyle name="0_Valuing BP " xfId="5"/>
    <cellStyle name="20% - Accent1" xfId="6" builtinId="30" customBuiltin="1"/>
    <cellStyle name="20% - Accent2" xfId="7" builtinId="34" customBuiltin="1"/>
    <cellStyle name="20% - Accent3" xfId="8" builtinId="38" customBuiltin="1"/>
    <cellStyle name="20% - Accent4" xfId="9" builtinId="42" customBuiltin="1"/>
    <cellStyle name="20% - Accent5" xfId="10" builtinId="46" customBuiltin="1"/>
    <cellStyle name="20% - Accent6" xfId="11" builtinId="50" customBuiltin="1"/>
    <cellStyle name="40% - Accent1" xfId="12" builtinId="31" customBuiltin="1"/>
    <cellStyle name="40% - Accent2" xfId="13" builtinId="35" customBuiltin="1"/>
    <cellStyle name="40% - Accent3" xfId="14" builtinId="39" customBuiltin="1"/>
    <cellStyle name="40% - Accent4" xfId="15" builtinId="43" customBuiltin="1"/>
    <cellStyle name="40% - Accent5" xfId="16" builtinId="47" customBuiltin="1"/>
    <cellStyle name="40% - Accent6" xfId="17" builtinId="51" customBuiltin="1"/>
    <cellStyle name="60% - Accent1" xfId="18" builtinId="32" customBuiltin="1"/>
    <cellStyle name="60% - Accent2" xfId="19" builtinId="36" customBuiltin="1"/>
    <cellStyle name="60% - Accent3" xfId="20" builtinId="40" customBuiltin="1"/>
    <cellStyle name="60% - Accent4" xfId="21" builtinId="44" customBuiltin="1"/>
    <cellStyle name="60% - Accent5" xfId="22" builtinId="48" customBuiltin="1"/>
    <cellStyle name="60% - Accent6" xfId="23" builtinId="52" customBuiltin="1"/>
    <cellStyle name="Accent1" xfId="24" builtinId="29" customBuiltin="1"/>
    <cellStyle name="Accent2" xfId="25" builtinId="33" customBuiltin="1"/>
    <cellStyle name="Accent3" xfId="26" builtinId="37" customBuiltin="1"/>
    <cellStyle name="Accent4" xfId="27" builtinId="41" customBuiltin="1"/>
    <cellStyle name="Accent5" xfId="28" builtinId="45" customBuiltin="1"/>
    <cellStyle name="Accent6" xfId="29" builtinId="49" customBuiltin="1"/>
    <cellStyle name="Bad" xfId="30" builtinId="27" customBuiltin="1"/>
    <cellStyle name="c_HardInc " xfId="31"/>
    <cellStyle name="Calculation" xfId="32" builtinId="22" customBuiltin="1"/>
    <cellStyle name="Check Cell" xfId="33" builtinId="23" customBuiltin="1"/>
    <cellStyle name="Comma" xfId="34" builtinId="3"/>
    <cellStyle name="Comma 2" xfId="85"/>
    <cellStyle name="Comma 3" xfId="80"/>
    <cellStyle name="Comma_Lease Module TPG example 30062004 capex 2" xfId="75"/>
    <cellStyle name="Currency" xfId="35" builtinId="4"/>
    <cellStyle name="Currency 2" xfId="82"/>
    <cellStyle name="Explanatory Text" xfId="36" builtinId="53" customBuiltin="1"/>
    <cellStyle name="Good" xfId="37" builtinId="26" customBuiltin="1"/>
    <cellStyle name="Heading 1" xfId="38" builtinId="16" customBuiltin="1"/>
    <cellStyle name="Heading 2" xfId="39" builtinId="17" customBuiltin="1"/>
    <cellStyle name="Heading 3" xfId="40" builtinId="18" customBuiltin="1"/>
    <cellStyle name="Heading 4" xfId="41" builtinId="19" customBuiltin="1"/>
    <cellStyle name="Hyperlink 2" xfId="64"/>
    <cellStyle name="Input" xfId="42" builtinId="20" customBuiltin="1"/>
    <cellStyle name="Linked Cell" xfId="43" builtinId="24" customBuiltin="1"/>
    <cellStyle name="Neutral" xfId="44" builtinId="28" customBuiltin="1"/>
    <cellStyle name="Normal" xfId="0" builtinId="0"/>
    <cellStyle name="Normal 2" xfId="77"/>
    <cellStyle name="Normal 3" xfId="86"/>
    <cellStyle name="Normal 5" xfId="79"/>
    <cellStyle name="Normal_A&amp;F" xfId="45"/>
    <cellStyle name="Normal_ABSANUAL" xfId="46"/>
    <cellStyle name="Normal_Analysis V5 2" xfId="76"/>
    <cellStyle name="Normal_AXP_interactive_final" xfId="47"/>
    <cellStyle name="Normal_dabr" xfId="48"/>
    <cellStyle name="Normal_DHQTR" xfId="49"/>
    <cellStyle name="Normal_DisclaimerSheet Samples" xfId="88"/>
    <cellStyle name="Normal_GAPQOR1" xfId="50"/>
    <cellStyle name="Normal_GM Demo" xfId="51"/>
    <cellStyle name="Normal_hd roic 2" xfId="52"/>
    <cellStyle name="Normal_LeaseT_Testing_Original (version 1)" xfId="53"/>
    <cellStyle name="Normal_NEWFLOW" xfId="54"/>
    <cellStyle name="Normal_QtrlyDIV" xfId="55"/>
    <cellStyle name="Normal_ROSTBS" xfId="56"/>
    <cellStyle name="Normal_RSH 2" xfId="74"/>
    <cellStyle name="Normal_STORESUM" xfId="57"/>
    <cellStyle name="Normal_Total" xfId="58"/>
    <cellStyle name="Note" xfId="59" builtinId="10" customBuiltin="1"/>
    <cellStyle name="Output" xfId="60" builtinId="21" customBuiltin="1"/>
    <cellStyle name="p " xfId="61"/>
    <cellStyle name="Percent" xfId="62" builtinId="5"/>
    <cellStyle name="Percent 2" xfId="63"/>
    <cellStyle name="Percent 3" xfId="81"/>
    <cellStyle name="RRSInstruction" xfId="65"/>
    <cellStyle name="RRSInstruction 2" xfId="78"/>
    <cellStyle name="s_HardInc " xfId="66"/>
    <cellStyle name="s_Valuation " xfId="67"/>
    <cellStyle name="ssp " xfId="68"/>
    <cellStyle name="Style 32" xfId="69"/>
    <cellStyle name="Style 32 2" xfId="87"/>
    <cellStyle name="Title" xfId="70" builtinId="15" customBuiltin="1"/>
    <cellStyle name="Total" xfId="71" builtinId="25" customBuiltin="1"/>
    <cellStyle name="Underline" xfId="72"/>
    <cellStyle name="Warning Text" xfId="73" builtinId="11" customBuiltin="1"/>
  </cellStyles>
  <dxfs count="2">
    <dxf>
      <font>
        <condense val="0"/>
        <extend val="0"/>
        <color indexed="10"/>
      </font>
      <fill>
        <patternFill patternType="solid">
          <bgColor indexed="22"/>
        </patternFill>
      </fill>
    </dxf>
    <dxf>
      <fill>
        <patternFill>
          <bgColor indexed="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CCCCFF"/>
      <rgbColor rgb="00FFFFCC"/>
      <rgbColor rgb="00CCFFCC"/>
      <rgbColor rgb="00FFFF99"/>
      <rgbColor rgb="00A6CAF0"/>
      <rgbColor rgb="00EAEAEA"/>
      <rgbColor rgb="00EAEAEA"/>
      <rgbColor rgb="00E3E3E3"/>
      <rgbColor rgb="003366FF"/>
      <rgbColor rgb="00339933"/>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5FFF0"/>
      <color rgb="FF0000FF"/>
      <color rgb="FF00CC00"/>
      <color rgb="FF008000"/>
      <color rgb="FF009900"/>
      <color rgb="FFCAFEF0"/>
      <color rgb="FFC8E6EE"/>
      <color rgb="FF05055B"/>
      <color rgb="FF99CC00"/>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1.2E-2</v>
        <stp/>
        <stp>1a8f371c-5be8-48b7-ada2-53627908c54d</stp>
        <tr r="N190" s="120"/>
      </tp>
      <tp>
        <v>1.1000000000000001E-2</v>
        <stp/>
        <stp>01f7015e-ced5-4f7d-bd31-a86d891c6991</stp>
        <tr r="K190" s="120"/>
      </tp>
      <tp>
        <v>1600</v>
        <stp/>
        <stp>8c0570dd-3dc8-49e2-9b0e-8ee7bbf2fe03</stp>
        <tr r="H79" s="120"/>
      </tp>
      <tp t="s">
        <v>General Electric Co</v>
        <stp/>
        <stp>bb1f03f4-5c92-4797-b282-68ae36c92d62</stp>
        <tr r="C4" s="120"/>
      </tp>
      <tp>
        <v>3.3000000000000002E-2</v>
        <stp/>
        <stp>cefa83e1-25b0-4055-a42c-ad098541d07a</stp>
        <tr r="H190" s="120"/>
      </tp>
      <tp>
        <v>2200</v>
        <stp/>
        <stp>97c060c0-3980-4e77-b652-43cbf57f2604</stp>
        <tr r="H78" s="120"/>
      </tp>
      <tp>
        <v>2E-3</v>
        <stp/>
        <stp>36260a8e-95ed-4ab1-b073-7dc80809f238</stp>
        <tr r="I191" s="120"/>
      </tp>
      <tp>
        <v>1500</v>
        <stp/>
        <stp>93877c17-5c1a-4096-8510-06f18baf216e</stp>
        <tr r="H80" s="120"/>
      </tp>
      <tp>
        <v>330067</v>
        <stp/>
        <stp>34e5591d-c3cf-4456-ba76-035dc0ea64af</stp>
        <tr r="H196" s="120"/>
      </tp>
      <tp>
        <v>6.9999999999999993E-3</v>
        <stp/>
        <stp>5cf29677-eb3e-4ac5-8285-5bff42b8d578</stp>
        <tr r="M190" s="120"/>
      </tp>
      <tp t="s">
        <v xml:space="preserve">                                                                           -                                                                 </v>
        <stp/>
        <stp>2b38c915-83ca-4e60-9186-8f78e6a25cee</stp>
        <tr r="H68" s="120"/>
      </tp>
      <tp>
        <v>1904</v>
        <stp/>
        <stp>5a9e774c-2cfa-495c-88c3-a7dbc973e435</stp>
        <tr r="H76" s="120"/>
      </tp>
      <tp>
        <v>193695</v>
        <stp/>
        <stp>5d9fed1d-faa8-403b-9860-42db9f9a76e6</stp>
        <tr r="H195" s="120"/>
      </tp>
      <tp>
        <v>1093</v>
        <stp/>
        <stp>3b8f9f7e-5139-49da-ae7f-363207af6604</stp>
        <tr r="H194" s="120"/>
      </tp>
      <tp>
        <v>2.2000000000000002E-2</v>
        <stp/>
        <stp>79e1b105-8855-4cd1-80cc-42122d5d4d56</stp>
        <tr r="P190" s="120"/>
      </tp>
      <tp t="s">
        <v>Manual Calculation</v>
        <stp/>
        <stp>7aed52bd-15b4-4f8f-b660-001a01812b29</stp>
        <tr r="H81" s="120"/>
      </tp>
      <tp>
        <v>1.9E-2</v>
        <stp/>
        <stp>455a3f9e-3298-4768-88a3-9825054cee75</stp>
        <tr r="J190" s="120"/>
      </tp>
      <tp>
        <v>2.7000000000000003E-2</v>
        <stp/>
        <stp>4c20d9be-e723-40fb-8be4-7a34231ed84e</stp>
        <tr r="I190" s="120"/>
      </tp>
      <tp>
        <v>2E-3</v>
        <stp/>
        <stp>ae400aa2-c639-4ea7-9ebf-3e8cd3d9e665</stp>
        <tr r="L190" s="120"/>
      </tp>
      <tp>
        <v>0</v>
        <stp/>
        <stp>283c6e49-51a9-4673-a192-8ba63c541041</stp>
        <tr r="G56" s="120"/>
      </tp>
      <tp>
        <v>1.4999999999999999E-2</v>
        <stp/>
        <stp>6f51d025-df3a-4d13-8760-e0517e32c66b</stp>
        <tr r="O190" s="120"/>
      </tp>
      <tp>
        <v>1300</v>
        <stp/>
        <stp>c2b550ac-3340-475d-9f27-e11fe7126587</stp>
        <tr r="H77" s="120"/>
      </tp>
      <tp>
        <v>42735</v>
        <stp/>
        <stp>60b97e8b-288c-4b6b-94a0-03c3a48be6f2</stp>
        <tr r="I4" s="120"/>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externalLinks/externalLink1.xml" Type="http://schemas.openxmlformats.org/officeDocument/2006/relationships/externalLink"/>
<Relationship Id="rId22" Target="externalLinks/externalLink2.xml" Type="http://schemas.openxmlformats.org/officeDocument/2006/relationships/externalLink"/>
<Relationship Id="rId23" Target="externalLinks/externalLink3.xml" Type="http://schemas.openxmlformats.org/officeDocument/2006/relationships/externalLink"/>
<Relationship Id="rId24" Target="externalLinks/externalLink4.xml" Type="http://schemas.openxmlformats.org/officeDocument/2006/relationships/externalLink"/>
<Relationship Id="rId25" Target="externalLinks/externalLink5.xml" Type="http://schemas.openxmlformats.org/officeDocument/2006/relationships/externalLink"/>
<Relationship Id="rId26" Target="externalLinks/externalLink6.xml" Type="http://schemas.openxmlformats.org/officeDocument/2006/relationships/externalLink"/>
<Relationship Id="rId27" Target="externalLinks/externalLink7.xml" Type="http://schemas.openxmlformats.org/officeDocument/2006/relationships/externalLink"/>
<Relationship Id="rId28" Target="externalLinks/externalLink8.xml" Type="http://schemas.openxmlformats.org/officeDocument/2006/relationships/externalLink"/>
<Relationship Id="rId29" Target="externalLinks/externalLink9.xml" Type="http://schemas.openxmlformats.org/officeDocument/2006/relationships/externalLink"/>
<Relationship Id="rId3" Target="worksheets/sheet3.xml" Type="http://schemas.openxmlformats.org/officeDocument/2006/relationships/worksheet"/>
<Relationship Id="rId30" Target="externalLinks/externalLink10.xml" Type="http://schemas.openxmlformats.org/officeDocument/2006/relationships/externalLink"/>
<Relationship Id="rId31" Target="externalLinks/externalLink11.xml" Type="http://schemas.openxmlformats.org/officeDocument/2006/relationships/externalLink"/>
<Relationship Id="rId32" Target="externalLinks/externalLink12.xml" Type="http://schemas.openxmlformats.org/officeDocument/2006/relationships/externalLink"/>
<Relationship Id="rId33" Target="externalLinks/externalLink13.xml" Type="http://schemas.openxmlformats.org/officeDocument/2006/relationships/externalLink"/>
<Relationship Id="rId34" Target="externalLinks/externalLink14.xml" Type="http://schemas.openxmlformats.org/officeDocument/2006/relationships/externalLink"/>
<Relationship Id="rId35" Target="externalLinks/externalLink15.xml" Type="http://schemas.openxmlformats.org/officeDocument/2006/relationships/externalLink"/>
<Relationship Id="rId36" Target="theme/theme1.xml" Type="http://schemas.openxmlformats.org/officeDocument/2006/relationships/theme"/>
<Relationship Id="rId37" Target="styles.xml" Type="http://schemas.openxmlformats.org/officeDocument/2006/relationships/styles"/>
<Relationship Id="rId38" Target="sharedStrings.xml" Type="http://schemas.openxmlformats.org/officeDocument/2006/relationships/sharedStrings"/>
<Relationship Id="rId39" Target="calcChain.xml" Type="http://schemas.openxmlformats.org/officeDocument/2006/relationships/calcChain"/>
<Relationship Id="rId4" Target="worksheets/sheet4.xml" Type="http://schemas.openxmlformats.org/officeDocument/2006/relationships/worksheet"/>
<Relationship Id="rId40" Target="../customXml/item1.xml" Type="http://schemas.openxmlformats.org/officeDocument/2006/relationships/customXml"/>
<Relationship Id="rId41" Target="../customXml/item2.xml" Type="http://schemas.openxmlformats.org/officeDocument/2006/relationships/customXml"/>
<Relationship Id="rId42" Target="volatileDependencies.xml" Type="http://schemas.openxmlformats.org/officeDocument/2006/relationships/volatileDependencies"/>
<Relationship Id="rId43"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4.xml.rels><?xml version="1.0" encoding="UTF-8" standalone="yes"?>
<Relationships xmlns="http://schemas.openxmlformats.org/package/2006/relationships">
<Relationship Id="rId1" Target="../media/image5.png" Type="http://schemas.openxmlformats.org/officeDocument/2006/relationships/image"/>
</Relationships>

</file>

<file path=xl/drawings/_rels/vmlDrawing14.vml.rels><?xml version="1.0" encoding="UTF-8" standalone="yes"?>
<Relationships xmlns="http://schemas.openxmlformats.org/package/2006/relationships">
<Relationship Id="rId1" Target="../media/image4.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7</xdr:col>
      <xdr:colOff>390525</xdr:colOff>
      <xdr:row>190</xdr:row>
      <xdr:rowOff>104775</xdr:rowOff>
    </xdr:to>
    <xdr:pic>
      <xdr:nvPicPr>
        <xdr:cNvPr id="21450753" name="Picture 1" descr="C:\Users\edouardd\AppData\Local\Temp\MercuryPriceRatingHistoryChart\GPS.N_2018_04_08_18_34_3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6698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619125</xdr:colOff>
      <xdr:row>47</xdr:row>
      <xdr:rowOff>9525</xdr:rowOff>
    </xdr:from>
    <xdr:to>
      <xdr:col>13</xdr:col>
      <xdr:colOff>104775</xdr:colOff>
      <xdr:row>47</xdr:row>
      <xdr:rowOff>114300</xdr:rowOff>
    </xdr:to>
    <xdr:sp macro="" textlink="">
      <xdr:nvSpPr>
        <xdr:cNvPr id="15414" name="Text Box 54"/>
        <xdr:cNvSpPr txBox="1">
          <a:spLocks noChangeArrowheads="1"/>
        </xdr:cNvSpPr>
      </xdr:nvSpPr>
      <xdr:spPr bwMode="auto">
        <a:xfrm>
          <a:off x="1857375" y="6972300"/>
          <a:ext cx="104775" cy="1047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30000">
              <a:solidFill>
                <a:srgbClr val="000000"/>
              </a:solidFill>
              <a:latin typeface="Futura Medium"/>
            </a:rPr>
            <a:t>(1)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666750</xdr:colOff>
      <xdr:row>8</xdr:row>
      <xdr:rowOff>133350</xdr:rowOff>
    </xdr:from>
    <xdr:to>
      <xdr:col>27</xdr:col>
      <xdr:colOff>104775</xdr:colOff>
      <xdr:row>9</xdr:row>
      <xdr:rowOff>95250</xdr:rowOff>
    </xdr:to>
    <xdr:sp macro="" textlink="">
      <xdr:nvSpPr>
        <xdr:cNvPr id="12402" name="Text Box 114"/>
        <xdr:cNvSpPr txBox="1">
          <a:spLocks noChangeArrowheads="1"/>
        </xdr:cNvSpPr>
      </xdr:nvSpPr>
      <xdr:spPr bwMode="auto">
        <a:xfrm>
          <a:off x="2705100" y="1257300"/>
          <a:ext cx="0" cy="95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none" strike="noStrike" baseline="30000">
              <a:solidFill>
                <a:srgbClr val="000000"/>
              </a:solidFill>
              <a:latin typeface="Futura Medium"/>
            </a:rPr>
            <a:t>(1)</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xdr:colOff>
      <xdr:row>1</xdr:row>
      <xdr:rowOff>38100</xdr:rowOff>
    </xdr:from>
    <xdr:to>
      <xdr:col>11</xdr:col>
      <xdr:colOff>285750</xdr:colOff>
      <xdr:row>2</xdr:row>
      <xdr:rowOff>0</xdr:rowOff>
    </xdr:to>
    <xdr:sp macro="" textlink="">
      <xdr:nvSpPr>
        <xdr:cNvPr id="2" name="Text Box 7"/>
        <xdr:cNvSpPr txBox="1">
          <a:spLocks noChangeArrowheads="1"/>
        </xdr:cNvSpPr>
      </xdr:nvSpPr>
      <xdr:spPr bwMode="auto">
        <a:xfrm>
          <a:off x="19050" y="609600"/>
          <a:ext cx="72580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 Enter Ticker in I3 and press refresh button.</a:t>
          </a:r>
        </a:p>
        <a:p>
          <a:pPr algn="l" rtl="0">
            <a:defRPr sz="1000"/>
          </a:pPr>
          <a:r>
            <a:rPr lang="en-GB" sz="1000" b="0" i="0" u="none" strike="noStrike" baseline="0">
              <a:solidFill>
                <a:srgbClr val="000000"/>
              </a:solidFill>
              <a:latin typeface="Arial"/>
              <a:cs typeface="Arial"/>
            </a:rPr>
            <a:t>2. Check all data in </a:t>
          </a:r>
          <a:r>
            <a:rPr lang="en-GB" sz="1000" b="1" i="0" u="none" strike="noStrike" baseline="0">
              <a:solidFill>
                <a:srgbClr val="0000FF"/>
              </a:solidFill>
              <a:latin typeface="Arial"/>
              <a:cs typeface="Arial"/>
            </a:rPr>
            <a:t>blue</a:t>
          </a:r>
          <a:r>
            <a:rPr lang="en-GB" sz="1000" b="0" i="0" u="none" strike="noStrike" baseline="0">
              <a:solidFill>
                <a:srgbClr val="000000"/>
              </a:solidFill>
              <a:latin typeface="Arial"/>
              <a:cs typeface="Arial"/>
            </a:rPr>
            <a:t> for accuracy.</a:t>
          </a:r>
          <a:endParaRPr lang="en-GB" sz="1000" b="1" i="0" u="none" strike="noStrike" baseline="0">
            <a:solidFill>
              <a:srgbClr val="000000"/>
            </a:solidFill>
            <a:latin typeface="Arial"/>
            <a:cs typeface="Arial"/>
          </a:endParaRPr>
        </a:p>
        <a:p>
          <a:pPr algn="l" rtl="0">
            <a:defRPr sz="1000"/>
          </a:pPr>
          <a:endParaRPr lang="en-GB" sz="1000" b="1" i="0" u="none" strike="noStrike" baseline="0">
            <a:solidFill>
              <a:srgbClr val="000000"/>
            </a:solidFill>
            <a:latin typeface="Arial"/>
            <a:cs typeface="Arial"/>
          </a:endParaRPr>
        </a:p>
      </xdr:txBody>
    </xdr:sp>
    <xdr:clientData/>
  </xdr:twoCellAnchor>
  <xdr:twoCellAnchor>
    <xdr:from>
      <xdr:col>2</xdr:col>
      <xdr:colOff>66675</xdr:colOff>
      <xdr:row>0</xdr:row>
      <xdr:rowOff>19050</xdr:rowOff>
    </xdr:from>
    <xdr:to>
      <xdr:col>4</xdr:col>
      <xdr:colOff>57150</xdr:colOff>
      <xdr:row>0</xdr:row>
      <xdr:rowOff>447675</xdr:rowOff>
    </xdr:to>
    <xdr:pic>
      <xdr:nvPicPr>
        <xdr:cNvPr id="3" name="Picture 8"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485775</xdr:colOff>
          <xdr:row>1</xdr:row>
          <xdr:rowOff>57150</xdr:rowOff>
        </xdr:from>
        <xdr:to>
          <xdr:col>16</xdr:col>
          <xdr:colOff>352425</xdr:colOff>
          <xdr:row>1</xdr:row>
          <xdr:rowOff>381000</xdr:rowOff>
        </xdr:to>
        <xdr:sp macro="" textlink="">
          <xdr:nvSpPr>
            <xdr:cNvPr id="21094401" name="CommandButton2" hidden="1">
              <a:extLst>
                <a:ext uri="{63B3BB69-23CF-44E3-9099-C40C66FF867C}">
                  <a14:compatExt spid="_x0000_s2109440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RETAIL/Softlines/Apparel/Earnings/At%20a%20Glanc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RETAIL/Apparel/Earnings/Bull%20Bear%20Base%20Charts_2.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RETAIL/Softlines/Apparel/Analyses/GPS/2009_10%20Note/GPS_analyst%20meeting%20charts_SMU_2009_10_15.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RETAIL/Softlines/Apparel/Valuation/Softlines%20Playbook.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RETAIL/Softlines/Apparel/ANALYSES/Industry/INDUSTRY%20STATS/Summary_Industry_2011.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RETAIL/Softlines/Apparel/Analyses/GPS/2010_01%20Note/GPS_Rosk%20Reward%20View%20Analyses_021010.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RETAIL/Softlines/Apparel/MODELS/WORKING%20MODELS/M_working2.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RETAIL/Greenberger/Companies/JWN/Model/JWN_Model2.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4.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ommodity Index"/>
      <sheetName val="Prices_Quarterly"/>
      <sheetName val="Inflation_Monthly"/>
      <sheetName val="Inflation_Quarterly"/>
      <sheetName val="Prices_Monthly"/>
      <sheetName val="Exposure"/>
      <sheetName val="Chart 6"/>
      <sheetName val="Front page benchmarks_9x3"/>
      <sheetName val="Front page benchmarks_6x5"/>
      <sheetName val="Benchmarks_All_gray2"/>
      <sheetName val="Sector yardstick_OLD"/>
      <sheetName val="Front page benchmarks_6x3"/>
      <sheetName val="Benchmarks_All_gray1"/>
      <sheetName val="P&amp;L"/>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ables"/>
      <sheetName val="URBN Sales"/>
      <sheetName val="JWN Variance Chart"/>
      <sheetName val="JCP Variance Chart"/>
      <sheetName val="COH Variance Chart Data"/>
      <sheetName val="TJX Variance Chart Data"/>
      <sheetName val="SKS Variance Chart Data"/>
      <sheetName val="KSS Variance Chart Data"/>
      <sheetName val="M Variance Chart Data"/>
      <sheetName val="LTD Variance Chart Data"/>
      <sheetName val="VS. Consensus"/>
    </sheetNames>
    <sheetDataSet>
      <sheetData sheetId="0"/>
      <sheetData sheetId="1">
        <row r="1">
          <cell r="A1" t="str">
            <v>COH</v>
          </cell>
        </row>
        <row r="2">
          <cell r="A2" t="str">
            <v>As a % of Sales</v>
          </cell>
          <cell r="B2" t="str">
            <v>3Q10</v>
          </cell>
          <cell r="C2" t="str">
            <v>3Q09</v>
          </cell>
          <cell r="D2" t="str">
            <v>MS Estimate</v>
          </cell>
          <cell r="F2" t="str">
            <v>y/y∆ (bp)</v>
          </cell>
          <cell r="G2" t="str">
            <v>∆ vs 
Est. (bp)</v>
          </cell>
          <cell r="J2" t="str">
            <v>FQ1</v>
          </cell>
          <cell r="K2" t="str">
            <v>FQ2</v>
          </cell>
          <cell r="L2" t="str">
            <v>FQ3</v>
          </cell>
          <cell r="M2" t="str">
            <v>FY1</v>
          </cell>
          <cell r="N2" t="str">
            <v>FY2</v>
          </cell>
        </row>
        <row r="3">
          <cell r="A3" t="str">
            <v>Gross Income</v>
          </cell>
          <cell r="B3">
            <v>0.74116245487364618</v>
          </cell>
          <cell r="C3">
            <v>0.7096030889032745</v>
          </cell>
          <cell r="D3">
            <v>0.72560308890327452</v>
          </cell>
          <cell r="F3">
            <v>315.59365970371675</v>
          </cell>
          <cell r="G3">
            <v>155.59365970371664</v>
          </cell>
          <cell r="I3" t="str">
            <v>Consensus</v>
          </cell>
          <cell r="J3">
            <v>0.72</v>
          </cell>
          <cell r="K3">
            <v>0.42599999999999999</v>
          </cell>
          <cell r="M3">
            <v>2.081</v>
          </cell>
          <cell r="N3">
            <v>2.2749999999999999</v>
          </cell>
        </row>
        <row r="4">
          <cell r="A4" t="str">
            <v>SG&amp;A Expense</v>
          </cell>
          <cell r="B4">
            <v>0.44097833935018049</v>
          </cell>
          <cell r="C4">
            <v>0.44101067790723286</v>
          </cell>
          <cell r="D4">
            <v>0.43692237117798643</v>
          </cell>
          <cell r="F4">
            <v>-0.32338557052369321</v>
          </cell>
          <cell r="G4">
            <v>40.559681721940578</v>
          </cell>
          <cell r="I4" t="str">
            <v>MS Est.</v>
          </cell>
          <cell r="J4">
            <v>0.7264395435116795</v>
          </cell>
          <cell r="K4">
            <v>0.44398364879993413</v>
          </cell>
          <cell r="L4">
            <v>0.52239948825870619</v>
          </cell>
          <cell r="M4">
            <v>2.1327424509456789</v>
          </cell>
          <cell r="N4">
            <v>2.3543180587690742</v>
          </cell>
        </row>
        <row r="5">
          <cell r="A5" t="str">
            <v>Operating Income</v>
          </cell>
          <cell r="B5">
            <v>0.30018411552346569</v>
          </cell>
          <cell r="C5">
            <v>0.26859241099604159</v>
          </cell>
          <cell r="D5">
            <v>0.28868071772528814</v>
          </cell>
          <cell r="F5">
            <v>315.91704527424105</v>
          </cell>
          <cell r="G5">
            <v>115.03397798177551</v>
          </cell>
          <cell r="I5" t="str">
            <v>MS/C</v>
          </cell>
          <cell r="J5">
            <v>6.4395435116795241E-3</v>
          </cell>
          <cell r="K5">
            <v>1.7983648799934138E-2</v>
          </cell>
          <cell r="L5">
            <v>0.52239948825870619</v>
          </cell>
          <cell r="M5">
            <v>5.1742450945678975E-2</v>
          </cell>
          <cell r="N5">
            <v>7.9318058769074273E-2</v>
          </cell>
        </row>
        <row r="6">
          <cell r="A6" t="str">
            <v>Interest Expense</v>
          </cell>
          <cell r="B6">
            <v>-1.2515042117930205E-4</v>
          </cell>
          <cell r="C6">
            <v>1.6352699344135126E-4</v>
          </cell>
          <cell r="D6">
            <v>-1.7061939941546975E-3</v>
          </cell>
          <cell r="F6">
            <v>-2.8867741462065335</v>
          </cell>
          <cell r="G6">
            <v>15.810435729753955</v>
          </cell>
          <cell r="I6" t="str">
            <v>M Guidance</v>
          </cell>
          <cell r="J6">
            <v>0.67</v>
          </cell>
          <cell r="K6" t="str">
            <v>NA</v>
          </cell>
          <cell r="L6" t="str">
            <v>NA</v>
          </cell>
          <cell r="M6">
            <v>2.25</v>
          </cell>
          <cell r="N6" t="str">
            <v>NA</v>
          </cell>
        </row>
        <row r="7">
          <cell r="A7" t="str">
            <v>Earnings b4 Taxes</v>
          </cell>
          <cell r="B7">
            <v>0.30030926594464497</v>
          </cell>
          <cell r="C7">
            <v>0.26842888400260023</v>
          </cell>
          <cell r="D7">
            <v>0.29038691171944286</v>
          </cell>
          <cell r="F7">
            <v>318.80381942044733</v>
          </cell>
          <cell r="G7">
            <v>99.223542252021019</v>
          </cell>
          <cell r="I7" t="str">
            <v>N Guidance</v>
          </cell>
        </row>
        <row r="8">
          <cell r="A8" t="str">
            <v>Net Income</v>
          </cell>
          <cell r="B8">
            <v>0.19009265944645004</v>
          </cell>
          <cell r="C8">
            <v>0.16642588105235703</v>
          </cell>
          <cell r="D8">
            <v>0.182943754383249</v>
          </cell>
          <cell r="F8">
            <v>236.66778394093006</v>
          </cell>
          <cell r="G8">
            <v>71.48905063201039</v>
          </cell>
        </row>
        <row r="10">
          <cell r="A10" t="str">
            <v>EPS</v>
          </cell>
          <cell r="B10">
            <v>0.50314371257485024</v>
          </cell>
          <cell r="C10">
            <v>0.38320548925642983</v>
          </cell>
          <cell r="D10">
            <v>0.46802614782621577</v>
          </cell>
          <cell r="F10">
            <v>0.11993822331842041</v>
          </cell>
          <cell r="G10">
            <v>3.5117564748634478E-2</v>
          </cell>
        </row>
        <row r="12">
          <cell r="A12" t="str">
            <v>EPS Upsides/Downsides</v>
          </cell>
        </row>
        <row r="13">
          <cell r="A13" t="str">
            <v>Revenues</v>
          </cell>
          <cell r="B13">
            <v>1.3795699767058796E-2</v>
          </cell>
        </row>
        <row r="14">
          <cell r="A14" t="str">
            <v>Operating Margin</v>
          </cell>
          <cell r="B14">
            <v>1.8744559330757776E-2</v>
          </cell>
        </row>
        <row r="15">
          <cell r="A15" t="str">
            <v>Interest Expense</v>
          </cell>
          <cell r="B15">
            <v>-2.5705300518566792E-3</v>
          </cell>
        </row>
        <row r="16">
          <cell r="A16" t="str">
            <v>Tax Rate</v>
          </cell>
          <cell r="B16">
            <v>2.376385526818688E-3</v>
          </cell>
        </row>
        <row r="17">
          <cell r="A17" t="str">
            <v>Share Count</v>
          </cell>
          <cell r="B17">
            <v>3.11827661271602E-3</v>
          </cell>
        </row>
        <row r="18">
          <cell r="A18" t="str">
            <v>Total</v>
          </cell>
          <cell r="B18">
            <v>3.5464391185494604E-2</v>
          </cell>
        </row>
        <row r="20">
          <cell r="A20" t="str">
            <v>M</v>
          </cell>
        </row>
        <row r="21">
          <cell r="A21" t="str">
            <v>As a % of Sales</v>
          </cell>
          <cell r="B21" t="str">
            <v>4Q09</v>
          </cell>
          <cell r="C21" t="str">
            <v>4Q08</v>
          </cell>
          <cell r="D21" t="str">
            <v>MS Est.</v>
          </cell>
          <cell r="F21" t="str">
            <v>y/y∆ (bp)</v>
          </cell>
          <cell r="G21" t="str">
            <v>∆ vs MS
Est. (bp)</v>
          </cell>
          <cell r="J21" t="str">
            <v>FQ1</v>
          </cell>
          <cell r="K21" t="str">
            <v>FQ2</v>
          </cell>
          <cell r="M21" t="str">
            <v>FY1</v>
          </cell>
          <cell r="N21" t="str">
            <v>FY2</v>
          </cell>
        </row>
        <row r="22">
          <cell r="A22" t="str">
            <v>Same Store Sales</v>
          </cell>
          <cell r="B22">
            <v>-8.0000000000000002E-3</v>
          </cell>
          <cell r="C22">
            <v>-7.0000000000000007E-2</v>
          </cell>
          <cell r="D22">
            <v>-5.8421857088268997E-3</v>
          </cell>
          <cell r="F22">
            <v>620.00000000000011</v>
          </cell>
          <cell r="G22">
            <v>-21.578142911731003</v>
          </cell>
        </row>
        <row r="23">
          <cell r="A23" t="str">
            <v>Gross Income</v>
          </cell>
          <cell r="B23">
            <v>0.41686839087781885</v>
          </cell>
          <cell r="C23">
            <v>0.39349634484497104</v>
          </cell>
          <cell r="D23">
            <v>0.4229823306319937</v>
          </cell>
          <cell r="F23">
            <v>233.72046032847814</v>
          </cell>
          <cell r="G23">
            <v>-61.139397541748465</v>
          </cell>
          <cell r="I23" t="str">
            <v>Consensus</v>
          </cell>
          <cell r="J23">
            <v>-7.0000000000000007E-2</v>
          </cell>
          <cell r="K23">
            <v>1.1399999999999999</v>
          </cell>
          <cell r="M23">
            <v>1.1499999999999999</v>
          </cell>
          <cell r="N23">
            <v>1.47</v>
          </cell>
          <cell r="P23" t="str">
            <v>Bloomberg as of 8/11/09</v>
          </cell>
        </row>
        <row r="24">
          <cell r="A24" t="str">
            <v>SG&amp;A Expense</v>
          </cell>
          <cell r="B24">
            <v>0.2818193400433176</v>
          </cell>
          <cell r="C24">
            <v>0.28434585328963952</v>
          </cell>
          <cell r="D24">
            <v>0.29238058846006876</v>
          </cell>
          <cell r="F24">
            <v>-25.265132463219153</v>
          </cell>
          <cell r="G24">
            <v>-105.61248416751157</v>
          </cell>
          <cell r="I24" t="str">
            <v>MS Est.</v>
          </cell>
          <cell r="J24">
            <v>1.3152087854175281</v>
          </cell>
          <cell r="K24">
            <v>1.22</v>
          </cell>
          <cell r="M24">
            <v>1.25</v>
          </cell>
          <cell r="N24">
            <v>1.36</v>
          </cell>
        </row>
        <row r="25">
          <cell r="A25" t="str">
            <v>Operating Income</v>
          </cell>
          <cell r="B25">
            <v>0.13504905083450122</v>
          </cell>
          <cell r="C25">
            <v>0.10915049155533149</v>
          </cell>
          <cell r="D25">
            <v>0.13060174217192488</v>
          </cell>
          <cell r="F25">
            <v>258.98559279169729</v>
          </cell>
          <cell r="G25">
            <v>44.473086625763379</v>
          </cell>
          <cell r="I25" t="str">
            <v>MS/C</v>
          </cell>
          <cell r="K25">
            <v>8.0000000000000071E-2</v>
          </cell>
          <cell r="M25">
            <v>0.10000000000000009</v>
          </cell>
          <cell r="N25">
            <v>-0.10999999999999988</v>
          </cell>
        </row>
        <row r="26">
          <cell r="A26" t="str">
            <v>Interest Expense</v>
          </cell>
          <cell r="B26">
            <v>1.7709262326411009E-2</v>
          </cell>
          <cell r="C26">
            <v>1.8023695487774136E-2</v>
          </cell>
          <cell r="D26">
            <v>1.6762872564004581E-2</v>
          </cell>
          <cell r="F26">
            <v>-3.1443316136312709</v>
          </cell>
          <cell r="G26">
            <v>9.4638976240642858</v>
          </cell>
          <cell r="I26" t="str">
            <v>MG</v>
          </cell>
        </row>
        <row r="27">
          <cell r="A27" t="str">
            <v>Earnings b4 Taxes</v>
          </cell>
          <cell r="B27">
            <v>9.3642502229583383E-2</v>
          </cell>
          <cell r="C27">
            <v>6.3524073607259895E-2</v>
          </cell>
          <cell r="D27">
            <v>8.9001269302226765E-2</v>
          </cell>
          <cell r="F27">
            <v>301.18428622323489</v>
          </cell>
          <cell r="G27">
            <v>46.412329273566172</v>
          </cell>
          <cell r="I27" t="str">
            <v>NMG</v>
          </cell>
        </row>
        <row r="28">
          <cell r="A28" t="str">
            <v>Tax Rate</v>
          </cell>
          <cell r="B28">
            <v>0.37893593919652552</v>
          </cell>
          <cell r="C28">
            <v>0.38035961272475793</v>
          </cell>
          <cell r="D28">
            <v>0.40020087706019697</v>
          </cell>
          <cell r="F28">
            <v>-14.236735282324165</v>
          </cell>
          <cell r="G28">
            <v>-212.64937863671452</v>
          </cell>
        </row>
        <row r="29">
          <cell r="A29" t="str">
            <v>Net Income</v>
          </cell>
          <cell r="B29">
            <v>5.6695120397502866E-2</v>
          </cell>
          <cell r="C29">
            <v>5.6000000000000001E-2</v>
          </cell>
          <cell r="D29">
            <v>5.6070438993390141E-2</v>
          </cell>
          <cell r="F29">
            <v>6.9512039750286441</v>
          </cell>
          <cell r="G29">
            <v>6.2468140411272435</v>
          </cell>
        </row>
        <row r="31">
          <cell r="A31" t="str">
            <v>EPS</v>
          </cell>
          <cell r="B31">
            <v>1.3487385050695591</v>
          </cell>
          <cell r="C31">
            <v>1.2932312985703269</v>
          </cell>
          <cell r="D31">
            <v>1.3152087854175281</v>
          </cell>
          <cell r="F31">
            <v>5.5507206499232131E-2</v>
          </cell>
          <cell r="G31">
            <v>3.3529719652030998E-2</v>
          </cell>
        </row>
        <row r="33">
          <cell r="A33" t="str">
            <v>EPS Upsides/Downsides</v>
          </cell>
        </row>
        <row r="34">
          <cell r="A34" t="str">
            <v>Sales Variance</v>
          </cell>
          <cell r="B34">
            <v>-3.436359757770527E-4</v>
          </cell>
        </row>
        <row r="35">
          <cell r="A35" t="str">
            <v>Gross Margin</v>
          </cell>
          <cell r="B35">
            <v>-7.028610225707739E-2</v>
          </cell>
        </row>
        <row r="36">
          <cell r="A36" t="str">
            <v>SG&amp;A</v>
          </cell>
          <cell r="B36">
            <v>0.12141254510649906</v>
          </cell>
        </row>
        <row r="37">
          <cell r="A37" t="str">
            <v>Operating Margin</v>
          </cell>
          <cell r="B37">
            <v>5.1126442849421666E-2</v>
          </cell>
        </row>
        <row r="38">
          <cell r="A38" t="str">
            <v>Interest Expense</v>
          </cell>
          <cell r="B38">
            <v>-1.0827872995755723E-2</v>
          </cell>
        </row>
        <row r="39">
          <cell r="A39" t="str">
            <v>Tax Rate</v>
          </cell>
          <cell r="B39">
            <v>1.3911813251584314E-4</v>
          </cell>
        </row>
        <row r="40">
          <cell r="A40" t="str">
            <v>Shares</v>
          </cell>
          <cell r="B40">
            <v>-6.7117318972655937E-3</v>
          </cell>
        </row>
        <row r="41">
          <cell r="A41" t="str">
            <v>Total</v>
          </cell>
          <cell r="B41">
            <v>3.3382320113139144E-2</v>
          </cell>
        </row>
        <row r="43">
          <cell r="A43" t="str">
            <v>JCP</v>
          </cell>
        </row>
        <row r="44">
          <cell r="A44" t="str">
            <v>As a % of Sales</v>
          </cell>
          <cell r="B44" t="str">
            <v>2Q09</v>
          </cell>
          <cell r="C44" t="str">
            <v>2Q08</v>
          </cell>
          <cell r="D44" t="str">
            <v>MS Est.</v>
          </cell>
          <cell r="F44" t="str">
            <v>y/y∆ (bp)</v>
          </cell>
          <cell r="G44" t="str">
            <v>∆ vs MS
Est. (bp)</v>
          </cell>
          <cell r="J44" t="str">
            <v>FQ1</v>
          </cell>
          <cell r="K44" t="str">
            <v>FQ2</v>
          </cell>
          <cell r="L44" t="str">
            <v>FY1</v>
          </cell>
          <cell r="M44" t="str">
            <v>FY2</v>
          </cell>
        </row>
        <row r="45">
          <cell r="A45" t="str">
            <v>Gross Income</v>
          </cell>
          <cell r="B45">
            <v>0.39052747901801327</v>
          </cell>
          <cell r="C45">
            <v>0.40880043961122103</v>
          </cell>
          <cell r="D45">
            <v>0.37998198198198196</v>
          </cell>
          <cell r="F45">
            <v>-182.72960593207765</v>
          </cell>
          <cell r="G45">
            <v>105.45497036031304</v>
          </cell>
          <cell r="I45" t="str">
            <v>Consensus</v>
          </cell>
          <cell r="J45">
            <v>-0.01</v>
          </cell>
          <cell r="K45">
            <v>0.13</v>
          </cell>
          <cell r="L45">
            <v>0.88</v>
          </cell>
          <cell r="M45">
            <v>1.36</v>
          </cell>
          <cell r="N45" t="str">
            <v>Bloomberg</v>
          </cell>
          <cell r="O45">
            <v>40038</v>
          </cell>
        </row>
        <row r="46">
          <cell r="A46" t="str">
            <v>SG&amp;A Expense</v>
          </cell>
          <cell r="B46">
            <v>0.3160165321976135</v>
          </cell>
          <cell r="C46">
            <v>0.33123431892985855</v>
          </cell>
          <cell r="D46">
            <v>0.27389189189189189</v>
          </cell>
          <cell r="F46">
            <v>-152.17786732245054</v>
          </cell>
          <cell r="G46">
            <v>421.24640305721607</v>
          </cell>
          <cell r="I46" t="str">
            <v>MS Est.</v>
          </cell>
          <cell r="J46">
            <v>0.8553594903233469</v>
          </cell>
          <cell r="K46">
            <v>0.13</v>
          </cell>
          <cell r="L46">
            <v>0.87</v>
          </cell>
          <cell r="M46">
            <v>1.33</v>
          </cell>
        </row>
        <row r="47">
          <cell r="A47" t="str">
            <v>Operating Income</v>
          </cell>
          <cell r="B47">
            <v>2.7892927545231563E-2</v>
          </cell>
          <cell r="C47">
            <v>3.1873435876103265E-2</v>
          </cell>
          <cell r="D47">
            <v>6.9661501885608032E-2</v>
          </cell>
          <cell r="F47">
            <v>-39.805083308717023</v>
          </cell>
          <cell r="G47">
            <v>-417.68574340376466</v>
          </cell>
          <cell r="I47" t="str">
            <v>MS/C</v>
          </cell>
          <cell r="J47">
            <v>0.86535949032334691</v>
          </cell>
          <cell r="K47">
            <v>0</v>
          </cell>
          <cell r="L47">
            <v>-1.0000000000000009E-2</v>
          </cell>
          <cell r="M47">
            <v>-3.0000000000000027E-2</v>
          </cell>
        </row>
        <row r="48">
          <cell r="A48" t="str">
            <v>Interest Expense</v>
          </cell>
          <cell r="B48">
            <v>0</v>
          </cell>
          <cell r="C48">
            <v>0</v>
          </cell>
          <cell r="D48">
            <v>0</v>
          </cell>
          <cell r="F48">
            <v>0</v>
          </cell>
          <cell r="G48">
            <v>0</v>
          </cell>
          <cell r="I48" t="str">
            <v>MG</v>
          </cell>
        </row>
        <row r="49">
          <cell r="A49" t="str">
            <v>Earnings b4 Taxes</v>
          </cell>
          <cell r="B49">
            <v>138.16690201280809</v>
          </cell>
          <cell r="C49">
            <v>77.36492887791303</v>
          </cell>
          <cell r="D49">
            <v>20.474558308592531</v>
          </cell>
          <cell r="F49">
            <v>608019.73134895065</v>
          </cell>
          <cell r="G49">
            <v>1176923.4370421555</v>
          </cell>
          <cell r="I49" t="str">
            <v>MGN</v>
          </cell>
        </row>
        <row r="50">
          <cell r="A50" t="str">
            <v>Tax Rate</v>
          </cell>
          <cell r="B50">
            <v>0</v>
          </cell>
          <cell r="C50">
            <v>0</v>
          </cell>
          <cell r="D50">
            <v>0</v>
          </cell>
          <cell r="F50">
            <v>0</v>
          </cell>
          <cell r="G50">
            <v>0</v>
          </cell>
        </row>
        <row r="51">
          <cell r="A51" t="str">
            <v>Net Income</v>
          </cell>
          <cell r="B51">
            <v>85.658406517953949</v>
          </cell>
          <cell r="C51">
            <v>47.152740872066616</v>
          </cell>
          <cell r="D51">
            <v>10.820352277453523</v>
          </cell>
          <cell r="F51">
            <v>385056.65645887336</v>
          </cell>
          <cell r="G51">
            <v>748380.54240500426</v>
          </cell>
        </row>
        <row r="53">
          <cell r="A53" t="str">
            <v>EPS</v>
          </cell>
          <cell r="B53">
            <v>0.14074219483202524</v>
          </cell>
          <cell r="C53">
            <v>0.19354741634065173</v>
          </cell>
          <cell r="D53">
            <v>0.8553594903233469</v>
          </cell>
          <cell r="F53">
            <v>-5.2805221508626488E-2</v>
          </cell>
          <cell r="G53">
            <v>-0.71461729549132169</v>
          </cell>
        </row>
        <row r="55">
          <cell r="A55" t="str">
            <v>EPS Upsides/Downsides</v>
          </cell>
        </row>
        <row r="56">
          <cell r="A56" t="str">
            <v>Gross Margin</v>
          </cell>
          <cell r="B56">
            <v>-9.617582778843134E-2</v>
          </cell>
        </row>
        <row r="57">
          <cell r="A57" t="str">
            <v>Operating Expenses</v>
          </cell>
          <cell r="B57">
            <v>0.14882953124199277</v>
          </cell>
        </row>
        <row r="58">
          <cell r="A58" t="str">
            <v>Real Estate + Other Exp. (Inc.)</v>
          </cell>
          <cell r="B58">
            <v>-5.5156676128457718E-2</v>
          </cell>
        </row>
        <row r="59">
          <cell r="A59" t="str">
            <v>Operating Income</v>
          </cell>
          <cell r="B59">
            <v>-2.5029726748962895E-3</v>
          </cell>
        </row>
        <row r="60">
          <cell r="A60" t="str">
            <v>LIFO Charge</v>
          </cell>
          <cell r="B60">
            <v>0</v>
          </cell>
        </row>
        <row r="61">
          <cell r="A61" t="str">
            <v>Interest Expense</v>
          </cell>
          <cell r="B61">
            <v>2.3887504428639367E-3</v>
          </cell>
        </row>
        <row r="62">
          <cell r="A62" t="str">
            <v>Tax Rate</v>
          </cell>
          <cell r="B62">
            <v>4.3826380109566214E-3</v>
          </cell>
        </row>
        <row r="63">
          <cell r="A63" t="str">
            <v>Shares</v>
          </cell>
          <cell r="B63">
            <v>1.3564864172863622E-3</v>
          </cell>
        </row>
        <row r="64">
          <cell r="A64" t="str">
            <v>Total</v>
          </cell>
          <cell r="B64">
            <v>5.6249021962106304E-3</v>
          </cell>
        </row>
        <row r="66">
          <cell r="A66" t="str">
            <v>KSS</v>
          </cell>
        </row>
        <row r="67">
          <cell r="A67" t="str">
            <v>As a % of Sales</v>
          </cell>
          <cell r="B67" t="str">
            <v>4Q09</v>
          </cell>
          <cell r="C67" t="str">
            <v>4Q08</v>
          </cell>
          <cell r="D67" t="str">
            <v>MS Est.</v>
          </cell>
          <cell r="F67" t="str">
            <v>y/y∆ (bp)</v>
          </cell>
          <cell r="G67" t="str">
            <v>∆ vs MS
Est. (bp)</v>
          </cell>
          <cell r="J67" t="str">
            <v>FQ1</v>
          </cell>
          <cell r="K67" t="str">
            <v>FQ2</v>
          </cell>
          <cell r="L67" t="str">
            <v>FY1</v>
          </cell>
          <cell r="M67" t="str">
            <v>FY2</v>
          </cell>
        </row>
        <row r="68">
          <cell r="A68" t="str">
            <v>Gross Income</v>
          </cell>
          <cell r="B68">
            <v>0.36430834213305174</v>
          </cell>
          <cell r="C68">
            <v>0.34804202483285579</v>
          </cell>
          <cell r="D68">
            <v>0.35754202483285574</v>
          </cell>
          <cell r="F68">
            <v>162.66317300195954</v>
          </cell>
          <cell r="G68">
            <v>67.663173001960004</v>
          </cell>
          <cell r="I68" t="str">
            <v>Consensus</v>
          </cell>
          <cell r="J68">
            <v>0.60699999999999998</v>
          </cell>
          <cell r="K68">
            <v>1.232</v>
          </cell>
          <cell r="L68">
            <v>3.0419999999999998</v>
          </cell>
          <cell r="M68">
            <v>3.4220000000000002</v>
          </cell>
          <cell r="N68" t="str">
            <v>Bloomberg</v>
          </cell>
          <cell r="O68">
            <v>40128</v>
          </cell>
        </row>
        <row r="69">
          <cell r="A69" t="str">
            <v>SG&amp;A Expense</v>
          </cell>
          <cell r="B69">
            <v>0.20943329813445971</v>
          </cell>
          <cell r="C69">
            <v>0.21050620821394461</v>
          </cell>
          <cell r="D69">
            <v>0.20550620821394461</v>
          </cell>
          <cell r="F69">
            <v>-10.72910079484901</v>
          </cell>
          <cell r="G69">
            <v>39.270899205151032</v>
          </cell>
          <cell r="I69" t="str">
            <v>MS Est.</v>
          </cell>
          <cell r="J69">
            <v>1.37</v>
          </cell>
          <cell r="K69">
            <v>1.27</v>
          </cell>
          <cell r="L69">
            <v>3.08</v>
          </cell>
          <cell r="M69">
            <v>3.59</v>
          </cell>
        </row>
        <row r="70">
          <cell r="A70" t="str">
            <v>Operating Income</v>
          </cell>
          <cell r="B70">
            <v>0.12706793382611756</v>
          </cell>
          <cell r="C70">
            <v>0.10945558739255014</v>
          </cell>
          <cell r="D70">
            <v>0.12398231433098438</v>
          </cell>
          <cell r="F70">
            <v>176.12346433567419</v>
          </cell>
          <cell r="G70">
            <v>30.856194951331823</v>
          </cell>
          <cell r="I70" t="str">
            <v>MS/C</v>
          </cell>
          <cell r="J70">
            <v>0.76300000000000012</v>
          </cell>
          <cell r="K70">
            <v>3.8000000000000034E-2</v>
          </cell>
          <cell r="L70">
            <v>3.8000000000000256E-2</v>
          </cell>
          <cell r="M70">
            <v>0.16799999999999971</v>
          </cell>
        </row>
        <row r="71">
          <cell r="A71" t="str">
            <v>Interest Expense</v>
          </cell>
          <cell r="B71">
            <v>5.4558254135867656E-3</v>
          </cell>
          <cell r="C71">
            <v>5.7306590257879654E-3</v>
          </cell>
          <cell r="D71">
            <v>5.8271922900633606E-3</v>
          </cell>
          <cell r="F71">
            <v>-2.7483361220119984</v>
          </cell>
          <cell r="G71">
            <v>-3.7136687647659499</v>
          </cell>
          <cell r="I71" t="str">
            <v>MG</v>
          </cell>
        </row>
        <row r="72">
          <cell r="A72" t="str">
            <v>Earnings b4 Taxes</v>
          </cell>
          <cell r="B72">
            <v>0.1216121084125308</v>
          </cell>
          <cell r="C72">
            <v>0.10372492836676218</v>
          </cell>
          <cell r="D72">
            <v>0.11815512204092102</v>
          </cell>
          <cell r="F72">
            <v>178.87180045768613</v>
          </cell>
          <cell r="G72">
            <v>34.5698637160978</v>
          </cell>
        </row>
        <row r="73">
          <cell r="A73" t="str">
            <v>Net Income</v>
          </cell>
          <cell r="B73">
            <v>7.5853572685674053E-2</v>
          </cell>
          <cell r="C73">
            <v>6.4183381088825209E-2</v>
          </cell>
          <cell r="D73">
            <v>7.3610641031493798E-2</v>
          </cell>
          <cell r="F73">
            <v>116.70191596848845</v>
          </cell>
          <cell r="G73">
            <v>22.429316541802553</v>
          </cell>
        </row>
        <row r="75">
          <cell r="A75" t="str">
            <v>EPS</v>
          </cell>
          <cell r="B75">
            <v>1.4</v>
          </cell>
          <cell r="C75">
            <v>1.1000000000000001</v>
          </cell>
          <cell r="D75">
            <v>1.37</v>
          </cell>
          <cell r="F75">
            <v>0.29999999999999982</v>
          </cell>
          <cell r="G75">
            <v>2.9999999999999805E-2</v>
          </cell>
        </row>
        <row r="77">
          <cell r="A77" t="str">
            <v>EPS Upsides/Downsides</v>
          </cell>
        </row>
        <row r="78">
          <cell r="A78" t="str">
            <v>Reported Sales Variance</v>
          </cell>
          <cell r="B78">
            <v>0</v>
          </cell>
        </row>
        <row r="79">
          <cell r="A79" t="str">
            <v>Gross Margin</v>
          </cell>
          <cell r="B79">
            <v>7.7857794189564164E-2</v>
          </cell>
        </row>
        <row r="80">
          <cell r="A80" t="str">
            <v>SG&amp;A Expenses</v>
          </cell>
          <cell r="B80">
            <v>-4.5187735843620652E-2</v>
          </cell>
        </row>
        <row r="81">
          <cell r="A81" t="str">
            <v>Preopening Expense</v>
          </cell>
          <cell r="B81">
            <v>2.835153269306672E-3</v>
          </cell>
        </row>
        <row r="82">
          <cell r="A82" t="str">
            <v>Depreciation/Amortization</v>
          </cell>
          <cell r="B82">
            <v>0</v>
          </cell>
        </row>
        <row r="83">
          <cell r="A83" t="str">
            <v>Interest Expense, Net</v>
          </cell>
          <cell r="B83">
            <v>4.2731968594937973E-3</v>
          </cell>
        </row>
        <row r="84">
          <cell r="A84" t="str">
            <v>Tax Rate</v>
          </cell>
          <cell r="B84">
            <v>1.6461038961039123E-3</v>
          </cell>
        </row>
        <row r="85">
          <cell r="A85" t="str">
            <v>Shares</v>
          </cell>
          <cell r="B85">
            <v>-8.4967320261439827E-3</v>
          </cell>
        </row>
        <row r="86">
          <cell r="A86" t="str">
            <v>Total</v>
          </cell>
          <cell r="B86">
            <v>3.2927780344703908E-2</v>
          </cell>
        </row>
        <row r="88">
          <cell r="A88" t="str">
            <v>JWN</v>
          </cell>
        </row>
        <row r="89">
          <cell r="A89" t="str">
            <v>As a % of Sales</v>
          </cell>
          <cell r="B89" t="str">
            <v>3Q08</v>
          </cell>
          <cell r="C89" t="str">
            <v>3Q07</v>
          </cell>
          <cell r="D89" t="str">
            <v>MS Est.</v>
          </cell>
          <cell r="F89" t="str">
            <v>y/y∆ (bp)</v>
          </cell>
          <cell r="G89" t="str">
            <v>∆ vs MS
Est. (bp)</v>
          </cell>
          <cell r="J89" t="str">
            <v>FQ1</v>
          </cell>
          <cell r="K89" t="str">
            <v>FQ2</v>
          </cell>
          <cell r="L89" t="str">
            <v>FY1</v>
          </cell>
          <cell r="M89" t="str">
            <v>FY2</v>
          </cell>
        </row>
        <row r="90">
          <cell r="A90" t="str">
            <v>Gross Income</v>
          </cell>
          <cell r="B90">
            <v>0</v>
          </cell>
          <cell r="C90">
            <v>0</v>
          </cell>
          <cell r="D90">
            <v>0</v>
          </cell>
          <cell r="F90">
            <v>0</v>
          </cell>
          <cell r="G90">
            <v>0</v>
          </cell>
          <cell r="I90" t="str">
            <v>Consensus</v>
          </cell>
          <cell r="J90">
            <v>0.38200000000000001</v>
          </cell>
          <cell r="K90">
            <v>0.59599999999999997</v>
          </cell>
          <cell r="L90">
            <v>1.806</v>
          </cell>
          <cell r="M90">
            <v>2.1389999999999998</v>
          </cell>
          <cell r="N90" t="str">
            <v>Bloomberg</v>
          </cell>
          <cell r="O90">
            <v>40128</v>
          </cell>
        </row>
        <row r="91">
          <cell r="A91" t="str">
            <v>SG&amp;A Expense</v>
          </cell>
          <cell r="B91">
            <v>0</v>
          </cell>
          <cell r="C91">
            <v>0</v>
          </cell>
          <cell r="D91">
            <v>0</v>
          </cell>
          <cell r="F91">
            <v>0</v>
          </cell>
          <cell r="G91">
            <v>0</v>
          </cell>
          <cell r="I91" t="str">
            <v>MS Est.</v>
          </cell>
          <cell r="J91">
            <v>0</v>
          </cell>
          <cell r="K91">
            <v>0.2</v>
          </cell>
          <cell r="L91">
            <v>1.8</v>
          </cell>
          <cell r="M91">
            <v>1.07</v>
          </cell>
        </row>
        <row r="92">
          <cell r="A92" t="str">
            <v>Operating Income</v>
          </cell>
          <cell r="B92">
            <v>0</v>
          </cell>
          <cell r="C92">
            <v>0</v>
          </cell>
          <cell r="D92">
            <v>0</v>
          </cell>
          <cell r="F92">
            <v>0</v>
          </cell>
          <cell r="G92">
            <v>0</v>
          </cell>
          <cell r="I92" t="str">
            <v>MS/C</v>
          </cell>
          <cell r="J92">
            <v>-0.38200000000000001</v>
          </cell>
          <cell r="K92">
            <v>-0.39599999999999996</v>
          </cell>
          <cell r="L92">
            <v>-6.0000000000000053E-3</v>
          </cell>
          <cell r="M92">
            <v>-1.0689999999999997</v>
          </cell>
        </row>
        <row r="93">
          <cell r="A93" t="str">
            <v>Interest Expense</v>
          </cell>
          <cell r="B93">
            <v>0</v>
          </cell>
          <cell r="C93">
            <v>0</v>
          </cell>
          <cell r="D93">
            <v>0</v>
          </cell>
          <cell r="F93">
            <v>0</v>
          </cell>
          <cell r="G93">
            <v>0</v>
          </cell>
          <cell r="I93" t="str">
            <v>MG</v>
          </cell>
        </row>
        <row r="94">
          <cell r="A94" t="str">
            <v>Service &amp; Other</v>
          </cell>
          <cell r="B94">
            <v>0</v>
          </cell>
          <cell r="C94">
            <v>0</v>
          </cell>
          <cell r="D94">
            <v>0</v>
          </cell>
          <cell r="F94">
            <v>0</v>
          </cell>
          <cell r="G94">
            <v>0</v>
          </cell>
          <cell r="I94" t="str">
            <v>New</v>
          </cell>
        </row>
        <row r="95">
          <cell r="A95" t="str">
            <v>Earnings b4 Taxes</v>
          </cell>
          <cell r="B95">
            <v>0</v>
          </cell>
          <cell r="C95">
            <v>0</v>
          </cell>
          <cell r="D95">
            <v>0</v>
          </cell>
          <cell r="F95">
            <v>0</v>
          </cell>
          <cell r="G95">
            <v>0</v>
          </cell>
        </row>
        <row r="96">
          <cell r="A96" t="str">
            <v>Tax Rate</v>
          </cell>
          <cell r="B96">
            <v>0</v>
          </cell>
          <cell r="C96">
            <v>0</v>
          </cell>
          <cell r="D96">
            <v>0</v>
          </cell>
          <cell r="F96">
            <v>0</v>
          </cell>
          <cell r="G96">
            <v>0</v>
          </cell>
        </row>
        <row r="97">
          <cell r="A97" t="str">
            <v>Net Income</v>
          </cell>
          <cell r="B97">
            <v>0</v>
          </cell>
          <cell r="C97">
            <v>0</v>
          </cell>
          <cell r="D97">
            <v>0</v>
          </cell>
          <cell r="F97">
            <v>0</v>
          </cell>
          <cell r="G97">
            <v>0</v>
          </cell>
        </row>
        <row r="99">
          <cell r="A99" t="str">
            <v>EPS</v>
          </cell>
          <cell r="B99">
            <v>0</v>
          </cell>
          <cell r="C99">
            <v>0</v>
          </cell>
          <cell r="D99">
            <v>0</v>
          </cell>
          <cell r="F99">
            <v>0</v>
          </cell>
          <cell r="G99">
            <v>0</v>
          </cell>
        </row>
        <row r="101">
          <cell r="A101" t="str">
            <v>EPS Upsides/Downsides</v>
          </cell>
        </row>
        <row r="102">
          <cell r="A102">
            <v>0</v>
          </cell>
          <cell r="B102">
            <v>0</v>
          </cell>
        </row>
        <row r="103">
          <cell r="A103" t="str">
            <v>Source: Company data, Morgan Stanley Research  E = Morgan Stanley Research Estimate</v>
          </cell>
          <cell r="B103">
            <v>0</v>
          </cell>
        </row>
        <row r="104">
          <cell r="A104" t="str">
            <v>EPS Upsides/Downsides</v>
          </cell>
          <cell r="B104">
            <v>0</v>
          </cell>
        </row>
        <row r="105">
          <cell r="A105" t="str">
            <v>Reported Sales Variance</v>
          </cell>
          <cell r="B105">
            <v>-2.1583430631226738E-3</v>
          </cell>
        </row>
        <row r="106">
          <cell r="A106" t="str">
            <v>Gross Margin</v>
          </cell>
          <cell r="B106">
            <v>9.3948964248107891E-2</v>
          </cell>
        </row>
        <row r="107">
          <cell r="A107" t="str">
            <v>Total SG&amp;A</v>
          </cell>
          <cell r="B107">
            <v>-0.13372107319019222</v>
          </cell>
        </row>
        <row r="108">
          <cell r="A108" t="str">
            <v>Operating Margin</v>
          </cell>
          <cell r="B108">
            <v>0</v>
          </cell>
        </row>
        <row r="109">
          <cell r="A109" t="str">
            <v>Tax Rate</v>
          </cell>
          <cell r="B109">
            <v>9.3948964248107891E-2</v>
          </cell>
        </row>
        <row r="110">
          <cell r="A110" t="str">
            <v>Shares</v>
          </cell>
          <cell r="B110">
            <v>-0.13372107319019222</v>
          </cell>
        </row>
        <row r="111">
          <cell r="A111" t="str">
            <v>Total</v>
          </cell>
          <cell r="B111">
            <v>-4.1930452005207008E-2</v>
          </cell>
        </row>
        <row r="113">
          <cell r="A113" t="str">
            <v>SKS</v>
          </cell>
        </row>
        <row r="114">
          <cell r="A114" t="str">
            <v>As a % of Sales</v>
          </cell>
          <cell r="B114" t="str">
            <v>3Q09</v>
          </cell>
          <cell r="C114" t="str">
            <v>3Q08</v>
          </cell>
          <cell r="D114" t="str">
            <v>MS Est.</v>
          </cell>
          <cell r="F114" t="str">
            <v>y/y∆ (bp)</v>
          </cell>
          <cell r="G114" t="str">
            <v>∆ vs MS
Est. (bp)</v>
          </cell>
          <cell r="J114" t="str">
            <v>FQ1</v>
          </cell>
          <cell r="K114" t="str">
            <v>FQ2</v>
          </cell>
          <cell r="L114" t="str">
            <v>FY1</v>
          </cell>
          <cell r="M114" t="str">
            <v>FY2</v>
          </cell>
        </row>
        <row r="115">
          <cell r="A115" t="str">
            <v>Gross Income</v>
          </cell>
          <cell r="B115">
            <v>0.3907231769028765</v>
          </cell>
          <cell r="C115">
            <v>0.33156390807654762</v>
          </cell>
          <cell r="D115">
            <v>0.39027636388805009</v>
          </cell>
          <cell r="F115">
            <v>591.59268826328878</v>
          </cell>
          <cell r="G115">
            <v>4.4681301482640823</v>
          </cell>
          <cell r="I115" t="str">
            <v>Consensus</v>
          </cell>
          <cell r="J115">
            <v>-0.113</v>
          </cell>
          <cell r="K115">
            <v>-3.7999999999999999E-2</v>
          </cell>
          <cell r="L115">
            <v>-0.57499999999999996</v>
          </cell>
          <cell r="M115">
            <v>-0.34899999999999998</v>
          </cell>
          <cell r="N115" t="str">
            <v>Bloomberg</v>
          </cell>
          <cell r="O115">
            <v>40133</v>
          </cell>
        </row>
        <row r="116">
          <cell r="A116" t="str">
            <v>SG&amp;A Expense</v>
          </cell>
          <cell r="B116">
            <v>0.2428184106076488</v>
          </cell>
          <cell r="C116">
            <v>0.272497270340676</v>
          </cell>
          <cell r="D116">
            <v>0.2548642423756452</v>
          </cell>
          <cell r="F116">
            <v>-296.78859733027195</v>
          </cell>
          <cell r="G116">
            <v>-120.45831767996395</v>
          </cell>
          <cell r="I116" t="str">
            <v>MS Est.</v>
          </cell>
          <cell r="J116">
            <v>-1.5781525121147805E-2</v>
          </cell>
          <cell r="K116">
            <v>-7.0000000000000007E-2</v>
          </cell>
          <cell r="L116">
            <v>-0.59</v>
          </cell>
          <cell r="M116">
            <v>-0.35</v>
          </cell>
        </row>
        <row r="117">
          <cell r="A117" t="str">
            <v>Other Operating Expenses</v>
          </cell>
          <cell r="B117">
            <v>0.1287210309271713</v>
          </cell>
          <cell r="C117">
            <v>0.14260560872785277</v>
          </cell>
          <cell r="D117">
            <v>0.11997295045879695</v>
          </cell>
          <cell r="F117">
            <v>-138.84577800681475</v>
          </cell>
          <cell r="G117">
            <v>87.480804683743443</v>
          </cell>
          <cell r="I117" t="str">
            <v>MS/C</v>
          </cell>
          <cell r="J117">
            <v>9.7218474878852199E-2</v>
          </cell>
          <cell r="K117">
            <v>-3.2000000000000008E-2</v>
          </cell>
          <cell r="L117">
            <v>-1.5000000000000013E-2</v>
          </cell>
          <cell r="M117">
            <v>-1.0000000000000009E-3</v>
          </cell>
        </row>
        <row r="118">
          <cell r="A118" t="str">
            <v>Operating Income</v>
          </cell>
          <cell r="B118">
            <v>1.8221202599182782E-2</v>
          </cell>
          <cell r="C118">
            <v>-8.4795773424491586E-2</v>
          </cell>
          <cell r="D118">
            <v>1.4627638389771777E-2</v>
          </cell>
          <cell r="F118">
            <v>1030.1697602367437</v>
          </cell>
          <cell r="G118">
            <v>35.935642094110044</v>
          </cell>
        </row>
        <row r="119">
          <cell r="A119" t="str">
            <v>Interest Expense</v>
          </cell>
          <cell r="B119">
            <v>2.0676050365587218E-2</v>
          </cell>
          <cell r="C119">
            <v>2.2905626388730099E-2</v>
          </cell>
          <cell r="D119">
            <v>2.0468421239228773E-2</v>
          </cell>
          <cell r="F119">
            <v>-22.295760231428805</v>
          </cell>
          <cell r="G119">
            <v>2.0762912635844537</v>
          </cell>
        </row>
        <row r="120">
          <cell r="A120" t="str">
            <v>Earnings b4 Taxes</v>
          </cell>
          <cell r="B120">
            <v>5.6698146463637996E-5</v>
          </cell>
          <cell r="C120">
            <v>5.6698146463637996E-5</v>
          </cell>
          <cell r="D120">
            <v>5.6698146463637996E-5</v>
          </cell>
          <cell r="F120">
            <v>0</v>
          </cell>
          <cell r="G120">
            <v>0</v>
          </cell>
        </row>
        <row r="121">
          <cell r="A121" t="str">
            <v>Net Income</v>
          </cell>
          <cell r="B121">
            <v>-1.5571584659782067E-3</v>
          </cell>
          <cell r="C121">
            <v>-6.6810020735004902E-2</v>
          </cell>
          <cell r="D121">
            <v>-3.6564382174707932E-3</v>
          </cell>
          <cell r="F121">
            <v>652.52862269026696</v>
          </cell>
          <cell r="G121">
            <v>20.992797514925869</v>
          </cell>
        </row>
        <row r="123">
          <cell r="A123" t="str">
            <v>EPS</v>
          </cell>
          <cell r="B123">
            <v>-6.6533490389486675E-3</v>
          </cell>
          <cell r="C123">
            <v>-0.25767632111798916</v>
          </cell>
          <cell r="D123">
            <v>-1.5781525121147805E-2</v>
          </cell>
          <cell r="F123">
            <v>0.25102297207904051</v>
          </cell>
          <cell r="G123">
            <v>9.1281760821991381E-3</v>
          </cell>
        </row>
        <row r="125">
          <cell r="A125" t="str">
            <v>EPS Upsides/Downsides</v>
          </cell>
        </row>
        <row r="126">
          <cell r="A126" t="str">
            <v>Reported Sales Variance</v>
          </cell>
          <cell r="B126">
            <v>7.3141706523534907E-4</v>
          </cell>
        </row>
        <row r="127">
          <cell r="A127" t="str">
            <v>Gross Margin</v>
          </cell>
          <cell r="B127">
            <v>9.0502516031737673E-2</v>
          </cell>
        </row>
        <row r="128">
          <cell r="A128" t="str">
            <v>SG&amp;A Expenses</v>
          </cell>
          <cell r="B128">
            <v>9.135785673203356E-2</v>
          </cell>
        </row>
        <row r="129">
          <cell r="A129" t="str">
            <v>Other Operating Expenses</v>
          </cell>
          <cell r="B129">
            <v>0.14148159111000269</v>
          </cell>
        </row>
        <row r="130">
          <cell r="A130" t="str">
            <v>Operating Margin</v>
          </cell>
          <cell r="B130">
            <v>0.3233419638737739</v>
          </cell>
        </row>
        <row r="131">
          <cell r="A131" t="str">
            <v>Interest Expense, Net</v>
          </cell>
          <cell r="B131">
            <v>-2.9209222303217691E-2</v>
          </cell>
        </row>
        <row r="132">
          <cell r="A132" t="str">
            <v>Other (Income)</v>
          </cell>
          <cell r="B132">
            <v>-1.1491989190871084E-3</v>
          </cell>
        </row>
        <row r="133">
          <cell r="A133" t="str">
            <v>Tax Rate</v>
          </cell>
          <cell r="B133">
            <v>0.11636249147294966</v>
          </cell>
        </row>
        <row r="134">
          <cell r="A134" t="str">
            <v>Shares</v>
          </cell>
          <cell r="B134">
            <v>0</v>
          </cell>
        </row>
        <row r="135">
          <cell r="A135" t="str">
            <v>Total</v>
          </cell>
          <cell r="B135">
            <v>0.40934603412441872</v>
          </cell>
        </row>
        <row r="137">
          <cell r="A137" t="str">
            <v>LTD</v>
          </cell>
        </row>
        <row r="138">
          <cell r="A138" t="str">
            <v>As a % of Sales</v>
          </cell>
          <cell r="B138" t="str">
            <v>4Q09</v>
          </cell>
          <cell r="C138" t="str">
            <v>4Q08</v>
          </cell>
          <cell r="D138" t="str">
            <v>MS Est.</v>
          </cell>
          <cell r="F138" t="str">
            <v>y/y∆ (bp)</v>
          </cell>
          <cell r="G138" t="str">
            <v>∆ vs MS
Est. (bp)</v>
          </cell>
          <cell r="J138" t="str">
            <v>FQ1</v>
          </cell>
          <cell r="K138" t="str">
            <v>FQ2</v>
          </cell>
          <cell r="L138" t="str">
            <v>FQ3</v>
          </cell>
          <cell r="M138" t="str">
            <v>FY1</v>
          </cell>
          <cell r="N138" t="str">
            <v>FY2</v>
          </cell>
        </row>
        <row r="139">
          <cell r="A139" t="str">
            <v>Gross Income</v>
          </cell>
          <cell r="B139">
            <v>0.35943311437115333</v>
          </cell>
          <cell r="C139">
            <v>0.31784386724838393</v>
          </cell>
          <cell r="D139">
            <v>0.35784386724838391</v>
          </cell>
          <cell r="F139">
            <v>415.89247122769399</v>
          </cell>
          <cell r="G139">
            <v>15.892471227694216</v>
          </cell>
          <cell r="I139" t="str">
            <v>Consensus</v>
          </cell>
          <cell r="J139">
            <v>0.98499999999999999</v>
          </cell>
          <cell r="K139">
            <v>7.5999999999999998E-2</v>
          </cell>
          <cell r="M139">
            <v>0.98299999999999998</v>
          </cell>
          <cell r="N139">
            <v>1.202</v>
          </cell>
          <cell r="O139" t="str">
            <v>Bloomberg 2/24</v>
          </cell>
        </row>
        <row r="140">
          <cell r="A140" t="str">
            <v>SG&amp;A Expense</v>
          </cell>
          <cell r="B140">
            <v>0.26366684338267576</v>
          </cell>
          <cell r="C140">
            <v>0.28004500251269832</v>
          </cell>
          <cell r="D140">
            <v>0.26902521392184064</v>
          </cell>
          <cell r="F140">
            <v>-163.78159130022553</v>
          </cell>
          <cell r="G140">
            <v>-53.583705391648806</v>
          </cell>
          <cell r="I140" t="str">
            <v>MS Est.</v>
          </cell>
          <cell r="J140">
            <v>0.225114276362679</v>
          </cell>
          <cell r="K140" t="str">
            <v>none</v>
          </cell>
          <cell r="M140">
            <v>1.1010266280936629</v>
          </cell>
          <cell r="N140">
            <v>1.2665067931582552</v>
          </cell>
        </row>
        <row r="141">
          <cell r="A141" t="str">
            <v>Operating Income</v>
          </cell>
          <cell r="B141">
            <v>9.5766270988477592E-2</v>
          </cell>
          <cell r="C141">
            <v>3.779886473568559E-2</v>
          </cell>
          <cell r="D141">
            <v>8.8818653326543262E-2</v>
          </cell>
          <cell r="F141">
            <v>579.67406252792</v>
          </cell>
          <cell r="G141">
            <v>69.476176619343306</v>
          </cell>
          <cell r="I141" t="str">
            <v>MS/C</v>
          </cell>
          <cell r="J141">
            <v>-0.75988572363732099</v>
          </cell>
          <cell r="K141" t="e">
            <v>#VALUE!</v>
          </cell>
          <cell r="L141">
            <v>0</v>
          </cell>
          <cell r="M141">
            <v>0</v>
          </cell>
          <cell r="N141">
            <v>0</v>
          </cell>
        </row>
        <row r="142">
          <cell r="A142" t="str">
            <v>Interest Expense</v>
          </cell>
          <cell r="B142">
            <v>3.1643210377647633E-2</v>
          </cell>
          <cell r="C142">
            <v>3.5762043127987642E-2</v>
          </cell>
          <cell r="D142">
            <v>3.1378458603900941E-2</v>
          </cell>
          <cell r="F142">
            <v>-41.188327503400082</v>
          </cell>
          <cell r="G142">
            <v>2.6475177374669228</v>
          </cell>
          <cell r="I142" t="str">
            <v>MGT Guid</v>
          </cell>
          <cell r="J142" t="str">
            <v>$0.00-$(0.04)</v>
          </cell>
        </row>
        <row r="143">
          <cell r="A143" t="str">
            <v>Other Expense (Income)</v>
          </cell>
          <cell r="B143">
            <v>-7.3910090208000262E-3</v>
          </cell>
          <cell r="C143">
            <v>1.628761729547883E-4</v>
          </cell>
          <cell r="D143">
            <v>-3.6241263266891016E-3</v>
          </cell>
          <cell r="F143">
            <v>-75.538851937548145</v>
          </cell>
          <cell r="G143">
            <v>-37.668826941109245</v>
          </cell>
        </row>
        <row r="144">
          <cell r="A144" t="str">
            <v>Tax Rate</v>
          </cell>
          <cell r="B144">
            <v>0.40006660295948787</v>
          </cell>
          <cell r="C144">
            <v>0.195484070522735</v>
          </cell>
          <cell r="D144">
            <v>0.38</v>
          </cell>
          <cell r="F144">
            <v>2045.8253243675288</v>
          </cell>
          <cell r="G144">
            <v>200.66602959487867</v>
          </cell>
        </row>
        <row r="145">
          <cell r="A145" t="str">
            <v>Net Income</v>
          </cell>
          <cell r="B145">
            <v>4.2903678730295505E-2</v>
          </cell>
          <cell r="C145">
            <v>1.5076189532220727E-3</v>
          </cell>
          <cell r="D145">
            <v>3.7859879050585479E-2</v>
          </cell>
          <cell r="F145">
            <v>413.9605977707343</v>
          </cell>
          <cell r="G145">
            <v>50.437996797100261</v>
          </cell>
        </row>
        <row r="147">
          <cell r="A147" t="str">
            <v>EPS</v>
          </cell>
          <cell r="B147">
            <v>0.24893510925268417</v>
          </cell>
          <cell r="C147">
            <v>8.04553257961238E-3</v>
          </cell>
          <cell r="D147">
            <v>0.225114276362679</v>
          </cell>
          <cell r="F147">
            <v>0.24088957667307179</v>
          </cell>
          <cell r="G147">
            <v>2.3820832890005167E-2</v>
          </cell>
        </row>
        <row r="149">
          <cell r="A149" t="str">
            <v>EPS Upsides/Downsides</v>
          </cell>
        </row>
        <row r="150">
          <cell r="A150" t="str">
            <v>Gross Margin</v>
          </cell>
          <cell r="B150">
            <v>5.555265989990261E-3</v>
          </cell>
        </row>
        <row r="151">
          <cell r="A151" t="str">
            <v>SG&amp;A</v>
          </cell>
          <cell r="B151">
            <v>1.8634632007562379E-2</v>
          </cell>
        </row>
        <row r="152">
          <cell r="A152" t="str">
            <v>Operating Margin</v>
          </cell>
          <cell r="B152">
            <v>2.418989799755264E-2</v>
          </cell>
        </row>
        <row r="153">
          <cell r="A153" t="str">
            <v>Interest Expense, Net</v>
          </cell>
          <cell r="B153">
            <v>-9.2361681188376816E-4</v>
          </cell>
        </row>
        <row r="154">
          <cell r="A154" t="str">
            <v>Other expense (income)</v>
          </cell>
          <cell r="B154">
            <v>1.3112471077827939E-2</v>
          </cell>
        </row>
        <row r="155">
          <cell r="A155" t="str">
            <v>Tax Rate</v>
          </cell>
          <cell r="B155">
            <v>-8.3263942709177457E-3</v>
          </cell>
        </row>
        <row r="156">
          <cell r="A156" t="str">
            <v>Shares</v>
          </cell>
          <cell r="B156">
            <v>-6.1742795380068938E-3</v>
          </cell>
        </row>
        <row r="157">
          <cell r="A157" t="str">
            <v>Total</v>
          </cell>
          <cell r="B157">
            <v>2.1878078454572167E-2</v>
          </cell>
        </row>
        <row r="159">
          <cell r="A159" t="str">
            <v>GPS</v>
          </cell>
          <cell r="J159" t="str">
            <v>4Q09</v>
          </cell>
          <cell r="K159" t="str">
            <v>1Q10</v>
          </cell>
        </row>
        <row r="160">
          <cell r="A160" t="str">
            <v>As a % of Sales</v>
          </cell>
          <cell r="B160" t="str">
            <v>4Q09</v>
          </cell>
          <cell r="C160" t="str">
            <v>4Q08</v>
          </cell>
          <cell r="D160" t="str">
            <v>MS Est.</v>
          </cell>
          <cell r="F160" t="str">
            <v>y/y∆ (bp)</v>
          </cell>
          <cell r="G160" t="str">
            <v>∆ vs MS
Est. (bp)</v>
          </cell>
          <cell r="J160" t="str">
            <v>FQ1</v>
          </cell>
          <cell r="K160" t="str">
            <v>FQ2</v>
          </cell>
          <cell r="L160" t="str">
            <v>FQ3</v>
          </cell>
          <cell r="M160" t="str">
            <v>FY1</v>
          </cell>
          <cell r="N160" t="str">
            <v>FY2</v>
          </cell>
        </row>
        <row r="161">
          <cell r="A161" t="str">
            <v>Gross Income</v>
          </cell>
          <cell r="B161">
            <v>0.3922743753062225</v>
          </cell>
          <cell r="C161">
            <v>0.34027437530622245</v>
          </cell>
          <cell r="D161">
            <v>0.42196995226060091</v>
          </cell>
          <cell r="F161">
            <v>520.00000000000045</v>
          </cell>
          <cell r="G161">
            <v>-296.95576954378413</v>
          </cell>
          <cell r="I161" t="str">
            <v>Consensus</v>
          </cell>
          <cell r="J161">
            <v>0.5</v>
          </cell>
          <cell r="K161">
            <v>0.35399999999999998</v>
          </cell>
          <cell r="M161">
            <v>1.5029999999999999</v>
          </cell>
          <cell r="N161">
            <v>1.6339999999999999</v>
          </cell>
        </row>
        <row r="162">
          <cell r="A162" t="str">
            <v>SG&amp;A Expense</v>
          </cell>
          <cell r="B162">
            <v>0.25777315041646254</v>
          </cell>
          <cell r="C162">
            <v>0.24277315041646252</v>
          </cell>
          <cell r="D162">
            <v>0.2828268744734625</v>
          </cell>
          <cell r="F162">
            <v>150.00000000000014</v>
          </cell>
          <cell r="G162">
            <v>-250.5372405699996</v>
          </cell>
          <cell r="I162" t="str">
            <v>MS Est.</v>
          </cell>
          <cell r="J162">
            <v>0.50455187729779205</v>
          </cell>
          <cell r="K162">
            <v>0.43607954545454547</v>
          </cell>
          <cell r="M162">
            <v>1.5717170524816499</v>
          </cell>
          <cell r="N162">
            <v>1.6307831306006146</v>
          </cell>
        </row>
        <row r="163">
          <cell r="A163" t="str">
            <v>Operating Income</v>
          </cell>
          <cell r="B163">
            <v>0.13450122488975996</v>
          </cell>
          <cell r="C163">
            <v>9.7501224889759916E-2</v>
          </cell>
          <cell r="D163">
            <v>0.13914307778713844</v>
          </cell>
          <cell r="F163">
            <v>370.00000000000045</v>
          </cell>
          <cell r="G163">
            <v>-46.418528973784788</v>
          </cell>
          <cell r="I163" t="str">
            <v>MS/C</v>
          </cell>
          <cell r="J163">
            <v>4.5518772977920507E-3</v>
          </cell>
          <cell r="K163">
            <v>8.2079545454545488E-2</v>
          </cell>
          <cell r="M163">
            <v>6.8717052481650054E-2</v>
          </cell>
          <cell r="N163">
            <v>-3.2168693993852582E-3</v>
          </cell>
        </row>
        <row r="164">
          <cell r="A164" t="str">
            <v>Interest Expense</v>
          </cell>
          <cell r="B164">
            <v>0</v>
          </cell>
          <cell r="C164">
            <v>0</v>
          </cell>
          <cell r="D164">
            <v>0</v>
          </cell>
          <cell r="F164">
            <v>0</v>
          </cell>
          <cell r="G164">
            <v>0</v>
          </cell>
          <cell r="I164" t="str">
            <v>Guidance</v>
          </cell>
          <cell r="J164" t="str">
            <v>$0.33-$0.35</v>
          </cell>
        </row>
        <row r="165">
          <cell r="A165" t="str">
            <v>Earnings b4 Taxes</v>
          </cell>
          <cell r="B165">
            <v>0.13450122488975996</v>
          </cell>
          <cell r="C165">
            <v>9.8236158745712884E-2</v>
          </cell>
          <cell r="D165">
            <v>0.13949061485667194</v>
          </cell>
          <cell r="F165">
            <v>362.6506614404708</v>
          </cell>
          <cell r="G165">
            <v>-49.893899669119776</v>
          </cell>
        </row>
        <row r="166">
          <cell r="A166" t="str">
            <v>Tax Rate</v>
          </cell>
          <cell r="B166">
            <v>0.39</v>
          </cell>
          <cell r="C166">
            <v>0.3940149625935162</v>
          </cell>
          <cell r="D166">
            <v>0.39</v>
          </cell>
          <cell r="F166">
            <v>-40.149625935161914</v>
          </cell>
          <cell r="G166">
            <v>0</v>
          </cell>
        </row>
        <row r="167">
          <cell r="A167" t="str">
            <v>Net Income</v>
          </cell>
          <cell r="B167">
            <v>0.39</v>
          </cell>
          <cell r="C167">
            <v>0.3940149625935162</v>
          </cell>
          <cell r="D167">
            <v>8.5089275062569872E-2</v>
          </cell>
          <cell r="F167">
            <v>-40.149625935161914</v>
          </cell>
          <cell r="G167">
            <v>3049.1072493743018</v>
          </cell>
        </row>
        <row r="169">
          <cell r="A169" t="str">
            <v>EPS</v>
          </cell>
          <cell r="B169">
            <v>0.50455187729779205</v>
          </cell>
          <cell r="C169">
            <v>0.34219263456090654</v>
          </cell>
          <cell r="D169">
            <v>0.43995659234339185</v>
          </cell>
          <cell r="F169">
            <v>0.16235924273688551</v>
          </cell>
          <cell r="G169">
            <v>6.4595284954400201E-2</v>
          </cell>
        </row>
        <row r="171">
          <cell r="A171" t="str">
            <v>EPS Upsides/Downsides</v>
          </cell>
        </row>
        <row r="172">
          <cell r="A172" t="str">
            <v>Sales</v>
          </cell>
          <cell r="B172">
            <v>0</v>
          </cell>
        </row>
        <row r="173">
          <cell r="A173" t="str">
            <v>Gross Margin</v>
          </cell>
          <cell r="B173">
            <v>0</v>
          </cell>
        </row>
        <row r="174">
          <cell r="A174" t="str">
            <v>SG&amp;A Expenses</v>
          </cell>
          <cell r="B174">
            <v>0</v>
          </cell>
        </row>
        <row r="175">
          <cell r="A175" t="str">
            <v>Operating Margin</v>
          </cell>
          <cell r="B175" t="e">
            <v>#REF!</v>
          </cell>
        </row>
        <row r="176">
          <cell r="A176" t="str">
            <v>Interest Expense</v>
          </cell>
          <cell r="B176">
            <v>0</v>
          </cell>
        </row>
        <row r="177">
          <cell r="A177" t="str">
            <v>Interest Income</v>
          </cell>
          <cell r="B177">
            <v>0</v>
          </cell>
        </row>
        <row r="178">
          <cell r="A178" t="str">
            <v>Tax Rate</v>
          </cell>
          <cell r="B178">
            <v>0</v>
          </cell>
        </row>
        <row r="179">
          <cell r="A179" t="str">
            <v>Shares</v>
          </cell>
          <cell r="B179">
            <v>0</v>
          </cell>
        </row>
        <row r="180">
          <cell r="A180" t="str">
            <v>Total</v>
          </cell>
          <cell r="B180">
            <v>0</v>
          </cell>
        </row>
        <row r="182">
          <cell r="A182" t="str">
            <v>ROST</v>
          </cell>
        </row>
        <row r="183">
          <cell r="A183" t="str">
            <v>As a % of Sales</v>
          </cell>
          <cell r="B183" t="str">
            <v>2Q09</v>
          </cell>
          <cell r="C183" t="str">
            <v>2Q08</v>
          </cell>
          <cell r="D183" t="str">
            <v>MS Est.</v>
          </cell>
          <cell r="F183" t="str">
            <v>y/y∆ (bp)</v>
          </cell>
          <cell r="G183" t="str">
            <v>∆ vs MS
Est. (bp)</v>
          </cell>
          <cell r="J183" t="str">
            <v>FQ1</v>
          </cell>
          <cell r="K183" t="str">
            <v>FQ2</v>
          </cell>
          <cell r="L183" t="str">
            <v>FY1</v>
          </cell>
          <cell r="M183" t="str">
            <v>FY2</v>
          </cell>
        </row>
        <row r="184">
          <cell r="A184" t="str">
            <v>Gross Income</v>
          </cell>
          <cell r="B184">
            <v>0</v>
          </cell>
          <cell r="C184">
            <v>0</v>
          </cell>
          <cell r="D184">
            <v>0</v>
          </cell>
          <cell r="F184">
            <v>0</v>
          </cell>
          <cell r="G184">
            <v>0</v>
          </cell>
          <cell r="I184" t="str">
            <v>Consensus</v>
          </cell>
          <cell r="J184">
            <v>0.82</v>
          </cell>
          <cell r="K184">
            <v>0.56000000000000005</v>
          </cell>
          <cell r="L184">
            <v>3</v>
          </cell>
          <cell r="M184">
            <v>3.27</v>
          </cell>
          <cell r="N184" t="str">
            <v>Bloomberg</v>
          </cell>
          <cell r="O184">
            <v>40045</v>
          </cell>
        </row>
        <row r="185">
          <cell r="A185" t="str">
            <v>SG&amp;A Expense</v>
          </cell>
          <cell r="B185">
            <v>0</v>
          </cell>
          <cell r="C185">
            <v>0</v>
          </cell>
          <cell r="D185">
            <v>0</v>
          </cell>
          <cell r="F185">
            <v>0</v>
          </cell>
          <cell r="G185">
            <v>0</v>
          </cell>
          <cell r="I185" t="str">
            <v>MS Est.</v>
          </cell>
          <cell r="J185">
            <v>0</v>
          </cell>
          <cell r="K185">
            <v>0.56000000000000005</v>
          </cell>
          <cell r="L185">
            <v>3.03</v>
          </cell>
          <cell r="M185">
            <v>3.43</v>
          </cell>
        </row>
        <row r="186">
          <cell r="A186" t="str">
            <v>Operating Income</v>
          </cell>
          <cell r="B186">
            <v>0</v>
          </cell>
          <cell r="C186">
            <v>0</v>
          </cell>
          <cell r="D186">
            <v>0</v>
          </cell>
          <cell r="F186">
            <v>0</v>
          </cell>
          <cell r="G186">
            <v>0</v>
          </cell>
          <cell r="I186" t="str">
            <v>MS/C</v>
          </cell>
          <cell r="J186">
            <v>-0.82</v>
          </cell>
          <cell r="K186">
            <v>0</v>
          </cell>
          <cell r="L186">
            <v>2.9999999999999805E-2</v>
          </cell>
          <cell r="M186">
            <v>0.16000000000000014</v>
          </cell>
        </row>
        <row r="187">
          <cell r="A187" t="str">
            <v>Interest Expense</v>
          </cell>
          <cell r="B187">
            <v>0</v>
          </cell>
          <cell r="C187">
            <v>0</v>
          </cell>
          <cell r="D187">
            <v>0</v>
          </cell>
          <cell r="F187">
            <v>0</v>
          </cell>
          <cell r="G187">
            <v>0</v>
          </cell>
          <cell r="I187" t="str">
            <v>Guidance</v>
          </cell>
          <cell r="J187" t="str">
            <v>0.81-0.82</v>
          </cell>
        </row>
        <row r="188">
          <cell r="A188" t="str">
            <v>Earnings b4 Taxes</v>
          </cell>
          <cell r="B188">
            <v>0</v>
          </cell>
          <cell r="C188">
            <v>0</v>
          </cell>
          <cell r="D188">
            <v>0</v>
          </cell>
          <cell r="F188">
            <v>0</v>
          </cell>
          <cell r="G188">
            <v>0</v>
          </cell>
          <cell r="I188" t="str">
            <v>N Guidance</v>
          </cell>
        </row>
        <row r="189">
          <cell r="A189" t="str">
            <v>Tax Rate</v>
          </cell>
          <cell r="B189">
            <v>0</v>
          </cell>
          <cell r="C189">
            <v>0</v>
          </cell>
          <cell r="D189">
            <v>0</v>
          </cell>
          <cell r="F189">
            <v>0</v>
          </cell>
          <cell r="G189">
            <v>0</v>
          </cell>
        </row>
        <row r="190">
          <cell r="A190" t="str">
            <v>Net Income</v>
          </cell>
          <cell r="B190">
            <v>0</v>
          </cell>
          <cell r="C190">
            <v>0</v>
          </cell>
          <cell r="D190">
            <v>0</v>
          </cell>
          <cell r="F190">
            <v>0</v>
          </cell>
          <cell r="G190">
            <v>0</v>
          </cell>
        </row>
        <row r="192">
          <cell r="A192" t="str">
            <v>EPS</v>
          </cell>
          <cell r="B192">
            <v>0</v>
          </cell>
          <cell r="C192">
            <v>0</v>
          </cell>
          <cell r="D192">
            <v>0</v>
          </cell>
          <cell r="F192">
            <v>0</v>
          </cell>
          <cell r="G192">
            <v>0</v>
          </cell>
        </row>
        <row r="194">
          <cell r="A194" t="str">
            <v>EPS Upsides/Downsides</v>
          </cell>
        </row>
        <row r="195">
          <cell r="A195" t="str">
            <v>Gross Margin</v>
          </cell>
          <cell r="B195">
            <v>-9.3079415940881156E-3</v>
          </cell>
        </row>
        <row r="196">
          <cell r="A196" t="str">
            <v>SG&amp;A</v>
          </cell>
          <cell r="B196">
            <v>-4.1553199556378624E-3</v>
          </cell>
        </row>
        <row r="197">
          <cell r="A197" t="str">
            <v>Interest Expense, Net</v>
          </cell>
          <cell r="B197">
            <v>1.4972157034199365E-3</v>
          </cell>
        </row>
        <row r="198">
          <cell r="A198" t="str">
            <v>Tax Rate</v>
          </cell>
          <cell r="B198">
            <v>6.994656953981741E-3</v>
          </cell>
        </row>
        <row r="199">
          <cell r="A199" t="str">
            <v>Shares</v>
          </cell>
          <cell r="B199">
            <v>4.7205651805766191E-3</v>
          </cell>
        </row>
        <row r="200">
          <cell r="A200" t="str">
            <v>Total</v>
          </cell>
          <cell r="B200">
            <v>-2.508237117476806E-4</v>
          </cell>
        </row>
        <row r="202">
          <cell r="A202" t="str">
            <v>TJX</v>
          </cell>
        </row>
        <row r="203">
          <cell r="A203" t="str">
            <v>As a % of Sales</v>
          </cell>
          <cell r="B203" t="str">
            <v>3Q09</v>
          </cell>
          <cell r="C203" t="str">
            <v>3Q08</v>
          </cell>
          <cell r="D203" t="str">
            <v>MS Est.</v>
          </cell>
          <cell r="F203" t="str">
            <v>y/y∆ (bp)</v>
          </cell>
          <cell r="G203" t="str">
            <v>∆ vs MS
Est. (bp)</v>
          </cell>
          <cell r="J203" t="str">
            <v>FQ1</v>
          </cell>
          <cell r="K203" t="str">
            <v>FQ2</v>
          </cell>
          <cell r="L203" t="str">
            <v>FY1</v>
          </cell>
          <cell r="M203" t="str">
            <v>FY2</v>
          </cell>
        </row>
        <row r="204">
          <cell r="A204" t="str">
            <v>Gross Income</v>
          </cell>
          <cell r="B204">
            <v>0</v>
          </cell>
          <cell r="C204">
            <v>0</v>
          </cell>
          <cell r="D204">
            <v>0</v>
          </cell>
          <cell r="F204">
            <v>0</v>
          </cell>
          <cell r="G204">
            <v>0</v>
          </cell>
          <cell r="I204" t="str">
            <v>Consensus</v>
          </cell>
          <cell r="J204">
            <v>0.78400000000000003</v>
          </cell>
          <cell r="K204">
            <v>0.70599999999999996</v>
          </cell>
          <cell r="L204">
            <v>2.5819999999999999</v>
          </cell>
          <cell r="M204">
            <v>2.8839999999999999</v>
          </cell>
          <cell r="N204" t="str">
            <v>Bloomberg</v>
          </cell>
          <cell r="O204">
            <v>40133</v>
          </cell>
        </row>
        <row r="205">
          <cell r="A205" t="str">
            <v>SG&amp;A Expense</v>
          </cell>
          <cell r="B205">
            <v>0</v>
          </cell>
          <cell r="C205">
            <v>0</v>
          </cell>
          <cell r="D205">
            <v>0</v>
          </cell>
          <cell r="F205">
            <v>0</v>
          </cell>
          <cell r="G205">
            <v>0</v>
          </cell>
          <cell r="I205" t="str">
            <v>MS Est.</v>
          </cell>
          <cell r="J205">
            <v>0</v>
          </cell>
          <cell r="K205">
            <v>0.81</v>
          </cell>
          <cell r="L205">
            <v>2.7</v>
          </cell>
          <cell r="M205">
            <v>3.13</v>
          </cell>
        </row>
        <row r="206">
          <cell r="A206" t="str">
            <v>Operating Income</v>
          </cell>
          <cell r="B206">
            <v>0</v>
          </cell>
          <cell r="C206">
            <v>0</v>
          </cell>
          <cell r="D206">
            <v>0</v>
          </cell>
          <cell r="F206">
            <v>0</v>
          </cell>
          <cell r="G206">
            <v>0</v>
          </cell>
          <cell r="I206" t="str">
            <v>MS/C</v>
          </cell>
          <cell r="J206">
            <v>-0.78400000000000003</v>
          </cell>
          <cell r="K206">
            <v>0.10400000000000009</v>
          </cell>
          <cell r="L206">
            <v>0.11800000000000033</v>
          </cell>
          <cell r="M206">
            <v>0.246</v>
          </cell>
        </row>
        <row r="207">
          <cell r="A207" t="str">
            <v>Interest Expense</v>
          </cell>
          <cell r="B207">
            <v>0</v>
          </cell>
          <cell r="C207">
            <v>0</v>
          </cell>
          <cell r="D207">
            <v>0</v>
          </cell>
          <cell r="F207">
            <v>0</v>
          </cell>
          <cell r="G207">
            <v>0</v>
          </cell>
          <cell r="I207" t="str">
            <v>Mgt</v>
          </cell>
        </row>
        <row r="208">
          <cell r="A208" t="str">
            <v>Earnings b4 Taxes</v>
          </cell>
          <cell r="B208">
            <v>0</v>
          </cell>
          <cell r="C208">
            <v>0</v>
          </cell>
          <cell r="D208">
            <v>0</v>
          </cell>
          <cell r="F208">
            <v>0</v>
          </cell>
          <cell r="G208">
            <v>0</v>
          </cell>
          <cell r="I208" t="str">
            <v>New Guide</v>
          </cell>
        </row>
        <row r="209">
          <cell r="A209" t="str">
            <v>Tax Rate</v>
          </cell>
          <cell r="B209">
            <v>0</v>
          </cell>
          <cell r="C209">
            <v>0</v>
          </cell>
          <cell r="D209">
            <v>0</v>
          </cell>
          <cell r="F209">
            <v>0</v>
          </cell>
          <cell r="G209">
            <v>0</v>
          </cell>
        </row>
        <row r="210">
          <cell r="A210" t="str">
            <v>Net Income</v>
          </cell>
          <cell r="B210">
            <v>0</v>
          </cell>
          <cell r="C210">
            <v>0</v>
          </cell>
          <cell r="D210">
            <v>0</v>
          </cell>
          <cell r="F210">
            <v>0</v>
          </cell>
          <cell r="G210">
            <v>0</v>
          </cell>
        </row>
        <row r="212">
          <cell r="A212" t="str">
            <v>EPS</v>
          </cell>
          <cell r="B212">
            <v>0</v>
          </cell>
          <cell r="C212">
            <v>0</v>
          </cell>
          <cell r="D212">
            <v>0</v>
          </cell>
          <cell r="F212">
            <v>0</v>
          </cell>
          <cell r="G212">
            <v>0</v>
          </cell>
        </row>
        <row r="214">
          <cell r="A214" t="str">
            <v>EPS Upsides/Downsides</v>
          </cell>
        </row>
        <row r="215">
          <cell r="A215" t="str">
            <v>Reported Sales Variance</v>
          </cell>
          <cell r="B215">
            <v>-9.2385306540772958E-3</v>
          </cell>
        </row>
        <row r="216">
          <cell r="A216" t="str">
            <v>Gross Margin</v>
          </cell>
          <cell r="B216">
            <v>0.12327703340832144</v>
          </cell>
        </row>
        <row r="217">
          <cell r="A217" t="str">
            <v>SG&amp;A</v>
          </cell>
          <cell r="B217">
            <v>-9.2623490996430774E-2</v>
          </cell>
        </row>
        <row r="218">
          <cell r="A218" t="str">
            <v>Interest Expense, Net</v>
          </cell>
          <cell r="B218">
            <v>-1.7995738165169045E-3</v>
          </cell>
        </row>
        <row r="219">
          <cell r="A219" t="str">
            <v>Tax Rate</v>
          </cell>
          <cell r="B219">
            <v>1.0237504860645822E-2</v>
          </cell>
        </row>
        <row r="220">
          <cell r="A220" t="str">
            <v>Shares</v>
          </cell>
          <cell r="B220">
            <v>4.3935790474023406E-3</v>
          </cell>
        </row>
        <row r="221">
          <cell r="A221" t="str">
            <v>Total</v>
          </cell>
          <cell r="B221">
            <v>3.4246521849344624E-2</v>
          </cell>
        </row>
        <row r="223">
          <cell r="A223" t="str">
            <v>URBN</v>
          </cell>
        </row>
        <row r="224">
          <cell r="A224" t="str">
            <v>As a % of Sales</v>
          </cell>
          <cell r="B224" t="str">
            <v>4Q09</v>
          </cell>
          <cell r="C224" t="str">
            <v>4Q08</v>
          </cell>
          <cell r="D224" t="str">
            <v>MS Estimate</v>
          </cell>
          <cell r="F224" t="str">
            <v>y/y∆ (bp)</v>
          </cell>
          <cell r="G224" t="str">
            <v>∆ vs 
Est. (bp)</v>
          </cell>
          <cell r="J224" t="str">
            <v>FQ1</v>
          </cell>
          <cell r="K224" t="str">
            <v>FQ2</v>
          </cell>
          <cell r="L224" t="str">
            <v>FY1</v>
          </cell>
          <cell r="M224" t="str">
            <v>FY2</v>
          </cell>
        </row>
        <row r="225">
          <cell r="A225" t="str">
            <v>Gross Income</v>
          </cell>
          <cell r="B225">
            <v>0.41744081917711845</v>
          </cell>
          <cell r="C225">
            <v>0.34028633398808855</v>
          </cell>
          <cell r="D225">
            <v>0.39338633398808853</v>
          </cell>
          <cell r="F225">
            <v>771.54485189029901</v>
          </cell>
          <cell r="G225">
            <v>240.54485189029919</v>
          </cell>
          <cell r="I225" t="str">
            <v>Consensus</v>
          </cell>
          <cell r="J225">
            <v>0.40300000000000002</v>
          </cell>
          <cell r="K225">
            <v>0.25900000000000001</v>
          </cell>
          <cell r="L225">
            <v>1.234</v>
          </cell>
          <cell r="M225">
            <v>1.5580000000000001</v>
          </cell>
          <cell r="N225" t="str">
            <v>updated 3/3/2010</v>
          </cell>
        </row>
        <row r="226">
          <cell r="A226" t="str">
            <v>SG&amp;A Expense</v>
          </cell>
          <cell r="B226">
            <v>0.21580375637433241</v>
          </cell>
          <cell r="C226">
            <v>0.21590779368522153</v>
          </cell>
          <cell r="D226">
            <v>0.21140779368522153</v>
          </cell>
          <cell r="F226">
            <v>-1.0403731088912127</v>
          </cell>
          <cell r="G226">
            <v>43.959626891108826</v>
          </cell>
          <cell r="I226" t="str">
            <v>MS Est.</v>
          </cell>
          <cell r="J226">
            <v>0.40309878685263067</v>
          </cell>
          <cell r="K226">
            <v>0.38</v>
          </cell>
          <cell r="L226">
            <v>1.21</v>
          </cell>
          <cell r="M226">
            <v>1.5</v>
          </cell>
          <cell r="N226" t="str">
            <v>updated 3/3/2010</v>
          </cell>
        </row>
        <row r="227">
          <cell r="A227" t="str">
            <v>Operating Income</v>
          </cell>
          <cell r="B227">
            <v>0.20163706280278604</v>
          </cell>
          <cell r="C227">
            <v>0.12437854030286699</v>
          </cell>
          <cell r="D227">
            <v>0.18197854030286698</v>
          </cell>
          <cell r="F227">
            <v>772.58522499919047</v>
          </cell>
          <cell r="G227">
            <v>196.58522499919061</v>
          </cell>
          <cell r="I227" t="str">
            <v>MS/C</v>
          </cell>
          <cell r="J227">
            <v>9.8786852630650124E-5</v>
          </cell>
          <cell r="K227">
            <v>-0.25900000000000001</v>
          </cell>
          <cell r="L227">
            <v>-1.234</v>
          </cell>
          <cell r="M227">
            <v>-1.5580000000000001</v>
          </cell>
        </row>
        <row r="228">
          <cell r="A228" t="str">
            <v>Other Expenses (Income)</v>
          </cell>
          <cell r="B228">
            <v>-9.7707194478099143E-4</v>
          </cell>
          <cell r="C228">
            <v>-5.8120997169725901E-3</v>
          </cell>
          <cell r="D228">
            <v>-5.8120997169725901E-3</v>
          </cell>
          <cell r="F228">
            <v>48.350277721915987</v>
          </cell>
          <cell r="G228">
            <v>48.350277721915987</v>
          </cell>
          <cell r="I228" t="str">
            <v>Guidance</v>
          </cell>
          <cell r="J228" t="str">
            <v>NA</v>
          </cell>
          <cell r="K228" t="str">
            <v>NA</v>
          </cell>
          <cell r="L228" t="str">
            <v>NA</v>
          </cell>
          <cell r="M228" t="str">
            <v>NA</v>
          </cell>
        </row>
        <row r="229">
          <cell r="A229" t="str">
            <v>Income Before Taxes</v>
          </cell>
          <cell r="B229">
            <v>0.20261413474756704</v>
          </cell>
          <cell r="C229">
            <v>0.1301906400198396</v>
          </cell>
          <cell r="D229">
            <v>0.18779064001983956</v>
          </cell>
          <cell r="F229">
            <v>724.23494727727439</v>
          </cell>
          <cell r="G229">
            <v>148.23494727727481</v>
          </cell>
        </row>
        <row r="230">
          <cell r="A230" t="str">
            <v>Tax Rate</v>
          </cell>
          <cell r="B230">
            <v>0.34856630072880074</v>
          </cell>
          <cell r="C230">
            <v>0.38704703161141057</v>
          </cell>
          <cell r="D230">
            <v>0.374</v>
          </cell>
          <cell r="F230">
            <v>-384.80730882609839</v>
          </cell>
          <cell r="G230">
            <v>-254.33699271199262</v>
          </cell>
        </row>
        <row r="231">
          <cell r="A231" t="str">
            <v>Net Income</v>
          </cell>
          <cell r="B231">
            <v>0.13198967532324082</v>
          </cell>
          <cell r="C231">
            <v>7.9800739256570954E-2</v>
          </cell>
          <cell r="D231">
            <v>0.11755694065241959</v>
          </cell>
          <cell r="F231">
            <v>521.88936066669874</v>
          </cell>
          <cell r="G231">
            <v>144.32734670821233</v>
          </cell>
        </row>
        <row r="233">
          <cell r="A233" t="str">
            <v>EPS</v>
          </cell>
          <cell r="B233">
            <v>0.45049458331518716</v>
          </cell>
          <cell r="C233">
            <v>0.2383991529512581</v>
          </cell>
          <cell r="D233">
            <v>0.40309878685263067</v>
          </cell>
          <cell r="F233">
            <v>0.21209543036392906</v>
          </cell>
          <cell r="G233">
            <v>4.7395796462556483E-2</v>
          </cell>
        </row>
        <row r="235">
          <cell r="A235" t="str">
            <v>EPS Upsides/Downsides</v>
          </cell>
        </row>
        <row r="236">
          <cell r="A236" t="str">
            <v>Sales</v>
          </cell>
          <cell r="B236" t="e">
            <v>#REF!</v>
          </cell>
        </row>
        <row r="237">
          <cell r="A237" t="str">
            <v>Gross Margin</v>
          </cell>
          <cell r="B237">
            <v>5.3483017340296916E-2</v>
          </cell>
        </row>
        <row r="238">
          <cell r="A238" t="str">
            <v>SG&amp;A</v>
          </cell>
          <cell r="B238">
            <v>-9.7740336939839308E-3</v>
          </cell>
        </row>
        <row r="239">
          <cell r="A239" t="str">
            <v>Other Expenses (Income)</v>
          </cell>
          <cell r="B239">
            <v>-1.0750256018734979E-2</v>
          </cell>
        </row>
        <row r="240">
          <cell r="A240" t="str">
            <v>Tax Rate</v>
          </cell>
          <cell r="B240">
            <v>1.7588503278478228E-2</v>
          </cell>
        </row>
        <row r="241">
          <cell r="A241" t="str">
            <v>Shares</v>
          </cell>
          <cell r="B241">
            <v>-2.0935642207525196E-3</v>
          </cell>
        </row>
        <row r="242">
          <cell r="A242" t="str">
            <v>Total</v>
          </cell>
          <cell r="B242">
            <v>4.8453666685303709E-2</v>
          </cell>
        </row>
        <row r="243">
          <cell r="A243" t="str">
            <v>AEO</v>
          </cell>
        </row>
        <row r="244">
          <cell r="A244" t="str">
            <v>AEO</v>
          </cell>
          <cell r="B244" t="str">
            <v>3Q09</v>
          </cell>
          <cell r="C244" t="str">
            <v>3Q08</v>
          </cell>
          <cell r="D244" t="str">
            <v>MS Estimate</v>
          </cell>
          <cell r="F244" t="str">
            <v>y/y∆ (bp)</v>
          </cell>
          <cell r="G244" t="str">
            <v>∆ vs 
Est. (bp)</v>
          </cell>
          <cell r="J244" t="str">
            <v>FQ1</v>
          </cell>
          <cell r="K244" t="str">
            <v>FQ2</v>
          </cell>
          <cell r="M244" t="str">
            <v>FY1</v>
          </cell>
          <cell r="N244" t="str">
            <v>FY2</v>
          </cell>
        </row>
        <row r="245">
          <cell r="A245" t="str">
            <v>As a % of Sales</v>
          </cell>
          <cell r="B245" t="str">
            <v>4Q09</v>
          </cell>
          <cell r="C245" t="str">
            <v>4Q08</v>
          </cell>
          <cell r="D245" t="str">
            <v>MS Estimate</v>
          </cell>
          <cell r="F245" t="str">
            <v>y/y∆ (bp)</v>
          </cell>
          <cell r="G245" t="str">
            <v>∆ vs 
Est. (bp)</v>
          </cell>
          <cell r="I245" t="str">
            <v>Consensus</v>
          </cell>
          <cell r="J245" t="str">
            <v>FQ1</v>
          </cell>
          <cell r="K245" t="str">
            <v>FQ2</v>
          </cell>
          <cell r="M245" t="str">
            <v>FY1</v>
          </cell>
          <cell r="N245" t="str">
            <v>FY2</v>
          </cell>
          <cell r="O245" t="str">
            <v>updated 11/23/2009</v>
          </cell>
        </row>
        <row r="246">
          <cell r="A246" t="str">
            <v>Gross Income</v>
          </cell>
          <cell r="B246">
            <v>0.38593867923135189</v>
          </cell>
          <cell r="C246">
            <v>0.34406978028044605</v>
          </cell>
          <cell r="D246">
            <v>0.38593867923135189</v>
          </cell>
          <cell r="F246">
            <v>418.68898950905844</v>
          </cell>
          <cell r="G246">
            <v>0</v>
          </cell>
          <cell r="I246" t="str">
            <v>Consensus</v>
          </cell>
          <cell r="J246">
            <v>0.20516677394692481</v>
          </cell>
          <cell r="K246">
            <v>0.34</v>
          </cell>
          <cell r="M246">
            <v>0.77</v>
          </cell>
          <cell r="N246">
            <v>0.97</v>
          </cell>
        </row>
        <row r="247">
          <cell r="A247" t="str">
            <v>SG&amp;A</v>
          </cell>
          <cell r="B247">
            <v>0.26707126698025407</v>
          </cell>
          <cell r="C247">
            <v>0.27777851385668545</v>
          </cell>
          <cell r="D247">
            <v>0.26707126698025407</v>
          </cell>
          <cell r="F247">
            <v>-107.07246876431375</v>
          </cell>
          <cell r="G247">
            <v>0</v>
          </cell>
          <cell r="I247" t="str">
            <v>MS Est.</v>
          </cell>
          <cell r="J247">
            <v>-4.8332260530751792E-3</v>
          </cell>
          <cell r="K247">
            <v>1.8000000000000016E-2</v>
          </cell>
          <cell r="M247">
            <v>2.200000000000002E-2</v>
          </cell>
          <cell r="N247">
            <v>-6.2000000000000055E-2</v>
          </cell>
        </row>
        <row r="248">
          <cell r="A248" t="str">
            <v>Operating Income</v>
          </cell>
          <cell r="B248">
            <v>0.11886741225109779</v>
          </cell>
          <cell r="C248">
            <v>6.6291266423760653E-2</v>
          </cell>
          <cell r="D248">
            <v>0.11886741225109779</v>
          </cell>
          <cell r="F248">
            <v>525.76145827337132</v>
          </cell>
          <cell r="G248">
            <v>0</v>
          </cell>
          <cell r="I248" t="str">
            <v>MS/C</v>
          </cell>
          <cell r="J248" t="str">
            <v>0.20-0.21 op.</v>
          </cell>
        </row>
        <row r="249">
          <cell r="A249" t="str">
            <v>Interest and Other Income, net</v>
          </cell>
          <cell r="B249">
            <v>-4.7111590699647102E-4</v>
          </cell>
          <cell r="C249">
            <v>3.207463840123661E-3</v>
          </cell>
          <cell r="D249">
            <v>-4.7111590699647102E-4</v>
          </cell>
          <cell r="F249">
            <v>-36.78579747120132</v>
          </cell>
          <cell r="G249">
            <v>0</v>
          </cell>
          <cell r="I249" t="str">
            <v>M Guidance</v>
          </cell>
        </row>
        <row r="250">
          <cell r="A250" t="str">
            <v>Income Before Taxes</v>
          </cell>
          <cell r="B250">
            <v>0.11839629634410131</v>
          </cell>
          <cell r="C250">
            <v>6.9498730263884312E-2</v>
          </cell>
          <cell r="D250">
            <v>0.11839629634410131</v>
          </cell>
          <cell r="F250">
            <v>488.97566080217001</v>
          </cell>
          <cell r="G250">
            <v>0</v>
          </cell>
        </row>
        <row r="251">
          <cell r="A251" t="str">
            <v>Tax Rate</v>
          </cell>
          <cell r="B251">
            <v>0.38</v>
          </cell>
          <cell r="C251">
            <v>0.3856064818492333</v>
          </cell>
          <cell r="D251">
            <v>0.38</v>
          </cell>
          <cell r="F251">
            <v>-56.064818492332911</v>
          </cell>
          <cell r="G251">
            <v>0</v>
          </cell>
        </row>
        <row r="252">
          <cell r="A252" t="str">
            <v>Net Income</v>
          </cell>
          <cell r="B252">
            <v>7.340570373334282E-2</v>
          </cell>
          <cell r="C252">
            <v>4.2699569393839044E-2</v>
          </cell>
          <cell r="D252">
            <v>7.340570373334282E-2</v>
          </cell>
          <cell r="F252">
            <v>307.06134339503774</v>
          </cell>
          <cell r="G252">
            <v>0</v>
          </cell>
        </row>
        <row r="253">
          <cell r="A253" t="str">
            <v>EPS</v>
          </cell>
          <cell r="B253">
            <v>0.20516677394692481</v>
          </cell>
          <cell r="C253">
            <v>0.30139292156616848</v>
          </cell>
          <cell r="D253">
            <v>0.20516677394692481</v>
          </cell>
          <cell r="F253">
            <v>-9.6226147619243668E-2</v>
          </cell>
          <cell r="G253">
            <v>0</v>
          </cell>
        </row>
        <row r="254">
          <cell r="A254" t="str">
            <v>EPS</v>
          </cell>
          <cell r="B254">
            <v>0.33751528617009335</v>
          </cell>
          <cell r="C254">
            <v>0.18721951927964575</v>
          </cell>
          <cell r="D254">
            <v>0.33751528617009335</v>
          </cell>
          <cell r="F254">
            <v>0.1502957668904476</v>
          </cell>
          <cell r="G254">
            <v>0</v>
          </cell>
        </row>
        <row r="255">
          <cell r="A255" t="str">
            <v>EPS Upsides/Downsides</v>
          </cell>
        </row>
        <row r="256">
          <cell r="A256" t="str">
            <v>EPS Upsides/Downsides</v>
          </cell>
          <cell r="B256">
            <v>0</v>
          </cell>
        </row>
        <row r="257">
          <cell r="A257" t="str">
            <v>Gross Margin</v>
          </cell>
          <cell r="B257">
            <v>0</v>
          </cell>
        </row>
        <row r="258">
          <cell r="A258" t="str">
            <v>SG&amp;A</v>
          </cell>
          <cell r="B258">
            <v>0</v>
          </cell>
        </row>
        <row r="259">
          <cell r="A259" t="str">
            <v>Interest and Other Income, net</v>
          </cell>
          <cell r="B259">
            <v>0</v>
          </cell>
        </row>
        <row r="260">
          <cell r="A260" t="str">
            <v>Tax Rate</v>
          </cell>
          <cell r="B260">
            <v>0</v>
          </cell>
        </row>
        <row r="261">
          <cell r="A261" t="str">
            <v>Shares</v>
          </cell>
          <cell r="B261">
            <v>0</v>
          </cell>
        </row>
        <row r="262">
          <cell r="A262" t="str">
            <v>Total</v>
          </cell>
          <cell r="B262">
            <v>0</v>
          </cell>
        </row>
        <row r="263">
          <cell r="A263" t="str">
            <v>ANF</v>
          </cell>
          <cell r="I263" t="str">
            <v>From Bloomberg</v>
          </cell>
        </row>
        <row r="264">
          <cell r="A264" t="str">
            <v>ANF</v>
          </cell>
          <cell r="B264" t="str">
            <v>3Q09</v>
          </cell>
          <cell r="C264" t="str">
            <v>3Q08</v>
          </cell>
          <cell r="D264" t="str">
            <v>MS Est.</v>
          </cell>
          <cell r="F264" t="str">
            <v>y/y∆ (bp)</v>
          </cell>
          <cell r="G264" t="str">
            <v>∆ vs MS
Est. (bp)</v>
          </cell>
          <cell r="I264" t="str">
            <v>From Bloomberg</v>
          </cell>
          <cell r="J264" t="str">
            <v>FQ1</v>
          </cell>
          <cell r="K264" t="str">
            <v>FQ2</v>
          </cell>
          <cell r="M264" t="str">
            <v>FY1</v>
          </cell>
          <cell r="N264" t="str">
            <v>FY2</v>
          </cell>
          <cell r="O264" t="str">
            <v>FY3</v>
          </cell>
        </row>
        <row r="265">
          <cell r="A265" t="str">
            <v>As a % of Sales</v>
          </cell>
          <cell r="B265" t="str">
            <v>4Q09</v>
          </cell>
          <cell r="C265" t="str">
            <v>4Q08</v>
          </cell>
          <cell r="D265" t="str">
            <v>MS Est.</v>
          </cell>
          <cell r="F265" t="str">
            <v>y/y∆ (bp)</v>
          </cell>
          <cell r="G265" t="str">
            <v>∆ vs MS
Est. (bp)</v>
          </cell>
          <cell r="I265" t="str">
            <v>Consensus</v>
          </cell>
          <cell r="J265" t="str">
            <v>FQ1</v>
          </cell>
          <cell r="K265" t="str">
            <v>FQ2</v>
          </cell>
          <cell r="M265" t="str">
            <v>FY1</v>
          </cell>
          <cell r="N265" t="str">
            <v>FY2</v>
          </cell>
          <cell r="O265" t="str">
            <v>FY3</v>
          </cell>
          <cell r="P265">
            <v>40129</v>
          </cell>
        </row>
        <row r="266">
          <cell r="A266" t="str">
            <v>Gross Income</v>
          </cell>
          <cell r="B266">
            <v>0.63520055214206117</v>
          </cell>
          <cell r="C266">
            <v>0.64625120691184512</v>
          </cell>
          <cell r="D266">
            <v>0.6389308385648651</v>
          </cell>
          <cell r="F266">
            <v>-110.50654769783952</v>
          </cell>
          <cell r="G266">
            <v>-37.302864228039297</v>
          </cell>
          <cell r="I266" t="str">
            <v>Consensus</v>
          </cell>
          <cell r="J266">
            <v>0.86899999999999999</v>
          </cell>
          <cell r="K266">
            <v>-0.30550645974206669</v>
          </cell>
          <cell r="M266">
            <v>0.89300000000000002</v>
          </cell>
          <cell r="N266">
            <v>1.6679999999999999</v>
          </cell>
          <cell r="O266">
            <v>2.238</v>
          </cell>
          <cell r="P266">
            <v>40225</v>
          </cell>
        </row>
        <row r="267">
          <cell r="A267" t="str">
            <v>SG&amp;A Expense</v>
          </cell>
          <cell r="B267">
            <v>0.50553157028219287</v>
          </cell>
          <cell r="C267">
            <v>0.49192146483158294</v>
          </cell>
          <cell r="D267">
            <v>0.50634691694515288</v>
          </cell>
          <cell r="F267">
            <v>136.10105450609922</v>
          </cell>
          <cell r="G267">
            <v>-8.1534666296001479</v>
          </cell>
          <cell r="I267" t="str">
            <v>MS Est.</v>
          </cell>
          <cell r="J267">
            <v>0.91479700159346322</v>
          </cell>
          <cell r="K267">
            <v>-1.3135064597420667</v>
          </cell>
        </row>
        <row r="268">
          <cell r="A268" t="str">
            <v>Other Operating Expense</v>
          </cell>
          <cell r="B268">
            <v>-7.7650319287258102E-3</v>
          </cell>
          <cell r="C268">
            <v>-5.5372656653843921E-3</v>
          </cell>
          <cell r="D268">
            <v>-6.4792049741721819E-3</v>
          </cell>
          <cell r="F268">
            <v>-22.277662633414181</v>
          </cell>
          <cell r="G268">
            <v>-12.858269545536283</v>
          </cell>
          <cell r="I268" t="str">
            <v>MS/C</v>
          </cell>
          <cell r="J268">
            <v>4.5797001593463227E-2</v>
          </cell>
        </row>
        <row r="269">
          <cell r="A269" t="str">
            <v>Operating Income</v>
          </cell>
          <cell r="B269">
            <v>0.13743401378859399</v>
          </cell>
          <cell r="C269">
            <v>0.15986700774564663</v>
          </cell>
          <cell r="D269">
            <v>0.1390631265938844</v>
          </cell>
          <cell r="F269">
            <v>-224.32993957052645</v>
          </cell>
          <cell r="G269">
            <v>-16.291128052904057</v>
          </cell>
          <cell r="I269" t="str">
            <v>Guidance</v>
          </cell>
        </row>
        <row r="270">
          <cell r="A270" t="str">
            <v>Interest Expense (Income)</v>
          </cell>
          <cell r="B270">
            <v>1.1677462710645722E-3</v>
          </cell>
          <cell r="C270">
            <v>-1.4467648645149055E-3</v>
          </cell>
          <cell r="D270">
            <v>4.1688385501705005E-4</v>
          </cell>
          <cell r="F270">
            <v>26.145111355794779</v>
          </cell>
          <cell r="G270">
            <v>7.5086241604752209</v>
          </cell>
          <cell r="I270" t="str">
            <v>P Guidance</v>
          </cell>
        </row>
        <row r="271">
          <cell r="A271" t="str">
            <v>Earnings Before Taxes</v>
          </cell>
          <cell r="B271">
            <v>0.13626626751752943</v>
          </cell>
          <cell r="C271">
            <v>0.16131377261016155</v>
          </cell>
          <cell r="D271">
            <v>0.13864624273886736</v>
          </cell>
          <cell r="F271">
            <v>-250.47505092632122</v>
          </cell>
          <cell r="G271">
            <v>-23.799752213379264</v>
          </cell>
          <cell r="I271" t="str">
            <v>Consensus Comp</v>
          </cell>
        </row>
        <row r="272">
          <cell r="A272" t="str">
            <v>Tax Rate</v>
          </cell>
          <cell r="B272">
            <v>0.36083845574860479</v>
          </cell>
          <cell r="C272">
            <v>0.44367265418599672</v>
          </cell>
          <cell r="D272">
            <v>0.38500000000000001</v>
          </cell>
          <cell r="F272">
            <v>-828.34198437391922</v>
          </cell>
          <cell r="G272">
            <v>-241.61544251395216</v>
          </cell>
          <cell r="I272" t="str">
            <v>Consensus Comp</v>
          </cell>
        </row>
        <row r="273">
          <cell r="A273" t="str">
            <v>Net Income</v>
          </cell>
          <cell r="B273">
            <v>5.0704547372784445E-2</v>
          </cell>
          <cell r="C273">
            <v>6.974548561442645E-2</v>
          </cell>
          <cell r="D273">
            <v>7.2438837812268814E-2</v>
          </cell>
          <cell r="F273">
            <v>-190.40938241642004</v>
          </cell>
          <cell r="G273">
            <v>-217.34290439484369</v>
          </cell>
          <cell r="I273" t="str">
            <v>MS Est.</v>
          </cell>
        </row>
        <row r="274">
          <cell r="A274" t="str">
            <v>EPS</v>
          </cell>
          <cell r="B274">
            <v>0.29675419812915488</v>
          </cell>
          <cell r="C274">
            <v>0.71954597662320108</v>
          </cell>
          <cell r="D274">
            <v>0.20607553553155786</v>
          </cell>
          <cell r="F274">
            <v>-0.4227917784940462</v>
          </cell>
          <cell r="G274">
            <v>9.0678662597597021E-2</v>
          </cell>
        </row>
        <row r="275">
          <cell r="A275" t="str">
            <v>EPS</v>
          </cell>
          <cell r="B275">
            <v>0.91479700159346322</v>
          </cell>
          <cell r="C275">
            <v>0.9973146910195102</v>
          </cell>
          <cell r="D275">
            <v>0.91348144252652552</v>
          </cell>
          <cell r="F275">
            <v>-8.2517689426046981E-2</v>
          </cell>
          <cell r="G275">
            <v>1.3155590669376993E-3</v>
          </cell>
        </row>
        <row r="276">
          <cell r="A276" t="str">
            <v>EPS Upsides/Downsides</v>
          </cell>
        </row>
        <row r="277">
          <cell r="A277" t="str">
            <v>EPS Upsides/Downsides</v>
          </cell>
          <cell r="B277">
            <v>3.9594538117740255E-3</v>
          </cell>
          <cell r="I277" t="str">
            <v>running tally</v>
          </cell>
        </row>
        <row r="278">
          <cell r="A278" t="str">
            <v>Gross Margin</v>
          </cell>
          <cell r="B278">
            <v>-9.3823838608346158E-2</v>
          </cell>
          <cell r="I278">
            <v>-9.3823838608346158E-2</v>
          </cell>
        </row>
        <row r="279">
          <cell r="A279" t="str">
            <v>Stores and Distribution</v>
          </cell>
          <cell r="B279">
            <v>7.3388432416435279E-2</v>
          </cell>
          <cell r="I279">
            <v>-2.0435406191910879E-2</v>
          </cell>
        </row>
        <row r="280">
          <cell r="A280" t="str">
            <v>Marketing, General and Administrative Expenses</v>
          </cell>
          <cell r="B280">
            <v>-1.3406211970566307E-2</v>
          </cell>
          <cell r="I280">
            <v>-3.3841618162477188E-2</v>
          </cell>
        </row>
        <row r="281">
          <cell r="A281" t="str">
            <v>Other Operating Expense (Income)</v>
          </cell>
          <cell r="B281">
            <v>7.9346580895232471E-3</v>
          </cell>
          <cell r="I281">
            <v>-2.5906960072953941E-2</v>
          </cell>
        </row>
        <row r="282">
          <cell r="A282" t="str">
            <v>Operating Margin</v>
          </cell>
          <cell r="B282">
            <v>-1.1770010098571454E-2</v>
          </cell>
        </row>
        <row r="283">
          <cell r="A283" t="str">
            <v>Interest Expense, Net</v>
          </cell>
          <cell r="B283">
            <v>-4.9958905404242308E-3</v>
          </cell>
          <cell r="I283">
            <v>-3.090285061337817E-2</v>
          </cell>
        </row>
        <row r="284">
          <cell r="A284" t="str">
            <v>Tax Rate</v>
          </cell>
          <cell r="B284">
            <v>3.4581098368381503E-2</v>
          </cell>
          <cell r="I284">
            <v>3.6782477550033332E-3</v>
          </cell>
        </row>
        <row r="285">
          <cell r="A285" t="str">
            <v>Shares</v>
          </cell>
          <cell r="B285">
            <v>-3.5496818885781822E-3</v>
          </cell>
          <cell r="I285">
            <v>1.28565866425151E-4</v>
          </cell>
        </row>
        <row r="286">
          <cell r="A286" t="str">
            <v>Total</v>
          </cell>
          <cell r="B286">
            <v>1.28565866425151E-4</v>
          </cell>
        </row>
        <row r="287">
          <cell r="A287" t="str">
            <v>ARO</v>
          </cell>
        </row>
        <row r="288">
          <cell r="A288" t="str">
            <v>ARO</v>
          </cell>
          <cell r="B288" t="str">
            <v>3Q09</v>
          </cell>
          <cell r="C288" t="str">
            <v>3Q08</v>
          </cell>
          <cell r="D288" t="str">
            <v>MS Est.</v>
          </cell>
          <cell r="F288" t="str">
            <v>y/y∆ (bp)</v>
          </cell>
          <cell r="G288" t="str">
            <v>∆ vs MS
Est. (bp)</v>
          </cell>
          <cell r="J288" t="str">
            <v>FQ1</v>
          </cell>
          <cell r="K288" t="str">
            <v>FQ2</v>
          </cell>
          <cell r="L288" t="str">
            <v>FQ3</v>
          </cell>
          <cell r="M288" t="str">
            <v>FY1</v>
          </cell>
          <cell r="N288" t="str">
            <v>FY2</v>
          </cell>
        </row>
        <row r="289">
          <cell r="A289" t="str">
            <v>As a % of Sales</v>
          </cell>
          <cell r="B289" t="str">
            <v>3Q09</v>
          </cell>
          <cell r="C289" t="str">
            <v>3Q08</v>
          </cell>
          <cell r="D289" t="str">
            <v>MS Est.</v>
          </cell>
          <cell r="F289" t="str">
            <v>y/y∆ (bp)</v>
          </cell>
          <cell r="G289" t="str">
            <v>∆ vs MS
Est. (bp)</v>
          </cell>
          <cell r="I289" t="str">
            <v>Consensus</v>
          </cell>
          <cell r="J289" t="str">
            <v>FQ1</v>
          </cell>
          <cell r="K289" t="str">
            <v>FQ2</v>
          </cell>
          <cell r="L289" t="str">
            <v>FQ3</v>
          </cell>
          <cell r="M289" t="str">
            <v>FY1</v>
          </cell>
          <cell r="N289" t="str">
            <v>FY2</v>
          </cell>
        </row>
        <row r="290">
          <cell r="A290" t="str">
            <v>Gross Income</v>
          </cell>
          <cell r="B290">
            <v>0.39257147284965077</v>
          </cell>
          <cell r="C290">
            <v>0.35982922472756235</v>
          </cell>
          <cell r="D290">
            <v>0.39528365206998789</v>
          </cell>
          <cell r="F290">
            <v>327.42248122088426</v>
          </cell>
          <cell r="G290">
            <v>-27.121792203371186</v>
          </cell>
          <cell r="I290" t="str">
            <v>Consensus</v>
          </cell>
          <cell r="J290">
            <v>0.30712970000000001</v>
          </cell>
          <cell r="K290">
            <v>0.59615390000000001</v>
          </cell>
          <cell r="M290">
            <v>2.1453759999999997</v>
          </cell>
          <cell r="N290">
            <v>2.394126</v>
          </cell>
          <cell r="O290" t="str">
            <v>linked to working2</v>
          </cell>
        </row>
        <row r="291">
          <cell r="A291" t="str">
            <v>SG&amp;A Expense</v>
          </cell>
          <cell r="B291">
            <v>0.20646029325265305</v>
          </cell>
          <cell r="C291">
            <v>0.21385080398392656</v>
          </cell>
          <cell r="D291">
            <v>0.2117429985550526</v>
          </cell>
          <cell r="F291">
            <v>-73.905107312735026</v>
          </cell>
          <cell r="G291">
            <v>-52.827053023995482</v>
          </cell>
          <cell r="I291" t="str">
            <v>MS Est.</v>
          </cell>
          <cell r="J291">
            <v>0.92113662102337024</v>
          </cell>
          <cell r="K291">
            <v>1.3135602997739202</v>
          </cell>
          <cell r="M291">
            <v>3.2066781689519406</v>
          </cell>
          <cell r="N291">
            <v>3.5479305986742777</v>
          </cell>
          <cell r="O291" t="str">
            <v>linked to working2</v>
          </cell>
        </row>
        <row r="292">
          <cell r="A292" t="str">
            <v>Operating Income</v>
          </cell>
          <cell r="B292">
            <v>0.18611117959699769</v>
          </cell>
          <cell r="C292">
            <v>0.14597842074363579</v>
          </cell>
          <cell r="D292">
            <v>0.18354065351493529</v>
          </cell>
          <cell r="F292">
            <v>401.32758853361901</v>
          </cell>
          <cell r="G292">
            <v>25.705260820624019</v>
          </cell>
          <cell r="I292" t="str">
            <v>MS/C</v>
          </cell>
          <cell r="J292">
            <v>0.61400692102337029</v>
          </cell>
          <cell r="K292">
            <v>0.71740639977392018</v>
          </cell>
          <cell r="M292">
            <v>1.0613021689519408</v>
          </cell>
          <cell r="N292">
            <v>1.1538045986742778</v>
          </cell>
        </row>
        <row r="293">
          <cell r="A293" t="str">
            <v>Interest Expense (Income), Net</v>
          </cell>
          <cell r="B293">
            <v>-4.7548772713344299E-5</v>
          </cell>
          <cell r="C293">
            <v>-4.3565120519794122E-4</v>
          </cell>
          <cell r="D293">
            <v>-2.9837499988074993E-4</v>
          </cell>
          <cell r="F293">
            <v>3.8810243248459693</v>
          </cell>
          <cell r="G293">
            <v>2.5082622716740564</v>
          </cell>
          <cell r="I293" t="str">
            <v>M Guidance</v>
          </cell>
          <cell r="J293" t="str">
            <v>$0.61-$0.62</v>
          </cell>
        </row>
        <row r="294">
          <cell r="A294" t="str">
            <v>Income Before Taxes</v>
          </cell>
          <cell r="B294">
            <v>0.18615872836971104</v>
          </cell>
          <cell r="C294">
            <v>0.14641407194883371</v>
          </cell>
          <cell r="D294">
            <v>0.18383902851481601</v>
          </cell>
          <cell r="F294">
            <v>397.44656420877322</v>
          </cell>
          <cell r="G294">
            <v>23.196998548950244</v>
          </cell>
        </row>
        <row r="295">
          <cell r="A295" t="str">
            <v>Tax Provision (Benefit)</v>
          </cell>
          <cell r="B295">
            <v>0.40752828546562242</v>
          </cell>
          <cell r="C295">
            <v>0.39575215721835749</v>
          </cell>
          <cell r="D295">
            <v>0.39900000000000002</v>
          </cell>
          <cell r="F295">
            <v>117.76128247264927</v>
          </cell>
          <cell r="G295">
            <v>85.282854656223989</v>
          </cell>
        </row>
        <row r="296">
          <cell r="A296" t="str">
            <v>Net Income (Pre-Extraordinary)</v>
          </cell>
          <cell r="B296">
            <v>0.11029378097274217</v>
          </cell>
          <cell r="C296">
            <v>8.8470387127958974E-2</v>
          </cell>
          <cell r="D296">
            <v>0.11048725613740441</v>
          </cell>
          <cell r="F296">
            <v>218.23393844783197</v>
          </cell>
          <cell r="G296">
            <v>-1.9347516466224068</v>
          </cell>
        </row>
        <row r="297">
          <cell r="A297" t="str">
            <v>Diluted EPS (Pre-Extraordinary)</v>
          </cell>
          <cell r="B297">
            <v>0.92113662102337024</v>
          </cell>
          <cell r="C297">
            <v>0.6304289980190988</v>
          </cell>
          <cell r="D297">
            <v>0.92709190651576245</v>
          </cell>
          <cell r="F297">
            <v>0.29070762300427144</v>
          </cell>
          <cell r="G297">
            <v>-5.9552854923922149E-3</v>
          </cell>
        </row>
        <row r="298">
          <cell r="A298" t="str">
            <v>EPS Upsides/Downsides</v>
          </cell>
        </row>
        <row r="299">
          <cell r="A299" t="str">
            <v>EPS Upsides/Downsides</v>
          </cell>
          <cell r="B299">
            <v>-1.3419303182105114E-2</v>
          </cell>
        </row>
        <row r="300">
          <cell r="A300" t="str">
            <v>SG&amp;A</v>
          </cell>
          <cell r="B300">
            <v>-1.3419303182105114E-2</v>
          </cell>
        </row>
        <row r="301">
          <cell r="A301" t="str">
            <v>Operating Income</v>
          </cell>
          <cell r="B301">
            <v>2.613773586311971E-2</v>
          </cell>
        </row>
        <row r="302">
          <cell r="A302" t="str">
            <v>Tax Rate</v>
          </cell>
          <cell r="B302">
            <v>-1.2410206745309426E-3</v>
          </cell>
        </row>
        <row r="303">
          <cell r="A303" t="str">
            <v>Shares</v>
          </cell>
          <cell r="B303">
            <v>-1.3259225485726153E-2</v>
          </cell>
        </row>
        <row r="304">
          <cell r="A304" t="str">
            <v>EPS</v>
          </cell>
          <cell r="B304">
            <v>-4.3937840004031337E-3</v>
          </cell>
        </row>
        <row r="305">
          <cell r="A305" t="str">
            <v>Total</v>
          </cell>
          <cell r="B305">
            <v>-6.1755974796456337E-3</v>
          </cell>
        </row>
        <row r="306">
          <cell r="A306" t="str">
            <v>TGT</v>
          </cell>
        </row>
        <row r="307">
          <cell r="A307" t="str">
            <v>TGT</v>
          </cell>
          <cell r="B307" t="str">
            <v>4Q07</v>
          </cell>
          <cell r="C307" t="str">
            <v>4Q06</v>
          </cell>
          <cell r="D307" t="str">
            <v>MS Est.</v>
          </cell>
          <cell r="F307" t="str">
            <v>y/y∆ (bp)</v>
          </cell>
          <cell r="G307" t="str">
            <v>∆ vs MS
Est. (bp)</v>
          </cell>
        </row>
        <row r="308">
          <cell r="A308" t="str">
            <v>As a % of Sales</v>
          </cell>
          <cell r="B308" t="str">
            <v>4Q07</v>
          </cell>
          <cell r="C308" t="str">
            <v>4Q06</v>
          </cell>
          <cell r="D308" t="str">
            <v>MS Est.</v>
          </cell>
          <cell r="F308" t="str">
            <v>y/y∆ (bp)</v>
          </cell>
          <cell r="G308" t="str">
            <v>∆ vs MS
Est. (bp)</v>
          </cell>
        </row>
        <row r="309">
          <cell r="A309" t="str">
            <v>Gross Income</v>
          </cell>
          <cell r="B309">
            <v>0.30149999999999999</v>
          </cell>
          <cell r="C309">
            <v>0.30722922829415122</v>
          </cell>
          <cell r="D309">
            <v>0.30149999999999999</v>
          </cell>
          <cell r="F309">
            <v>-57.29228294151234</v>
          </cell>
          <cell r="G309">
            <v>0</v>
          </cell>
        </row>
        <row r="310">
          <cell r="A310" t="str">
            <v>SG&amp;A Expense</v>
          </cell>
          <cell r="B310">
            <v>0.20180000000000001</v>
          </cell>
          <cell r="C310">
            <v>0.19731174425242617</v>
          </cell>
          <cell r="D310">
            <v>0.20180000000000001</v>
          </cell>
          <cell r="F310">
            <v>44.882557475738324</v>
          </cell>
          <cell r="G310">
            <v>0</v>
          </cell>
        </row>
        <row r="311">
          <cell r="A311" t="str">
            <v>Operating Income</v>
          </cell>
          <cell r="B311">
            <v>7.8299999999999981E-2</v>
          </cell>
          <cell r="C311">
            <v>8.9054958742020865E-2</v>
          </cell>
          <cell r="D311">
            <v>7.8299999999999981E-2</v>
          </cell>
          <cell r="F311">
            <v>-107.54958742020884</v>
          </cell>
          <cell r="G311">
            <v>0</v>
          </cell>
        </row>
        <row r="312">
          <cell r="A312" t="str">
            <v>Interest Expense (Income)</v>
          </cell>
          <cell r="B312">
            <v>8.9523397104446754E-3</v>
          </cell>
          <cell r="C312">
            <v>7.8883180237687475E-3</v>
          </cell>
          <cell r="D312">
            <v>8.9523397104446754E-3</v>
          </cell>
          <cell r="F312">
            <v>10.64021686675928</v>
          </cell>
          <cell r="G312">
            <v>0</v>
          </cell>
        </row>
        <row r="313">
          <cell r="A313" t="str">
            <v>Earnings Before Taxes</v>
          </cell>
          <cell r="B313">
            <v>8.2896011892450883E-2</v>
          </cell>
          <cell r="C313">
            <v>9.367377653225388E-2</v>
          </cell>
          <cell r="D313">
            <v>6.0257749178857754E-2</v>
          </cell>
          <cell r="F313">
            <v>-18.254847645429173</v>
          </cell>
          <cell r="G313">
            <v>-20.000000000000018</v>
          </cell>
        </row>
        <row r="314">
          <cell r="A314" t="str">
            <v>Tax Rate</v>
          </cell>
          <cell r="B314">
            <v>0.38100000000000001</v>
          </cell>
          <cell r="C314">
            <v>0.38282548476454292</v>
          </cell>
          <cell r="D314">
            <v>0.38300000000000001</v>
          </cell>
          <cell r="F314">
            <v>-18.254847645429173</v>
          </cell>
          <cell r="G314">
            <v>-20.000000000000018</v>
          </cell>
        </row>
        <row r="315">
          <cell r="A315" t="str">
            <v>Net Income</v>
          </cell>
          <cell r="B315">
            <v>5.1312631361427101E-2</v>
          </cell>
          <cell r="C315">
            <v>5.781306762156832E-2</v>
          </cell>
          <cell r="D315">
            <v>3.7179031243355233E-2</v>
          </cell>
          <cell r="F315">
            <v>-65.004362601412197</v>
          </cell>
          <cell r="G315">
            <v>141.33600118071868</v>
          </cell>
        </row>
        <row r="316">
          <cell r="A316" t="str">
            <v>EPS</v>
          </cell>
          <cell r="B316">
            <v>1.1961704077679793</v>
          </cell>
          <cell r="C316">
            <v>1.287266004159926</v>
          </cell>
          <cell r="D316">
            <v>1.1961704077679793</v>
          </cell>
          <cell r="F316">
            <v>-9.1095596391946643E-2</v>
          </cell>
          <cell r="G316">
            <v>0</v>
          </cell>
        </row>
        <row r="317">
          <cell r="A317" t="str">
            <v>EPS</v>
          </cell>
          <cell r="B317">
            <v>1.1961704077679793</v>
          </cell>
          <cell r="C317">
            <v>1.287266004159926</v>
          </cell>
          <cell r="D317">
            <v>1.1961704077679793</v>
          </cell>
          <cell r="F317">
            <v>-9.1095596391946643E-2</v>
          </cell>
          <cell r="G317">
            <v>0</v>
          </cell>
        </row>
        <row r="318">
          <cell r="A318" t="str">
            <v>EPS Upsides/Downsides</v>
          </cell>
        </row>
        <row r="319">
          <cell r="A319" t="str">
            <v>EPS Upsides/Downsides</v>
          </cell>
          <cell r="B319">
            <v>2.2495220971553489E-4</v>
          </cell>
        </row>
        <row r="320">
          <cell r="A320" t="str">
            <v>Gross Income</v>
          </cell>
          <cell r="B320">
            <v>2.2495220971553489E-4</v>
          </cell>
        </row>
        <row r="321">
          <cell r="A321" t="str">
            <v>SG&amp;A Expense</v>
          </cell>
          <cell r="B321">
            <v>1.5056502792900478E-4</v>
          </cell>
        </row>
        <row r="322">
          <cell r="A322" t="str">
            <v>Operating Income</v>
          </cell>
          <cell r="B322">
            <v>5.8420424612691138E-5</v>
          </cell>
        </row>
        <row r="323">
          <cell r="A323" t="str">
            <v>Interest Expense (Income)</v>
          </cell>
          <cell r="B323">
            <v>6.6794315090834546E-6</v>
          </cell>
        </row>
        <row r="324">
          <cell r="A324" t="str">
            <v>Earnings Before Taxes</v>
          </cell>
        </row>
        <row r="325">
          <cell r="A325" t="str">
            <v>Tax Rate</v>
          </cell>
          <cell r="B325">
            <v>6.6794315090834546E-6</v>
          </cell>
        </row>
        <row r="326">
          <cell r="A326" t="str">
            <v>Total</v>
          </cell>
          <cell r="B326">
            <v>6.6794315090834546E-6</v>
          </cell>
        </row>
        <row r="327">
          <cell r="A327" t="str">
            <v>shares</v>
          </cell>
          <cell r="B327">
            <v>829.63621578113214</v>
          </cell>
        </row>
        <row r="328">
          <cell r="A328" t="str">
            <v>shares</v>
          </cell>
          <cell r="B328">
            <v>829.63621578113214</v>
          </cell>
        </row>
      </sheetData>
      <sheetData sheetId="2"/>
      <sheetData sheetId="3"/>
      <sheetData sheetId="4"/>
      <sheetData sheetId="5">
        <row r="1">
          <cell r="A1" t="str">
            <v>COH</v>
          </cell>
        </row>
        <row r="2">
          <cell r="B2" t="str">
            <v>3Q10</v>
          </cell>
          <cell r="C2" t="str">
            <v>MS Estimate</v>
          </cell>
          <cell r="D2" t="str">
            <v>FC Consensus</v>
          </cell>
          <cell r="E2" t="str">
            <v>Management Guidance</v>
          </cell>
          <cell r="F2" t="str">
            <v>3Q09</v>
          </cell>
          <cell r="H2" t="str">
            <v>y/y∆ (bp)</v>
          </cell>
          <cell r="I2" t="str">
            <v>∆ vs 
Est. (bp)</v>
          </cell>
        </row>
        <row r="3">
          <cell r="A3" t="str">
            <v>Sales</v>
          </cell>
          <cell r="B3">
            <v>0</v>
          </cell>
          <cell r="C3">
            <v>0</v>
          </cell>
          <cell r="D3">
            <v>659.173</v>
          </cell>
          <cell r="E3">
            <v>655</v>
          </cell>
          <cell r="F3">
            <v>0</v>
          </cell>
          <cell r="H3">
            <v>0</v>
          </cell>
          <cell r="I3">
            <v>0</v>
          </cell>
        </row>
        <row r="4">
          <cell r="A4" t="str">
            <v>EPS</v>
          </cell>
          <cell r="B4">
            <v>1.9105951722867136</v>
          </cell>
          <cell r="C4">
            <v>0.43855628046027123</v>
          </cell>
          <cell r="D4">
            <v>0.36</v>
          </cell>
          <cell r="F4">
            <v>0</v>
          </cell>
          <cell r="H4" t="e">
            <v>#DIV/0!</v>
          </cell>
          <cell r="I4">
            <v>1.4720388918264424</v>
          </cell>
        </row>
        <row r="5">
          <cell r="A5" t="str">
            <v>Operating Margin</v>
          </cell>
          <cell r="B5">
            <v>0</v>
          </cell>
          <cell r="C5">
            <v>0</v>
          </cell>
          <cell r="F5">
            <v>0</v>
          </cell>
          <cell r="H5">
            <v>0</v>
          </cell>
          <cell r="I5">
            <v>0</v>
          </cell>
        </row>
        <row r="6">
          <cell r="A6" t="str">
            <v>SG&amp;A Ratio</v>
          </cell>
          <cell r="B6">
            <v>0</v>
          </cell>
          <cell r="C6">
            <v>0</v>
          </cell>
          <cell r="F6">
            <v>0</v>
          </cell>
          <cell r="H6">
            <v>0</v>
          </cell>
          <cell r="I6">
            <v>0</v>
          </cell>
        </row>
        <row r="7">
          <cell r="A7" t="str">
            <v>Gross Margin</v>
          </cell>
          <cell r="B7">
            <v>-1.2409999999999997</v>
          </cell>
          <cell r="C7">
            <v>0</v>
          </cell>
          <cell r="F7">
            <v>0</v>
          </cell>
          <cell r="H7">
            <v>-12409.999999999996</v>
          </cell>
          <cell r="I7">
            <v>-12409.999999999996</v>
          </cell>
        </row>
        <row r="17">
          <cell r="B17" t="str">
            <v>Floating rate note, no commission after</v>
          </cell>
          <cell r="D17" t="str">
            <v>50K</v>
          </cell>
        </row>
        <row r="18">
          <cell r="B18" t="str">
            <v>Floating Rate Taxable MARS</v>
          </cell>
          <cell r="D18" t="str">
            <v>250K</v>
          </cell>
        </row>
      </sheetData>
      <sheetData sheetId="6">
        <row r="1">
          <cell r="A1" t="str">
            <v>TJX</v>
          </cell>
        </row>
        <row r="2">
          <cell r="A2" t="str">
            <v>FY08</v>
          </cell>
          <cell r="B2" t="str">
            <v>MS Estimate</v>
          </cell>
          <cell r="C2" t="str">
            <v>FC Consensus</v>
          </cell>
          <cell r="D2" t="str">
            <v>Management Guidance</v>
          </cell>
        </row>
        <row r="3">
          <cell r="A3" t="str">
            <v>Sales</v>
          </cell>
          <cell r="B3">
            <v>18626.920587592856</v>
          </cell>
          <cell r="C3">
            <v>18779.7</v>
          </cell>
          <cell r="D3">
            <v>18800</v>
          </cell>
        </row>
        <row r="4">
          <cell r="A4" t="str">
            <v>EPS</v>
          </cell>
          <cell r="B4">
            <v>1.859054126788775</v>
          </cell>
          <cell r="C4">
            <v>1.86</v>
          </cell>
          <cell r="D4">
            <v>1.84</v>
          </cell>
        </row>
        <row r="25">
          <cell r="A25" t="str">
            <v>Segment Profit Margin</v>
          </cell>
        </row>
        <row r="26">
          <cell r="B26" t="str">
            <v>1Q10</v>
          </cell>
          <cell r="C26" t="str">
            <v>1Q09</v>
          </cell>
          <cell r="D26" t="str">
            <v xml:space="preserve">y/y ∆ bps </v>
          </cell>
        </row>
        <row r="27">
          <cell r="A27" t="str">
            <v>Marmaxx</v>
          </cell>
          <cell r="B27">
            <v>0.14292234211059399</v>
          </cell>
          <cell r="C27">
            <v>0.11253751732714293</v>
          </cell>
          <cell r="D27">
            <v>303.84824783451057</v>
          </cell>
        </row>
        <row r="28">
          <cell r="A28" t="str">
            <v>Winners/HomeSense</v>
          </cell>
          <cell r="B28">
            <v>9.7944497097286837E-2</v>
          </cell>
          <cell r="C28">
            <v>4.6515850334361418E-2</v>
          </cell>
          <cell r="D28">
            <v>514.28646762925416</v>
          </cell>
        </row>
        <row r="29">
          <cell r="A29" t="str">
            <v>TK Maxx</v>
          </cell>
          <cell r="B29">
            <v>1.1338405403307196E-2</v>
          </cell>
          <cell r="C29">
            <v>2.2098094327688129E-2</v>
          </cell>
          <cell r="D29">
            <v>-107.59688924380933</v>
          </cell>
        </row>
        <row r="30">
          <cell r="A30" t="str">
            <v>HomeGoods</v>
          </cell>
          <cell r="B30">
            <v>8.8813479222594902E-2</v>
          </cell>
          <cell r="C30">
            <v>3.9737684839051282E-2</v>
          </cell>
          <cell r="D30">
            <v>490.75794383543621</v>
          </cell>
        </row>
        <row r="31">
          <cell r="A31" t="str">
            <v>AJ Wright</v>
          </cell>
          <cell r="B31">
            <v>4.6295989667847801E-2</v>
          </cell>
          <cell r="C31">
            <v>2.4599484932606441E-2</v>
          </cell>
          <cell r="D31">
            <v>216.96504735241359</v>
          </cell>
        </row>
        <row r="33">
          <cell r="A33" t="str">
            <v>Total (Pre-Corp. Expenses)</v>
          </cell>
          <cell r="B33">
            <v>0.11543015704050999</v>
          </cell>
          <cell r="C33">
            <v>8.7197167623898078E-2</v>
          </cell>
          <cell r="D33">
            <v>282.32989416611912</v>
          </cell>
        </row>
        <row r="46">
          <cell r="A46" t="str">
            <v>KSS Guidance</v>
          </cell>
        </row>
        <row r="47">
          <cell r="A47" t="str">
            <v>3Q09</v>
          </cell>
          <cell r="B47" t="str">
            <v>KSS</v>
          </cell>
          <cell r="C47" t="str">
            <v>MS Estimate</v>
          </cell>
        </row>
        <row r="48">
          <cell r="A48" t="str">
            <v>EPS</v>
          </cell>
          <cell r="B48" t="str">
            <v>$0.40-$0.44</v>
          </cell>
          <cell r="C48">
            <v>0.49</v>
          </cell>
        </row>
        <row r="49">
          <cell r="A49" t="str">
            <v>SSS</v>
          </cell>
          <cell r="B49" t="str">
            <v>(5)%-(3)%</v>
          </cell>
          <cell r="C49">
            <v>-1.2999999999999999E-2</v>
          </cell>
        </row>
        <row r="50">
          <cell r="A50" t="str">
            <v>Gross Margin</v>
          </cell>
          <cell r="B50" t="str">
            <v>+10-20 bps</v>
          </cell>
          <cell r="C50" t="str">
            <v>+30 bps</v>
          </cell>
        </row>
        <row r="51">
          <cell r="A51" t="str">
            <v>SG&amp;A</v>
          </cell>
          <cell r="B51" t="str">
            <v>+3-4%</v>
          </cell>
          <cell r="C51" t="str">
            <v>+2.8%</v>
          </cell>
        </row>
        <row r="53">
          <cell r="A53" t="str">
            <v>4Q09</v>
          </cell>
          <cell r="B53" t="str">
            <v>KSS</v>
          </cell>
          <cell r="C53" t="str">
            <v>MS Estimate</v>
          </cell>
        </row>
        <row r="54">
          <cell r="A54" t="str">
            <v>EPS</v>
          </cell>
          <cell r="B54" t="str">
            <v>$0.99-$1.06</v>
          </cell>
          <cell r="C54">
            <v>1.19</v>
          </cell>
        </row>
        <row r="55">
          <cell r="A55" t="str">
            <v>SSS</v>
          </cell>
          <cell r="B55" t="str">
            <v>(5)%-(3)%</v>
          </cell>
          <cell r="C55">
            <v>1.4999999999999999E-2</v>
          </cell>
        </row>
        <row r="56">
          <cell r="A56" t="str">
            <v>Gross Margin</v>
          </cell>
          <cell r="B56" t="str">
            <v>+20-30 bps</v>
          </cell>
          <cell r="C56" t="str">
            <v>+30 bps</v>
          </cell>
        </row>
        <row r="57">
          <cell r="A57" t="str">
            <v>SG&amp;A</v>
          </cell>
          <cell r="B57" t="str">
            <v>+3-4%</v>
          </cell>
          <cell r="C57" t="str">
            <v>+2.4%</v>
          </cell>
        </row>
        <row r="72">
          <cell r="B72" t="str">
            <v>1Q07</v>
          </cell>
          <cell r="C72" t="str">
            <v>2Q07</v>
          </cell>
          <cell r="D72" t="str">
            <v>3Q07</v>
          </cell>
          <cell r="E72" t="str">
            <v>4Q07</v>
          </cell>
        </row>
        <row r="73">
          <cell r="A73" t="str">
            <v>Comp Growth</v>
          </cell>
          <cell r="B73">
            <v>0.02</v>
          </cell>
          <cell r="C73">
            <v>0</v>
          </cell>
          <cell r="D73">
            <v>0.01</v>
          </cell>
          <cell r="E73">
            <v>0.04</v>
          </cell>
        </row>
        <row r="74">
          <cell r="A74" t="str">
            <v>Y/Y Operating Margin Expansion</v>
          </cell>
          <cell r="B74">
            <v>-4.8252690757108478</v>
          </cell>
          <cell r="C74">
            <v>0</v>
          </cell>
          <cell r="D74">
            <v>6.3212983778726528</v>
          </cell>
          <cell r="E74">
            <v>-35.848527742219083</v>
          </cell>
        </row>
      </sheetData>
      <sheetData sheetId="7"/>
      <sheetData sheetId="8"/>
      <sheetData sheetId="9">
        <row r="1">
          <cell r="A1" t="str">
            <v>FD</v>
          </cell>
        </row>
        <row r="2">
          <cell r="A2" t="str">
            <v>FY07</v>
          </cell>
          <cell r="B2" t="str">
            <v>MS Estimate</v>
          </cell>
          <cell r="C2" t="str">
            <v>FC Consensus</v>
          </cell>
          <cell r="D2" t="str">
            <v>Management Guidance</v>
          </cell>
        </row>
        <row r="3">
          <cell r="A3" t="str">
            <v>Sales</v>
          </cell>
          <cell r="B3">
            <v>18626.920587592856</v>
          </cell>
          <cell r="C3">
            <v>18779.7</v>
          </cell>
          <cell r="D3">
            <v>18800</v>
          </cell>
        </row>
        <row r="4">
          <cell r="A4" t="str">
            <v>EPS</v>
          </cell>
          <cell r="B4">
            <v>2.5210916050242727</v>
          </cell>
          <cell r="C4">
            <v>2.84</v>
          </cell>
          <cell r="D4">
            <v>1.84</v>
          </cell>
        </row>
        <row r="26">
          <cell r="A26" t="str">
            <v>FD</v>
          </cell>
        </row>
        <row r="27">
          <cell r="B27" t="str">
            <v>+ or- from 0</v>
          </cell>
          <cell r="C27" t="str">
            <v>N +1</v>
          </cell>
        </row>
        <row r="28">
          <cell r="A28" t="str">
            <v>Management Guidance</v>
          </cell>
          <cell r="B28">
            <v>2.4500000000000002</v>
          </cell>
          <cell r="C28">
            <v>0.15</v>
          </cell>
        </row>
        <row r="30">
          <cell r="B30" t="str">
            <v>Actual</v>
          </cell>
          <cell r="C30" t="str">
            <v>Axis</v>
          </cell>
        </row>
        <row r="31">
          <cell r="A31" t="str">
            <v>Morgan Stanley Estimate</v>
          </cell>
          <cell r="B31">
            <v>2.9</v>
          </cell>
          <cell r="C31">
            <v>50</v>
          </cell>
        </row>
        <row r="32">
          <cell r="A32" t="str">
            <v>Consensus</v>
          </cell>
          <cell r="B32">
            <v>2.84</v>
          </cell>
          <cell r="C32">
            <v>50</v>
          </cell>
        </row>
        <row r="50">
          <cell r="B50" t="str">
            <v>1Q06</v>
          </cell>
          <cell r="C50" t="str">
            <v>2Q06</v>
          </cell>
          <cell r="D50" t="str">
            <v>3Q06</v>
          </cell>
          <cell r="E50" t="str">
            <v>4Q06</v>
          </cell>
        </row>
        <row r="51">
          <cell r="A51" t="str">
            <v>FD Legacy Comp Growth</v>
          </cell>
          <cell r="B51">
            <v>0</v>
          </cell>
          <cell r="C51">
            <v>4.5999999999999999E-2</v>
          </cell>
          <cell r="D51">
            <v>5.8999999999999997E-2</v>
          </cell>
          <cell r="E51">
            <v>6.0999999999999999E-2</v>
          </cell>
        </row>
        <row r="52">
          <cell r="A52" t="str">
            <v>Operating Margin Expansion</v>
          </cell>
          <cell r="B52">
            <v>0</v>
          </cell>
          <cell r="C52">
            <v>0</v>
          </cell>
          <cell r="D52">
            <v>0</v>
          </cell>
          <cell r="E52">
            <v>0</v>
          </cell>
        </row>
      </sheetData>
      <sheetData sheetId="10">
        <row r="1">
          <cell r="A1" t="str">
            <v>LTD</v>
          </cell>
        </row>
        <row r="2">
          <cell r="A2" t="str">
            <v>FY08</v>
          </cell>
          <cell r="B2" t="str">
            <v>MS Estimate</v>
          </cell>
          <cell r="C2" t="str">
            <v>FC Consensus</v>
          </cell>
          <cell r="D2" t="str">
            <v>Management Guidance</v>
          </cell>
        </row>
        <row r="3">
          <cell r="A3" t="str">
            <v>Sales</v>
          </cell>
          <cell r="B3">
            <v>9042.7010000000009</v>
          </cell>
          <cell r="C3">
            <v>9635.4</v>
          </cell>
          <cell r="D3">
            <v>0</v>
          </cell>
        </row>
        <row r="4">
          <cell r="A4" t="str">
            <v>EPS</v>
          </cell>
          <cell r="B4">
            <v>0</v>
          </cell>
          <cell r="C4">
            <v>0</v>
          </cell>
          <cell r="D4">
            <v>0</v>
          </cell>
        </row>
        <row r="25">
          <cell r="A25" t="str">
            <v>Segment Profit Margin</v>
          </cell>
        </row>
        <row r="26">
          <cell r="F26" t="str">
            <v>bps ∆</v>
          </cell>
        </row>
        <row r="27">
          <cell r="B27" t="str">
            <v>1Q10</v>
          </cell>
          <cell r="C27" t="str">
            <v>1Q09</v>
          </cell>
          <cell r="D27" t="str">
            <v>MS Est.</v>
          </cell>
          <cell r="F27" t="str">
            <v>1Q09</v>
          </cell>
          <cell r="G27" t="str">
            <v>MS Est.</v>
          </cell>
        </row>
        <row r="28">
          <cell r="A28" t="str">
            <v>Victoria's Secret</v>
          </cell>
          <cell r="B28">
            <v>0.13238659563759983</v>
          </cell>
          <cell r="C28">
            <v>7.7521804896170138E-2</v>
          </cell>
          <cell r="D28">
            <v>0.14252180489617014</v>
          </cell>
          <cell r="F28">
            <v>548.64790741429692</v>
          </cell>
          <cell r="G28">
            <v>-101.3520925857031</v>
          </cell>
        </row>
        <row r="29">
          <cell r="A29" t="str">
            <v>Bath &amp; Body Works</v>
          </cell>
          <cell r="B29">
            <v>8.7683705624808289E-2</v>
          </cell>
          <cell r="C29">
            <v>9.8268193902651124E-3</v>
          </cell>
          <cell r="D29">
            <v>2.2326819390265113E-2</v>
          </cell>
          <cell r="F29">
            <v>778.56886234543174</v>
          </cell>
          <cell r="G29">
            <v>653.56886234543174</v>
          </cell>
        </row>
        <row r="30">
          <cell r="A30" t="str">
            <v>Apparel Total</v>
          </cell>
          <cell r="B30" t="str">
            <v>NA</v>
          </cell>
          <cell r="C30" t="str">
            <v>NA</v>
          </cell>
          <cell r="D30" t="str">
            <v>NA</v>
          </cell>
          <cell r="F30" t="str">
            <v>NA</v>
          </cell>
          <cell r="G30" t="str">
            <v>NA</v>
          </cell>
        </row>
        <row r="31">
          <cell r="A31" t="str">
            <v>Other</v>
          </cell>
          <cell r="B31">
            <v>-8.4426574604243854E-2</v>
          </cell>
          <cell r="C31">
            <v>-0.13145813191874914</v>
          </cell>
          <cell r="D31">
            <v>-7.6458131918749145E-2</v>
          </cell>
          <cell r="F31">
            <v>470.31557314505284</v>
          </cell>
          <cell r="G31">
            <v>-79.684426854947091</v>
          </cell>
        </row>
        <row r="32">
          <cell r="A32" t="str">
            <v>Total</v>
          </cell>
          <cell r="B32">
            <v>9.5766270988477564E-2</v>
          </cell>
          <cell r="C32">
            <v>3.779886473568559E-2</v>
          </cell>
          <cell r="D32">
            <v>8.881865332654329E-2</v>
          </cell>
          <cell r="F32">
            <v>579.67406252791977</v>
          </cell>
          <cell r="G32">
            <v>69.476176619342738</v>
          </cell>
        </row>
        <row r="37">
          <cell r="A37" t="str">
            <v>TJX</v>
          </cell>
        </row>
        <row r="38">
          <cell r="B38" t="str">
            <v>+ or- from 0</v>
          </cell>
          <cell r="C38" t="str">
            <v>N +1</v>
          </cell>
        </row>
        <row r="39">
          <cell r="A39" t="str">
            <v>Management Guidance</v>
          </cell>
          <cell r="B39">
            <v>1.75</v>
          </cell>
          <cell r="C39">
            <v>0.05</v>
          </cell>
        </row>
        <row r="41">
          <cell r="B41" t="str">
            <v>Actual</v>
          </cell>
          <cell r="C41" t="str">
            <v>Axis</v>
          </cell>
        </row>
        <row r="42">
          <cell r="A42" t="str">
            <v>Morgan Stanley Estimate</v>
          </cell>
          <cell r="B42">
            <v>1.98</v>
          </cell>
          <cell r="C42">
            <v>50</v>
          </cell>
        </row>
        <row r="43">
          <cell r="A43" t="str">
            <v>Consensus</v>
          </cell>
          <cell r="B43">
            <v>1.9</v>
          </cell>
          <cell r="C43">
            <v>50</v>
          </cell>
        </row>
        <row r="58">
          <cell r="X58" t="str">
            <v>2/24/12010</v>
          </cell>
        </row>
        <row r="60">
          <cell r="X60" t="str">
            <v>LTD Guidance</v>
          </cell>
        </row>
        <row r="61">
          <cell r="Y61" t="str">
            <v>1Q10 (Mgmt Guidance)</v>
          </cell>
          <cell r="Z61" t="str">
            <v>FY10 (Mgmt Guidance)</v>
          </cell>
          <cell r="AA61" t="str">
            <v>FY10 (MS estimate)</v>
          </cell>
        </row>
        <row r="62">
          <cell r="X62" t="str">
            <v>Comps</v>
          </cell>
          <cell r="Y62" t="str">
            <v>+2 to +4%</v>
          </cell>
          <cell r="Z62" t="str">
            <v>flat to +LSD</v>
          </cell>
          <cell r="AA62">
            <v>-1.2E-2</v>
          </cell>
        </row>
        <row r="63">
          <cell r="X63" t="str">
            <v>Gross margin rate</v>
          </cell>
          <cell r="Y63" t="str">
            <v>Up from 31.8% LY</v>
          </cell>
          <cell r="Z63" t="str">
            <v>Up from 35.1% LY</v>
          </cell>
          <cell r="AA63">
            <v>0.35899999999999999</v>
          </cell>
        </row>
        <row r="64">
          <cell r="X64" t="str">
            <v>SG&amp;A expense</v>
          </cell>
          <cell r="Y64" t="str">
            <v>About flat as % of sales</v>
          </cell>
          <cell r="Z64" t="str">
            <v>About flat as % of sales</v>
          </cell>
          <cell r="AA64" t="str">
            <v>Flat y/y as % of sales</v>
          </cell>
        </row>
        <row r="65">
          <cell r="X65" t="str">
            <v>Interest expense</v>
          </cell>
          <cell r="Y65" t="str">
            <v>Approx. $61 million</v>
          </cell>
          <cell r="Z65" t="str">
            <v>Approx. $215 million</v>
          </cell>
          <cell r="AA65" t="str">
            <v>$244 million</v>
          </cell>
        </row>
        <row r="66">
          <cell r="X66" t="str">
            <v>Interest income and other income</v>
          </cell>
          <cell r="Y66" t="str">
            <v>About $7 million</v>
          </cell>
          <cell r="Z66" t="str">
            <v>About $40 million</v>
          </cell>
          <cell r="AA66" t="str">
            <v>$14 million</v>
          </cell>
        </row>
        <row r="67">
          <cell r="X67" t="str">
            <v xml:space="preserve">Tax rate </v>
          </cell>
          <cell r="Y67" t="str">
            <v xml:space="preserve">About 38% </v>
          </cell>
          <cell r="Z67" t="str">
            <v xml:space="preserve">About 38% </v>
          </cell>
          <cell r="AA67">
            <v>0.39</v>
          </cell>
        </row>
        <row r="68">
          <cell r="X68" t="str">
            <v>Weighted avg. shares outstanding</v>
          </cell>
          <cell r="Y68" t="str">
            <v>Approx. 330 million</v>
          </cell>
          <cell r="Z68" t="str">
            <v>Approx. 330 million</v>
          </cell>
          <cell r="AA68" t="str">
            <v>318 million</v>
          </cell>
        </row>
        <row r="69">
          <cell r="X69" t="str">
            <v>Earnings per share</v>
          </cell>
          <cell r="Y69" t="str">
            <v>$0.05 - $0.10</v>
          </cell>
          <cell r="Z69" t="str">
            <v>$1.40 - $1.60</v>
          </cell>
          <cell r="AA69">
            <v>1.41</v>
          </cell>
        </row>
        <row r="70">
          <cell r="X70" t="str">
            <v>Capital expenditures</v>
          </cell>
          <cell r="Y70" t="str">
            <v>N/A</v>
          </cell>
          <cell r="Z70" t="str">
            <v>$250 - $300 million</v>
          </cell>
          <cell r="AA70" t="str">
            <v>$225 million</v>
          </cell>
        </row>
        <row r="71">
          <cell r="X71" t="str">
            <v>Depreciation and amortization</v>
          </cell>
          <cell r="Y71" t="str">
            <v>N/A</v>
          </cell>
          <cell r="Z71" t="str">
            <v>About $350 million</v>
          </cell>
          <cell r="AA71" t="str">
            <v>$340 million</v>
          </cell>
        </row>
        <row r="72">
          <cell r="X72" t="str">
            <v>Free cash flow</v>
          </cell>
          <cell r="Y72" t="str">
            <v>N/A</v>
          </cell>
          <cell r="Z72" t="str">
            <v>$500 - $600 million</v>
          </cell>
          <cell r="AA72" t="str">
            <v>$529 million</v>
          </cell>
        </row>
      </sheetData>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ive Risk Reward Chart"/>
      <sheetName val="LIZ Drivers"/>
      <sheetName val="UA Driver"/>
      <sheetName val="UA Drivers"/>
      <sheetName val="Sheet1"/>
      <sheetName val="MW-Cache"/>
      <sheetName val="__FDSCACHE__"/>
      <sheetName val="Scenario Inputs2"/>
      <sheetName val="Scenario Inputs"/>
      <sheetName val="LIZ"/>
      <sheetName val="R5010 (2)"/>
    </sheetNames>
    <sheetDataSet>
      <sheetData sheetId="0"/>
      <sheetData sheetId="1"/>
      <sheetData sheetId="2"/>
      <sheetData sheetId="3"/>
      <sheetData sheetId="4"/>
      <sheetData sheetId="5"/>
      <sheetData sheetId="6"/>
      <sheetData sheetId="7"/>
      <sheetData sheetId="8">
        <row r="1">
          <cell r="B1">
            <v>39782</v>
          </cell>
          <cell r="C1" t="str">
            <v>Bear</v>
          </cell>
          <cell r="D1" t="str">
            <v>Base</v>
          </cell>
          <cell r="E1" t="str">
            <v>Bull</v>
          </cell>
          <cell r="G1" t="str">
            <v>SOTP</v>
          </cell>
          <cell r="K1" t="str">
            <v>P/E as of today</v>
          </cell>
        </row>
        <row r="2">
          <cell r="A2" t="str">
            <v>LIZ.N</v>
          </cell>
          <cell r="B2" t="str">
            <v>LIZ</v>
          </cell>
          <cell r="K2" t="str">
            <v>LIZ</v>
          </cell>
          <cell r="L2" t="e">
            <v>#VALUE!</v>
          </cell>
        </row>
        <row r="3">
          <cell r="B3" t="str">
            <v>Current Price</v>
          </cell>
          <cell r="D3" t="str">
            <v>#Calc</v>
          </cell>
          <cell r="K3" t="str">
            <v>JNY</v>
          </cell>
          <cell r="L3" t="e">
            <v>#VALUE!</v>
          </cell>
        </row>
        <row r="4">
          <cell r="B4" t="str">
            <v>Net Debt</v>
          </cell>
          <cell r="D4">
            <v>798.01300000000015</v>
          </cell>
          <cell r="K4" t="str">
            <v>WRC</v>
          </cell>
          <cell r="L4" t="e">
            <v>#VALUE!</v>
          </cell>
        </row>
        <row r="5">
          <cell r="B5" t="str">
            <v>Shares</v>
          </cell>
          <cell r="D5">
            <v>93.703999999999994</v>
          </cell>
          <cell r="K5" t="str">
            <v>PVH</v>
          </cell>
          <cell r="L5" t="e">
            <v>#VALUE!</v>
          </cell>
        </row>
        <row r="7">
          <cell r="B7" t="str">
            <v>Revenue</v>
          </cell>
          <cell r="C7">
            <v>-6.6357108530112452E-2</v>
          </cell>
          <cell r="D7">
            <v>-3.3845973767718252E-2</v>
          </cell>
          <cell r="E7">
            <v>-1.4128768261478464E-2</v>
          </cell>
          <cell r="K7" t="str">
            <v>GES</v>
          </cell>
          <cell r="L7" t="e">
            <v>#VALUE!</v>
          </cell>
        </row>
        <row r="8">
          <cell r="B8" t="str">
            <v>Gross Margin</v>
          </cell>
          <cell r="C8">
            <v>-128.72476703079562</v>
          </cell>
          <cell r="D8">
            <v>-90.996036928954197</v>
          </cell>
          <cell r="E8">
            <v>-39.295245448067732</v>
          </cell>
          <cell r="K8" t="str">
            <v>UA</v>
          </cell>
          <cell r="L8" t="e">
            <v>#VALUE!</v>
          </cell>
        </row>
        <row r="9">
          <cell r="B9" t="str">
            <v>Expense Ratio</v>
          </cell>
          <cell r="C9">
            <v>-16.156522960027452</v>
          </cell>
          <cell r="D9">
            <v>-39.565286944746589</v>
          </cell>
          <cell r="E9">
            <v>-82.030885314070545</v>
          </cell>
          <cell r="G9" t="e">
            <v>#VALUE!</v>
          </cell>
          <cell r="K9" t="str">
            <v>RL</v>
          </cell>
          <cell r="L9" t="e">
            <v>#VALUE!</v>
          </cell>
        </row>
        <row r="10">
          <cell r="B10" t="str">
            <v>Operating Margin</v>
          </cell>
          <cell r="C10">
            <v>-112.56824407076829</v>
          </cell>
          <cell r="D10">
            <v>-51.430749984207672</v>
          </cell>
          <cell r="E10">
            <v>42.735639866002749</v>
          </cell>
        </row>
        <row r="12">
          <cell r="B12" t="str">
            <v>P/E Valuation</v>
          </cell>
          <cell r="J12" t="str">
            <v>Liz Claiborne: Base Case Assumptions</v>
          </cell>
        </row>
        <row r="13">
          <cell r="B13" t="str">
            <v>EPS</v>
          </cell>
          <cell r="C13">
            <v>0.39172173589738984</v>
          </cell>
          <cell r="D13">
            <v>0.59632293685253845</v>
          </cell>
          <cell r="E13">
            <v>0.94772161341348582</v>
          </cell>
          <cell r="J13">
            <v>0.59632293685253845</v>
          </cell>
        </row>
        <row r="14">
          <cell r="B14" t="str">
            <v>P/E</v>
          </cell>
          <cell r="C14">
            <v>7</v>
          </cell>
          <cell r="D14">
            <v>9</v>
          </cell>
          <cell r="E14">
            <v>11</v>
          </cell>
        </row>
        <row r="15">
          <cell r="B15" t="str">
            <v>Scenario Price</v>
          </cell>
          <cell r="C15">
            <v>2.7420521512817291</v>
          </cell>
          <cell r="D15">
            <v>5.3669064316728461</v>
          </cell>
          <cell r="E15">
            <v>10.424937747548345</v>
          </cell>
        </row>
        <row r="16">
          <cell r="B16" t="str">
            <v>Ups/Downs</v>
          </cell>
          <cell r="C16" t="e">
            <v>#VALUE!</v>
          </cell>
          <cell r="D16" t="e">
            <v>#VALUE!</v>
          </cell>
          <cell r="E16" t="e">
            <v>#VALUE!</v>
          </cell>
        </row>
        <row r="18">
          <cell r="B18" t="str">
            <v>EBITDA Valuation</v>
          </cell>
        </row>
        <row r="19">
          <cell r="B19" t="str">
            <v>EBITDA</v>
          </cell>
          <cell r="C19">
            <v>286.15685640708614</v>
          </cell>
          <cell r="D19">
            <v>317.84754729244861</v>
          </cell>
          <cell r="E19">
            <v>365.73937752847428</v>
          </cell>
          <cell r="J19">
            <v>317.84754729244861</v>
          </cell>
        </row>
        <row r="20">
          <cell r="B20" t="str">
            <v>EV/EBITDA</v>
          </cell>
          <cell r="C20">
            <v>11</v>
          </cell>
          <cell r="D20">
            <v>0</v>
          </cell>
          <cell r="E20">
            <v>9</v>
          </cell>
          <cell r="G20">
            <v>3.7973007645817578</v>
          </cell>
        </row>
        <row r="21">
          <cell r="B21" t="str">
            <v>EV</v>
          </cell>
          <cell r="C21">
            <v>3147.7254204779474</v>
          </cell>
          <cell r="D21">
            <v>0</v>
          </cell>
          <cell r="E21">
            <v>3291.6543977562687</v>
          </cell>
        </row>
        <row r="22">
          <cell r="B22" t="str">
            <v>Implied Equity</v>
          </cell>
          <cell r="C22">
            <v>25.075903061533634</v>
          </cell>
          <cell r="D22">
            <v>-8.516317339708019</v>
          </cell>
          <cell r="E22">
            <v>26.611899147915448</v>
          </cell>
        </row>
        <row r="23">
          <cell r="B23" t="str">
            <v>Ups/Downs</v>
          </cell>
          <cell r="C23" t="e">
            <v>#VALUE!</v>
          </cell>
          <cell r="D23" t="e">
            <v>#VALUE!</v>
          </cell>
          <cell r="E23" t="e">
            <v>#VALUE!</v>
          </cell>
        </row>
        <row r="25">
          <cell r="B25" t="str">
            <v>Residual Income</v>
          </cell>
        </row>
        <row r="26">
          <cell r="B26" t="str">
            <v>Val-Cur</v>
          </cell>
          <cell r="J26">
            <v>23.757622379140592</v>
          </cell>
        </row>
        <row r="28">
          <cell r="B28" t="str">
            <v>FCF Valuation</v>
          </cell>
        </row>
        <row r="29">
          <cell r="B29" t="str">
            <v>FCF Per Share</v>
          </cell>
          <cell r="C29">
            <v>1.6651496506062415</v>
          </cell>
          <cell r="D29">
            <v>1.7526412115393128</v>
          </cell>
          <cell r="E29">
            <v>2.0397844788766752</v>
          </cell>
          <cell r="J29">
            <v>1.7526412115393128</v>
          </cell>
        </row>
        <row r="30">
          <cell r="B30" t="str">
            <v>Yield</v>
          </cell>
          <cell r="C30">
            <v>0.11971761675992125</v>
          </cell>
          <cell r="D30">
            <v>-1.1129962159385136</v>
          </cell>
          <cell r="E30">
            <v>0.11014895708475064</v>
          </cell>
        </row>
        <row r="32">
          <cell r="C32" t="str">
            <v>Trough</v>
          </cell>
          <cell r="D32" t="str">
            <v>5-Yr.</v>
          </cell>
          <cell r="E32" t="str">
            <v>Peak</v>
          </cell>
          <cell r="G32" t="str">
            <v>New Trough</v>
          </cell>
        </row>
        <row r="33">
          <cell r="B33" t="str">
            <v>P/E</v>
          </cell>
          <cell r="C33">
            <v>4.1204470316534083</v>
          </cell>
          <cell r="D33">
            <v>12.532633475042442</v>
          </cell>
          <cell r="E33">
            <v>20.621219484196743</v>
          </cell>
          <cell r="G33">
            <v>3.1204470316534083</v>
          </cell>
        </row>
        <row r="34">
          <cell r="B34" t="str">
            <v>EV/EBITDA</v>
          </cell>
          <cell r="C34">
            <v>299.1585</v>
          </cell>
          <cell r="D34">
            <v>323.00270076643244</v>
          </cell>
          <cell r="E34">
            <v>315.34630000000004</v>
          </cell>
          <cell r="G34">
            <v>298.6585</v>
          </cell>
        </row>
        <row r="36">
          <cell r="B36" t="str">
            <v>Recession</v>
          </cell>
          <cell r="C36" t="str">
            <v>Trough</v>
          </cell>
          <cell r="D36" t="str">
            <v>Mean</v>
          </cell>
          <cell r="E36" t="str">
            <v>Peak</v>
          </cell>
          <cell r="G36" t="str">
            <v>Average</v>
          </cell>
        </row>
        <row r="37">
          <cell r="B37" t="str">
            <v>P/E</v>
          </cell>
          <cell r="C37">
            <v>38.83488257972796</v>
          </cell>
          <cell r="D37">
            <v>0</v>
          </cell>
          <cell r="E37">
            <v>119.38721139465103</v>
          </cell>
          <cell r="G37">
            <v>19.41744128986398</v>
          </cell>
        </row>
        <row r="38">
          <cell r="B38" t="str">
            <v>EV/EBITDA</v>
          </cell>
          <cell r="C38">
            <v>11.594471180832928</v>
          </cell>
          <cell r="D38">
            <v>0</v>
          </cell>
          <cell r="E38">
            <v>11.010880043757094</v>
          </cell>
          <cell r="G38">
            <v>5.7972355904164639</v>
          </cell>
        </row>
        <row r="40">
          <cell r="B40" t="str">
            <v>Price Targets</v>
          </cell>
          <cell r="C40">
            <v>2.5</v>
          </cell>
          <cell r="D40">
            <v>5</v>
          </cell>
          <cell r="E40">
            <v>10.5</v>
          </cell>
          <cell r="O40">
            <v>2.5</v>
          </cell>
          <cell r="P40">
            <v>5</v>
          </cell>
          <cell r="Q40">
            <v>10.5</v>
          </cell>
        </row>
        <row r="41">
          <cell r="B41" t="str">
            <v>Ups/Downs</v>
          </cell>
          <cell r="C41" t="e">
            <v>#VALUE!</v>
          </cell>
          <cell r="D41" t="e">
            <v>#VALUE!</v>
          </cell>
          <cell r="E41" t="e">
            <v>#VALUE!</v>
          </cell>
        </row>
        <row r="42">
          <cell r="C42">
            <v>6.3820813881384062</v>
          </cell>
          <cell r="D42">
            <v>8.3847185660685462</v>
          </cell>
          <cell r="E42">
            <v>11.079202849644105</v>
          </cell>
        </row>
        <row r="43">
          <cell r="A43" t="str">
            <v>JNY.N</v>
          </cell>
          <cell r="B43" t="str">
            <v>JNY</v>
          </cell>
        </row>
        <row r="44">
          <cell r="B44" t="str">
            <v>Current Price</v>
          </cell>
          <cell r="D44" t="str">
            <v>#Calc</v>
          </cell>
        </row>
        <row r="45">
          <cell r="B45" t="str">
            <v>Net Debt</v>
          </cell>
          <cell r="D45">
            <v>582.83067580048032</v>
          </cell>
        </row>
        <row r="46">
          <cell r="B46" t="str">
            <v>Shares</v>
          </cell>
          <cell r="D46">
            <v>83</v>
          </cell>
        </row>
        <row r="48">
          <cell r="B48" t="str">
            <v>Revenue</v>
          </cell>
          <cell r="C48">
            <v>-2.307901574014426E-2</v>
          </cell>
          <cell r="D48">
            <v>1.7273526849326259E-5</v>
          </cell>
          <cell r="E48">
            <v>3.4790577670898548E-2</v>
          </cell>
          <cell r="G48" t="e">
            <v>#VALUE!</v>
          </cell>
        </row>
        <row r="49">
          <cell r="B49" t="str">
            <v>Gross Margin</v>
          </cell>
          <cell r="C49">
            <v>-117.78645744805694</v>
          </cell>
          <cell r="D49">
            <v>-59.059756967107525</v>
          </cell>
          <cell r="E49">
            <v>28.286142070195751</v>
          </cell>
        </row>
        <row r="50">
          <cell r="B50" t="str">
            <v>Expense Ratio</v>
          </cell>
          <cell r="C50">
            <v>-17.859818164190354</v>
          </cell>
          <cell r="D50">
            <v>-16.397089142762276</v>
          </cell>
          <cell r="E50">
            <v>-45.122434328145332</v>
          </cell>
        </row>
        <row r="51">
          <cell r="B51" t="str">
            <v>Operating Margin</v>
          </cell>
          <cell r="C51">
            <v>-99.926639283867488</v>
          </cell>
          <cell r="D51">
            <v>-42.662667824345732</v>
          </cell>
          <cell r="E51">
            <v>73.408576398340188</v>
          </cell>
        </row>
        <row r="53">
          <cell r="B53" t="str">
            <v>P/E Valuation</v>
          </cell>
          <cell r="J53" t="str">
            <v>Jones New York: Base Case Assumptions</v>
          </cell>
        </row>
        <row r="54">
          <cell r="B54" t="str">
            <v>EPS</v>
          </cell>
          <cell r="C54">
            <v>0.61728823323972237</v>
          </cell>
          <cell r="D54">
            <v>0.79672999545315148</v>
          </cell>
          <cell r="E54">
            <v>1.1656862274518387</v>
          </cell>
          <cell r="J54">
            <v>0.79672999545315148</v>
          </cell>
        </row>
        <row r="55">
          <cell r="B55" t="str">
            <v>P/E</v>
          </cell>
          <cell r="C55">
            <v>7</v>
          </cell>
          <cell r="D55">
            <v>9</v>
          </cell>
          <cell r="E55">
            <v>11</v>
          </cell>
        </row>
        <row r="56">
          <cell r="B56" t="str">
            <v>Scenario Price</v>
          </cell>
          <cell r="C56">
            <v>4.3210176326780569</v>
          </cell>
          <cell r="D56">
            <v>7.1705699590783638</v>
          </cell>
          <cell r="E56">
            <v>12.822548501970225</v>
          </cell>
        </row>
        <row r="57">
          <cell r="B57" t="str">
            <v>Ups/Downs</v>
          </cell>
          <cell r="C57" t="e">
            <v>#VALUE!</v>
          </cell>
          <cell r="D57" t="e">
            <v>#VALUE!</v>
          </cell>
          <cell r="E57" t="e">
            <v>#VALUE!</v>
          </cell>
        </row>
        <row r="59">
          <cell r="B59" t="str">
            <v>EBITDA Valuation</v>
          </cell>
        </row>
        <row r="60">
          <cell r="B60" t="str">
            <v>EBITDA</v>
          </cell>
          <cell r="C60">
            <v>221.06983294688666</v>
          </cell>
          <cell r="D60">
            <v>245.04954641820538</v>
          </cell>
          <cell r="E60">
            <v>294.16843447832446</v>
          </cell>
          <cell r="J60">
            <v>245.04954641820538</v>
          </cell>
        </row>
        <row r="61">
          <cell r="B61" t="str">
            <v>EV/EBITDA</v>
          </cell>
          <cell r="C61">
            <v>11</v>
          </cell>
          <cell r="D61">
            <v>0</v>
          </cell>
          <cell r="E61">
            <v>9</v>
          </cell>
          <cell r="G61">
            <v>4.3145065738565203</v>
          </cell>
        </row>
        <row r="62">
          <cell r="B62" t="str">
            <v>EV</v>
          </cell>
          <cell r="C62">
            <v>2431.7681624157531</v>
          </cell>
          <cell r="D62">
            <v>0</v>
          </cell>
          <cell r="E62">
            <v>2647.51591030492</v>
          </cell>
        </row>
        <row r="63">
          <cell r="B63" t="str">
            <v>Implied Equity</v>
          </cell>
          <cell r="C63">
            <v>22.276355260424975</v>
          </cell>
          <cell r="D63">
            <v>-7.022056334945546</v>
          </cell>
          <cell r="E63">
            <v>24.875725716920964</v>
          </cell>
        </row>
        <row r="64">
          <cell r="B64" t="str">
            <v>Ups/Downs</v>
          </cell>
          <cell r="C64" t="e">
            <v>#VALUE!</v>
          </cell>
          <cell r="D64" t="e">
            <v>#VALUE!</v>
          </cell>
          <cell r="E64" t="e">
            <v>#VALUE!</v>
          </cell>
        </row>
        <row r="66">
          <cell r="B66" t="str">
            <v>Residual Income</v>
          </cell>
        </row>
        <row r="67">
          <cell r="B67" t="str">
            <v>Val-Cur</v>
          </cell>
          <cell r="J67">
            <v>11.026665131182027</v>
          </cell>
        </row>
        <row r="69">
          <cell r="B69" t="str">
            <v>FCF Valuation</v>
          </cell>
        </row>
        <row r="70">
          <cell r="B70" t="str">
            <v>FCF Per Share</v>
          </cell>
          <cell r="C70">
            <v>1.4983974074057604</v>
          </cell>
          <cell r="D70">
            <v>1.6912537539147832</v>
          </cell>
          <cell r="E70">
            <v>2.0737124321978539</v>
          </cell>
          <cell r="J70">
            <v>1.6912537539147832</v>
          </cell>
        </row>
        <row r="71">
          <cell r="B71" t="str">
            <v>Yield</v>
          </cell>
          <cell r="C71">
            <v>0.11267258713316833</v>
          </cell>
          <cell r="D71">
            <v>22.775738775349954</v>
          </cell>
          <cell r="E71">
            <v>0.11001630579463952</v>
          </cell>
        </row>
        <row r="73">
          <cell r="C73" t="str">
            <v>Trough</v>
          </cell>
          <cell r="D73" t="str">
            <v>5-Yr.</v>
          </cell>
          <cell r="E73" t="str">
            <v>Peak</v>
          </cell>
          <cell r="G73" t="str">
            <v>New Trough</v>
          </cell>
        </row>
        <row r="74">
          <cell r="B74" t="str">
            <v>P/E</v>
          </cell>
          <cell r="C74">
            <v>6.4271182083309695</v>
          </cell>
          <cell r="D74">
            <v>12.392891578887301</v>
          </cell>
          <cell r="E74">
            <v>24.731174680467745</v>
          </cell>
          <cell r="G74">
            <v>5.4271182083309695</v>
          </cell>
          <cell r="J74">
            <v>9.4100048936091358</v>
          </cell>
        </row>
        <row r="75">
          <cell r="B75" t="str">
            <v>EV/EBITDA</v>
          </cell>
          <cell r="C75">
            <v>239.84399999999999</v>
          </cell>
          <cell r="D75">
            <v>255.64028263804386</v>
          </cell>
          <cell r="E75">
            <v>253.69650000000001</v>
          </cell>
          <cell r="G75">
            <v>239.34399999999999</v>
          </cell>
        </row>
        <row r="77">
          <cell r="B77" t="str">
            <v>Recession</v>
          </cell>
          <cell r="C77" t="str">
            <v>Trough</v>
          </cell>
          <cell r="D77" t="str">
            <v>Mean</v>
          </cell>
          <cell r="E77" t="str">
            <v>Peak</v>
          </cell>
          <cell r="G77" t="str">
            <v>Average</v>
          </cell>
        </row>
        <row r="78">
          <cell r="B78" t="str">
            <v>P/E</v>
          </cell>
          <cell r="C78">
            <v>32.655768648507156</v>
          </cell>
          <cell r="D78">
            <v>0</v>
          </cell>
          <cell r="E78">
            <v>132.64806136481181</v>
          </cell>
          <cell r="G78">
            <v>16.327884324253578</v>
          </cell>
        </row>
        <row r="79">
          <cell r="B79" t="str">
            <v>EV/EBITDA</v>
          </cell>
          <cell r="C79">
            <v>11.977090922263137</v>
          </cell>
          <cell r="D79">
            <v>0</v>
          </cell>
          <cell r="E79">
            <v>10.060946589376625</v>
          </cell>
          <cell r="G79">
            <v>5.9885454611315687</v>
          </cell>
        </row>
        <row r="81">
          <cell r="B81" t="str">
            <v>Price Targets</v>
          </cell>
          <cell r="C81">
            <v>4</v>
          </cell>
          <cell r="D81">
            <v>7</v>
          </cell>
          <cell r="E81">
            <v>13</v>
          </cell>
          <cell r="O81">
            <v>4</v>
          </cell>
          <cell r="P81">
            <v>7</v>
          </cell>
          <cell r="Q81">
            <v>13</v>
          </cell>
        </row>
        <row r="82">
          <cell r="B82" t="str">
            <v>Ups/Downs</v>
          </cell>
          <cell r="C82" t="e">
            <v>#VALUE!</v>
          </cell>
          <cell r="D82" t="e">
            <v>#VALUE!</v>
          </cell>
          <cell r="E82" t="e">
            <v>#VALUE!</v>
          </cell>
        </row>
        <row r="84">
          <cell r="A84" t="str">
            <v>WRC.N</v>
          </cell>
          <cell r="B84" t="str">
            <v>WRC</v>
          </cell>
        </row>
        <row r="85">
          <cell r="B85" t="str">
            <v>Current Price</v>
          </cell>
          <cell r="D85" t="str">
            <v>#Calc</v>
          </cell>
        </row>
        <row r="86">
          <cell r="B86" t="str">
            <v>Net Debt</v>
          </cell>
          <cell r="D86">
            <v>146.34019599656796</v>
          </cell>
        </row>
        <row r="87">
          <cell r="B87" t="str">
            <v>Shares</v>
          </cell>
          <cell r="D87">
            <v>46.780639000000001</v>
          </cell>
        </row>
        <row r="89">
          <cell r="B89" t="str">
            <v>Revenue</v>
          </cell>
          <cell r="C89">
            <v>-0.11976989950304207</v>
          </cell>
          <cell r="D89">
            <v>-2.5755049553264464E-2</v>
          </cell>
          <cell r="E89">
            <v>2.641037255466161E-3</v>
          </cell>
        </row>
        <row r="90">
          <cell r="B90" t="str">
            <v>Gross Margin</v>
          </cell>
          <cell r="C90">
            <v>-119.65735385759734</v>
          </cell>
          <cell r="D90">
            <v>-57.860654104995859</v>
          </cell>
          <cell r="E90">
            <v>-14.807151827720411</v>
          </cell>
        </row>
        <row r="91">
          <cell r="B91" t="str">
            <v>Expense Ratio</v>
          </cell>
          <cell r="C91">
            <v>77.998922105267937</v>
          </cell>
          <cell r="D91">
            <v>34.705478862581685</v>
          </cell>
          <cell r="E91">
            <v>31.128711896627472</v>
          </cell>
        </row>
        <row r="92">
          <cell r="B92" t="str">
            <v>Operating Margin</v>
          </cell>
          <cell r="C92">
            <v>-179.68581022683421</v>
          </cell>
          <cell r="D92">
            <v>-68.16021575468082</v>
          </cell>
          <cell r="E92">
            <v>-19.916157281824887</v>
          </cell>
        </row>
        <row r="94">
          <cell r="B94" t="str">
            <v>P/E Valuation</v>
          </cell>
          <cell r="J94" t="str">
            <v>Warnaco: Base Case Assumptions</v>
          </cell>
        </row>
        <row r="95">
          <cell r="B95" t="str">
            <v>EPS</v>
          </cell>
          <cell r="C95">
            <v>1.87</v>
          </cell>
          <cell r="D95">
            <v>2.4700000000000002</v>
          </cell>
          <cell r="E95">
            <v>2.74</v>
          </cell>
          <cell r="G95" t="e">
            <v>#VALUE!</v>
          </cell>
          <cell r="J95">
            <v>2.4618117734226126</v>
          </cell>
        </row>
        <row r="96">
          <cell r="B96" t="str">
            <v>P/E</v>
          </cell>
          <cell r="C96">
            <v>7</v>
          </cell>
          <cell r="D96">
            <v>9</v>
          </cell>
          <cell r="E96">
            <v>11</v>
          </cell>
        </row>
        <row r="97">
          <cell r="B97" t="str">
            <v>Scenario Price</v>
          </cell>
          <cell r="C97">
            <v>13.09</v>
          </cell>
          <cell r="D97">
            <v>22.23</v>
          </cell>
          <cell r="E97">
            <v>30.14</v>
          </cell>
        </row>
        <row r="98">
          <cell r="B98" t="str">
            <v>Ups/Downs</v>
          </cell>
          <cell r="C98" t="e">
            <v>#VALUE!</v>
          </cell>
          <cell r="D98" t="e">
            <v>#VALUE!</v>
          </cell>
          <cell r="E98" t="e">
            <v>#VALUE!</v>
          </cell>
        </row>
        <row r="100">
          <cell r="B100" t="str">
            <v>EBITDA Valuation</v>
          </cell>
        </row>
        <row r="101">
          <cell r="B101" t="str">
            <v>EBITDA</v>
          </cell>
          <cell r="C101">
            <v>273.64127016791991</v>
          </cell>
          <cell r="D101">
            <v>319.82543010478742</v>
          </cell>
          <cell r="E101">
            <v>339.57970290961413</v>
          </cell>
          <cell r="J101">
            <v>267.61990748481674</v>
          </cell>
        </row>
        <row r="102">
          <cell r="B102" t="str">
            <v>EV/EBITDA</v>
          </cell>
          <cell r="C102">
            <v>14</v>
          </cell>
          <cell r="D102">
            <v>0</v>
          </cell>
          <cell r="E102">
            <v>9</v>
          </cell>
          <cell r="G102">
            <v>4.8720627293441439</v>
          </cell>
        </row>
        <row r="103">
          <cell r="B103" t="str">
            <v>EV</v>
          </cell>
          <cell r="C103">
            <v>3830.9777823508789</v>
          </cell>
          <cell r="D103">
            <v>0</v>
          </cell>
          <cell r="E103">
            <v>3056.2173261865273</v>
          </cell>
        </row>
        <row r="104">
          <cell r="B104" t="str">
            <v>Implied Equity</v>
          </cell>
          <cell r="C104">
            <v>78.764156820395527</v>
          </cell>
          <cell r="D104">
            <v>-3.1282213993820811</v>
          </cell>
          <cell r="E104">
            <v>62.202594756988233</v>
          </cell>
        </row>
        <row r="105">
          <cell r="B105" t="str">
            <v>Ups/Downs</v>
          </cell>
          <cell r="C105" t="e">
            <v>#VALUE!</v>
          </cell>
          <cell r="D105" t="e">
            <v>#VALUE!</v>
          </cell>
          <cell r="E105" t="e">
            <v>#VALUE!</v>
          </cell>
        </row>
        <row r="107">
          <cell r="B107" t="str">
            <v>Residual Income</v>
          </cell>
        </row>
        <row r="108">
          <cell r="B108" t="str">
            <v>Val-Cur</v>
          </cell>
          <cell r="J108">
            <v>47.247361694811161</v>
          </cell>
        </row>
        <row r="110">
          <cell r="B110" t="str">
            <v>FCF Valuation</v>
          </cell>
        </row>
        <row r="111">
          <cell r="B111" t="str">
            <v>FCF Per Share</v>
          </cell>
          <cell r="C111">
            <v>3.979414945933359</v>
          </cell>
          <cell r="D111">
            <v>3.8835532092131673</v>
          </cell>
          <cell r="E111">
            <v>3.935765790688011</v>
          </cell>
          <cell r="J111">
            <v>3.4887129180590786</v>
          </cell>
        </row>
        <row r="112">
          <cell r="B112" t="str">
            <v>Yield</v>
          </cell>
          <cell r="C112">
            <v>8.6646376901905423E-2</v>
          </cell>
          <cell r="D112">
            <v>0.40661692195380583</v>
          </cell>
          <cell r="E112">
            <v>8.5242694361047575E-2</v>
          </cell>
        </row>
        <row r="114">
          <cell r="C114" t="str">
            <v>Trough</v>
          </cell>
          <cell r="D114" t="str">
            <v>5-Yr.</v>
          </cell>
          <cell r="E114" t="str">
            <v>Peak</v>
          </cell>
        </row>
        <row r="115">
          <cell r="B115" t="str">
            <v>P/E</v>
          </cell>
          <cell r="C115">
            <v>5.8995804573471604</v>
          </cell>
          <cell r="D115">
            <v>15.225137406424947</v>
          </cell>
          <cell r="E115">
            <v>19.74418957856701</v>
          </cell>
          <cell r="G115">
            <v>4.8995804573471604</v>
          </cell>
          <cell r="J115">
            <v>10.562358931886054</v>
          </cell>
        </row>
        <row r="116">
          <cell r="B116" t="str">
            <v>EV/EBITDA</v>
          </cell>
          <cell r="C116">
            <v>274.86070000000001</v>
          </cell>
          <cell r="D116">
            <v>271.92733993753131</v>
          </cell>
          <cell r="E116">
            <v>268.14100000000002</v>
          </cell>
          <cell r="G116">
            <v>274.36070000000001</v>
          </cell>
        </row>
        <row r="118">
          <cell r="B118" t="str">
            <v>Recession</v>
          </cell>
          <cell r="C118" t="str">
            <v>Trough</v>
          </cell>
          <cell r="D118" t="str">
            <v>Mean</v>
          </cell>
          <cell r="E118" t="str">
            <v>Peak</v>
          </cell>
          <cell r="G118" t="str">
            <v>Average</v>
          </cell>
        </row>
        <row r="119">
          <cell r="B119" t="str">
            <v>P/E</v>
          </cell>
          <cell r="C119">
            <v>33.220998804772435</v>
          </cell>
          <cell r="D119">
            <v>0</v>
          </cell>
          <cell r="E119">
            <v>134.16903974985749</v>
          </cell>
          <cell r="G119">
            <v>16.610499402386218</v>
          </cell>
        </row>
        <row r="120">
          <cell r="B120" t="str">
            <v>EV/EBITDA</v>
          </cell>
          <cell r="C120" t="str">
            <v>-</v>
          </cell>
          <cell r="D120">
            <v>0</v>
          </cell>
          <cell r="E120" t="str">
            <v>-</v>
          </cell>
          <cell r="G120">
            <v>0</v>
          </cell>
        </row>
        <row r="122">
          <cell r="B122" t="str">
            <v>Price Targets</v>
          </cell>
          <cell r="C122">
            <v>13.3143286066726</v>
          </cell>
          <cell r="D122">
            <v>22</v>
          </cell>
          <cell r="E122">
            <v>30.153107432493702</v>
          </cell>
          <cell r="O122">
            <v>13.3143286066726</v>
          </cell>
          <cell r="P122">
            <v>22</v>
          </cell>
          <cell r="Q122">
            <v>30.153107432493702</v>
          </cell>
        </row>
        <row r="123">
          <cell r="B123" t="str">
            <v>Ups/Downs</v>
          </cell>
          <cell r="C123" t="e">
            <v>#VALUE!</v>
          </cell>
          <cell r="D123" t="e">
            <v>#VALUE!</v>
          </cell>
          <cell r="E123" t="e">
            <v>#VALUE!</v>
          </cell>
        </row>
        <row r="124">
          <cell r="C124">
            <v>7.1199618217500529</v>
          </cell>
          <cell r="D124">
            <v>8.9068825910931171</v>
          </cell>
          <cell r="E124">
            <v>11.004783734486752</v>
          </cell>
        </row>
        <row r="125">
          <cell r="A125" t="str">
            <v>PVH.N</v>
          </cell>
          <cell r="B125" t="str">
            <v>PVH</v>
          </cell>
        </row>
        <row r="126">
          <cell r="B126" t="str">
            <v>Current Price</v>
          </cell>
          <cell r="D126" t="str">
            <v>#Calc</v>
          </cell>
        </row>
        <row r="127">
          <cell r="B127" t="str">
            <v>Net Debt</v>
          </cell>
          <cell r="D127">
            <v>202.00699999999949</v>
          </cell>
        </row>
        <row r="128">
          <cell r="B128" t="str">
            <v>Shares</v>
          </cell>
          <cell r="D128">
            <v>52.293999999999997</v>
          </cell>
        </row>
        <row r="130">
          <cell r="B130" t="str">
            <v>Revenue</v>
          </cell>
          <cell r="C130">
            <v>-6.8117249220791765E-2</v>
          </cell>
          <cell r="D130">
            <v>-3.1739824302132846E-2</v>
          </cell>
          <cell r="E130">
            <v>-1.1084924771722404E-2</v>
          </cell>
          <cell r="H130">
            <v>-7.6285701523983507E-2</v>
          </cell>
          <cell r="I130">
            <v>-3.4224458929715929E-2</v>
          </cell>
          <cell r="J130">
            <v>-5.6435284573952416E-4</v>
          </cell>
          <cell r="L130">
            <v>-7.3434977884946129E-2</v>
          </cell>
          <cell r="M130">
            <v>-1.8574336102211375E-2</v>
          </cell>
          <cell r="N130">
            <v>-1.4657847626209475E-2</v>
          </cell>
        </row>
        <row r="131">
          <cell r="B131" t="str">
            <v>Gross Margin</v>
          </cell>
          <cell r="C131">
            <v>-115.21074728246039</v>
          </cell>
          <cell r="D131">
            <v>-74.588543265898807</v>
          </cell>
          <cell r="E131">
            <v>-42.450498013919535</v>
          </cell>
          <cell r="H131">
            <v>-166.11433040271356</v>
          </cell>
          <cell r="I131">
            <v>-96.33603105782818</v>
          </cell>
          <cell r="J131">
            <v>-128.25676583740182</v>
          </cell>
        </row>
        <row r="132">
          <cell r="B132" t="str">
            <v>Expense Ratio</v>
          </cell>
          <cell r="C132">
            <v>71.983136258124134</v>
          </cell>
          <cell r="D132">
            <v>50.455743705470901</v>
          </cell>
          <cell r="E132">
            <v>31.931965238854442</v>
          </cell>
        </row>
        <row r="133">
          <cell r="B133" t="str">
            <v>Operating Margin</v>
          </cell>
          <cell r="C133">
            <v>-187.19388354058384</v>
          </cell>
          <cell r="D133">
            <v>-125.04428697136902</v>
          </cell>
          <cell r="E133">
            <v>-61.293027348627291</v>
          </cell>
        </row>
        <row r="135">
          <cell r="B135" t="str">
            <v>P/E Valuation</v>
          </cell>
          <cell r="J135" t="str">
            <v>Phillips-Van Heusen: Base Case Assumptions</v>
          </cell>
        </row>
        <row r="136">
          <cell r="B136" t="str">
            <v>EPS</v>
          </cell>
          <cell r="C136">
            <v>2.6975367948907065</v>
          </cell>
          <cell r="D136">
            <v>3.0202804920565067</v>
          </cell>
          <cell r="E136">
            <v>3.3219712718979792</v>
          </cell>
          <cell r="J136">
            <v>2.5625646500915376</v>
          </cell>
        </row>
        <row r="137">
          <cell r="B137" t="str">
            <v>P/E</v>
          </cell>
          <cell r="C137">
            <v>5</v>
          </cell>
          <cell r="D137">
            <v>8</v>
          </cell>
          <cell r="E137">
            <v>11</v>
          </cell>
        </row>
        <row r="138">
          <cell r="B138" t="str">
            <v>Scenario Price</v>
          </cell>
          <cell r="C138">
            <v>13.487683974453532</v>
          </cell>
          <cell r="D138">
            <v>24.162243936452054</v>
          </cell>
          <cell r="E138">
            <v>36.541683990877772</v>
          </cell>
        </row>
        <row r="139">
          <cell r="B139" t="str">
            <v>Ups/Downs</v>
          </cell>
          <cell r="C139" t="e">
            <v>#VALUE!</v>
          </cell>
          <cell r="D139" t="e">
            <v>#VALUE!</v>
          </cell>
          <cell r="E139" t="e">
            <v>#VALUE!</v>
          </cell>
        </row>
        <row r="141">
          <cell r="B141" t="str">
            <v>EBITDA Valuation</v>
          </cell>
        </row>
        <row r="142">
          <cell r="B142" t="str">
            <v>EBITDA</v>
          </cell>
          <cell r="C142">
            <v>302.38773729897332</v>
          </cell>
          <cell r="D142">
            <v>329.01846757906344</v>
          </cell>
          <cell r="E142">
            <v>353.74714620418871</v>
          </cell>
          <cell r="J142">
            <v>296.11657850148913</v>
          </cell>
        </row>
        <row r="143">
          <cell r="B143" t="str">
            <v>EV/EBITDA</v>
          </cell>
          <cell r="C143">
            <v>11</v>
          </cell>
          <cell r="D143">
            <v>0</v>
          </cell>
          <cell r="E143">
            <v>8</v>
          </cell>
          <cell r="G143">
            <v>4.5459145076988214</v>
          </cell>
        </row>
        <row r="144">
          <cell r="B144" t="str">
            <v>EV</v>
          </cell>
          <cell r="C144">
            <v>3326.2651102887066</v>
          </cell>
          <cell r="D144">
            <v>0</v>
          </cell>
          <cell r="E144">
            <v>2829.9771696335097</v>
          </cell>
        </row>
        <row r="145">
          <cell r="B145" t="str">
            <v>Implied Equity</v>
          </cell>
          <cell r="C145">
            <v>59.744102770656426</v>
          </cell>
          <cell r="D145">
            <v>-3.8629097028339676</v>
          </cell>
          <cell r="E145">
            <v>50.253760845097148</v>
          </cell>
        </row>
        <row r="146">
          <cell r="B146" t="str">
            <v>Ups/Downs</v>
          </cell>
          <cell r="C146" t="e">
            <v>#VALUE!</v>
          </cell>
          <cell r="D146" t="e">
            <v>#VALUE!</v>
          </cell>
          <cell r="E146" t="e">
            <v>#VALUE!</v>
          </cell>
        </row>
        <row r="148">
          <cell r="B148" t="str">
            <v>Residual Income</v>
          </cell>
        </row>
        <row r="149">
          <cell r="B149" t="str">
            <v>Val-Cur</v>
          </cell>
          <cell r="J149">
            <v>28.280014890537061</v>
          </cell>
        </row>
        <row r="151">
          <cell r="B151" t="str">
            <v>FCF Valuation</v>
          </cell>
        </row>
        <row r="152">
          <cell r="B152" t="str">
            <v>FCF Per Share</v>
          </cell>
          <cell r="C152">
            <v>3.1023693610209668</v>
          </cell>
          <cell r="D152">
            <v>3.5516863295785646</v>
          </cell>
          <cell r="E152">
            <v>3.943845867944578</v>
          </cell>
          <cell r="J152">
            <v>3.28539002263462</v>
          </cell>
        </row>
        <row r="153">
          <cell r="B153" t="str">
            <v>Yield</v>
          </cell>
          <cell r="C153">
            <v>8.4727397730142831E-2</v>
          </cell>
          <cell r="D153">
            <v>0.34993131190446175</v>
          </cell>
          <cell r="E153">
            <v>9.0876793716481663E-2</v>
          </cell>
        </row>
        <row r="155">
          <cell r="C155" t="str">
            <v>Trough</v>
          </cell>
          <cell r="D155" t="str">
            <v>5-Yr.</v>
          </cell>
          <cell r="E155" t="str">
            <v>Peak</v>
          </cell>
        </row>
        <row r="156">
          <cell r="B156" t="str">
            <v>P/E</v>
          </cell>
          <cell r="C156">
            <v>5.2061818093456127</v>
          </cell>
          <cell r="D156">
            <v>15.259176673924259</v>
          </cell>
          <cell r="E156">
            <v>20.669431279620856</v>
          </cell>
          <cell r="J156">
            <v>10.232679241634935</v>
          </cell>
        </row>
        <row r="157">
          <cell r="B157" t="str">
            <v>EV/EBITDA</v>
          </cell>
          <cell r="C157">
            <v>295.50900000000001</v>
          </cell>
          <cell r="D157">
            <v>328.76022298543529</v>
          </cell>
          <cell r="E157">
            <v>326.46520000000004</v>
          </cell>
        </row>
        <row r="159">
          <cell r="B159" t="str">
            <v>Recession</v>
          </cell>
          <cell r="C159" t="str">
            <v>Trough</v>
          </cell>
          <cell r="D159" t="str">
            <v>Mean</v>
          </cell>
          <cell r="E159" t="str">
            <v>Peak</v>
          </cell>
          <cell r="G159" t="str">
            <v>Average</v>
          </cell>
          <cell r="O159">
            <v>11</v>
          </cell>
          <cell r="P159">
            <v>22</v>
          </cell>
          <cell r="Q159">
            <v>31</v>
          </cell>
        </row>
        <row r="160">
          <cell r="B160" t="str">
            <v>P/E</v>
          </cell>
          <cell r="C160">
            <v>27.942809263417701</v>
          </cell>
          <cell r="D160">
            <v>0</v>
          </cell>
          <cell r="E160">
            <v>133.11565080531253</v>
          </cell>
          <cell r="G160">
            <v>13.97140463170885</v>
          </cell>
        </row>
        <row r="161">
          <cell r="B161" t="str">
            <v>EV/EBITDA</v>
          </cell>
          <cell r="C161">
            <v>10.881526792662877</v>
          </cell>
          <cell r="D161">
            <v>0</v>
          </cell>
          <cell r="E161">
            <v>9.0106642080704216</v>
          </cell>
          <cell r="G161">
            <v>5.4407633963314384</v>
          </cell>
        </row>
        <row r="163">
          <cell r="B163" t="str">
            <v>Price Targets</v>
          </cell>
          <cell r="C163">
            <v>11</v>
          </cell>
          <cell r="D163">
            <v>22</v>
          </cell>
          <cell r="E163">
            <v>31</v>
          </cell>
        </row>
        <row r="164">
          <cell r="B164" t="str">
            <v>Ups/Downs</v>
          </cell>
          <cell r="C164" t="e">
            <v>#VALUE!</v>
          </cell>
          <cell r="D164" t="e">
            <v>#VALUE!</v>
          </cell>
          <cell r="E164" t="e">
            <v>#VALUE!</v>
          </cell>
        </row>
        <row r="165">
          <cell r="C165">
            <v>4.077794238371335</v>
          </cell>
          <cell r="D165">
            <v>7.284091678856031</v>
          </cell>
          <cell r="E165">
            <v>9.3318085746986075</v>
          </cell>
        </row>
        <row r="166">
          <cell r="A166" t="str">
            <v>GES.N</v>
          </cell>
          <cell r="B166" t="str">
            <v>GES</v>
          </cell>
        </row>
        <row r="167">
          <cell r="B167" t="str">
            <v>Current Price</v>
          </cell>
          <cell r="D167" t="str">
            <v>#Calc</v>
          </cell>
        </row>
        <row r="168">
          <cell r="B168" t="str">
            <v>Net Debt</v>
          </cell>
          <cell r="D168">
            <v>-235.60499999999982</v>
          </cell>
        </row>
        <row r="169">
          <cell r="B169" t="str">
            <v>Shares</v>
          </cell>
          <cell r="D169">
            <v>93.893000000000001</v>
          </cell>
        </row>
        <row r="171">
          <cell r="B171" t="str">
            <v>Revenue</v>
          </cell>
          <cell r="C171">
            <v>5.0019061343269389E-3</v>
          </cell>
          <cell r="D171">
            <v>6.2067972955618389E-2</v>
          </cell>
          <cell r="E171">
            <v>8.6505074929410508E-2</v>
          </cell>
        </row>
        <row r="172">
          <cell r="B172" t="str">
            <v>Gross Margin</v>
          </cell>
          <cell r="C172">
            <v>-132.46959365692589</v>
          </cell>
          <cell r="D172">
            <v>-92.045492314125624</v>
          </cell>
          <cell r="E172">
            <v>-56.354346649143963</v>
          </cell>
        </row>
        <row r="173">
          <cell r="B173" t="str">
            <v>Expense Ratio</v>
          </cell>
          <cell r="C173">
            <v>43.820169861799044</v>
          </cell>
          <cell r="D173">
            <v>20.392820435544689</v>
          </cell>
          <cell r="E173">
            <v>9.2980880347370842E-2</v>
          </cell>
        </row>
        <row r="174">
          <cell r="B174" t="str">
            <v>Operating Margin</v>
          </cell>
          <cell r="C174">
            <v>-176.28976351872521</v>
          </cell>
          <cell r="D174">
            <v>-112.43831274967059</v>
          </cell>
          <cell r="E174">
            <v>-56.447327529490224</v>
          </cell>
        </row>
        <row r="176">
          <cell r="B176" t="str">
            <v>P/E Valuation</v>
          </cell>
          <cell r="J176" t="str">
            <v>Guess?: Base Case Assumptions</v>
          </cell>
        </row>
        <row r="177">
          <cell r="B177" t="str">
            <v>EPS</v>
          </cell>
          <cell r="C177">
            <v>2.2579131220645636</v>
          </cell>
          <cell r="D177">
            <v>2.5106239184555692</v>
          </cell>
          <cell r="E177">
            <v>2.6827665053331833</v>
          </cell>
          <cell r="J177">
            <v>2.5106239184555692</v>
          </cell>
        </row>
        <row r="178">
          <cell r="B178" t="str">
            <v>P/E</v>
          </cell>
          <cell r="C178">
            <v>6</v>
          </cell>
          <cell r="D178">
            <v>9</v>
          </cell>
          <cell r="E178">
            <v>12</v>
          </cell>
        </row>
        <row r="179">
          <cell r="B179" t="str">
            <v>Scenario Price</v>
          </cell>
          <cell r="C179">
            <v>13.547478732387383</v>
          </cell>
          <cell r="D179">
            <v>22.595615266100122</v>
          </cell>
          <cell r="E179">
            <v>32.193198063998196</v>
          </cell>
        </row>
        <row r="180">
          <cell r="B180" t="str">
            <v>Ups/Downs</v>
          </cell>
          <cell r="C180" t="e">
            <v>#VALUE!</v>
          </cell>
          <cell r="D180" t="e">
            <v>#VALUE!</v>
          </cell>
          <cell r="E180" t="e">
            <v>#VALUE!</v>
          </cell>
        </row>
        <row r="182">
          <cell r="B182" t="str">
            <v>EBITDA Valuation</v>
          </cell>
        </row>
        <row r="183">
          <cell r="B183" t="str">
            <v>EBITDA</v>
          </cell>
          <cell r="C183">
            <v>395.95327325664459</v>
          </cell>
          <cell r="D183">
            <v>432.95762994659856</v>
          </cell>
          <cell r="E183">
            <v>458.02811179010723</v>
          </cell>
          <cell r="J183">
            <v>432.95762994659856</v>
          </cell>
        </row>
        <row r="184">
          <cell r="B184" t="str">
            <v>EV/EBITDA</v>
          </cell>
          <cell r="C184">
            <v>12</v>
          </cell>
          <cell r="D184">
            <v>0</v>
          </cell>
          <cell r="E184">
            <v>9</v>
          </cell>
          <cell r="G184">
            <v>4.642892656853105</v>
          </cell>
        </row>
        <row r="185">
          <cell r="B185" t="str">
            <v>EV</v>
          </cell>
          <cell r="C185">
            <v>4751.4392790797356</v>
          </cell>
          <cell r="D185">
            <v>0</v>
          </cell>
          <cell r="E185">
            <v>4122.2530061109646</v>
          </cell>
        </row>
        <row r="186">
          <cell r="B186" t="str">
            <v>Implied Equity</v>
          </cell>
          <cell r="C186">
            <v>53.114122235733603</v>
          </cell>
          <cell r="D186">
            <v>2.5092924925180773</v>
          </cell>
          <cell r="E186">
            <v>46.413023400157243</v>
          </cell>
        </row>
        <row r="187">
          <cell r="B187" t="str">
            <v>Ups/Downs</v>
          </cell>
          <cell r="C187" t="e">
            <v>#VALUE!</v>
          </cell>
          <cell r="D187" t="e">
            <v>#VALUE!</v>
          </cell>
          <cell r="E187" t="e">
            <v>#VALUE!</v>
          </cell>
        </row>
        <row r="189">
          <cell r="B189" t="str">
            <v>Residual Income</v>
          </cell>
        </row>
        <row r="190">
          <cell r="B190" t="str">
            <v>Val-Cur</v>
          </cell>
          <cell r="J190">
            <v>44.100114552712384</v>
          </cell>
        </row>
        <row r="192">
          <cell r="B192" t="str">
            <v>FCF Valuation</v>
          </cell>
        </row>
        <row r="193">
          <cell r="B193" t="str">
            <v>FCF Per Share</v>
          </cell>
          <cell r="C193">
            <v>1.9620268022792264</v>
          </cell>
          <cell r="D193">
            <v>2.0333858335373303</v>
          </cell>
          <cell r="E193">
            <v>2.1215188246551513</v>
          </cell>
          <cell r="J193">
            <v>2.0333858335373303</v>
          </cell>
        </row>
        <row r="194">
          <cell r="B194" t="str">
            <v>Yield</v>
          </cell>
          <cell r="C194">
            <v>5.8865276974596217E-2</v>
          </cell>
          <cell r="D194">
            <v>0.16199110174697171</v>
          </cell>
          <cell r="E194">
            <v>5.3978394715806746E-2</v>
          </cell>
        </row>
        <row r="196">
          <cell r="C196" t="str">
            <v>Trough</v>
          </cell>
          <cell r="D196" t="str">
            <v>5-Yr.</v>
          </cell>
          <cell r="E196" t="str">
            <v>Peak</v>
          </cell>
          <cell r="O196">
            <v>10</v>
          </cell>
          <cell r="P196">
            <v>22</v>
          </cell>
          <cell r="Q196">
            <v>28</v>
          </cell>
        </row>
        <row r="197">
          <cell r="B197" t="str">
            <v>P/E</v>
          </cell>
          <cell r="C197">
            <v>2.7960526315789473</v>
          </cell>
          <cell r="D197">
            <v>21.424835061443098</v>
          </cell>
          <cell r="E197">
            <v>48.75</v>
          </cell>
          <cell r="J197">
            <v>12.110443846511023</v>
          </cell>
        </row>
        <row r="198">
          <cell r="B198" t="str">
            <v>EV/EBITDA</v>
          </cell>
          <cell r="C198">
            <v>418.6037</v>
          </cell>
          <cell r="D198">
            <v>418.89366514622878</v>
          </cell>
          <cell r="E198">
            <v>412.87130000000002</v>
          </cell>
        </row>
        <row r="200">
          <cell r="B200" t="str">
            <v>Recession</v>
          </cell>
          <cell r="C200" t="str">
            <v>Trough</v>
          </cell>
          <cell r="D200" t="str">
            <v>Mean</v>
          </cell>
          <cell r="E200" t="str">
            <v>Peak</v>
          </cell>
          <cell r="G200" t="str">
            <v>Average</v>
          </cell>
        </row>
        <row r="201">
          <cell r="B201" t="str">
            <v>P/E</v>
          </cell>
          <cell r="C201">
            <v>13.053715703642743</v>
          </cell>
          <cell r="D201">
            <v>0</v>
          </cell>
          <cell r="E201">
            <v>309.44987810540982</v>
          </cell>
          <cell r="G201">
            <v>6.5268578518213713</v>
          </cell>
        </row>
        <row r="202">
          <cell r="B202" t="str">
            <v>EV/EBITDA</v>
          </cell>
          <cell r="C202">
            <v>11.247450128851238</v>
          </cell>
          <cell r="D202">
            <v>0</v>
          </cell>
          <cell r="E202">
            <v>11.620803986217455</v>
          </cell>
          <cell r="G202">
            <v>5.6237250644256189</v>
          </cell>
        </row>
        <row r="204">
          <cell r="B204" t="str">
            <v>Price Targets</v>
          </cell>
          <cell r="C204">
            <v>10</v>
          </cell>
          <cell r="D204">
            <v>22</v>
          </cell>
          <cell r="E204">
            <v>28</v>
          </cell>
        </row>
        <row r="205">
          <cell r="B205" t="str">
            <v>Ups/Downs</v>
          </cell>
          <cell r="C205" t="e">
            <v>#VALUE!</v>
          </cell>
          <cell r="D205" t="e">
            <v>#VALUE!</v>
          </cell>
          <cell r="E205" t="e">
            <v>#VALUE!</v>
          </cell>
        </row>
        <row r="206">
          <cell r="C206">
            <v>4.4288683662267392</v>
          </cell>
          <cell r="D206">
            <v>8.762762052204728</v>
          </cell>
          <cell r="E206">
            <v>10.436987320490857</v>
          </cell>
        </row>
        <row r="207">
          <cell r="A207" t="str">
            <v>UA.N</v>
          </cell>
          <cell r="B207" t="str">
            <v>UA</v>
          </cell>
        </row>
        <row r="208">
          <cell r="B208" t="str">
            <v>Current Price</v>
          </cell>
          <cell r="D208" t="str">
            <v>#Calc</v>
          </cell>
        </row>
        <row r="209">
          <cell r="B209" t="str">
            <v>Net Debt</v>
          </cell>
          <cell r="D209">
            <v>-2.5880000000000081</v>
          </cell>
        </row>
        <row r="210">
          <cell r="B210" t="str">
            <v>Shares</v>
          </cell>
          <cell r="D210">
            <v>49.933999999999997</v>
          </cell>
        </row>
        <row r="212">
          <cell r="B212" t="str">
            <v>Revenue</v>
          </cell>
          <cell r="C212">
            <v>0.14236773121139379</v>
          </cell>
          <cell r="D212">
            <v>0.18755186841098626</v>
          </cell>
          <cell r="E212">
            <v>0.22117037202345236</v>
          </cell>
        </row>
        <row r="213">
          <cell r="B213" t="str">
            <v>Gross Margin</v>
          </cell>
          <cell r="C213">
            <v>-166.35202649946334</v>
          </cell>
          <cell r="D213">
            <v>-81.868290295997738</v>
          </cell>
          <cell r="E213">
            <v>-11.871325705416492</v>
          </cell>
        </row>
        <row r="214">
          <cell r="B214" t="str">
            <v>Expense Ratio</v>
          </cell>
          <cell r="C214">
            <v>31.875640145483942</v>
          </cell>
          <cell r="D214">
            <v>-18.306369319854298</v>
          </cell>
          <cell r="E214">
            <v>-146.78806714331915</v>
          </cell>
        </row>
        <row r="215">
          <cell r="B215" t="str">
            <v>Operating Margin</v>
          </cell>
          <cell r="C215">
            <v>-198.22766664494756</v>
          </cell>
          <cell r="D215">
            <v>-63.561920976143718</v>
          </cell>
          <cell r="E215">
            <v>134.91674143790212</v>
          </cell>
        </row>
        <row r="217">
          <cell r="B217" t="str">
            <v>P/E Valuation</v>
          </cell>
          <cell r="J217" t="str">
            <v>Under Armour: Base Case Assumptions</v>
          </cell>
        </row>
        <row r="218">
          <cell r="B218" t="str">
            <v>EPS</v>
          </cell>
          <cell r="C218">
            <v>0.99906466248783032</v>
          </cell>
          <cell r="D218">
            <v>1.2018850185316137</v>
          </cell>
          <cell r="E218">
            <v>1.5504235836780593</v>
          </cell>
          <cell r="J218">
            <v>1.2018850185316137</v>
          </cell>
        </row>
        <row r="219">
          <cell r="B219" t="str">
            <v>P/E</v>
          </cell>
          <cell r="C219">
            <v>14</v>
          </cell>
          <cell r="D219">
            <v>18</v>
          </cell>
          <cell r="E219">
            <v>20</v>
          </cell>
        </row>
        <row r="220">
          <cell r="B220" t="str">
            <v>Scenario Price</v>
          </cell>
          <cell r="C220">
            <v>13.986905274829624</v>
          </cell>
          <cell r="D220">
            <v>21.633930333569047</v>
          </cell>
          <cell r="E220">
            <v>31.008471673561186</v>
          </cell>
        </row>
        <row r="221">
          <cell r="B221" t="str">
            <v>Ups/Downs</v>
          </cell>
          <cell r="C221" t="e">
            <v>#VALUE!</v>
          </cell>
          <cell r="D221" t="e">
            <v>#VALUE!</v>
          </cell>
          <cell r="E221" t="e">
            <v>#VALUE!</v>
          </cell>
        </row>
        <row r="223">
          <cell r="B223" t="str">
            <v>EBITDA Valuation</v>
          </cell>
        </row>
        <row r="224">
          <cell r="B224" t="str">
            <v>EBITDA</v>
          </cell>
          <cell r="C224">
            <v>119.58353719373952</v>
          </cell>
          <cell r="D224">
            <v>137.30870701109214</v>
          </cell>
          <cell r="E224">
            <v>167.54865976843155</v>
          </cell>
          <cell r="J224">
            <v>137.30870701109214</v>
          </cell>
        </row>
        <row r="225">
          <cell r="B225" t="str">
            <v>EV/EBITDA</v>
          </cell>
          <cell r="C225">
            <v>20</v>
          </cell>
          <cell r="D225">
            <v>0</v>
          </cell>
          <cell r="E225">
            <v>18</v>
          </cell>
          <cell r="I225" t="str">
            <v>LULU</v>
          </cell>
          <cell r="J225">
            <v>5.9734860572920985</v>
          </cell>
        </row>
        <row r="226">
          <cell r="B226" t="str">
            <v>EV</v>
          </cell>
          <cell r="C226">
            <v>2391.6707438747903</v>
          </cell>
          <cell r="D226">
            <v>0</v>
          </cell>
          <cell r="E226">
            <v>3015.8758758317681</v>
          </cell>
          <cell r="I226" t="str">
            <v>JCG</v>
          </cell>
          <cell r="J226">
            <v>0</v>
          </cell>
        </row>
        <row r="227">
          <cell r="B227" t="str">
            <v>Implied Equity</v>
          </cell>
          <cell r="C227">
            <v>47.948466853742751</v>
          </cell>
          <cell r="D227">
            <v>5.1828413505827856E-2</v>
          </cell>
          <cell r="E227">
            <v>60.449070289417399</v>
          </cell>
          <cell r="I227" t="str">
            <v>HIBB</v>
          </cell>
          <cell r="J227">
            <v>3.6649423212155883</v>
          </cell>
        </row>
        <row r="228">
          <cell r="B228" t="str">
            <v>Ups/Downs</v>
          </cell>
          <cell r="C228" t="e">
            <v>#VALUE!</v>
          </cell>
          <cell r="D228" t="e">
            <v>#VALUE!</v>
          </cell>
          <cell r="E228" t="e">
            <v>#VALUE!</v>
          </cell>
        </row>
        <row r="230">
          <cell r="B230" t="str">
            <v>Residual Income</v>
          </cell>
        </row>
        <row r="231">
          <cell r="B231" t="str">
            <v>Val-Cur</v>
          </cell>
          <cell r="J231">
            <v>28.532794139999851</v>
          </cell>
        </row>
        <row r="233">
          <cell r="B233" t="str">
            <v>FCF Valuation</v>
          </cell>
        </row>
        <row r="234">
          <cell r="B234" t="str">
            <v>FCF Per Share</v>
          </cell>
          <cell r="C234">
            <v>0.4343387735004669</v>
          </cell>
          <cell r="D234">
            <v>0.42456773940421655</v>
          </cell>
          <cell r="E234">
            <v>0.60593286020249848</v>
          </cell>
          <cell r="J234">
            <v>0.42456773940421655</v>
          </cell>
        </row>
        <row r="235">
          <cell r="B235" t="str">
            <v>Yield</v>
          </cell>
          <cell r="C235">
            <v>1.4025548198816596E-2</v>
          </cell>
          <cell r="D235">
            <v>3.9156364723598631E-2</v>
          </cell>
          <cell r="E235">
            <v>1.325058266813635E-2</v>
          </cell>
        </row>
        <row r="237">
          <cell r="C237" t="str">
            <v>Trough</v>
          </cell>
          <cell r="D237" t="str">
            <v>5-Yr.</v>
          </cell>
          <cell r="E237" t="str">
            <v>Peak</v>
          </cell>
          <cell r="O237">
            <v>14</v>
          </cell>
          <cell r="P237">
            <v>22</v>
          </cell>
          <cell r="Q237">
            <v>31</v>
          </cell>
        </row>
        <row r="238">
          <cell r="B238" t="str">
            <v>P/E</v>
          </cell>
          <cell r="C238">
            <v>12.428356703450484</v>
          </cell>
          <cell r="D238">
            <v>44.41327296284517</v>
          </cell>
          <cell r="E238">
            <v>87.068181818181827</v>
          </cell>
          <cell r="J238">
            <v>28.420814833147826</v>
          </cell>
        </row>
        <row r="239">
          <cell r="B239" t="str">
            <v>EV/EBITDA</v>
          </cell>
          <cell r="C239">
            <v>140.03810000000001</v>
          </cell>
          <cell r="D239">
            <v>117.12529688969684</v>
          </cell>
          <cell r="E239">
            <v>118.35556000000001</v>
          </cell>
        </row>
        <row r="241">
          <cell r="B241" t="str">
            <v>Price Targets</v>
          </cell>
          <cell r="C241">
            <v>14</v>
          </cell>
          <cell r="D241">
            <v>22</v>
          </cell>
          <cell r="E241">
            <v>31</v>
          </cell>
        </row>
        <row r="242">
          <cell r="B242" t="str">
            <v>Ups/Downs</v>
          </cell>
          <cell r="C242" t="e">
            <v>#VALUE!</v>
          </cell>
          <cell r="D242" t="e">
            <v>#VALUE!</v>
          </cell>
          <cell r="E242" t="e">
            <v>#VALUE!</v>
          </cell>
        </row>
        <row r="243">
          <cell r="C243">
            <v>14.013106984624766</v>
          </cell>
          <cell r="D243">
            <v>18.304579606856397</v>
          </cell>
          <cell r="E243">
            <v>19.994535897382903</v>
          </cell>
        </row>
        <row r="244">
          <cell r="A244" t="str">
            <v>RL.N</v>
          </cell>
          <cell r="B244" t="str">
            <v>RL</v>
          </cell>
        </row>
        <row r="245">
          <cell r="B245" t="str">
            <v>Current Price</v>
          </cell>
          <cell r="D245" t="str">
            <v>#Calc</v>
          </cell>
        </row>
        <row r="246">
          <cell r="B246" t="str">
            <v>Net Debt</v>
          </cell>
          <cell r="D246">
            <v>-240.9999999999996</v>
          </cell>
        </row>
        <row r="247">
          <cell r="B247" t="str">
            <v>Shares</v>
          </cell>
          <cell r="D247">
            <v>102.1</v>
          </cell>
        </row>
        <row r="249">
          <cell r="B249" t="str">
            <v>Revenue</v>
          </cell>
          <cell r="C249">
            <v>-1.2219431833004668E-2</v>
          </cell>
          <cell r="D249">
            <v>9.7264391571743047E-3</v>
          </cell>
          <cell r="E249">
            <v>4.8279300510463141E-2</v>
          </cell>
        </row>
        <row r="250">
          <cell r="B250" t="str">
            <v>Gross Margin</v>
          </cell>
          <cell r="C250">
            <v>-52.400778001017166</v>
          </cell>
          <cell r="D250">
            <v>39.903577506641419</v>
          </cell>
          <cell r="E250">
            <v>72.31350123189317</v>
          </cell>
        </row>
        <row r="251">
          <cell r="B251" t="str">
            <v>Expense Ratio</v>
          </cell>
          <cell r="C251">
            <v>162.99489485176565</v>
          </cell>
          <cell r="D251">
            <v>139.69425994722619</v>
          </cell>
          <cell r="E251">
            <v>121.14643072228759</v>
          </cell>
        </row>
        <row r="252">
          <cell r="B252" t="str">
            <v>Operating Margin</v>
          </cell>
          <cell r="C252">
            <v>-191.34202325536199</v>
          </cell>
          <cell r="D252">
            <v>-74.157682659594656</v>
          </cell>
          <cell r="E252">
            <v>-20.585567856334919</v>
          </cell>
        </row>
        <row r="254">
          <cell r="B254" t="str">
            <v>P/E Valuation</v>
          </cell>
          <cell r="J254" t="str">
            <v>Ralph Lauren: Base Case Assumptions</v>
          </cell>
        </row>
        <row r="255">
          <cell r="B255" t="str">
            <v>EPS</v>
          </cell>
          <cell r="C255">
            <v>3.3923540743442406</v>
          </cell>
          <cell r="D255">
            <v>3.8195556979500398</v>
          </cell>
          <cell r="E255">
            <v>4.1322311197207835</v>
          </cell>
          <cell r="J255">
            <v>3.8195556979500398</v>
          </cell>
        </row>
        <row r="256">
          <cell r="B256" t="str">
            <v>P/E</v>
          </cell>
          <cell r="C256">
            <v>8</v>
          </cell>
          <cell r="D256">
            <v>11</v>
          </cell>
          <cell r="E256">
            <v>15</v>
          </cell>
          <cell r="G256" t="e">
            <v>#VALUE!</v>
          </cell>
        </row>
        <row r="257">
          <cell r="B257" t="str">
            <v>Scenario Price</v>
          </cell>
          <cell r="C257">
            <v>27.138832594753925</v>
          </cell>
          <cell r="D257">
            <v>42.015112677450439</v>
          </cell>
          <cell r="E257">
            <v>61.983466795811751</v>
          </cell>
        </row>
        <row r="258">
          <cell r="B258" t="str">
            <v>Ups/Downs</v>
          </cell>
          <cell r="C258" t="e">
            <v>#VALUE!</v>
          </cell>
          <cell r="D258" t="e">
            <v>#VALUE!</v>
          </cell>
          <cell r="E258" t="e">
            <v>#VALUE!</v>
          </cell>
        </row>
        <row r="260">
          <cell r="B260" t="str">
            <v>EBITDA Valuation</v>
          </cell>
        </row>
        <row r="261">
          <cell r="B261" t="str">
            <v>EBITDA</v>
          </cell>
          <cell r="C261">
            <v>772.82752298635683</v>
          </cell>
          <cell r="D261">
            <v>843.29338043227006</v>
          </cell>
          <cell r="E261">
            <v>895.18188415629652</v>
          </cell>
          <cell r="J261">
            <v>843.29338043227006</v>
          </cell>
        </row>
        <row r="262">
          <cell r="B262" t="str">
            <v>EV/EBITDA</v>
          </cell>
          <cell r="C262">
            <v>15</v>
          </cell>
          <cell r="D262">
            <v>0</v>
          </cell>
          <cell r="E262">
            <v>11</v>
          </cell>
          <cell r="G262">
            <v>6.2532186038063315</v>
          </cell>
        </row>
        <row r="263">
          <cell r="B263" t="str">
            <v>EV</v>
          </cell>
          <cell r="C263">
            <v>11592.412844795352</v>
          </cell>
          <cell r="D263">
            <v>0</v>
          </cell>
          <cell r="E263">
            <v>9847.000725719261</v>
          </cell>
        </row>
        <row r="264">
          <cell r="B264" t="str">
            <v>Implied Equity</v>
          </cell>
          <cell r="C264">
            <v>115.9002237492199</v>
          </cell>
          <cell r="D264">
            <v>2.360430950048968</v>
          </cell>
          <cell r="E264">
            <v>98.805100153959472</v>
          </cell>
        </row>
        <row r="265">
          <cell r="B265" t="str">
            <v>Ups/Downs</v>
          </cell>
          <cell r="C265" t="e">
            <v>#VALUE!</v>
          </cell>
          <cell r="D265" t="e">
            <v>#VALUE!</v>
          </cell>
          <cell r="E265" t="e">
            <v>#VALUE!</v>
          </cell>
        </row>
        <row r="267">
          <cell r="B267" t="str">
            <v>Residual Income</v>
          </cell>
        </row>
        <row r="268">
          <cell r="B268" t="str">
            <v>Val-Cur</v>
          </cell>
          <cell r="J268">
            <v>58.077356023997737</v>
          </cell>
        </row>
        <row r="270">
          <cell r="B270" t="str">
            <v>FCF Valuation</v>
          </cell>
        </row>
        <row r="271">
          <cell r="B271" t="str">
            <v>FCF Per Share</v>
          </cell>
          <cell r="C271">
            <v>5.3375916719245931</v>
          </cell>
          <cell r="D271">
            <v>5.6935077768655109</v>
          </cell>
          <cell r="E271">
            <v>5.7274157838770998</v>
          </cell>
          <cell r="J271">
            <v>5.6935077768655109</v>
          </cell>
        </row>
        <row r="272">
          <cell r="B272" t="str">
            <v>Yield</v>
          </cell>
          <cell r="C272">
            <v>7.4631248392592789E-2</v>
          </cell>
          <cell r="D272">
            <v>0.25660565759637294</v>
          </cell>
          <cell r="E272">
            <v>7.1241580076601946E-2</v>
          </cell>
        </row>
        <row r="273">
          <cell r="O273">
            <v>25.684165401014301</v>
          </cell>
          <cell r="P273">
            <v>43</v>
          </cell>
          <cell r="Q273">
            <v>71.837292762706198</v>
          </cell>
        </row>
        <row r="274">
          <cell r="C274" t="str">
            <v>Trough</v>
          </cell>
          <cell r="D274" t="str">
            <v>5-Yr.</v>
          </cell>
          <cell r="E274" t="str">
            <v>Peak</v>
          </cell>
        </row>
        <row r="275">
          <cell r="B275" t="str">
            <v>P/E</v>
          </cell>
          <cell r="C275">
            <v>7.8445747800586503</v>
          </cell>
          <cell r="D275">
            <v>16.682633413664135</v>
          </cell>
          <cell r="E275">
            <v>26.298497977869165</v>
          </cell>
          <cell r="J275">
            <v>12.263604096861393</v>
          </cell>
        </row>
        <row r="276">
          <cell r="B276" t="str">
            <v>EV/EBITDA</v>
          </cell>
          <cell r="C276">
            <v>860.82420000000002</v>
          </cell>
          <cell r="D276">
            <v>862.34718055699659</v>
          </cell>
          <cell r="E276">
            <v>821.79550000000006</v>
          </cell>
        </row>
        <row r="278">
          <cell r="B278" t="str">
            <v>Recession</v>
          </cell>
          <cell r="C278" t="str">
            <v>Trough</v>
          </cell>
          <cell r="D278" t="str">
            <v>Mean</v>
          </cell>
          <cell r="E278" t="str">
            <v>Peak</v>
          </cell>
          <cell r="G278" t="str">
            <v>Average</v>
          </cell>
        </row>
        <row r="279">
          <cell r="B279" t="str">
            <v>P/E</v>
          </cell>
          <cell r="C279">
            <v>33.450534727436931</v>
          </cell>
          <cell r="D279">
            <v>0</v>
          </cell>
          <cell r="E279">
            <v>170.30555199737367</v>
          </cell>
          <cell r="G279">
            <v>16.725267363718466</v>
          </cell>
        </row>
        <row r="280">
          <cell r="B280" t="str">
            <v>EV/EBITDA</v>
          </cell>
          <cell r="C280">
            <v>13.227056805898966</v>
          </cell>
          <cell r="D280">
            <v>0</v>
          </cell>
          <cell r="E280">
            <v>10.280584766378455</v>
          </cell>
          <cell r="G280">
            <v>6.6135284029494832</v>
          </cell>
        </row>
        <row r="283">
          <cell r="B283" t="str">
            <v>Price Targets</v>
          </cell>
          <cell r="C283">
            <v>25.684165401014301</v>
          </cell>
          <cell r="D283">
            <v>43</v>
          </cell>
          <cell r="E283">
            <v>71.837292762706198</v>
          </cell>
        </row>
        <row r="284">
          <cell r="B284" t="str">
            <v>Ups/Downs</v>
          </cell>
          <cell r="C284" t="e">
            <v>#VALUE!</v>
          </cell>
          <cell r="D284" t="e">
            <v>#VALUE!</v>
          </cell>
          <cell r="E284" t="e">
            <v>#VALUE!</v>
          </cell>
        </row>
        <row r="285">
          <cell r="C285">
            <v>7.571192404489552</v>
          </cell>
          <cell r="D285">
            <v>11.257853897268248</v>
          </cell>
          <cell r="E285">
            <v>17.384626048593397</v>
          </cell>
        </row>
      </sheetData>
      <sheetData sheetId="9">
        <row r="1">
          <cell r="R1" t="str">
            <v>SmartCharts</v>
          </cell>
          <cell r="BN1" t="str">
            <v>.</v>
          </cell>
        </row>
        <row r="2">
          <cell r="BN2" t="str">
            <v>.</v>
          </cell>
        </row>
        <row r="3">
          <cell r="BN3" t="str">
            <v>.</v>
          </cell>
        </row>
        <row r="9">
          <cell r="D9" t="str">
            <v>Input values in white cells:</v>
          </cell>
        </row>
        <row r="10">
          <cell r="AF10">
            <v>6130.6740333953476</v>
          </cell>
        </row>
        <row r="11">
          <cell r="C11" t="str">
            <v>Base case:</v>
          </cell>
          <cell r="D11">
            <v>22</v>
          </cell>
          <cell r="AF11">
            <v>0.1</v>
          </cell>
        </row>
        <row r="13">
          <cell r="C13" t="str">
            <v>Current price:</v>
          </cell>
          <cell r="D13">
            <v>14.15</v>
          </cell>
          <cell r="AE13">
            <v>-4.9399999999999977</v>
          </cell>
        </row>
        <row r="14">
          <cell r="AE14">
            <v>6170.7696480537052</v>
          </cell>
        </row>
        <row r="15">
          <cell r="C15" t="str">
            <v>Price target:</v>
          </cell>
          <cell r="D15">
            <v>22</v>
          </cell>
        </row>
        <row r="17">
          <cell r="AE17" t="str">
            <v>Bear</v>
          </cell>
          <cell r="AG17" t="str">
            <v>Base</v>
          </cell>
          <cell r="AJ17" t="str">
            <v>Bull</v>
          </cell>
        </row>
        <row r="18">
          <cell r="E18" t="str">
            <v>Input your Bull/Bear data below:</v>
          </cell>
          <cell r="AD18">
            <v>6165.9792177678301</v>
          </cell>
          <cell r="AE18">
            <v>6165.9792177678301</v>
          </cell>
          <cell r="AG18">
            <v>40</v>
          </cell>
          <cell r="AJ18">
            <v>6130.6740333953476</v>
          </cell>
          <cell r="AL18">
            <v>6130.6740333953476</v>
          </cell>
        </row>
        <row r="19">
          <cell r="E19" t="str">
            <v>(Input "to Bear" values as negatives)</v>
          </cell>
          <cell r="AE19" t="str">
            <v>bear_labels</v>
          </cell>
          <cell r="AF19" t="str">
            <v>-bear</v>
          </cell>
          <cell r="AG19" t="str">
            <v>-space1</v>
          </cell>
          <cell r="AH19" t="str">
            <v>+space1</v>
          </cell>
          <cell r="AI19" t="str">
            <v>+bull</v>
          </cell>
          <cell r="AJ19" t="str">
            <v>bull_labels</v>
          </cell>
        </row>
        <row r="20">
          <cell r="D20" t="str">
            <v>to Bear</v>
          </cell>
          <cell r="E20" t="str">
            <v>to Bull</v>
          </cell>
        </row>
        <row r="21">
          <cell r="C21" t="str">
            <v>Global Expansion</v>
          </cell>
          <cell r="D21">
            <v>6170.7696480537052</v>
          </cell>
          <cell r="E21">
            <v>6125.839446330172</v>
          </cell>
          <cell r="AE21">
            <v>-613.06740333953474</v>
          </cell>
          <cell r="AF21">
            <v>6170.7696480537052</v>
          </cell>
          <cell r="AG21">
            <v>0</v>
          </cell>
          <cell r="AH21">
            <v>0</v>
          </cell>
          <cell r="AI21">
            <v>6125.839446330172</v>
          </cell>
          <cell r="AJ21">
            <v>613.06740333953474</v>
          </cell>
          <cell r="AK21">
            <v>6738.9068496697064</v>
          </cell>
        </row>
        <row r="22">
          <cell r="C22" t="str">
            <v>Margin Strength</v>
          </cell>
          <cell r="D22">
            <v>0.14956971412449871</v>
          </cell>
          <cell r="E22">
            <v>-0.10541293482405914</v>
          </cell>
          <cell r="AE22">
            <v>-613.06740333953474</v>
          </cell>
          <cell r="AF22">
            <v>0.14956971412449871</v>
          </cell>
          <cell r="AG22">
            <v>6170.7696480537052</v>
          </cell>
          <cell r="AH22">
            <v>6125.839446330172</v>
          </cell>
          <cell r="AI22">
            <v>-0.10541293482405914</v>
          </cell>
          <cell r="AJ22">
            <v>613.06740333953474</v>
          </cell>
          <cell r="AK22">
            <v>6738.8014367348824</v>
          </cell>
        </row>
        <row r="23">
          <cell r="C23" t="str">
            <v>Multiple</v>
          </cell>
          <cell r="D23">
            <v>-4.9399999999999977</v>
          </cell>
          <cell r="E23">
            <v>4.9400000000000013</v>
          </cell>
          <cell r="AE23">
            <v>-613.06740333953474</v>
          </cell>
          <cell r="AF23">
            <v>-4.9399999999999977</v>
          </cell>
          <cell r="AG23">
            <v>6170.9192177678297</v>
          </cell>
          <cell r="AH23">
            <v>6125.734033395348</v>
          </cell>
          <cell r="AI23">
            <v>4.9400000000000013</v>
          </cell>
          <cell r="AJ23">
            <v>613.06740333953474</v>
          </cell>
          <cell r="AK23">
            <v>6743.741436734882</v>
          </cell>
          <cell r="AN23" t="str">
            <v/>
          </cell>
        </row>
        <row r="24">
          <cell r="AE24">
            <v>-613.06740333953474</v>
          </cell>
          <cell r="AF24">
            <v>0</v>
          </cell>
          <cell r="AG24">
            <v>6165.9792177678301</v>
          </cell>
          <cell r="AH24">
            <v>6130.6740333953476</v>
          </cell>
          <cell r="AI24">
            <v>0</v>
          </cell>
          <cell r="AJ24" t="str">
            <v/>
          </cell>
          <cell r="AK24">
            <v>6130.6740333953476</v>
          </cell>
          <cell r="AN24" t="str">
            <v/>
          </cell>
        </row>
        <row r="25">
          <cell r="AE25">
            <v>-613.06740333953474</v>
          </cell>
          <cell r="AF25">
            <v>0</v>
          </cell>
          <cell r="AG25">
            <v>6165.9792177678301</v>
          </cell>
          <cell r="AH25">
            <v>6130.6740333953476</v>
          </cell>
          <cell r="AI25">
            <v>0</v>
          </cell>
          <cell r="AJ25" t="str">
            <v/>
          </cell>
          <cell r="AK25">
            <v>6130.6740333953476</v>
          </cell>
          <cell r="AN25" t="str">
            <v>Current
14.15</v>
          </cell>
        </row>
        <row r="26">
          <cell r="AE26">
            <v>-613.06740333953474</v>
          </cell>
          <cell r="AF26">
            <v>0</v>
          </cell>
          <cell r="AG26">
            <v>6165.9792177678301</v>
          </cell>
          <cell r="AH26">
            <v>6130.6740333953476</v>
          </cell>
          <cell r="AI26">
            <v>0</v>
          </cell>
          <cell r="AJ26" t="str">
            <v/>
          </cell>
          <cell r="AK26">
            <v>6130.6740333953476</v>
          </cell>
          <cell r="AN26" t="str">
            <v/>
          </cell>
        </row>
        <row r="27">
          <cell r="D27">
            <v>6187.9792177678301</v>
          </cell>
          <cell r="E27">
            <v>6152.6740333953476</v>
          </cell>
          <cell r="AG27">
            <v>0</v>
          </cell>
          <cell r="AH27">
            <v>6130.6740333953476</v>
          </cell>
          <cell r="AN27" t="str">
            <v/>
          </cell>
        </row>
        <row r="28">
          <cell r="D28" t="str">
            <v>BEAR</v>
          </cell>
          <cell r="E28" t="str">
            <v>BULL</v>
          </cell>
          <cell r="AN28" t="str">
            <v/>
          </cell>
        </row>
        <row r="30">
          <cell r="C30" t="str">
            <v>Select currency here:</v>
          </cell>
          <cell r="AE30" t="str">
            <v>-space1</v>
          </cell>
          <cell r="AF30" t="str">
            <v>-bear</v>
          </cell>
          <cell r="AG30" t="str">
            <v>bear_labels</v>
          </cell>
          <cell r="AH30" t="str">
            <v>+space1</v>
          </cell>
          <cell r="AI30" t="str">
            <v>+bull</v>
          </cell>
          <cell r="AJ30" t="str">
            <v>bull_labels</v>
          </cell>
          <cell r="AK30" t="str">
            <v>Bear 6187.98</v>
          </cell>
          <cell r="AL30" t="str">
            <v>Target  22.00</v>
          </cell>
          <cell r="AM30" t="str">
            <v>Bull 6152.67</v>
          </cell>
          <cell r="AN30" t="str">
            <v>Current
14.15</v>
          </cell>
          <cell r="AP30" t="str">
            <v/>
          </cell>
        </row>
        <row r="32">
          <cell r="E32" t="str">
            <v/>
          </cell>
          <cell r="AD32" t="str">
            <v>Global Expansion</v>
          </cell>
          <cell r="AE32">
            <v>0</v>
          </cell>
          <cell r="AF32">
            <v>6170.7696480537052</v>
          </cell>
          <cell r="AH32">
            <v>0</v>
          </cell>
          <cell r="AI32">
            <v>6125.839446330172</v>
          </cell>
          <cell r="AJ32">
            <v>613.06740333953474</v>
          </cell>
          <cell r="AK32">
            <v>6165.9792177678301</v>
          </cell>
          <cell r="AL32">
            <v>0</v>
          </cell>
          <cell r="AM32">
            <v>6130.6740333953476</v>
          </cell>
          <cell r="AN32">
            <v>-7.85</v>
          </cell>
          <cell r="AP32">
            <v>0</v>
          </cell>
        </row>
        <row r="33">
          <cell r="D33" t="str">
            <v>other currency</v>
          </cell>
          <cell r="AD33" t="str">
            <v>Margin Strength</v>
          </cell>
          <cell r="AE33">
            <v>6170.7696480537052</v>
          </cell>
          <cell r="AF33">
            <v>0.14956971412449871</v>
          </cell>
          <cell r="AH33">
            <v>6125.839446330172</v>
          </cell>
          <cell r="AI33">
            <v>-0.10541293482405914</v>
          </cell>
          <cell r="AJ33">
            <v>613.06740333953474</v>
          </cell>
          <cell r="AK33">
            <v>6165.9792177678301</v>
          </cell>
          <cell r="AL33">
            <v>0</v>
          </cell>
          <cell r="AM33">
            <v>6130.6740333953476</v>
          </cell>
          <cell r="AN33">
            <v>-7.85</v>
          </cell>
        </row>
        <row r="34">
          <cell r="AD34" t="str">
            <v>Multiple</v>
          </cell>
          <cell r="AE34">
            <v>6170.9192177678297</v>
          </cell>
          <cell r="AF34">
            <v>-4.9399999999999977</v>
          </cell>
          <cell r="AH34">
            <v>6125.734033395348</v>
          </cell>
          <cell r="AI34">
            <v>4.9400000000000013</v>
          </cell>
          <cell r="AJ34">
            <v>613.06740333953474</v>
          </cell>
          <cell r="AK34">
            <v>6165.9792177678301</v>
          </cell>
          <cell r="AL34">
            <v>0</v>
          </cell>
          <cell r="AM34">
            <v>6130.6740333953476</v>
          </cell>
          <cell r="AN34">
            <v>-7.85</v>
          </cell>
        </row>
        <row r="35">
          <cell r="AD35" t="str">
            <v/>
          </cell>
          <cell r="AE35">
            <v>6165.9792177678301</v>
          </cell>
          <cell r="AF35" t="str">
            <v/>
          </cell>
          <cell r="AH35">
            <v>6130.6740333953476</v>
          </cell>
          <cell r="AI35">
            <v>0</v>
          </cell>
          <cell r="AJ35" t="str">
            <v/>
          </cell>
          <cell r="AK35">
            <v>6165.9792177678301</v>
          </cell>
          <cell r="AL35">
            <v>0</v>
          </cell>
          <cell r="AM35">
            <v>6130.6740333953476</v>
          </cell>
          <cell r="AN35">
            <v>-7.85</v>
          </cell>
        </row>
        <row r="36">
          <cell r="AD36" t="str">
            <v/>
          </cell>
          <cell r="AE36">
            <v>6165.9792177678301</v>
          </cell>
          <cell r="AF36" t="str">
            <v/>
          </cell>
          <cell r="AH36">
            <v>6130.6740333953476</v>
          </cell>
          <cell r="AI36">
            <v>0</v>
          </cell>
          <cell r="AJ36" t="str">
            <v/>
          </cell>
          <cell r="AK36">
            <v>6165.9792177678301</v>
          </cell>
          <cell r="AL36">
            <v>0</v>
          </cell>
          <cell r="AM36">
            <v>6130.6740333953476</v>
          </cell>
          <cell r="AN36">
            <v>-7.85</v>
          </cell>
        </row>
        <row r="37">
          <cell r="AD37" t="str">
            <v/>
          </cell>
          <cell r="AE37">
            <v>6165.9792177678301</v>
          </cell>
          <cell r="AF37" t="str">
            <v/>
          </cell>
          <cell r="AH37">
            <v>6130.6740333953476</v>
          </cell>
          <cell r="AI37">
            <v>0</v>
          </cell>
          <cell r="AJ37" t="str">
            <v/>
          </cell>
          <cell r="AK37">
            <v>6165.9792177678301</v>
          </cell>
          <cell r="AL37">
            <v>0</v>
          </cell>
          <cell r="AM37">
            <v>6130.6740333953476</v>
          </cell>
          <cell r="AN37">
            <v>-7.85</v>
          </cell>
        </row>
        <row r="38">
          <cell r="H38" t="str">
            <v>click here for link to SmartChart FAQ</v>
          </cell>
          <cell r="AK38">
            <v>6165.9792177678301</v>
          </cell>
          <cell r="AL38">
            <v>0</v>
          </cell>
          <cell r="AM38">
            <v>6130.6740333953476</v>
          </cell>
          <cell r="AN38">
            <v>-7.85</v>
          </cell>
        </row>
        <row r="39">
          <cell r="AK39">
            <v>6165.9792177678301</v>
          </cell>
          <cell r="AL39">
            <v>0</v>
          </cell>
          <cell r="AM39">
            <v>6130.6740333953476</v>
          </cell>
          <cell r="AN39">
            <v>-7.85</v>
          </cell>
        </row>
        <row r="40">
          <cell r="G40" t="str">
            <v>Do not change the width of the exhibit or font sizes (they are optimized for export to Word).</v>
          </cell>
        </row>
        <row r="41">
          <cell r="AC41">
            <v>1</v>
          </cell>
          <cell r="AD41" t="str">
            <v>U.S. Dollars</v>
          </cell>
          <cell r="AE41">
            <v>1</v>
          </cell>
          <cell r="AG41" t="str">
            <v>All values are in U.S. Dollars</v>
          </cell>
        </row>
        <row r="42">
          <cell r="G42" t="str">
            <v>Do not delete any rows or columns (some gray cells are used for calculations).</v>
          </cell>
          <cell r="AC42">
            <v>2</v>
          </cell>
          <cell r="AD42" t="str">
            <v>Euros</v>
          </cell>
        </row>
        <row r="43">
          <cell r="AC43">
            <v>3</v>
          </cell>
          <cell r="AD43" t="str">
            <v>Japanese Yen</v>
          </cell>
        </row>
        <row r="44">
          <cell r="G44" t="str">
            <v>You can move the worksheet into another workbook (please use MOVE; do not COPY)</v>
          </cell>
          <cell r="AC44">
            <v>4</v>
          </cell>
          <cell r="AD44" t="str">
            <v>Other (input below)</v>
          </cell>
        </row>
        <row r="46">
          <cell r="G46" t="str">
            <v>Color palette may be affected after moving the worksheet to another workbook. See instructions in FAQ on the intranet</v>
          </cell>
        </row>
        <row r="49">
          <cell r="L49" t="str">
            <v>Bear</v>
          </cell>
          <cell r="M49" t="str">
            <v>Base</v>
          </cell>
          <cell r="N49" t="str">
            <v>Bull</v>
          </cell>
          <cell r="AK49" t="str">
            <v>s</v>
          </cell>
        </row>
        <row r="50">
          <cell r="J50" t="str">
            <v>Revenues</v>
          </cell>
          <cell r="L50">
            <v>212.3175238670191</v>
          </cell>
          <cell r="M50">
            <v>2022.5584557033394</v>
          </cell>
          <cell r="N50">
            <v>225.49813096701911</v>
          </cell>
        </row>
        <row r="51">
          <cell r="J51" t="str">
            <v>Gross Margin</v>
          </cell>
          <cell r="L51">
            <v>-23.812190517260888</v>
          </cell>
          <cell r="M51">
            <v>-23.812726947840115</v>
          </cell>
          <cell r="N51">
            <v>-23.813105010484797</v>
          </cell>
        </row>
        <row r="52">
          <cell r="J52" t="str">
            <v>Gross Profit</v>
          </cell>
          <cell r="L52">
            <v>-5055.7453284745443</v>
          </cell>
          <cell r="M52">
            <v>-48162.632241708801</v>
          </cell>
          <cell r="N52">
            <v>-5369.8106723856799</v>
          </cell>
        </row>
        <row r="53">
          <cell r="J53" t="str">
            <v>Expense Ratio</v>
          </cell>
          <cell r="L53">
            <v>6.6772102905653528</v>
          </cell>
          <cell r="M53">
            <v>0.90403084684786683</v>
          </cell>
          <cell r="N53">
            <v>7.2977144793772037</v>
          </cell>
        </row>
        <row r="54">
          <cell r="J54" t="str">
            <v>Expenses</v>
          </cell>
          <cell r="L54">
            <v>1417.6887552322148</v>
          </cell>
          <cell r="M54">
            <v>1828.4552335088038</v>
          </cell>
          <cell r="N54">
            <v>1645.6209754305123</v>
          </cell>
        </row>
        <row r="55">
          <cell r="J55" t="str">
            <v>Operating Margin</v>
          </cell>
          <cell r="L55">
            <v>2</v>
          </cell>
          <cell r="M55">
            <v>2</v>
          </cell>
          <cell r="N55">
            <v>2</v>
          </cell>
        </row>
        <row r="56">
          <cell r="J56" t="str">
            <v>Operating Profit</v>
          </cell>
          <cell r="L56">
            <v>-6473.4340837067593</v>
          </cell>
          <cell r="M56">
            <v>-49991.087475217602</v>
          </cell>
          <cell r="N56">
            <v>-7015.4316478161927</v>
          </cell>
        </row>
        <row r="57">
          <cell r="J57" t="str">
            <v>Other Expenses</v>
          </cell>
          <cell r="L57">
            <v>21</v>
          </cell>
          <cell r="M57">
            <v>21</v>
          </cell>
          <cell r="N57">
            <v>21</v>
          </cell>
        </row>
        <row r="58">
          <cell r="J58" t="str">
            <v>PBT</v>
          </cell>
          <cell r="L58">
            <v>-6494.4340837067593</v>
          </cell>
          <cell r="M58">
            <v>-50012.087475217602</v>
          </cell>
          <cell r="N58">
            <v>-7036.4316478161927</v>
          </cell>
        </row>
        <row r="59">
          <cell r="J59" t="str">
            <v>Taxes</v>
          </cell>
          <cell r="L59">
            <v>-1883.3858842749623</v>
          </cell>
          <cell r="M59">
            <v>-14503.505367813121</v>
          </cell>
          <cell r="N59">
            <v>-2040.5651778666981</v>
          </cell>
        </row>
        <row r="60">
          <cell r="J60" t="str">
            <v>Net Income</v>
          </cell>
          <cell r="L60">
            <v>-4611.048199431797</v>
          </cell>
          <cell r="M60">
            <v>-35508.58210740448</v>
          </cell>
          <cell r="N60">
            <v>-4995.8664699494948</v>
          </cell>
        </row>
        <row r="61">
          <cell r="J61" t="str">
            <v>EPS</v>
          </cell>
          <cell r="L61">
            <v>1.87</v>
          </cell>
          <cell r="M61">
            <v>2.4700000000000002</v>
          </cell>
          <cell r="N61">
            <v>2.74</v>
          </cell>
        </row>
        <row r="62">
          <cell r="L62">
            <v>-101.34818620303524</v>
          </cell>
          <cell r="M62">
            <v>-768.52777903632079</v>
          </cell>
          <cell r="N62">
            <v>-110.52020819742835</v>
          </cell>
        </row>
        <row r="63">
          <cell r="J63" t="str">
            <v>Tax Rate</v>
          </cell>
          <cell r="L63">
            <v>0.29000000000000031</v>
          </cell>
          <cell r="M63">
            <v>0.29000000000000031</v>
          </cell>
          <cell r="N63">
            <v>0.29000000000000031</v>
          </cell>
        </row>
        <row r="64">
          <cell r="J64" t="str">
            <v>Shares</v>
          </cell>
          <cell r="L64">
            <v>46.352354977810265</v>
          </cell>
          <cell r="M64">
            <v>46.352354977810265</v>
          </cell>
          <cell r="N64">
            <v>46.352354977810265</v>
          </cell>
        </row>
        <row r="66">
          <cell r="J66" t="str">
            <v>Revenues</v>
          </cell>
          <cell r="L66">
            <v>685.6410720059672</v>
          </cell>
          <cell r="M66">
            <v>0</v>
          </cell>
          <cell r="N66">
            <v>680.64882737001915</v>
          </cell>
        </row>
        <row r="67">
          <cell r="J67" t="str">
            <v>Gross Margin</v>
          </cell>
          <cell r="L67">
            <v>1.6618857124944302E-2</v>
          </cell>
          <cell r="M67">
            <v>0</v>
          </cell>
          <cell r="N67">
            <v>-1.1712548313784349E-2</v>
          </cell>
        </row>
        <row r="68">
          <cell r="J68" t="str">
            <v>Expenses</v>
          </cell>
          <cell r="L68">
            <v>-178.85565820979414</v>
          </cell>
          <cell r="M68">
            <v>0</v>
          </cell>
          <cell r="N68">
            <v>-198.0791530264415</v>
          </cell>
        </row>
        <row r="69">
          <cell r="J69" t="str">
            <v>Operating Profit</v>
          </cell>
          <cell r="L69">
            <v>506.80203265329806</v>
          </cell>
          <cell r="M69">
            <v>0</v>
          </cell>
          <cell r="N69">
            <v>482.55796179526385</v>
          </cell>
        </row>
        <row r="70">
          <cell r="J70" t="str">
            <v>Other</v>
          </cell>
          <cell r="L70">
            <v>-507.40203265329808</v>
          </cell>
          <cell r="M70">
            <v>0</v>
          </cell>
          <cell r="N70">
            <v>-482.28796179526387</v>
          </cell>
        </row>
        <row r="71">
          <cell r="J71" t="str">
            <v>TOTAL</v>
          </cell>
          <cell r="L71">
            <v>-0.60000000000002274</v>
          </cell>
          <cell r="M71">
            <v>0</v>
          </cell>
          <cell r="N71">
            <v>0.26999999999998181</v>
          </cell>
        </row>
        <row r="72">
          <cell r="L72">
            <v>-0.60000000000000009</v>
          </cell>
          <cell r="N72">
            <v>0.27</v>
          </cell>
        </row>
        <row r="74">
          <cell r="J74" t="str">
            <v>Multiple</v>
          </cell>
          <cell r="L74">
            <v>7</v>
          </cell>
          <cell r="M74">
            <v>9</v>
          </cell>
          <cell r="N74">
            <v>11</v>
          </cell>
        </row>
        <row r="75">
          <cell r="J75" t="str">
            <v>Target</v>
          </cell>
          <cell r="L75">
            <v>13.3143286066726</v>
          </cell>
          <cell r="M75">
            <v>22</v>
          </cell>
          <cell r="N75">
            <v>30.153107432493702</v>
          </cell>
        </row>
        <row r="77">
          <cell r="J77" t="str">
            <v>Drivers</v>
          </cell>
        </row>
        <row r="78">
          <cell r="J78" t="str">
            <v>Revenues</v>
          </cell>
          <cell r="L78">
            <v>6170.7696480537052</v>
          </cell>
          <cell r="N78">
            <v>6125.839446330172</v>
          </cell>
        </row>
        <row r="79">
          <cell r="J79" t="str">
            <v>Gross Margin</v>
          </cell>
          <cell r="L79">
            <v>0.14956971412449871</v>
          </cell>
          <cell r="N79">
            <v>-0.10541293482405914</v>
          </cell>
        </row>
        <row r="80">
          <cell r="J80" t="str">
            <v>Expenses</v>
          </cell>
          <cell r="L80">
            <v>-1609.7009238881474</v>
          </cell>
          <cell r="N80">
            <v>-1782.7123772379734</v>
          </cell>
        </row>
        <row r="81">
          <cell r="J81" t="str">
            <v>Operating Profit</v>
          </cell>
          <cell r="L81">
            <v>4561.2182938796823</v>
          </cell>
          <cell r="N81">
            <v>4343.0216561573743</v>
          </cell>
        </row>
        <row r="82">
          <cell r="J82" t="str">
            <v>Other</v>
          </cell>
          <cell r="L82">
            <v>-4566.6182938796828</v>
          </cell>
          <cell r="N82">
            <v>-4340.5916561573749</v>
          </cell>
        </row>
        <row r="83">
          <cell r="J83" t="str">
            <v>TOTAL</v>
          </cell>
          <cell r="L83">
            <v>-5.4000000000005457</v>
          </cell>
          <cell r="N83">
            <v>2.4299999999993815</v>
          </cell>
        </row>
        <row r="84">
          <cell r="J84" t="str">
            <v>Multiple</v>
          </cell>
          <cell r="L84">
            <v>-4.9399999999999977</v>
          </cell>
          <cell r="N84">
            <v>4.9400000000000013</v>
          </cell>
        </row>
        <row r="85">
          <cell r="J85" t="str">
            <v>TOTAL</v>
          </cell>
          <cell r="L85">
            <v>-10.340000000000543</v>
          </cell>
          <cell r="N85">
            <v>7.3699999999993828</v>
          </cell>
        </row>
        <row r="86">
          <cell r="J86" t="str">
            <v>Check</v>
          </cell>
          <cell r="L86">
            <v>-8.6856713933274001</v>
          </cell>
          <cell r="N86">
            <v>8.1531074324937016</v>
          </cell>
        </row>
      </sheetData>
      <sheetData sheetId="1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000"/>
      <sheetName val="traffic"/>
      <sheetName val="SGA core info"/>
      <sheetName val="Sensitivity 2"/>
      <sheetName val="Sensitivity 2 summary table"/>
      <sheetName val="2 year comp"/>
      <sheetName val="Sensitivity 1 scrap "/>
      <sheetName val="Overlaps Summary"/>
      <sheetName val="Merchandise margins at Gap"/>
      <sheetName val="operating margins at Gap"/>
    </sheetNames>
    <sheetDataSet>
      <sheetData sheetId="0">
        <row r="1">
          <cell r="N1" t="str">
            <v>SmartCharts</v>
          </cell>
          <cell r="AW1" t="str">
            <v>.</v>
          </cell>
        </row>
        <row r="2">
          <cell r="AW2" t="str">
            <v>.</v>
          </cell>
        </row>
        <row r="3">
          <cell r="AW3" t="str">
            <v>.</v>
          </cell>
        </row>
        <row r="4">
          <cell r="AW4" t="str">
            <v>.</v>
          </cell>
        </row>
        <row r="5">
          <cell r="C5" t="str">
            <v>Define value axis here:</v>
          </cell>
        </row>
        <row r="6">
          <cell r="C6" t="str">
            <v>Gap, Inc. SG&amp;A per Sqaure Foot</v>
          </cell>
        </row>
        <row r="10">
          <cell r="C10" t="str">
            <v>Input your data here:</v>
          </cell>
          <cell r="AW10" t="str">
            <v>.</v>
          </cell>
        </row>
        <row r="11">
          <cell r="C11" t="str">
            <v>Q104</v>
          </cell>
          <cell r="D11">
            <v>113.55540448674371</v>
          </cell>
        </row>
        <row r="12">
          <cell r="C12" t="str">
            <v>Q204</v>
          </cell>
          <cell r="D12">
            <v>116.44808743169398</v>
          </cell>
          <cell r="AW12" t="str">
            <v>.</v>
          </cell>
        </row>
        <row r="13">
          <cell r="C13" t="str">
            <v>Q304</v>
          </cell>
          <cell r="D13">
            <v>117.67918088737201</v>
          </cell>
          <cell r="AW13" t="str">
            <v>.</v>
          </cell>
        </row>
        <row r="14">
          <cell r="C14" t="str">
            <v>Q404</v>
          </cell>
          <cell r="D14">
            <v>117.21691678035471</v>
          </cell>
          <cell r="AW14" t="str">
            <v>.</v>
          </cell>
        </row>
        <row r="15">
          <cell r="C15" t="str">
            <v>Q105</v>
          </cell>
          <cell r="D15">
            <v>117.46766507828454</v>
          </cell>
          <cell r="AW15" t="str">
            <v>.</v>
          </cell>
        </row>
        <row r="16">
          <cell r="C16" t="str">
            <v>Q205</v>
          </cell>
          <cell r="D16">
            <v>116.88346883468836</v>
          </cell>
          <cell r="AW16" t="str">
            <v>.</v>
          </cell>
        </row>
        <row r="17">
          <cell r="C17" t="str">
            <v>Q305</v>
          </cell>
          <cell r="D17">
            <v>113.89784946236558</v>
          </cell>
          <cell r="AW17" t="str">
            <v>.</v>
          </cell>
        </row>
        <row r="18">
          <cell r="C18" t="str">
            <v>Q405</v>
          </cell>
          <cell r="D18">
            <v>111.6</v>
          </cell>
          <cell r="AW18" t="str">
            <v>.</v>
          </cell>
        </row>
        <row r="19">
          <cell r="C19" t="str">
            <v>Q106</v>
          </cell>
          <cell r="D19">
            <v>110.34391534391536</v>
          </cell>
          <cell r="AW19" t="str">
            <v>.</v>
          </cell>
        </row>
        <row r="20">
          <cell r="C20" t="str">
            <v>Q206</v>
          </cell>
          <cell r="D20">
            <v>111.0761154855643</v>
          </cell>
          <cell r="AW20" t="str">
            <v>.</v>
          </cell>
        </row>
        <row r="21">
          <cell r="C21" t="str">
            <v>Q306</v>
          </cell>
          <cell r="D21">
            <v>114.17374265186153</v>
          </cell>
          <cell r="AW21" t="str">
            <v>.</v>
          </cell>
        </row>
        <row r="22">
          <cell r="C22" t="str">
            <v>Q406</v>
          </cell>
          <cell r="D22">
            <v>116.05962410887879</v>
          </cell>
          <cell r="AW22" t="str">
            <v>.</v>
          </cell>
        </row>
        <row r="23">
          <cell r="C23" t="str">
            <v>Q107</v>
          </cell>
          <cell r="D23">
            <v>116.37709137709138</v>
          </cell>
          <cell r="AW23" t="str">
            <v>.</v>
          </cell>
        </row>
        <row r="24">
          <cell r="C24" t="str">
            <v>Q207</v>
          </cell>
          <cell r="D24">
            <v>114.25463851567497</v>
          </cell>
          <cell r="AW24" t="str">
            <v>.</v>
          </cell>
        </row>
        <row r="25">
          <cell r="C25" t="str">
            <v>Q307</v>
          </cell>
          <cell r="D25">
            <v>111.47040101845958</v>
          </cell>
          <cell r="AW25" t="str">
            <v>.</v>
          </cell>
        </row>
        <row r="26">
          <cell r="C26" t="str">
            <v>Q407</v>
          </cell>
          <cell r="D26">
            <v>110.20925808497147</v>
          </cell>
          <cell r="AW26" t="str">
            <v>.</v>
          </cell>
        </row>
        <row r="27">
          <cell r="C27" t="str">
            <v>Q108</v>
          </cell>
          <cell r="D27">
            <v>107.58686039166139</v>
          </cell>
          <cell r="AW27" t="str">
            <v>.</v>
          </cell>
        </row>
        <row r="28">
          <cell r="C28" t="str">
            <v>Q208</v>
          </cell>
          <cell r="D28">
            <v>105.94833018273472</v>
          </cell>
          <cell r="AW28" t="str">
            <v>.</v>
          </cell>
        </row>
        <row r="29">
          <cell r="C29" t="str">
            <v>Q308</v>
          </cell>
          <cell r="D29">
            <v>103.60201511335012</v>
          </cell>
          <cell r="AW29" t="str">
            <v>.</v>
          </cell>
        </row>
        <row r="30">
          <cell r="C30" t="str">
            <v>Q408</v>
          </cell>
          <cell r="D30">
            <v>98.273471959672349</v>
          </cell>
          <cell r="AW30" t="str">
            <v>.</v>
          </cell>
        </row>
        <row r="31">
          <cell r="C31" t="str">
            <v>Q109</v>
          </cell>
          <cell r="D31">
            <v>96.616161616161619</v>
          </cell>
          <cell r="AW31" t="str">
            <v>.</v>
          </cell>
        </row>
        <row r="32">
          <cell r="C32" t="str">
            <v>Q209</v>
          </cell>
          <cell r="D32">
            <v>95.423514538558791</v>
          </cell>
          <cell r="AW32" t="str">
            <v>.</v>
          </cell>
        </row>
        <row r="33">
          <cell r="C33" t="str">
            <v>Q309E</v>
          </cell>
          <cell r="D33">
            <v>96.496514758303874</v>
          </cell>
          <cell r="AW33" t="str">
            <v>.</v>
          </cell>
        </row>
        <row r="34">
          <cell r="C34" t="str">
            <v>Q409E</v>
          </cell>
          <cell r="D34">
            <v>98.614359976164863</v>
          </cell>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
      <sheetData sheetId="2"/>
      <sheetData sheetId="3"/>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S vs Street"/>
      <sheetName val="Quarterly Data -ModelLinked"/>
      <sheetName val="Summary Cheat Sheet"/>
      <sheetName val="Coverage Universe Comp"/>
      <sheetName val="EBITDA"/>
      <sheetName val="__FDSCACHE__"/>
      <sheetName val="MS vs Consensus Estimates"/>
      <sheetName val="Revenue Growth"/>
      <sheetName val="Operating Margin"/>
      <sheetName val="EPS"/>
      <sheetName val="EPS Growth"/>
      <sheetName val="Relative Risk Reward Chart"/>
      <sheetName val="Earnings Snapshot"/>
      <sheetName val="For 2010 report - Q data"/>
      <sheetName val="For 2010 Report - misc calc"/>
      <sheetName val="GPS Report"/>
      <sheetName val="CHSG&amp;A Growth less Sales Growth"/>
    </sheetNames>
    <sheetDataSet>
      <sheetData sheetId="0"/>
      <sheetData sheetId="1"/>
      <sheetData sheetId="2"/>
      <sheetData sheetId="3"/>
      <sheetData sheetId="4">
        <row r="1">
          <cell r="C1" t="str">
            <v>KSS.N</v>
          </cell>
          <cell r="D1" t="str">
            <v>JCP.N</v>
          </cell>
          <cell r="E1" t="str">
            <v>M.N</v>
          </cell>
          <cell r="F1" t="str">
            <v>JWN.N</v>
          </cell>
          <cell r="G1" t="str">
            <v>SKS.N</v>
          </cell>
          <cell r="H1" t="str">
            <v>ROST.O</v>
          </cell>
          <cell r="I1" t="str">
            <v>TJX.N</v>
          </cell>
          <cell r="M1" t="str">
            <v>ANF.N</v>
          </cell>
          <cell r="N1" t="str">
            <v>ARO.N</v>
          </cell>
          <cell r="O1" t="str">
            <v>AEO.N</v>
          </cell>
          <cell r="P1" t="str">
            <v>COH.N</v>
          </cell>
          <cell r="Q1" t="str">
            <v>GPS.N</v>
          </cell>
          <cell r="R1" t="str">
            <v>LTD.N</v>
          </cell>
          <cell r="S1" t="str">
            <v>URBN.O</v>
          </cell>
        </row>
        <row r="2">
          <cell r="C2" t="str">
            <v>Base Case - Dept Stores</v>
          </cell>
          <cell r="M2" t="str">
            <v>Base Case - Specialty</v>
          </cell>
        </row>
        <row r="3">
          <cell r="B3">
            <v>40284</v>
          </cell>
          <cell r="C3" t="str">
            <v>KSS</v>
          </cell>
          <cell r="D3" t="str">
            <v>JCP</v>
          </cell>
          <cell r="E3" t="str">
            <v>M</v>
          </cell>
          <cell r="F3" t="str">
            <v>JWN</v>
          </cell>
          <cell r="G3" t="str">
            <v>SKS</v>
          </cell>
          <cell r="H3" t="str">
            <v>ROST</v>
          </cell>
          <cell r="I3" t="str">
            <v>TJX</v>
          </cell>
          <cell r="J3" t="str">
            <v>Average</v>
          </cell>
          <cell r="K3" t="str">
            <v>Total</v>
          </cell>
          <cell r="M3" t="str">
            <v>ANF</v>
          </cell>
          <cell r="N3" t="str">
            <v>ARO</v>
          </cell>
          <cell r="O3" t="str">
            <v>AEO</v>
          </cell>
          <cell r="P3" t="str">
            <v>COH</v>
          </cell>
          <cell r="Q3" t="str">
            <v>GPS</v>
          </cell>
          <cell r="R3" t="str">
            <v>LTD</v>
          </cell>
          <cell r="S3" t="str">
            <v>URBN</v>
          </cell>
          <cell r="T3" t="str">
            <v>Average</v>
          </cell>
          <cell r="U3" t="str">
            <v>Total</v>
          </cell>
        </row>
        <row r="4">
          <cell r="B4" t="str">
            <v>Current Price</v>
          </cell>
          <cell r="C4" t="str">
            <v>#Calc</v>
          </cell>
          <cell r="D4" t="str">
            <v>#Calc</v>
          </cell>
          <cell r="E4" t="str">
            <v>#Calc</v>
          </cell>
          <cell r="F4" t="str">
            <v>#Calc</v>
          </cell>
          <cell r="G4" t="str">
            <v>#Calc</v>
          </cell>
          <cell r="H4" t="str">
            <v>#Calc</v>
          </cell>
          <cell r="I4" t="str">
            <v>#Calc</v>
          </cell>
          <cell r="M4" t="str">
            <v>#Calc</v>
          </cell>
          <cell r="N4" t="str">
            <v>#Calc</v>
          </cell>
          <cell r="O4" t="str">
            <v>#Calc</v>
          </cell>
          <cell r="P4" t="str">
            <v>#Calc</v>
          </cell>
          <cell r="Q4" t="str">
            <v>#Calc</v>
          </cell>
          <cell r="R4" t="str">
            <v>#Calc</v>
          </cell>
          <cell r="S4" t="str">
            <v>#Calc</v>
          </cell>
        </row>
        <row r="5">
          <cell r="B5" t="str">
            <v>Market Cap ($M)</v>
          </cell>
          <cell r="C5" t="e">
            <v>#VALUE!</v>
          </cell>
          <cell r="D5" t="e">
            <v>#VALUE!</v>
          </cell>
          <cell r="E5" t="e">
            <v>#VALUE!</v>
          </cell>
          <cell r="F5" t="e">
            <v>#VALUE!</v>
          </cell>
          <cell r="G5" t="e">
            <v>#VALUE!</v>
          </cell>
          <cell r="H5" t="e">
            <v>#VALUE!</v>
          </cell>
          <cell r="I5" t="e">
            <v>#VALUE!</v>
          </cell>
          <cell r="J5" t="e">
            <v>#VALUE!</v>
          </cell>
          <cell r="K5" t="e">
            <v>#VALUE!</v>
          </cell>
          <cell r="M5" t="e">
            <v>#VALUE!</v>
          </cell>
          <cell r="N5" t="e">
            <v>#VALUE!</v>
          </cell>
          <cell r="O5" t="e">
            <v>#VALUE!</v>
          </cell>
          <cell r="P5" t="e">
            <v>#VALUE!</v>
          </cell>
          <cell r="Q5" t="e">
            <v>#VALUE!</v>
          </cell>
          <cell r="R5" t="e">
            <v>#VALUE!</v>
          </cell>
          <cell r="S5" t="e">
            <v>#VALUE!</v>
          </cell>
          <cell r="T5" t="e">
            <v>#VALUE!</v>
          </cell>
          <cell r="U5" t="e">
            <v>#VALUE!</v>
          </cell>
        </row>
        <row r="6">
          <cell r="B6" t="str">
            <v>Shares Outstanding (Last Reported)</v>
          </cell>
          <cell r="C6">
            <v>307</v>
          </cell>
          <cell r="D6">
            <v>232.85</v>
          </cell>
          <cell r="E6">
            <v>422.35</v>
          </cell>
          <cell r="F6">
            <v>219.65</v>
          </cell>
          <cell r="G6">
            <v>146.84450000000001</v>
          </cell>
          <cell r="H6">
            <v>125.05625000000001</v>
          </cell>
          <cell r="I6">
            <v>427.38150000000002</v>
          </cell>
          <cell r="M6">
            <v>88.354749999999996</v>
          </cell>
          <cell r="N6">
            <v>101.02475</v>
          </cell>
          <cell r="O6">
            <v>209.096</v>
          </cell>
          <cell r="P6">
            <v>321.38099999999997</v>
          </cell>
          <cell r="Q6">
            <v>698.5</v>
          </cell>
          <cell r="R6">
            <v>326.76499999999999</v>
          </cell>
          <cell r="S6">
            <v>171.22537274999999</v>
          </cell>
        </row>
        <row r="7">
          <cell r="B7" t="str">
            <v>EV ($M)</v>
          </cell>
          <cell r="C7" t="e">
            <v>#VALUE!</v>
          </cell>
          <cell r="D7" t="e">
            <v>#VALUE!</v>
          </cell>
          <cell r="E7" t="e">
            <v>#VALUE!</v>
          </cell>
          <cell r="F7" t="e">
            <v>#VALUE!</v>
          </cell>
          <cell r="G7" t="e">
            <v>#VALUE!</v>
          </cell>
          <cell r="H7" t="e">
            <v>#VALUE!</v>
          </cell>
          <cell r="I7" t="e">
            <v>#VALUE!</v>
          </cell>
          <cell r="J7" t="e">
            <v>#VALUE!</v>
          </cell>
          <cell r="K7" t="e">
            <v>#VALUE!</v>
          </cell>
          <cell r="M7" t="e">
            <v>#VALUE!</v>
          </cell>
          <cell r="N7" t="e">
            <v>#VALUE!</v>
          </cell>
          <cell r="O7" t="e">
            <v>#VALUE!</v>
          </cell>
          <cell r="P7" t="e">
            <v>#VALUE!</v>
          </cell>
          <cell r="Q7" t="e">
            <v>#VALUE!</v>
          </cell>
          <cell r="R7" t="e">
            <v>#VALUE!</v>
          </cell>
          <cell r="S7" t="e">
            <v>#VALUE!</v>
          </cell>
          <cell r="T7" t="e">
            <v>#VALUE!</v>
          </cell>
          <cell r="U7" t="e">
            <v>#VALUE!</v>
          </cell>
        </row>
        <row r="9">
          <cell r="B9" t="str">
            <v>P/E (CY2010)</v>
          </cell>
          <cell r="C9" t="e">
            <v>#VALUE!</v>
          </cell>
          <cell r="D9" t="e">
            <v>#VALUE!</v>
          </cell>
          <cell r="E9" t="e">
            <v>#VALUE!</v>
          </cell>
          <cell r="F9" t="e">
            <v>#VALUE!</v>
          </cell>
          <cell r="G9" t="e">
            <v>#VALUE!</v>
          </cell>
          <cell r="H9" t="e">
            <v>#VALUE!</v>
          </cell>
          <cell r="I9" t="e">
            <v>#VALUE!</v>
          </cell>
          <cell r="J9" t="e">
            <v>#VALUE!</v>
          </cell>
          <cell r="M9" t="e">
            <v>#VALUE!</v>
          </cell>
          <cell r="N9" t="e">
            <v>#VALUE!</v>
          </cell>
          <cell r="O9" t="e">
            <v>#VALUE!</v>
          </cell>
          <cell r="P9" t="e">
            <v>#VALUE!</v>
          </cell>
          <cell r="Q9" t="e">
            <v>#VALUE!</v>
          </cell>
          <cell r="R9" t="e">
            <v>#VALUE!</v>
          </cell>
          <cell r="S9" t="e">
            <v>#VALUE!</v>
          </cell>
          <cell r="T9" t="e">
            <v>#VALUE!</v>
          </cell>
        </row>
        <row r="10">
          <cell r="B10" t="str">
            <v>EV/EBITDA (CY2009)</v>
          </cell>
          <cell r="C10" t="e">
            <v>#VALUE!</v>
          </cell>
          <cell r="D10" t="e">
            <v>#VALUE!</v>
          </cell>
          <cell r="E10" t="e">
            <v>#VALUE!</v>
          </cell>
          <cell r="F10" t="e">
            <v>#VALUE!</v>
          </cell>
          <cell r="G10" t="e">
            <v>#VALUE!</v>
          </cell>
          <cell r="H10" t="e">
            <v>#VALUE!</v>
          </cell>
          <cell r="I10" t="e">
            <v>#VALUE!</v>
          </cell>
          <cell r="J10" t="e">
            <v>#VALUE!</v>
          </cell>
          <cell r="M10" t="e">
            <v>#VALUE!</v>
          </cell>
          <cell r="N10" t="e">
            <v>#VALUE!</v>
          </cell>
          <cell r="O10" t="e">
            <v>#VALUE!</v>
          </cell>
          <cell r="P10" t="e">
            <v>#VALUE!</v>
          </cell>
          <cell r="Q10" t="e">
            <v>#VALUE!</v>
          </cell>
          <cell r="R10" t="e">
            <v>#VALUE!</v>
          </cell>
          <cell r="S10" t="e">
            <v>#VALUE!</v>
          </cell>
          <cell r="T10" t="e">
            <v>#VALUE!</v>
          </cell>
        </row>
        <row r="11">
          <cell r="D11" t="str">
            <v xml:space="preserve"> </v>
          </cell>
        </row>
        <row r="12">
          <cell r="B12" t="str">
            <v>Targets</v>
          </cell>
        </row>
        <row r="13">
          <cell r="A13" t="str">
            <v>mscalc:targetPrice</v>
          </cell>
          <cell r="B13" t="str">
            <v>Price</v>
          </cell>
          <cell r="C13">
            <v>68</v>
          </cell>
          <cell r="D13">
            <v>24</v>
          </cell>
          <cell r="E13">
            <v>19</v>
          </cell>
          <cell r="F13" t="str">
            <v>NA</v>
          </cell>
          <cell r="G13" t="str">
            <v>NA</v>
          </cell>
          <cell r="H13" t="str">
            <v>NA</v>
          </cell>
          <cell r="I13" t="str">
            <v>NA</v>
          </cell>
          <cell r="M13" t="str">
            <v>NA</v>
          </cell>
          <cell r="N13" t="str">
            <v>NA</v>
          </cell>
          <cell r="O13" t="str">
            <v>NA</v>
          </cell>
          <cell r="P13">
            <v>42</v>
          </cell>
          <cell r="Q13">
            <v>16</v>
          </cell>
          <cell r="R13" t="str">
            <v>NA</v>
          </cell>
          <cell r="S13" t="str">
            <v>NA</v>
          </cell>
        </row>
        <row r="14">
          <cell r="A14" t="str">
            <v>mstag:met_12monthIntrinsicValueEstimate</v>
          </cell>
          <cell r="B14" t="str">
            <v>Upside/Downside</v>
          </cell>
          <cell r="C14" t="str">
            <v>NA</v>
          </cell>
          <cell r="D14" t="str">
            <v>NA</v>
          </cell>
          <cell r="E14" t="str">
            <v>NA</v>
          </cell>
          <cell r="F14" t="str">
            <v>NA</v>
          </cell>
          <cell r="G14" t="str">
            <v>NA</v>
          </cell>
          <cell r="H14" t="str">
            <v>NA</v>
          </cell>
          <cell r="I14" t="str">
            <v>NA</v>
          </cell>
          <cell r="J14" t="e">
            <v>#DIV/0!</v>
          </cell>
          <cell r="M14" t="str">
            <v>NA</v>
          </cell>
          <cell r="N14" t="str">
            <v>NA</v>
          </cell>
          <cell r="O14" t="str">
            <v>NA</v>
          </cell>
          <cell r="P14" t="str">
            <v>NA</v>
          </cell>
          <cell r="Q14" t="str">
            <v>NA</v>
          </cell>
          <cell r="R14" t="str">
            <v>NA</v>
          </cell>
          <cell r="S14" t="str">
            <v>NA</v>
          </cell>
          <cell r="T14" t="e">
            <v>#DIV/0!</v>
          </cell>
        </row>
        <row r="15">
          <cell r="B15" t="str">
            <v>P/E (FY2)</v>
          </cell>
          <cell r="C15">
            <v>14.870279459655178</v>
          </cell>
          <cell r="D15">
            <v>12.352957473773571</v>
          </cell>
          <cell r="E15">
            <v>9.1099989074795964</v>
          </cell>
          <cell r="F15" t="str">
            <v>NA</v>
          </cell>
          <cell r="G15" t="str">
            <v>NA</v>
          </cell>
          <cell r="H15" t="str">
            <v>NA</v>
          </cell>
          <cell r="I15" t="str">
            <v>NA</v>
          </cell>
          <cell r="J15">
            <v>12.111078613636115</v>
          </cell>
          <cell r="M15" t="str">
            <v>NA</v>
          </cell>
          <cell r="N15" t="str">
            <v>NA</v>
          </cell>
          <cell r="O15" t="str">
            <v>NA</v>
          </cell>
          <cell r="P15">
            <v>17.331798540137708</v>
          </cell>
          <cell r="Q15">
            <v>9.0673458792338248</v>
          </cell>
          <cell r="R15" t="str">
            <v>NA</v>
          </cell>
          <cell r="S15" t="str">
            <v>NA</v>
          </cell>
          <cell r="T15">
            <v>13.199572209685766</v>
          </cell>
        </row>
        <row r="16">
          <cell r="B16" t="str">
            <v>EV/EBITDA</v>
          </cell>
          <cell r="C16">
            <v>6.8730446650247607</v>
          </cell>
          <cell r="D16">
            <v>4.1445790823667163</v>
          </cell>
          <cell r="E16">
            <v>4.9543727752284275</v>
          </cell>
          <cell r="F16" t="str">
            <v>NA</v>
          </cell>
          <cell r="G16" t="str">
            <v>NA</v>
          </cell>
          <cell r="H16" t="str">
            <v>NA</v>
          </cell>
          <cell r="I16" t="str">
            <v>NA</v>
          </cell>
          <cell r="J16">
            <v>5.3239988408733012</v>
          </cell>
          <cell r="M16" t="str">
            <v>NA</v>
          </cell>
          <cell r="N16" t="str">
            <v>NA</v>
          </cell>
          <cell r="O16" t="str">
            <v>NA</v>
          </cell>
          <cell r="P16">
            <v>9.3913558314434322</v>
          </cell>
          <cell r="Q16">
            <v>3.6693619326464884</v>
          </cell>
          <cell r="R16" t="str">
            <v>NA</v>
          </cell>
          <cell r="S16" t="str">
            <v>NA</v>
          </cell>
          <cell r="T16">
            <v>6.5303588820449603</v>
          </cell>
        </row>
        <row r="18">
          <cell r="B18" t="str">
            <v>FY Reference</v>
          </cell>
        </row>
        <row r="19">
          <cell r="B19" t="str">
            <v>FY(10)</v>
          </cell>
          <cell r="C19">
            <v>1999</v>
          </cell>
          <cell r="D19">
            <v>1999</v>
          </cell>
          <cell r="E19">
            <v>1999</v>
          </cell>
          <cell r="F19">
            <v>1999</v>
          </cell>
          <cell r="G19">
            <v>1999</v>
          </cell>
          <cell r="H19">
            <v>1999</v>
          </cell>
          <cell r="I19">
            <v>2000</v>
          </cell>
          <cell r="M19">
            <v>1999</v>
          </cell>
          <cell r="N19">
            <v>1999</v>
          </cell>
          <cell r="O19">
            <v>1999</v>
          </cell>
          <cell r="P19">
            <v>1999</v>
          </cell>
          <cell r="Q19">
            <v>1999</v>
          </cell>
          <cell r="R19">
            <v>1999</v>
          </cell>
          <cell r="S19">
            <v>1999</v>
          </cell>
        </row>
        <row r="20">
          <cell r="B20" t="str">
            <v>FY(9)</v>
          </cell>
          <cell r="C20">
            <v>2000</v>
          </cell>
          <cell r="D20">
            <v>2000</v>
          </cell>
          <cell r="E20">
            <v>2000</v>
          </cell>
          <cell r="F20">
            <v>2000</v>
          </cell>
          <cell r="G20">
            <v>2000</v>
          </cell>
          <cell r="H20">
            <v>2000</v>
          </cell>
          <cell r="I20">
            <v>2001</v>
          </cell>
          <cell r="M20">
            <v>2000</v>
          </cell>
          <cell r="N20">
            <v>2000</v>
          </cell>
          <cell r="O20">
            <v>2000</v>
          </cell>
          <cell r="P20">
            <v>2000</v>
          </cell>
          <cell r="Q20">
            <v>2000</v>
          </cell>
          <cell r="R20">
            <v>2000</v>
          </cell>
          <cell r="S20">
            <v>2000</v>
          </cell>
        </row>
        <row r="21">
          <cell r="B21" t="str">
            <v>FY(8)</v>
          </cell>
          <cell r="C21">
            <v>2001</v>
          </cell>
          <cell r="D21">
            <v>2001</v>
          </cell>
          <cell r="E21">
            <v>2001</v>
          </cell>
          <cell r="F21">
            <v>2001</v>
          </cell>
          <cell r="G21">
            <v>2001</v>
          </cell>
          <cell r="H21">
            <v>2001</v>
          </cell>
          <cell r="I21">
            <v>2002</v>
          </cell>
          <cell r="M21">
            <v>2001</v>
          </cell>
          <cell r="N21">
            <v>2001</v>
          </cell>
          <cell r="O21">
            <v>2001</v>
          </cell>
          <cell r="P21">
            <v>2001</v>
          </cell>
          <cell r="Q21">
            <v>2001</v>
          </cell>
          <cell r="R21">
            <v>2001</v>
          </cell>
          <cell r="S21">
            <v>2001</v>
          </cell>
        </row>
        <row r="22">
          <cell r="B22" t="str">
            <v>FY(7)</v>
          </cell>
          <cell r="C22">
            <v>2002</v>
          </cell>
          <cell r="D22">
            <v>2002</v>
          </cell>
          <cell r="E22">
            <v>2002</v>
          </cell>
          <cell r="F22">
            <v>2002</v>
          </cell>
          <cell r="G22">
            <v>2002</v>
          </cell>
          <cell r="H22">
            <v>2002</v>
          </cell>
          <cell r="I22">
            <v>2003</v>
          </cell>
          <cell r="M22">
            <v>2002</v>
          </cell>
          <cell r="N22">
            <v>2002</v>
          </cell>
          <cell r="O22">
            <v>2002</v>
          </cell>
          <cell r="P22">
            <v>2002</v>
          </cell>
          <cell r="Q22">
            <v>2002</v>
          </cell>
          <cell r="R22">
            <v>2002</v>
          </cell>
          <cell r="S22">
            <v>2002</v>
          </cell>
        </row>
        <row r="23">
          <cell r="B23" t="str">
            <v>FY(6)</v>
          </cell>
          <cell r="C23">
            <v>2003</v>
          </cell>
          <cell r="D23">
            <v>2003</v>
          </cell>
          <cell r="E23">
            <v>2003</v>
          </cell>
          <cell r="F23">
            <v>2003</v>
          </cell>
          <cell r="G23">
            <v>2003</v>
          </cell>
          <cell r="H23">
            <v>2003</v>
          </cell>
          <cell r="I23">
            <v>2004</v>
          </cell>
          <cell r="M23">
            <v>2003</v>
          </cell>
          <cell r="N23">
            <v>2003</v>
          </cell>
          <cell r="O23">
            <v>2003</v>
          </cell>
          <cell r="P23">
            <v>2003</v>
          </cell>
          <cell r="Q23">
            <v>2003</v>
          </cell>
          <cell r="R23">
            <v>2003</v>
          </cell>
          <cell r="S23">
            <v>2003</v>
          </cell>
        </row>
        <row r="24">
          <cell r="B24" t="str">
            <v>FY(5)</v>
          </cell>
          <cell r="C24">
            <v>2004</v>
          </cell>
          <cell r="D24">
            <v>2004</v>
          </cell>
          <cell r="E24">
            <v>2004</v>
          </cell>
          <cell r="F24">
            <v>2004</v>
          </cell>
          <cell r="G24">
            <v>2004</v>
          </cell>
          <cell r="H24">
            <v>2004</v>
          </cell>
          <cell r="I24">
            <v>2005</v>
          </cell>
          <cell r="M24">
            <v>2004</v>
          </cell>
          <cell r="N24">
            <v>2004</v>
          </cell>
          <cell r="O24">
            <v>2004</v>
          </cell>
          <cell r="P24">
            <v>2004</v>
          </cell>
          <cell r="Q24">
            <v>2004</v>
          </cell>
          <cell r="R24">
            <v>2004</v>
          </cell>
          <cell r="S24">
            <v>2004</v>
          </cell>
        </row>
        <row r="25">
          <cell r="B25" t="str">
            <v>FY(4)</v>
          </cell>
          <cell r="C25">
            <v>2005</v>
          </cell>
          <cell r="D25">
            <v>2005</v>
          </cell>
          <cell r="E25">
            <v>2005</v>
          </cell>
          <cell r="F25">
            <v>2005</v>
          </cell>
          <cell r="G25">
            <v>2005</v>
          </cell>
          <cell r="H25">
            <v>2005</v>
          </cell>
          <cell r="I25">
            <v>2006</v>
          </cell>
          <cell r="M25">
            <v>2005</v>
          </cell>
          <cell r="N25">
            <v>2005</v>
          </cell>
          <cell r="O25">
            <v>2005</v>
          </cell>
          <cell r="P25">
            <v>2005</v>
          </cell>
          <cell r="Q25">
            <v>2005</v>
          </cell>
          <cell r="R25">
            <v>2005</v>
          </cell>
          <cell r="S25">
            <v>2005</v>
          </cell>
        </row>
        <row r="26">
          <cell r="B26" t="str">
            <v>FY(3)</v>
          </cell>
          <cell r="C26">
            <v>2006</v>
          </cell>
          <cell r="D26">
            <v>2006</v>
          </cell>
          <cell r="E26">
            <v>2006</v>
          </cell>
          <cell r="F26">
            <v>2006</v>
          </cell>
          <cell r="G26">
            <v>2006</v>
          </cell>
          <cell r="H26">
            <v>2006</v>
          </cell>
          <cell r="I26">
            <v>2007</v>
          </cell>
          <cell r="M26">
            <v>2006</v>
          </cell>
          <cell r="N26">
            <v>2006</v>
          </cell>
          <cell r="O26">
            <v>2006</v>
          </cell>
          <cell r="P26">
            <v>2006</v>
          </cell>
          <cell r="Q26">
            <v>2006</v>
          </cell>
          <cell r="R26">
            <v>2006</v>
          </cell>
          <cell r="S26">
            <v>2006</v>
          </cell>
        </row>
        <row r="27">
          <cell r="B27" t="str">
            <v>FY(2)</v>
          </cell>
          <cell r="C27">
            <v>2007</v>
          </cell>
          <cell r="D27">
            <v>2007</v>
          </cell>
          <cell r="E27">
            <v>2007</v>
          </cell>
          <cell r="F27">
            <v>2007</v>
          </cell>
          <cell r="G27">
            <v>2007</v>
          </cell>
          <cell r="H27">
            <v>2007</v>
          </cell>
          <cell r="I27">
            <v>2008</v>
          </cell>
          <cell r="M27">
            <v>2007</v>
          </cell>
          <cell r="N27">
            <v>2007</v>
          </cell>
          <cell r="O27">
            <v>2007</v>
          </cell>
          <cell r="P27">
            <v>2007</v>
          </cell>
          <cell r="Q27">
            <v>2007</v>
          </cell>
          <cell r="R27">
            <v>2007</v>
          </cell>
          <cell r="S27">
            <v>2007</v>
          </cell>
        </row>
        <row r="28">
          <cell r="B28" t="str">
            <v>FY(1)</v>
          </cell>
          <cell r="C28">
            <v>2008</v>
          </cell>
          <cell r="D28">
            <v>2008</v>
          </cell>
          <cell r="E28">
            <v>2008</v>
          </cell>
          <cell r="F28">
            <v>2008</v>
          </cell>
          <cell r="G28">
            <v>2008</v>
          </cell>
          <cell r="H28">
            <v>2008</v>
          </cell>
          <cell r="I28">
            <v>2009</v>
          </cell>
          <cell r="M28">
            <v>2008</v>
          </cell>
          <cell r="N28">
            <v>2008</v>
          </cell>
          <cell r="O28">
            <v>2008</v>
          </cell>
          <cell r="P28">
            <v>2008</v>
          </cell>
          <cell r="Q28">
            <v>2008</v>
          </cell>
          <cell r="R28">
            <v>2008</v>
          </cell>
          <cell r="S28">
            <v>2008</v>
          </cell>
        </row>
        <row r="29">
          <cell r="A29" t="str">
            <v>mscalc:lastActualYearCalc</v>
          </cell>
          <cell r="B29" t="str">
            <v>FY0</v>
          </cell>
          <cell r="C29">
            <v>2009</v>
          </cell>
          <cell r="D29">
            <v>2009</v>
          </cell>
          <cell r="E29">
            <v>2009</v>
          </cell>
          <cell r="F29">
            <v>2009</v>
          </cell>
          <cell r="G29">
            <v>2009</v>
          </cell>
          <cell r="H29">
            <v>2009</v>
          </cell>
          <cell r="I29">
            <v>2010</v>
          </cell>
          <cell r="M29">
            <v>2009</v>
          </cell>
          <cell r="N29">
            <v>2009</v>
          </cell>
          <cell r="O29">
            <v>2009</v>
          </cell>
          <cell r="P29">
            <v>2009</v>
          </cell>
          <cell r="Q29">
            <v>2009</v>
          </cell>
          <cell r="R29">
            <v>2009</v>
          </cell>
          <cell r="S29">
            <v>2009</v>
          </cell>
        </row>
        <row r="30">
          <cell r="B30" t="str">
            <v>FY1</v>
          </cell>
          <cell r="C30">
            <v>2010</v>
          </cell>
          <cell r="D30">
            <v>2010</v>
          </cell>
          <cell r="E30">
            <v>2010</v>
          </cell>
          <cell r="F30">
            <v>2010</v>
          </cell>
          <cell r="G30">
            <v>2010</v>
          </cell>
          <cell r="H30">
            <v>2010</v>
          </cell>
          <cell r="I30">
            <v>2011</v>
          </cell>
          <cell r="M30">
            <v>2010</v>
          </cell>
          <cell r="N30">
            <v>2010</v>
          </cell>
          <cell r="O30">
            <v>2010</v>
          </cell>
          <cell r="P30">
            <v>2010</v>
          </cell>
          <cell r="Q30">
            <v>2010</v>
          </cell>
          <cell r="R30">
            <v>2010</v>
          </cell>
          <cell r="S30">
            <v>2010</v>
          </cell>
        </row>
        <row r="31">
          <cell r="B31" t="str">
            <v>FY2</v>
          </cell>
          <cell r="C31">
            <v>2011</v>
          </cell>
          <cell r="D31">
            <v>2011</v>
          </cell>
          <cell r="E31">
            <v>2011</v>
          </cell>
          <cell r="F31">
            <v>2011</v>
          </cell>
          <cell r="G31">
            <v>2011</v>
          </cell>
          <cell r="H31">
            <v>2011</v>
          </cell>
          <cell r="I31">
            <v>2012</v>
          </cell>
          <cell r="M31">
            <v>2011</v>
          </cell>
          <cell r="N31">
            <v>2011</v>
          </cell>
          <cell r="O31">
            <v>2011</v>
          </cell>
          <cell r="P31">
            <v>2011</v>
          </cell>
          <cell r="Q31">
            <v>2011</v>
          </cell>
          <cell r="R31">
            <v>2011</v>
          </cell>
          <cell r="S31">
            <v>2011</v>
          </cell>
        </row>
        <row r="32">
          <cell r="B32" t="str">
            <v>FQ(3)</v>
          </cell>
          <cell r="C32" t="str">
            <v>2009Q1</v>
          </cell>
          <cell r="D32" t="str">
            <v>2009Q1</v>
          </cell>
          <cell r="E32" t="str">
            <v>2009Q1</v>
          </cell>
          <cell r="F32" t="str">
            <v>2009Q1</v>
          </cell>
          <cell r="G32" t="str">
            <v>2009Q1</v>
          </cell>
          <cell r="H32" t="str">
            <v>2009Q1</v>
          </cell>
          <cell r="I32" t="str">
            <v>2010Q1</v>
          </cell>
          <cell r="M32" t="str">
            <v>2009Q1</v>
          </cell>
          <cell r="N32" t="str">
            <v>2009Q1</v>
          </cell>
          <cell r="O32" t="str">
            <v>2009Q1</v>
          </cell>
          <cell r="P32" t="str">
            <v>2009Q3</v>
          </cell>
          <cell r="Q32" t="str">
            <v>2009Q1</v>
          </cell>
          <cell r="R32" t="str">
            <v>2009Q1</v>
          </cell>
          <cell r="S32" t="str">
            <v>2009Q1</v>
          </cell>
        </row>
        <row r="33">
          <cell r="B33" t="str">
            <v>FQ(2)</v>
          </cell>
          <cell r="C33" t="str">
            <v>2009Q2</v>
          </cell>
          <cell r="D33" t="str">
            <v>2009Q2</v>
          </cell>
          <cell r="E33" t="str">
            <v>2009Q2</v>
          </cell>
          <cell r="F33" t="str">
            <v>2009Q2</v>
          </cell>
          <cell r="G33" t="str">
            <v>2009Q2</v>
          </cell>
          <cell r="H33" t="str">
            <v>2009Q2</v>
          </cell>
          <cell r="I33" t="str">
            <v>2010Q2</v>
          </cell>
          <cell r="M33" t="str">
            <v>2009Q2</v>
          </cell>
          <cell r="N33" t="str">
            <v>2009Q2</v>
          </cell>
          <cell r="O33" t="str">
            <v>2009Q2</v>
          </cell>
          <cell r="P33" t="str">
            <v>2009Q4</v>
          </cell>
          <cell r="Q33" t="str">
            <v>2009Q2</v>
          </cell>
          <cell r="R33" t="str">
            <v>2009Q2</v>
          </cell>
          <cell r="S33" t="str">
            <v>2009Q2</v>
          </cell>
        </row>
        <row r="34">
          <cell r="B34" t="str">
            <v>FQ(1)</v>
          </cell>
          <cell r="C34" t="str">
            <v>2009Q3</v>
          </cell>
          <cell r="D34" t="str">
            <v>2009Q3</v>
          </cell>
          <cell r="E34" t="str">
            <v>2009Q3</v>
          </cell>
          <cell r="F34" t="str">
            <v>2009Q3</v>
          </cell>
          <cell r="G34" t="str">
            <v>2009Q3</v>
          </cell>
          <cell r="H34" t="str">
            <v>2009Q3</v>
          </cell>
          <cell r="I34" t="str">
            <v>2010Q3</v>
          </cell>
          <cell r="M34" t="str">
            <v>2009Q3</v>
          </cell>
          <cell r="N34" t="str">
            <v>2009Q3</v>
          </cell>
          <cell r="O34" t="str">
            <v>2009Q3</v>
          </cell>
          <cell r="P34" t="str">
            <v>2010Q1</v>
          </cell>
          <cell r="Q34" t="str">
            <v>2009Q3</v>
          </cell>
          <cell r="R34" t="str">
            <v>2009Q3</v>
          </cell>
          <cell r="S34" t="str">
            <v>2009Q3</v>
          </cell>
        </row>
        <row r="35">
          <cell r="A35" t="str">
            <v>mscalc:lastActualPeriodCalc</v>
          </cell>
          <cell r="B35" t="str">
            <v>Last Reported Q</v>
          </cell>
          <cell r="C35" t="str">
            <v>2009FY</v>
          </cell>
          <cell r="D35" t="str">
            <v>2009FY</v>
          </cell>
          <cell r="E35" t="str">
            <v>2009FY</v>
          </cell>
          <cell r="F35" t="str">
            <v>2009FY</v>
          </cell>
          <cell r="G35" t="str">
            <v>2009FY</v>
          </cell>
          <cell r="H35" t="str">
            <v>2009FY</v>
          </cell>
          <cell r="I35" t="str">
            <v>2010FY</v>
          </cell>
          <cell r="M35" t="str">
            <v>2009FY</v>
          </cell>
          <cell r="N35" t="str">
            <v>2009FY</v>
          </cell>
          <cell r="O35" t="str">
            <v>2009FY</v>
          </cell>
          <cell r="P35" t="str">
            <v>2010Q2</v>
          </cell>
          <cell r="Q35" t="str">
            <v>2009FY</v>
          </cell>
          <cell r="R35" t="str">
            <v>2009FY</v>
          </cell>
          <cell r="S35" t="str">
            <v>2009FY</v>
          </cell>
        </row>
        <row r="36">
          <cell r="C36" t="str">
            <v>2009Q4</v>
          </cell>
          <cell r="D36" t="str">
            <v>2009Q4</v>
          </cell>
          <cell r="E36" t="str">
            <v>2009Q4</v>
          </cell>
          <cell r="F36" t="str">
            <v>2009Q4</v>
          </cell>
          <cell r="G36" t="str">
            <v>2009Q4</v>
          </cell>
          <cell r="H36" t="str">
            <v>2009Q4</v>
          </cell>
          <cell r="I36" t="str">
            <v>2010Q4</v>
          </cell>
          <cell r="M36" t="str">
            <v>2009Q4</v>
          </cell>
          <cell r="N36" t="str">
            <v>2009Q4</v>
          </cell>
          <cell r="O36" t="str">
            <v>2009Q4</v>
          </cell>
          <cell r="P36" t="str">
            <v>2010Q2</v>
          </cell>
          <cell r="Q36" t="str">
            <v>2009Q4</v>
          </cell>
          <cell r="R36" t="str">
            <v>2009Q4</v>
          </cell>
          <cell r="S36" t="str">
            <v>2009Q4</v>
          </cell>
        </row>
        <row r="38">
          <cell r="A38" t="str">
            <v>mstag:numberOfStores</v>
          </cell>
          <cell r="B38" t="str">
            <v>Number of Stores</v>
          </cell>
        </row>
        <row r="39">
          <cell r="B39" t="str">
            <v>FY(5)</v>
          </cell>
          <cell r="C39">
            <v>542</v>
          </cell>
          <cell r="D39">
            <v>1017</v>
          </cell>
          <cell r="E39">
            <v>459</v>
          </cell>
          <cell r="F39">
            <v>181</v>
          </cell>
          <cell r="G39">
            <v>386</v>
          </cell>
          <cell r="H39">
            <v>649</v>
          </cell>
          <cell r="I39">
            <v>2224</v>
          </cell>
          <cell r="J39">
            <v>779.71428571428567</v>
          </cell>
          <cell r="K39">
            <v>5458</v>
          </cell>
          <cell r="M39">
            <v>788</v>
          </cell>
          <cell r="N39">
            <v>561</v>
          </cell>
          <cell r="O39">
            <v>846</v>
          </cell>
          <cell r="P39">
            <v>350</v>
          </cell>
          <cell r="Q39">
            <v>2994</v>
          </cell>
          <cell r="R39">
            <v>3779</v>
          </cell>
          <cell r="S39">
            <v>142</v>
          </cell>
          <cell r="T39">
            <v>1351.4285714285713</v>
          </cell>
          <cell r="U39">
            <v>9460</v>
          </cell>
        </row>
        <row r="40">
          <cell r="B40" t="str">
            <v>FY(4)</v>
          </cell>
          <cell r="C40">
            <v>637</v>
          </cell>
          <cell r="D40">
            <v>1019</v>
          </cell>
          <cell r="E40">
            <v>868</v>
          </cell>
          <cell r="F40">
            <v>187</v>
          </cell>
          <cell r="G40">
            <v>163</v>
          </cell>
          <cell r="H40">
            <v>734</v>
          </cell>
          <cell r="I40">
            <v>2381</v>
          </cell>
          <cell r="J40">
            <v>855.57142857142856</v>
          </cell>
          <cell r="K40">
            <v>5989</v>
          </cell>
          <cell r="M40">
            <v>851</v>
          </cell>
          <cell r="N40">
            <v>671</v>
          </cell>
          <cell r="O40">
            <v>869</v>
          </cell>
          <cell r="P40">
            <v>378</v>
          </cell>
          <cell r="Q40">
            <v>3053</v>
          </cell>
          <cell r="R40">
            <v>3590</v>
          </cell>
          <cell r="S40">
            <v>175</v>
          </cell>
          <cell r="T40">
            <v>1369.5714285714287</v>
          </cell>
          <cell r="U40">
            <v>9587</v>
          </cell>
        </row>
        <row r="41">
          <cell r="B41" t="str">
            <v>FY(3)</v>
          </cell>
          <cell r="C41">
            <v>732</v>
          </cell>
          <cell r="D41">
            <v>1033</v>
          </cell>
          <cell r="E41">
            <v>858</v>
          </cell>
          <cell r="F41">
            <v>191</v>
          </cell>
          <cell r="G41">
            <v>166</v>
          </cell>
          <cell r="H41">
            <v>797</v>
          </cell>
          <cell r="I41">
            <v>2466</v>
          </cell>
          <cell r="J41">
            <v>891.85714285714289</v>
          </cell>
          <cell r="K41">
            <v>6243</v>
          </cell>
          <cell r="M41">
            <v>930</v>
          </cell>
          <cell r="N41">
            <v>742</v>
          </cell>
          <cell r="O41">
            <v>911</v>
          </cell>
          <cell r="P41">
            <v>422</v>
          </cell>
          <cell r="Q41">
            <v>3131</v>
          </cell>
          <cell r="R41">
            <v>3766</v>
          </cell>
          <cell r="S41">
            <v>207</v>
          </cell>
          <cell r="T41">
            <v>1444.1428571428571</v>
          </cell>
          <cell r="U41">
            <v>10109</v>
          </cell>
        </row>
        <row r="42">
          <cell r="B42" t="str">
            <v>FY(2)</v>
          </cell>
          <cell r="C42">
            <v>817</v>
          </cell>
          <cell r="D42">
            <v>1067</v>
          </cell>
          <cell r="E42">
            <v>853</v>
          </cell>
          <cell r="F42">
            <v>156</v>
          </cell>
          <cell r="G42">
            <v>177</v>
          </cell>
          <cell r="H42">
            <v>890</v>
          </cell>
          <cell r="I42">
            <v>2563</v>
          </cell>
          <cell r="J42">
            <v>931.85714285714289</v>
          </cell>
          <cell r="K42">
            <v>6523</v>
          </cell>
          <cell r="M42">
            <v>1035</v>
          </cell>
          <cell r="N42">
            <v>828</v>
          </cell>
          <cell r="O42">
            <v>987</v>
          </cell>
          <cell r="P42">
            <v>489</v>
          </cell>
          <cell r="Q42">
            <v>3167</v>
          </cell>
          <cell r="R42">
            <v>2926</v>
          </cell>
          <cell r="S42">
            <v>245</v>
          </cell>
          <cell r="T42">
            <v>1382.4285714285713</v>
          </cell>
          <cell r="U42">
            <v>9677</v>
          </cell>
        </row>
        <row r="43">
          <cell r="B43" t="str">
            <v>FY(1)</v>
          </cell>
          <cell r="C43">
            <v>929</v>
          </cell>
          <cell r="D43">
            <v>1093</v>
          </cell>
          <cell r="E43">
            <v>847</v>
          </cell>
          <cell r="F43">
            <v>169</v>
          </cell>
          <cell r="G43">
            <v>181</v>
          </cell>
          <cell r="H43">
            <v>956</v>
          </cell>
          <cell r="I43">
            <v>2652</v>
          </cell>
          <cell r="J43">
            <v>975.28571428571433</v>
          </cell>
          <cell r="K43">
            <v>6827</v>
          </cell>
          <cell r="M43">
            <v>1097</v>
          </cell>
          <cell r="N43">
            <v>914</v>
          </cell>
          <cell r="O43">
            <v>1098</v>
          </cell>
          <cell r="P43">
            <v>548</v>
          </cell>
          <cell r="Q43">
            <v>3149</v>
          </cell>
          <cell r="R43">
            <v>3014</v>
          </cell>
          <cell r="S43">
            <v>294</v>
          </cell>
          <cell r="T43">
            <v>1444.8571428571429</v>
          </cell>
          <cell r="U43">
            <v>10114</v>
          </cell>
        </row>
        <row r="44">
          <cell r="B44" t="str">
            <v>FY0</v>
          </cell>
          <cell r="C44">
            <v>1004</v>
          </cell>
          <cell r="D44">
            <v>1108</v>
          </cell>
          <cell r="E44">
            <v>850</v>
          </cell>
          <cell r="F44">
            <v>184</v>
          </cell>
          <cell r="G44">
            <v>108</v>
          </cell>
          <cell r="H44">
            <v>1005</v>
          </cell>
          <cell r="I44">
            <v>2743</v>
          </cell>
          <cell r="J44">
            <v>1000.2857142857143</v>
          </cell>
          <cell r="K44">
            <v>7002</v>
          </cell>
          <cell r="M44">
            <v>1096</v>
          </cell>
          <cell r="N44">
            <v>953</v>
          </cell>
          <cell r="O44">
            <v>1103</v>
          </cell>
          <cell r="P44">
            <v>624</v>
          </cell>
          <cell r="Q44">
            <v>3095</v>
          </cell>
          <cell r="R44">
            <v>2971</v>
          </cell>
          <cell r="S44">
            <v>327</v>
          </cell>
          <cell r="T44">
            <v>1452.7142857142858</v>
          </cell>
          <cell r="U44">
            <v>10169</v>
          </cell>
        </row>
        <row r="45">
          <cell r="B45" t="str">
            <v>FY1</v>
          </cell>
          <cell r="C45">
            <v>1058</v>
          </cell>
          <cell r="D45">
            <v>1110</v>
          </cell>
          <cell r="E45">
            <v>852</v>
          </cell>
          <cell r="F45">
            <v>203</v>
          </cell>
          <cell r="G45">
            <v>110</v>
          </cell>
          <cell r="H45">
            <v>1051</v>
          </cell>
          <cell r="I45">
            <v>2871</v>
          </cell>
          <cell r="J45">
            <v>1036.4285714285713</v>
          </cell>
          <cell r="K45">
            <v>7255</v>
          </cell>
          <cell r="M45">
            <v>1135</v>
          </cell>
          <cell r="N45">
            <v>1005</v>
          </cell>
          <cell r="O45">
            <v>1093.00001</v>
          </cell>
          <cell r="P45">
            <v>680</v>
          </cell>
          <cell r="Q45">
            <v>3050</v>
          </cell>
          <cell r="R45">
            <v>2945</v>
          </cell>
          <cell r="S45">
            <v>377</v>
          </cell>
          <cell r="T45">
            <v>1469.2857157142857</v>
          </cell>
          <cell r="U45">
            <v>10285.00001</v>
          </cell>
        </row>
        <row r="46">
          <cell r="B46" t="str">
            <v>FY2</v>
          </cell>
          <cell r="C46">
            <v>1088</v>
          </cell>
          <cell r="D46">
            <v>1115</v>
          </cell>
          <cell r="E46">
            <v>852</v>
          </cell>
          <cell r="F46">
            <v>219</v>
          </cell>
          <cell r="G46">
            <v>115</v>
          </cell>
          <cell r="H46">
            <v>1106</v>
          </cell>
          <cell r="I46">
            <v>3000.1950000000002</v>
          </cell>
          <cell r="J46">
            <v>1070.7421428571429</v>
          </cell>
          <cell r="K46">
            <v>7495.1949999999997</v>
          </cell>
          <cell r="M46">
            <v>1209</v>
          </cell>
          <cell r="N46">
            <v>1093</v>
          </cell>
          <cell r="O46">
            <v>1183.00001</v>
          </cell>
          <cell r="P46">
            <v>721</v>
          </cell>
          <cell r="Q46">
            <v>3073</v>
          </cell>
          <cell r="R46">
            <v>2977</v>
          </cell>
          <cell r="S46">
            <v>428</v>
          </cell>
          <cell r="T46">
            <v>1526.2857157142857</v>
          </cell>
          <cell r="U46">
            <v>10684.00001</v>
          </cell>
        </row>
        <row r="48">
          <cell r="A48" t="str">
            <v>mstag:floorspace</v>
          </cell>
          <cell r="B48" t="str">
            <v>Avg Selling Sq Ft (in thousands)</v>
          </cell>
        </row>
        <row r="49">
          <cell r="B49" t="str">
            <v>FY(5)</v>
          </cell>
          <cell r="C49">
            <v>49200.978000000003</v>
          </cell>
          <cell r="D49">
            <v>101300</v>
          </cell>
          <cell r="E49">
            <v>156400</v>
          </cell>
          <cell r="F49">
            <v>19304.5</v>
          </cell>
          <cell r="G49">
            <v>7500</v>
          </cell>
          <cell r="H49">
            <v>15253</v>
          </cell>
          <cell r="I49">
            <v>65507.999999999993</v>
          </cell>
          <cell r="J49">
            <v>59209.496857142854</v>
          </cell>
          <cell r="K49">
            <v>414466.478</v>
          </cell>
          <cell r="M49">
            <v>5590</v>
          </cell>
          <cell r="N49">
            <v>1978.4060000000002</v>
          </cell>
          <cell r="O49">
            <v>4540.0950000000003</v>
          </cell>
          <cell r="P49">
            <v>782.26300000000003</v>
          </cell>
          <cell r="Q49">
            <v>36600</v>
          </cell>
          <cell r="R49">
            <v>10311</v>
          </cell>
          <cell r="S49">
            <v>1749.8590000000002</v>
          </cell>
          <cell r="T49">
            <v>8793.0889999999999</v>
          </cell>
          <cell r="U49">
            <v>61551.623</v>
          </cell>
        </row>
        <row r="50">
          <cell r="B50" t="str">
            <v>FY(4)</v>
          </cell>
          <cell r="C50">
            <v>56625</v>
          </cell>
          <cell r="D50">
            <v>101400</v>
          </cell>
          <cell r="E50">
            <v>156400</v>
          </cell>
          <cell r="F50">
            <v>19770.5</v>
          </cell>
          <cell r="G50">
            <v>7500</v>
          </cell>
          <cell r="H50">
            <v>17319</v>
          </cell>
          <cell r="I50">
            <v>70575</v>
          </cell>
          <cell r="J50">
            <v>61369.928571428572</v>
          </cell>
          <cell r="K50">
            <v>429589.5</v>
          </cell>
          <cell r="M50">
            <v>6025</v>
          </cell>
          <cell r="N50">
            <v>2373.4749999999999</v>
          </cell>
          <cell r="O50">
            <v>4772.4870000000001</v>
          </cell>
          <cell r="P50">
            <v>904.83600000000001</v>
          </cell>
          <cell r="Q50">
            <v>37800</v>
          </cell>
          <cell r="R50">
            <v>10311</v>
          </cell>
          <cell r="S50">
            <v>2113.5439999999999</v>
          </cell>
          <cell r="T50">
            <v>9185.7631428571422</v>
          </cell>
          <cell r="U50">
            <v>64300.341999999997</v>
          </cell>
        </row>
        <row r="51">
          <cell r="B51" t="str">
            <v>FY(3)</v>
          </cell>
          <cell r="C51">
            <v>62357</v>
          </cell>
          <cell r="D51">
            <v>103100</v>
          </cell>
          <cell r="E51">
            <v>156400</v>
          </cell>
          <cell r="F51">
            <v>20120</v>
          </cell>
          <cell r="G51">
            <v>7500</v>
          </cell>
          <cell r="H51">
            <v>18642</v>
          </cell>
          <cell r="I51">
            <v>73987</v>
          </cell>
          <cell r="J51">
            <v>63158</v>
          </cell>
          <cell r="K51">
            <v>442106</v>
          </cell>
          <cell r="M51">
            <v>6693</v>
          </cell>
          <cell r="N51">
            <v>2626</v>
          </cell>
          <cell r="O51">
            <v>5173.0650000000005</v>
          </cell>
          <cell r="P51">
            <v>1038.7150000000001</v>
          </cell>
          <cell r="Q51">
            <v>39000</v>
          </cell>
          <cell r="R51">
            <v>10311</v>
          </cell>
          <cell r="S51">
            <v>2497.6379999999999</v>
          </cell>
          <cell r="T51">
            <v>9619.9168571428581</v>
          </cell>
          <cell r="U51">
            <v>67339.418000000005</v>
          </cell>
        </row>
        <row r="52">
          <cell r="B52" t="str">
            <v>FY(2)</v>
          </cell>
          <cell r="C52">
            <v>69889</v>
          </cell>
          <cell r="D52">
            <v>106600</v>
          </cell>
          <cell r="E52">
            <v>154961</v>
          </cell>
          <cell r="F52">
            <v>20336</v>
          </cell>
          <cell r="G52">
            <v>7539</v>
          </cell>
          <cell r="H52">
            <v>21100</v>
          </cell>
          <cell r="I52">
            <v>76420</v>
          </cell>
          <cell r="J52">
            <v>65263.571428571428</v>
          </cell>
          <cell r="K52">
            <v>456845</v>
          </cell>
          <cell r="M52">
            <v>7337</v>
          </cell>
          <cell r="N52">
            <v>2935.2140000000004</v>
          </cell>
          <cell r="O52">
            <v>5709.9319999999998</v>
          </cell>
          <cell r="P52">
            <v>1223.971</v>
          </cell>
          <cell r="Q52">
            <v>39600</v>
          </cell>
          <cell r="R52">
            <v>10311</v>
          </cell>
          <cell r="S52">
            <v>2886.54</v>
          </cell>
          <cell r="T52">
            <v>10000.522428571427</v>
          </cell>
          <cell r="U52">
            <v>70003.656999999992</v>
          </cell>
        </row>
        <row r="53">
          <cell r="B53" t="str">
            <v>FY(1)</v>
          </cell>
          <cell r="C53">
            <v>74992</v>
          </cell>
          <cell r="D53">
            <v>109197.56326148099</v>
          </cell>
          <cell r="E53">
            <v>154091</v>
          </cell>
          <cell r="F53">
            <v>21189</v>
          </cell>
          <cell r="G53">
            <v>7519.0955555555602</v>
          </cell>
          <cell r="H53">
            <v>22500</v>
          </cell>
          <cell r="I53">
            <v>79073.679282091311</v>
          </cell>
          <cell r="J53">
            <v>66937.476871303981</v>
          </cell>
          <cell r="K53">
            <v>468562.33809912787</v>
          </cell>
          <cell r="M53">
            <v>7760</v>
          </cell>
          <cell r="N53">
            <v>3284.614</v>
          </cell>
          <cell r="O53">
            <v>6328.1669999999995</v>
          </cell>
          <cell r="P53">
            <v>1466.11089781022</v>
          </cell>
          <cell r="Q53">
            <v>39500</v>
          </cell>
          <cell r="R53">
            <v>10898.300000000001</v>
          </cell>
          <cell r="S53">
            <v>3360.65564146934</v>
          </cell>
          <cell r="T53">
            <v>10371.121077039936</v>
          </cell>
          <cell r="U53">
            <v>72597.847539279552</v>
          </cell>
        </row>
        <row r="54">
          <cell r="B54" t="str">
            <v>FY0</v>
          </cell>
          <cell r="C54">
            <v>78396</v>
          </cell>
          <cell r="D54">
            <v>110696.15745079701</v>
          </cell>
          <cell r="E54">
            <v>154400</v>
          </cell>
          <cell r="F54">
            <v>22324.5</v>
          </cell>
          <cell r="G54">
            <v>7493.0555555555602</v>
          </cell>
          <cell r="H54">
            <v>23700</v>
          </cell>
          <cell r="I54">
            <v>81786.991806476799</v>
          </cell>
          <cell r="J54">
            <v>68399.529258975628</v>
          </cell>
          <cell r="K54">
            <v>478796.70481282938</v>
          </cell>
          <cell r="M54">
            <v>7847</v>
          </cell>
          <cell r="N54">
            <v>3428.3760000000002</v>
          </cell>
          <cell r="O54">
            <v>6403.8589999999995</v>
          </cell>
          <cell r="P54">
            <v>1690.6890000000001</v>
          </cell>
          <cell r="Q54">
            <v>38800</v>
          </cell>
          <cell r="R54">
            <v>10933</v>
          </cell>
          <cell r="S54">
            <v>3725.8392204614397</v>
          </cell>
          <cell r="T54">
            <v>10404.10903149449</v>
          </cell>
          <cell r="U54">
            <v>72828.763220461435</v>
          </cell>
        </row>
        <row r="55">
          <cell r="B55" t="str">
            <v>FY1</v>
          </cell>
          <cell r="C55">
            <v>80394.312948484498</v>
          </cell>
          <cell r="D55">
            <v>110895.97000937199</v>
          </cell>
          <cell r="E55">
            <v>154944.94117647098</v>
          </cell>
          <cell r="F55">
            <v>23264.098000000002</v>
          </cell>
          <cell r="G55">
            <v>7551.3888888888896</v>
          </cell>
          <cell r="H55">
            <v>24784.776119402999</v>
          </cell>
          <cell r="I55">
            <v>85603.5193133047</v>
          </cell>
          <cell r="J55">
            <v>69634.143779417718</v>
          </cell>
          <cell r="K55">
            <v>487439.00645592407</v>
          </cell>
          <cell r="M55">
            <v>8152.8011747302498</v>
          </cell>
          <cell r="N55">
            <v>3618.09221262458</v>
          </cell>
          <cell r="O55">
            <v>6280.8787298091502</v>
          </cell>
          <cell r="P55">
            <v>1842.77425430213</v>
          </cell>
          <cell r="Q55">
            <v>37816.534659180201</v>
          </cell>
          <cell r="R55">
            <v>10859.0659181791</v>
          </cell>
          <cell r="S55">
            <v>4200.5989247116004</v>
          </cell>
          <cell r="T55">
            <v>10395.820839076714</v>
          </cell>
          <cell r="U55">
            <v>72770.745873537002</v>
          </cell>
        </row>
        <row r="56">
          <cell r="B56" t="str">
            <v>FY2</v>
          </cell>
          <cell r="C56">
            <v>83743.799999999988</v>
          </cell>
          <cell r="D56">
            <v>111395.50140581101</v>
          </cell>
          <cell r="E56">
            <v>154854.22437271001</v>
          </cell>
          <cell r="F56">
            <v>24215.196</v>
          </cell>
          <cell r="G56">
            <v>7861.1111111111095</v>
          </cell>
          <cell r="H56">
            <v>26081.791044776099</v>
          </cell>
          <cell r="I56">
            <v>89455.677682403402</v>
          </cell>
          <cell r="J56">
            <v>71086.757373830231</v>
          </cell>
          <cell r="K56">
            <v>497607.3016168116</v>
          </cell>
          <cell r="M56">
            <v>8723.3097210784999</v>
          </cell>
          <cell r="N56">
            <v>3975.45267116279</v>
          </cell>
          <cell r="O56">
            <v>6672.4837929733894</v>
          </cell>
          <cell r="P56">
            <v>1947.45216540507</v>
          </cell>
          <cell r="Q56">
            <v>36516.200309858395</v>
          </cell>
          <cell r="R56">
            <v>11000.1225990071</v>
          </cell>
          <cell r="S56">
            <v>4686.6820919247102</v>
          </cell>
          <cell r="T56">
            <v>10503.100478772851</v>
          </cell>
          <cell r="U56">
            <v>73521.70335140996</v>
          </cell>
        </row>
        <row r="58">
          <cell r="B58" t="str">
            <v>Square Footage Growth</v>
          </cell>
        </row>
        <row r="59">
          <cell r="B59" t="str">
            <v>FY(4)</v>
          </cell>
          <cell r="C59">
            <v>0.15089175666386145</v>
          </cell>
          <cell r="D59">
            <v>9.8716683119448589E-4</v>
          </cell>
          <cell r="E59">
            <v>0</v>
          </cell>
          <cell r="F59">
            <v>2.4139449351187503E-2</v>
          </cell>
          <cell r="G59">
            <v>0</v>
          </cell>
          <cell r="H59">
            <v>0.13544876417753882</v>
          </cell>
          <cell r="I59">
            <v>7.7349331379373609E-2</v>
          </cell>
          <cell r="J59">
            <v>3.6487925568735591E-2</v>
          </cell>
          <cell r="K59">
            <v>3.6487925568735591E-2</v>
          </cell>
          <cell r="M59">
            <v>7.7817531305903298E-2</v>
          </cell>
          <cell r="N59">
            <v>0.19969055896514654</v>
          </cell>
          <cell r="O59">
            <v>5.1186594113118655E-2</v>
          </cell>
          <cell r="P59">
            <v>0.15669026912943607</v>
          </cell>
          <cell r="Q59">
            <v>3.2786885245901676E-2</v>
          </cell>
          <cell r="R59">
            <v>0</v>
          </cell>
          <cell r="S59">
            <v>0.20783674570351085</v>
          </cell>
          <cell r="T59">
            <v>4.4657132761551921E-2</v>
          </cell>
          <cell r="U59">
            <v>4.4657132761551921E-2</v>
          </cell>
        </row>
        <row r="60">
          <cell r="B60" t="str">
            <v>FY(3)</v>
          </cell>
          <cell r="C60">
            <v>0.10122737306843277</v>
          </cell>
          <cell r="D60">
            <v>1.6765285996055201E-2</v>
          </cell>
          <cell r="E60">
            <v>0</v>
          </cell>
          <cell r="F60">
            <v>1.7677853367390917E-2</v>
          </cell>
          <cell r="G60">
            <v>0</v>
          </cell>
          <cell r="H60">
            <v>7.6390091806686211E-2</v>
          </cell>
          <cell r="I60">
            <v>4.8345731491321375E-2</v>
          </cell>
          <cell r="J60">
            <v>2.9135954207446968E-2</v>
          </cell>
          <cell r="K60">
            <v>2.9135954207446968E-2</v>
          </cell>
          <cell r="M60">
            <v>0.11087136929460573</v>
          </cell>
          <cell r="N60">
            <v>0.10639463234287283</v>
          </cell>
          <cell r="O60">
            <v>8.3934854091797462E-2</v>
          </cell>
          <cell r="P60">
            <v>0.14795940921890827</v>
          </cell>
          <cell r="Q60">
            <v>3.1746031746031855E-2</v>
          </cell>
          <cell r="R60">
            <v>0</v>
          </cell>
          <cell r="S60">
            <v>0.18172983387145014</v>
          </cell>
          <cell r="T60">
            <v>4.7263761054334941E-2</v>
          </cell>
          <cell r="U60">
            <v>4.7263761054334719E-2</v>
          </cell>
        </row>
        <row r="61">
          <cell r="B61" t="str">
            <v>FY(2)</v>
          </cell>
          <cell r="C61">
            <v>0.1207883637763203</v>
          </cell>
          <cell r="D61">
            <v>3.3947623666343407E-2</v>
          </cell>
          <cell r="E61">
            <v>-9.200767263427112E-3</v>
          </cell>
          <cell r="F61">
            <v>1.0735586481113391E-2</v>
          </cell>
          <cell r="G61">
            <v>5.2000000000000934E-3</v>
          </cell>
          <cell r="H61">
            <v>0.13185280549297285</v>
          </cell>
          <cell r="I61">
            <v>3.2884155324583997E-2</v>
          </cell>
          <cell r="J61">
            <v>3.3338158722116429E-2</v>
          </cell>
          <cell r="K61">
            <v>3.3338158722116429E-2</v>
          </cell>
          <cell r="M61">
            <v>9.6219931271477765E-2</v>
          </cell>
          <cell r="N61">
            <v>0.1177509520182789</v>
          </cell>
          <cell r="O61">
            <v>0.1037812206109916</v>
          </cell>
          <cell r="P61">
            <v>0.17835113577834139</v>
          </cell>
          <cell r="Q61">
            <v>1.538461538461533E-2</v>
          </cell>
          <cell r="R61">
            <v>0</v>
          </cell>
          <cell r="S61">
            <v>0.15570791283604746</v>
          </cell>
          <cell r="T61">
            <v>3.9564330656970847E-2</v>
          </cell>
          <cell r="U61">
            <v>3.956433065697107E-2</v>
          </cell>
        </row>
        <row r="62">
          <cell r="B62" t="str">
            <v>FY(1)</v>
          </cell>
          <cell r="C62">
            <v>7.3015782168867727E-2</v>
          </cell>
          <cell r="D62">
            <v>2.4367385192129332E-2</v>
          </cell>
          <cell r="E62">
            <v>-5.614315860119623E-3</v>
          </cell>
          <cell r="F62">
            <v>4.1945318646734897E-2</v>
          </cell>
          <cell r="G62">
            <v>-2.6401969020347638E-3</v>
          </cell>
          <cell r="H62">
            <v>6.6350710900473953E-2</v>
          </cell>
          <cell r="I62">
            <v>3.4724931720639951E-2</v>
          </cell>
          <cell r="J62">
            <v>2.5648388620052476E-2</v>
          </cell>
          <cell r="K62">
            <v>2.5648388620052476E-2</v>
          </cell>
          <cell r="M62">
            <v>5.7652991685975152E-2</v>
          </cell>
          <cell r="N62">
            <v>0.11903731721094246</v>
          </cell>
          <cell r="O62">
            <v>0.10827361867006458</v>
          </cell>
          <cell r="P62">
            <v>0.19783140107912689</v>
          </cell>
          <cell r="Q62">
            <v>-2.525252525252486E-3</v>
          </cell>
          <cell r="R62">
            <v>5.6958587915818093E-2</v>
          </cell>
          <cell r="S62">
            <v>0.16425050110836503</v>
          </cell>
          <cell r="T62">
            <v>3.7057928834768772E-2</v>
          </cell>
          <cell r="U62">
            <v>3.7057928834768772E-2</v>
          </cell>
        </row>
        <row r="63">
          <cell r="B63" t="str">
            <v>FY0</v>
          </cell>
          <cell r="C63">
            <v>4.5391508427565563E-2</v>
          </cell>
          <cell r="D63">
            <v>1.3723696248858053E-2</v>
          </cell>
          <cell r="E63">
            <v>2.0053085514404323E-3</v>
          </cell>
          <cell r="F63">
            <v>5.3589126433526868E-2</v>
          </cell>
          <cell r="G63">
            <v>-3.4631824808716294E-3</v>
          </cell>
          <cell r="H63">
            <v>5.3333333333333233E-2</v>
          </cell>
          <cell r="I63">
            <v>3.4313725490196179E-2</v>
          </cell>
          <cell r="J63">
            <v>2.1842060023903098E-2</v>
          </cell>
          <cell r="K63">
            <v>2.1842060023903098E-2</v>
          </cell>
          <cell r="M63">
            <v>1.1211340206185527E-2</v>
          </cell>
          <cell r="N63">
            <v>4.3768308848467496E-2</v>
          </cell>
          <cell r="O63">
            <v>1.196112555183837E-2</v>
          </cell>
          <cell r="P63">
            <v>0.15317947811806687</v>
          </cell>
          <cell r="Q63">
            <v>-1.7721518987341756E-2</v>
          </cell>
          <cell r="R63">
            <v>3.1839828230089129E-3</v>
          </cell>
          <cell r="S63">
            <v>0.10866438515325982</v>
          </cell>
          <cell r="T63">
            <v>3.1807510691959084E-3</v>
          </cell>
          <cell r="U63">
            <v>3.1807510691959084E-3</v>
          </cell>
        </row>
        <row r="64">
          <cell r="B64" t="str">
            <v>FY1</v>
          </cell>
          <cell r="C64">
            <v>2.5489986076898008E-2</v>
          </cell>
          <cell r="D64">
            <v>1.8050541516203555E-3</v>
          </cell>
          <cell r="E64">
            <v>3.5294117647084455E-3</v>
          </cell>
          <cell r="F64">
            <v>4.2088199063808895E-2</v>
          </cell>
          <cell r="G64">
            <v>7.7849860982386332E-3</v>
          </cell>
          <cell r="H64">
            <v>4.5771144278607512E-2</v>
          </cell>
          <cell r="I64">
            <v>4.6664236237695444E-2</v>
          </cell>
          <cell r="J64">
            <v>1.8050044113133712E-2</v>
          </cell>
          <cell r="K64">
            <v>1.8050044113133934E-2</v>
          </cell>
          <cell r="M64">
            <v>3.897045682811906E-2</v>
          </cell>
          <cell r="N64">
            <v>5.5337049560660656E-2</v>
          </cell>
          <cell r="O64">
            <v>-1.9204087752533128E-2</v>
          </cell>
          <cell r="P64">
            <v>8.9954600936144935E-2</v>
          </cell>
          <cell r="Q64">
            <v>-2.5347044866489643E-2</v>
          </cell>
          <cell r="R64">
            <v>-6.7624697540382694E-3</v>
          </cell>
          <cell r="S64">
            <v>0.12742356182276771</v>
          </cell>
          <cell r="T64">
            <v>-7.9662683202252893E-4</v>
          </cell>
          <cell r="U64">
            <v>-7.9662683202252893E-4</v>
          </cell>
        </row>
        <row r="65">
          <cell r="A65" t="str">
            <v>mstag:comparableStoreSalesGrowth</v>
          </cell>
          <cell r="B65" t="str">
            <v>FY2</v>
          </cell>
          <cell r="C65">
            <v>4.16632337372147E-2</v>
          </cell>
          <cell r="D65">
            <v>4.5045045045082333E-3</v>
          </cell>
          <cell r="E65">
            <v>-5.8547767401873063E-4</v>
          </cell>
          <cell r="F65">
            <v>4.0882651027346784E-2</v>
          </cell>
          <cell r="G65">
            <v>4.1015265771564779E-2</v>
          </cell>
          <cell r="H65">
            <v>5.2331113225497994E-2</v>
          </cell>
          <cell r="I65">
            <v>4.4999999999999929E-2</v>
          </cell>
          <cell r="J65">
            <v>2.0860651335270264E-2</v>
          </cell>
          <cell r="K65">
            <v>2.0860651335270264E-2</v>
          </cell>
          <cell r="M65">
            <v>6.997699736828511E-2</v>
          </cell>
          <cell r="N65">
            <v>9.877041201196457E-2</v>
          </cell>
          <cell r="O65">
            <v>6.2348769974760909E-2</v>
          </cell>
          <cell r="P65">
            <v>5.6804522235189392E-2</v>
          </cell>
          <cell r="Q65">
            <v>-3.4385338610240401E-2</v>
          </cell>
          <cell r="R65">
            <v>1.2989761908697606E-2</v>
          </cell>
          <cell r="S65">
            <v>0.11571758597411974</v>
          </cell>
          <cell r="T65">
            <v>1.0319496782099646E-2</v>
          </cell>
          <cell r="U65">
            <v>1.0319496782099646E-2</v>
          </cell>
        </row>
        <row r="66">
          <cell r="B66" t="str">
            <v>4-Yr. Compounded</v>
          </cell>
          <cell r="C66">
            <v>6.5577468319250709E-2</v>
          </cell>
          <cell r="D66">
            <v>1.8390348330118655E-2</v>
          </cell>
          <cell r="E66">
            <v>-2.3340200577479653E-3</v>
          </cell>
          <cell r="F66">
            <v>3.696610404122036E-2</v>
          </cell>
          <cell r="G66">
            <v>1.7085791092168456E-3</v>
          </cell>
          <cell r="H66">
            <v>7.3799318905135358E-2</v>
          </cell>
          <cell r="I66">
            <v>3.7132038387335253E-2</v>
          </cell>
          <cell r="J66">
            <v>2.4704085493136851E-2</v>
          </cell>
          <cell r="K66">
            <v>2.4704085493136851E-2</v>
          </cell>
          <cell r="M66">
            <v>5.0561561442880043E-2</v>
          </cell>
          <cell r="N66">
            <v>8.3418450725379456E-2</v>
          </cell>
          <cell r="O66">
            <v>4.9707060147659243E-2</v>
          </cell>
          <cell r="P66">
            <v>0.15410130787375076</v>
          </cell>
          <cell r="Q66">
            <v>-7.6742053354557083E-3</v>
          </cell>
          <cell r="R66">
            <v>1.3031431848396169E-2</v>
          </cell>
          <cell r="S66">
            <v>0.13879468332198019</v>
          </cell>
          <cell r="T66">
            <v>1.9581312682365848E-2</v>
          </cell>
          <cell r="U66">
            <v>1.9581312682365848E-2</v>
          </cell>
        </row>
        <row r="67">
          <cell r="B67" t="str">
            <v>FY(4)</v>
          </cell>
          <cell r="C67">
            <v>5.4574854495884903E-3</v>
          </cell>
          <cell r="D67">
            <v>4.9000000000000002E-2</v>
          </cell>
          <cell r="E67">
            <v>2.5999999999999999E-2</v>
          </cell>
          <cell r="F67">
            <v>9.6205540192385405E-2</v>
          </cell>
          <cell r="G67">
            <v>5.2999999999999999E-2</v>
          </cell>
          <cell r="H67">
            <v>-0.01</v>
          </cell>
          <cell r="I67">
            <v>0.05</v>
          </cell>
          <cell r="J67">
            <v>3.8523289377424837E-2</v>
          </cell>
          <cell r="M67">
            <v>0.02</v>
          </cell>
          <cell r="N67">
            <v>8.6999999999999994E-2</v>
          </cell>
          <cell r="O67">
            <v>0.214</v>
          </cell>
          <cell r="P67">
            <v>0.182</v>
          </cell>
          <cell r="Q67">
            <v>0</v>
          </cell>
          <cell r="R67">
            <v>0.04</v>
          </cell>
          <cell r="S67">
            <v>0.216</v>
          </cell>
          <cell r="T67">
            <v>0.10842857142857143</v>
          </cell>
        </row>
        <row r="68">
          <cell r="A68" t="str">
            <v>mstag:comparableStoreSalesGrowth</v>
          </cell>
          <cell r="B68" t="str">
            <v>Comp Store Sales</v>
          </cell>
          <cell r="C68">
            <v>3.68908761248153E-2</v>
          </cell>
          <cell r="D68">
            <v>2.9000000000000001E-2</v>
          </cell>
          <cell r="E68">
            <v>1.2999999999999999E-2</v>
          </cell>
          <cell r="F68">
            <v>6.01637300954651E-2</v>
          </cell>
          <cell r="G68">
            <v>0.04</v>
          </cell>
          <cell r="H68">
            <v>0.06</v>
          </cell>
          <cell r="I68">
            <v>0.02</v>
          </cell>
          <cell r="J68">
            <v>3.700780088861149E-2</v>
          </cell>
          <cell r="M68">
            <v>0.26</v>
          </cell>
          <cell r="N68">
            <v>3.5000000000000003E-2</v>
          </cell>
          <cell r="O68">
            <v>0.155</v>
          </cell>
          <cell r="P68">
            <v>0.20699999999999999</v>
          </cell>
          <cell r="Q68">
            <v>-0.05</v>
          </cell>
          <cell r="R68">
            <v>-0.01</v>
          </cell>
          <cell r="S68">
            <v>0.109</v>
          </cell>
          <cell r="T68">
            <v>0.10085714285714285</v>
          </cell>
          <cell r="W68">
            <v>5.2356020942408377E-2</v>
          </cell>
        </row>
        <row r="69">
          <cell r="B69" t="str">
            <v>FY(5)</v>
          </cell>
          <cell r="C69">
            <v>5.4574854495884903E-3</v>
          </cell>
          <cell r="D69">
            <v>4.9000000000000002E-2</v>
          </cell>
          <cell r="E69">
            <v>2.5999999999999999E-2</v>
          </cell>
          <cell r="F69">
            <v>9.6205540192385405E-2</v>
          </cell>
          <cell r="G69">
            <v>5.2999999999999999E-2</v>
          </cell>
          <cell r="H69">
            <v>-0.01</v>
          </cell>
          <cell r="I69">
            <v>0.05</v>
          </cell>
          <cell r="J69">
            <v>3.8523289377424837E-2</v>
          </cell>
          <cell r="M69">
            <v>0.02</v>
          </cell>
          <cell r="N69">
            <v>8.6999999999999994E-2</v>
          </cell>
          <cell r="O69">
            <v>0.214</v>
          </cell>
          <cell r="P69">
            <v>0.16900000000000001</v>
          </cell>
          <cell r="Q69">
            <v>0</v>
          </cell>
          <cell r="R69">
            <v>0.04</v>
          </cell>
          <cell r="S69">
            <v>0.216</v>
          </cell>
          <cell r="T69">
            <v>0.10657142857142857</v>
          </cell>
        </row>
        <row r="70">
          <cell r="B70" t="str">
            <v>FY(4)</v>
          </cell>
          <cell r="C70">
            <v>3.68908761248153E-2</v>
          </cell>
          <cell r="D70">
            <v>2.9000000000000001E-2</v>
          </cell>
          <cell r="E70">
            <v>1.2999999999999999E-2</v>
          </cell>
          <cell r="F70">
            <v>6.01637300954651E-2</v>
          </cell>
          <cell r="G70">
            <v>0.04</v>
          </cell>
          <cell r="H70">
            <v>0.06</v>
          </cell>
          <cell r="I70">
            <v>0.02</v>
          </cell>
          <cell r="J70">
            <v>3.700780088861149E-2</v>
          </cell>
          <cell r="M70">
            <v>0.26</v>
          </cell>
          <cell r="N70">
            <v>3.5000000000000003E-2</v>
          </cell>
          <cell r="O70">
            <v>0.155</v>
          </cell>
          <cell r="P70">
            <v>0.182</v>
          </cell>
          <cell r="Q70">
            <v>-0.05</v>
          </cell>
          <cell r="R70">
            <v>-0.01</v>
          </cell>
          <cell r="S70">
            <v>0.109</v>
          </cell>
          <cell r="T70">
            <v>9.7285714285714295E-2</v>
          </cell>
        </row>
        <row r="71">
          <cell r="B71" t="str">
            <v>FY(3)</v>
          </cell>
          <cell r="C71">
            <v>5.8999999999999997E-2</v>
          </cell>
          <cell r="D71">
            <v>3.6999999999999998E-2</v>
          </cell>
          <cell r="E71">
            <v>4.3999999999999997E-2</v>
          </cell>
          <cell r="F71">
            <v>7.4999999999999997E-2</v>
          </cell>
          <cell r="G71">
            <v>4.9000000000000002E-2</v>
          </cell>
          <cell r="H71">
            <v>0.04</v>
          </cell>
          <cell r="I71">
            <v>0.04</v>
          </cell>
          <cell r="J71">
            <v>4.9142857142857141E-2</v>
          </cell>
          <cell r="M71">
            <v>0.01</v>
          </cell>
          <cell r="N71">
            <v>2.0075199121431499E-2</v>
          </cell>
          <cell r="O71">
            <v>0.12</v>
          </cell>
          <cell r="P71">
            <v>0.20699999999999999</v>
          </cell>
          <cell r="Q71">
            <v>-7.0000000000000007E-2</v>
          </cell>
          <cell r="R71">
            <v>7.0000000000000007E-2</v>
          </cell>
          <cell r="S71">
            <v>-6.2E-2</v>
          </cell>
          <cell r="T71">
            <v>4.2153599874490209E-2</v>
          </cell>
        </row>
        <row r="72">
          <cell r="B72" t="str">
            <v>FY(2)</v>
          </cell>
          <cell r="C72">
            <v>-7.9988102247825297E-3</v>
          </cell>
          <cell r="D72">
            <v>-1.0999999999999999E-2</v>
          </cell>
          <cell r="E72">
            <v>-1.2999999999999999E-2</v>
          </cell>
          <cell r="F72">
            <v>3.9E-2</v>
          </cell>
          <cell r="G72">
            <v>0.117894805327276</v>
          </cell>
          <cell r="H72">
            <v>0.01</v>
          </cell>
          <cell r="I72">
            <v>0.04</v>
          </cell>
          <cell r="J72">
            <v>2.4985142157499068E-2</v>
          </cell>
          <cell r="M72">
            <v>-0.01</v>
          </cell>
          <cell r="N72">
            <v>3.3000000000000002E-2</v>
          </cell>
          <cell r="O72">
            <v>0.01</v>
          </cell>
          <cell r="P72">
            <v>0.223</v>
          </cell>
          <cell r="Q72">
            <v>-0.04</v>
          </cell>
          <cell r="R72">
            <v>-0.02</v>
          </cell>
          <cell r="S72">
            <v>5.5E-2</v>
          </cell>
          <cell r="T72">
            <v>3.5857142857142858E-2</v>
          </cell>
        </row>
        <row r="73">
          <cell r="B73" t="str">
            <v>FY(1)</v>
          </cell>
          <cell r="C73">
            <v>-6.9000000000000006E-2</v>
          </cell>
          <cell r="D73">
            <v>-8.5000000000000006E-2</v>
          </cell>
          <cell r="E73">
            <v>-4.4999999999999998E-2</v>
          </cell>
          <cell r="F73">
            <v>-9.0392473766734996E-2</v>
          </cell>
          <cell r="G73">
            <v>-6.0999999999999999E-2</v>
          </cell>
          <cell r="H73">
            <v>0.02</v>
          </cell>
          <cell r="I73">
            <v>-7.2019165762476399E-3</v>
          </cell>
          <cell r="J73">
            <v>-4.8227770048997518E-2</v>
          </cell>
          <cell r="M73">
            <v>-0.13</v>
          </cell>
          <cell r="N73">
            <v>0.08</v>
          </cell>
          <cell r="O73">
            <v>-9.97396193878715E-2</v>
          </cell>
          <cell r="P73">
            <v>9.8000000000000004E-2</v>
          </cell>
          <cell r="Q73">
            <v>-0.12</v>
          </cell>
          <cell r="R73">
            <v>-8.4306869759510406E-2</v>
          </cell>
          <cell r="S73">
            <v>7.8E-2</v>
          </cell>
          <cell r="T73">
            <v>-2.5435212735340273E-2</v>
          </cell>
        </row>
        <row r="74">
          <cell r="B74" t="str">
            <v>FY0</v>
          </cell>
          <cell r="C74">
            <v>6.5541130581591696E-3</v>
          </cell>
          <cell r="D74">
            <v>-6.3078925007644296E-2</v>
          </cell>
          <cell r="E74">
            <v>-5.2999999999999999E-2</v>
          </cell>
          <cell r="F74">
            <v>-3.4224630661177001E-2</v>
          </cell>
          <cell r="G74">
            <v>-0.14699999999999999</v>
          </cell>
          <cell r="H74">
            <v>6.1429424489502199E-2</v>
          </cell>
          <cell r="I74">
            <v>5.67421533164396E-2</v>
          </cell>
          <cell r="J74">
            <v>-2.4653980686388625E-2</v>
          </cell>
          <cell r="M74">
            <v>-0.23</v>
          </cell>
          <cell r="N74">
            <v>0.102299627147601</v>
          </cell>
          <cell r="O74">
            <v>-3.6220023152869797E-2</v>
          </cell>
          <cell r="P74">
            <v>-6.8000000000000005E-2</v>
          </cell>
          <cell r="Q74">
            <v>-2.9938719447770702E-2</v>
          </cell>
          <cell r="R74">
            <v>-3.8209678879894897E-2</v>
          </cell>
          <cell r="S74">
            <v>-2.3256719605994101E-2</v>
          </cell>
          <cell r="T74">
            <v>-4.6189359134132642E-2</v>
          </cell>
        </row>
        <row r="75">
          <cell r="B75" t="str">
            <v>FY1</v>
          </cell>
          <cell r="C75">
            <v>5.2404169492854501E-2</v>
          </cell>
          <cell r="D75">
            <v>1.86033499008923E-2</v>
          </cell>
          <cell r="E75">
            <v>4.3679773152782701E-2</v>
          </cell>
          <cell r="F75">
            <v>3.97315603069179E-2</v>
          </cell>
          <cell r="G75">
            <v>4.2591937598611899E-2</v>
          </cell>
          <cell r="H75">
            <v>5.2923780943401597E-2</v>
          </cell>
          <cell r="I75">
            <v>3.8739178634559598E-2</v>
          </cell>
          <cell r="J75">
            <v>4.1239107147145793E-2</v>
          </cell>
          <cell r="M75">
            <v>-4.3817488406315802E-2</v>
          </cell>
          <cell r="N75">
            <v>3.6299681250220303E-2</v>
          </cell>
          <cell r="O75">
            <v>3.3506756084832397E-2</v>
          </cell>
          <cell r="P75">
            <v>2.1792814193442801E-2</v>
          </cell>
          <cell r="Q75">
            <v>6.4617414056954703E-3</v>
          </cell>
          <cell r="R75">
            <v>6.9899914522689399E-2</v>
          </cell>
          <cell r="S75">
            <v>6.5643552140244005E-2</v>
          </cell>
          <cell r="T75">
            <v>2.7112424455829794E-2</v>
          </cell>
        </row>
        <row r="76">
          <cell r="B76" t="str">
            <v>FY2</v>
          </cell>
          <cell r="C76">
            <v>0.04</v>
          </cell>
          <cell r="D76">
            <v>0.02</v>
          </cell>
          <cell r="E76">
            <v>0.01</v>
          </cell>
          <cell r="F76">
            <v>0.02</v>
          </cell>
          <cell r="G76">
            <v>0.02</v>
          </cell>
          <cell r="H76">
            <v>0.02</v>
          </cell>
          <cell r="I76">
            <v>0.02</v>
          </cell>
          <cell r="J76">
            <v>2.1428571428571429E-2</v>
          </cell>
          <cell r="M76">
            <v>1.04505589012915E-2</v>
          </cell>
          <cell r="N76">
            <v>0.03</v>
          </cell>
          <cell r="O76">
            <v>0.04</v>
          </cell>
          <cell r="P76">
            <v>0.04</v>
          </cell>
          <cell r="Q76">
            <v>-3.10077885527596E-2</v>
          </cell>
          <cell r="R76">
            <v>1.82099005897415E-2</v>
          </cell>
          <cell r="S76">
            <v>5.1020186507036699E-2</v>
          </cell>
          <cell r="T76">
            <v>2.2667551063615732E-2</v>
          </cell>
        </row>
        <row r="77">
          <cell r="B77" t="str">
            <v>FQ(3)</v>
          </cell>
          <cell r="C77">
            <v>-4.2000000000000003E-2</v>
          </cell>
          <cell r="D77">
            <v>-7.4999999999999997E-2</v>
          </cell>
          <cell r="E77">
            <v>-0.09</v>
          </cell>
          <cell r="F77">
            <v>-0.13200000000000001</v>
          </cell>
          <cell r="G77">
            <v>-0.27600000000000002</v>
          </cell>
          <cell r="H77">
            <v>0.03</v>
          </cell>
          <cell r="I77">
            <v>-3.9548952924792102E-2</v>
          </cell>
          <cell r="J77">
            <v>-8.9221278989256012E-2</v>
          </cell>
          <cell r="M77">
            <v>-0.3</v>
          </cell>
          <cell r="N77">
            <v>0.11</v>
          </cell>
          <cell r="O77">
            <v>-0.1</v>
          </cell>
          <cell r="P77">
            <v>-4.2000000000000003E-2</v>
          </cell>
          <cell r="Q77">
            <v>-0.08</v>
          </cell>
          <cell r="R77">
            <v>-7.0000000000000007E-2</v>
          </cell>
          <cell r="S77">
            <v>-9.6000000000000002E-2</v>
          </cell>
          <cell r="T77">
            <v>-8.2571428571428587E-2</v>
          </cell>
        </row>
        <row r="78">
          <cell r="B78" t="str">
            <v>FQ(2)</v>
          </cell>
          <cell r="C78">
            <v>-2.3E-2</v>
          </cell>
          <cell r="D78">
            <v>-9.5000000000000001E-2</v>
          </cell>
          <cell r="E78">
            <v>-9.5000000000000001E-2</v>
          </cell>
          <cell r="F78">
            <v>-9.8000000000000004E-2</v>
          </cell>
          <cell r="G78">
            <v>-0.155</v>
          </cell>
          <cell r="H78">
            <v>0.03</v>
          </cell>
          <cell r="I78">
            <v>-5.3891204011856202E-3</v>
          </cell>
          <cell r="J78">
            <v>-6.3055588628740791E-2</v>
          </cell>
          <cell r="M78">
            <v>-0.3</v>
          </cell>
          <cell r="N78">
            <v>0.12</v>
          </cell>
          <cell r="O78">
            <v>-0.1</v>
          </cell>
          <cell r="P78">
            <v>-6.0999999999999999E-2</v>
          </cell>
          <cell r="Q78">
            <v>-0.08</v>
          </cell>
          <cell r="R78">
            <v>-0.09</v>
          </cell>
          <cell r="S78">
            <v>-0.06</v>
          </cell>
          <cell r="T78">
            <v>-8.1571428571428559E-2</v>
          </cell>
        </row>
        <row r="79">
          <cell r="A79" t="str">
            <v>mstag:revenueNet</v>
          </cell>
          <cell r="B79" t="str">
            <v>FQ(1)</v>
          </cell>
          <cell r="C79">
            <v>2.4E-2</v>
          </cell>
          <cell r="D79">
            <v>-4.5999999999999999E-2</v>
          </cell>
          <cell r="E79">
            <v>-3.5999999999999997E-2</v>
          </cell>
          <cell r="F79">
            <v>-1.2E-2</v>
          </cell>
          <cell r="G79">
            <v>-0.10100000000000001</v>
          </cell>
          <cell r="H79">
            <v>0.08</v>
          </cell>
          <cell r="I79">
            <v>7.6835872094774701E-2</v>
          </cell>
          <cell r="J79">
            <v>-2.0234468436036118E-3</v>
          </cell>
          <cell r="M79">
            <v>-0.22</v>
          </cell>
          <cell r="N79">
            <v>0.1</v>
          </cell>
          <cell r="O79">
            <v>-0.04</v>
          </cell>
          <cell r="P79">
            <v>-1.0999999999999999E-2</v>
          </cell>
          <cell r="Q79">
            <v>0</v>
          </cell>
          <cell r="R79">
            <v>-0.02</v>
          </cell>
          <cell r="S79">
            <v>-0.02</v>
          </cell>
          <cell r="T79">
            <v>-3.0142857142857141E-2</v>
          </cell>
        </row>
        <row r="80">
          <cell r="B80" t="str">
            <v>Last Reported Q</v>
          </cell>
          <cell r="C80">
            <v>6.5541130581591696E-3</v>
          </cell>
          <cell r="D80">
            <v>-6.3078925007644296E-2</v>
          </cell>
          <cell r="E80">
            <v>-5.2999999999999999E-2</v>
          </cell>
          <cell r="F80">
            <v>-3.4224630661177001E-2</v>
          </cell>
          <cell r="G80">
            <v>-0.14699999999999999</v>
          </cell>
          <cell r="H80">
            <v>6.1429424489502199E-2</v>
          </cell>
          <cell r="I80">
            <v>5.67421533164396E-2</v>
          </cell>
          <cell r="J80">
            <v>-2.4653980686388625E-2</v>
          </cell>
          <cell r="K80">
            <v>29178.162</v>
          </cell>
          <cell r="M80">
            <v>-0.23</v>
          </cell>
          <cell r="N80">
            <v>0.102299627147601</v>
          </cell>
          <cell r="O80">
            <v>-3.6220023152869797E-2</v>
          </cell>
          <cell r="P80">
            <v>3.2000000000000001E-2</v>
          </cell>
          <cell r="Q80">
            <v>-2.9938719447770702E-2</v>
          </cell>
          <cell r="R80">
            <v>-3.8209678879894897E-2</v>
          </cell>
          <cell r="S80">
            <v>-2.3256719605994101E-2</v>
          </cell>
          <cell r="T80">
            <v>-3.1903644848418358E-2</v>
          </cell>
          <cell r="U80">
            <v>11475.175999999999</v>
          </cell>
        </row>
        <row r="81">
          <cell r="B81" t="str">
            <v>FY(9)</v>
          </cell>
          <cell r="C81">
            <v>4556.9799999999996</v>
          </cell>
          <cell r="D81">
            <v>31743</v>
          </cell>
          <cell r="E81">
            <v>16029</v>
          </cell>
          <cell r="F81">
            <v>5149</v>
          </cell>
          <cell r="G81" t="str">
            <v>NA</v>
          </cell>
          <cell r="H81">
            <v>2468.6379999999999</v>
          </cell>
          <cell r="I81">
            <v>8795.3469999999998</v>
          </cell>
          <cell r="K81">
            <v>68741.964999999997</v>
          </cell>
          <cell r="M81">
            <v>1030.8579999999999</v>
          </cell>
          <cell r="N81" t="str">
            <v>NA</v>
          </cell>
          <cell r="O81">
            <v>832.10400000000004</v>
          </cell>
          <cell r="P81">
            <v>549</v>
          </cell>
          <cell r="Q81" t="str">
            <v>NA</v>
          </cell>
          <cell r="R81">
            <v>9766</v>
          </cell>
          <cell r="S81">
            <v>278.113</v>
          </cell>
          <cell r="U81">
            <v>12456.074999999999</v>
          </cell>
        </row>
        <row r="82">
          <cell r="A82" t="str">
            <v>mstag:revenueNet</v>
          </cell>
          <cell r="B82" t="str">
            <v>Revenue</v>
          </cell>
          <cell r="C82">
            <v>6152.2</v>
          </cell>
          <cell r="D82">
            <v>31846</v>
          </cell>
          <cell r="E82">
            <v>16638</v>
          </cell>
          <cell r="F82">
            <v>5528.5370000000003</v>
          </cell>
          <cell r="G82" t="str">
            <v>NA</v>
          </cell>
          <cell r="H82">
            <v>2709.0390000000002</v>
          </cell>
          <cell r="I82">
            <v>9579.0059999999994</v>
          </cell>
          <cell r="K82">
            <v>72452.781999999992</v>
          </cell>
          <cell r="M82">
            <v>1237.604</v>
          </cell>
          <cell r="N82" t="str">
            <v>NA</v>
          </cell>
          <cell r="O82">
            <v>1058.454</v>
          </cell>
          <cell r="P82">
            <v>600.49099999999999</v>
          </cell>
          <cell r="Q82">
            <v>13673.38</v>
          </cell>
          <cell r="R82">
            <v>9080</v>
          </cell>
          <cell r="S82">
            <v>295.33300000000003</v>
          </cell>
          <cell r="U82">
            <v>25945.261999999999</v>
          </cell>
        </row>
        <row r="83">
          <cell r="B83" t="str">
            <v>FY(10)</v>
          </cell>
          <cell r="C83">
            <v>4556.9799999999996</v>
          </cell>
          <cell r="D83">
            <v>31743</v>
          </cell>
          <cell r="E83">
            <v>16029</v>
          </cell>
          <cell r="F83">
            <v>5149</v>
          </cell>
          <cell r="G83" t="str">
            <v>NA</v>
          </cell>
          <cell r="H83">
            <v>2468.6379999999999</v>
          </cell>
          <cell r="I83">
            <v>8795.3469999999998</v>
          </cell>
          <cell r="K83">
            <v>68741.964999999997</v>
          </cell>
          <cell r="M83">
            <v>1030.8579999999999</v>
          </cell>
          <cell r="N83">
            <v>232.10029573498414</v>
          </cell>
          <cell r="O83">
            <v>832.10400000000004</v>
          </cell>
          <cell r="P83">
            <v>507.78100000000001</v>
          </cell>
          <cell r="Q83">
            <v>11635</v>
          </cell>
          <cell r="R83">
            <v>9766</v>
          </cell>
          <cell r="S83">
            <v>278.113</v>
          </cell>
          <cell r="U83">
            <v>24281.956295734984</v>
          </cell>
        </row>
        <row r="84">
          <cell r="B84" t="str">
            <v>FY(9)</v>
          </cell>
          <cell r="C84">
            <v>6152.2</v>
          </cell>
          <cell r="D84">
            <v>31846</v>
          </cell>
          <cell r="E84">
            <v>16638</v>
          </cell>
          <cell r="F84">
            <v>5528.5370000000003</v>
          </cell>
          <cell r="G84" t="str">
            <v>NA</v>
          </cell>
          <cell r="H84">
            <v>2709.0390000000002</v>
          </cell>
          <cell r="I84">
            <v>9579.0059999999994</v>
          </cell>
          <cell r="K84">
            <v>72452.781999999992</v>
          </cell>
          <cell r="M84">
            <v>1237.604</v>
          </cell>
          <cell r="N84">
            <v>309.60581176788753</v>
          </cell>
          <cell r="O84">
            <v>1058.454</v>
          </cell>
          <cell r="P84">
            <v>549</v>
          </cell>
          <cell r="Q84">
            <v>13673.38</v>
          </cell>
          <cell r="R84">
            <v>9080</v>
          </cell>
          <cell r="S84">
            <v>295.33300000000003</v>
          </cell>
          <cell r="U84">
            <v>26203.376811767885</v>
          </cell>
        </row>
        <row r="85">
          <cell r="B85" t="str">
            <v>FY(8)</v>
          </cell>
          <cell r="C85">
            <v>7488.6459999999997</v>
          </cell>
          <cell r="D85">
            <v>17840</v>
          </cell>
          <cell r="E85">
            <v>15785</v>
          </cell>
          <cell r="F85">
            <v>5634.13</v>
          </cell>
          <cell r="G85" t="str">
            <v>NA</v>
          </cell>
          <cell r="H85">
            <v>2986.596</v>
          </cell>
          <cell r="I85">
            <v>10708.998</v>
          </cell>
          <cell r="K85">
            <v>60443.369999999995</v>
          </cell>
          <cell r="M85">
            <v>1364.8530000000001</v>
          </cell>
          <cell r="N85">
            <v>412.99283302035195</v>
          </cell>
          <cell r="O85">
            <v>1271.248</v>
          </cell>
          <cell r="P85">
            <v>600.49099999999999</v>
          </cell>
          <cell r="Q85">
            <v>13847.873</v>
          </cell>
          <cell r="R85">
            <v>8423</v>
          </cell>
          <cell r="S85">
            <v>348.95800000000003</v>
          </cell>
          <cell r="U85">
            <v>26269.41583302035</v>
          </cell>
        </row>
        <row r="86">
          <cell r="B86" t="str">
            <v>FY(7)</v>
          </cell>
          <cell r="C86">
            <v>9120.2870000000003</v>
          </cell>
          <cell r="D86">
            <v>17384</v>
          </cell>
          <cell r="E86">
            <v>15571</v>
          </cell>
          <cell r="F86">
            <v>5944.6559999999999</v>
          </cell>
          <cell r="G86" t="str">
            <v>NA</v>
          </cell>
          <cell r="H86">
            <v>3531.3490000000002</v>
          </cell>
          <cell r="I86">
            <v>11981.207</v>
          </cell>
          <cell r="K86">
            <v>63532.499000000003</v>
          </cell>
          <cell r="M86">
            <v>1595.7570000000001</v>
          </cell>
          <cell r="N86">
            <v>550.904</v>
          </cell>
          <cell r="O86">
            <v>1382.923</v>
          </cell>
          <cell r="P86">
            <v>719.4</v>
          </cell>
          <cell r="Q86">
            <v>14455.105</v>
          </cell>
          <cell r="R86">
            <v>8444.6380000000008</v>
          </cell>
          <cell r="S86">
            <v>422.75400000000002</v>
          </cell>
          <cell r="U86">
            <v>27571.481</v>
          </cell>
        </row>
        <row r="87">
          <cell r="B87" t="str">
            <v>FY(6)</v>
          </cell>
          <cell r="C87">
            <v>10282.093999999999</v>
          </cell>
          <cell r="D87">
            <v>17513</v>
          </cell>
          <cell r="E87">
            <v>15412</v>
          </cell>
          <cell r="F87">
            <v>6448.5720000000001</v>
          </cell>
          <cell r="G87">
            <v>2441.989</v>
          </cell>
          <cell r="H87">
            <v>3920.5830000000001</v>
          </cell>
          <cell r="I87">
            <v>13327.938</v>
          </cell>
          <cell r="K87">
            <v>69346.175999999992</v>
          </cell>
          <cell r="M87">
            <v>1707.809</v>
          </cell>
          <cell r="N87">
            <v>734.86800000000005</v>
          </cell>
          <cell r="O87">
            <v>1435.4359999999999</v>
          </cell>
          <cell r="P87">
            <v>926.40599999999995</v>
          </cell>
          <cell r="Q87">
            <v>15853.771000000001</v>
          </cell>
          <cell r="R87">
            <v>8933.973</v>
          </cell>
          <cell r="S87">
            <v>548.36099999999999</v>
          </cell>
          <cell r="U87">
            <v>30140.624</v>
          </cell>
        </row>
        <row r="88">
          <cell r="B88" t="str">
            <v>FY(5)</v>
          </cell>
          <cell r="C88">
            <v>11700.7</v>
          </cell>
          <cell r="D88">
            <v>18096</v>
          </cell>
          <cell r="E88">
            <v>15776</v>
          </cell>
          <cell r="F88">
            <v>7131.4129999999996</v>
          </cell>
          <cell r="G88">
            <v>2766.9769999999999</v>
          </cell>
          <cell r="H88">
            <v>4239.99</v>
          </cell>
          <cell r="I88">
            <v>14913.483</v>
          </cell>
          <cell r="K88">
            <v>74624.562999999995</v>
          </cell>
          <cell r="M88">
            <v>2021.2539999999999</v>
          </cell>
          <cell r="N88">
            <v>964.21199999999999</v>
          </cell>
          <cell r="O88">
            <v>1881.241</v>
          </cell>
          <cell r="P88">
            <v>1272.3</v>
          </cell>
          <cell r="Q88">
            <v>16267</v>
          </cell>
          <cell r="R88">
            <v>9408.3119999999999</v>
          </cell>
          <cell r="S88">
            <v>827.75</v>
          </cell>
          <cell r="U88">
            <v>32642.069000000003</v>
          </cell>
        </row>
        <row r="89">
          <cell r="B89" t="str">
            <v>FY(4)</v>
          </cell>
          <cell r="C89">
            <v>13402.2</v>
          </cell>
          <cell r="D89">
            <v>18781</v>
          </cell>
          <cell r="E89">
            <v>22390</v>
          </cell>
          <cell r="F89">
            <v>7722.6120000000001</v>
          </cell>
          <cell r="G89">
            <v>2778.3330000000001</v>
          </cell>
          <cell r="H89">
            <v>4944.1790000000001</v>
          </cell>
          <cell r="I89">
            <v>15955.942999999999</v>
          </cell>
          <cell r="K89">
            <v>85974.266999999993</v>
          </cell>
          <cell r="M89">
            <v>2768.1640000000002</v>
          </cell>
          <cell r="N89">
            <v>1204.347</v>
          </cell>
          <cell r="O89">
            <v>2321.962</v>
          </cell>
          <cell r="P89">
            <v>1651.704</v>
          </cell>
          <cell r="Q89">
            <v>16023</v>
          </cell>
          <cell r="R89">
            <v>9669.5</v>
          </cell>
          <cell r="S89">
            <v>1092.107</v>
          </cell>
          <cell r="U89">
            <v>34730.784</v>
          </cell>
        </row>
        <row r="90">
          <cell r="B90" t="str">
            <v>FY(3)</v>
          </cell>
          <cell r="C90">
            <v>15585.300999999999</v>
          </cell>
          <cell r="D90">
            <v>19903.088</v>
          </cell>
          <cell r="E90">
            <v>26970</v>
          </cell>
          <cell r="F90">
            <v>8560.6980000000003</v>
          </cell>
          <cell r="G90">
            <v>2940.0030000000002</v>
          </cell>
          <cell r="H90">
            <v>5570.21</v>
          </cell>
          <cell r="I90">
            <v>17404.636999999999</v>
          </cell>
          <cell r="K90">
            <v>96933.937000000005</v>
          </cell>
          <cell r="M90">
            <v>3284.1759999999999</v>
          </cell>
          <cell r="N90">
            <v>1413.2080000000001</v>
          </cell>
          <cell r="O90">
            <v>2794.4090000000001</v>
          </cell>
          <cell r="P90">
            <v>2035.085</v>
          </cell>
          <cell r="Q90">
            <v>15923</v>
          </cell>
          <cell r="R90">
            <v>10670.652</v>
          </cell>
          <cell r="S90">
            <v>1224.7170000000001</v>
          </cell>
          <cell r="U90">
            <v>37345.246999999996</v>
          </cell>
        </row>
        <row r="91">
          <cell r="B91" t="str">
            <v>FY(2)</v>
          </cell>
          <cell r="C91">
            <v>16473.7</v>
          </cell>
          <cell r="D91">
            <v>19860.93</v>
          </cell>
          <cell r="E91">
            <v>26313</v>
          </cell>
          <cell r="F91">
            <v>8827.8140000000003</v>
          </cell>
          <cell r="G91">
            <v>3264.6329999999998</v>
          </cell>
          <cell r="H91">
            <v>5975.2120000000004</v>
          </cell>
          <cell r="I91">
            <v>18336.725999999999</v>
          </cell>
          <cell r="K91">
            <v>99052.014999999999</v>
          </cell>
          <cell r="M91">
            <v>3699.6559999999999</v>
          </cell>
          <cell r="N91">
            <v>1583.183</v>
          </cell>
          <cell r="O91">
            <v>3055.4189999999999</v>
          </cell>
          <cell r="P91">
            <v>2612.4560000000001</v>
          </cell>
          <cell r="Q91">
            <v>15763</v>
          </cell>
          <cell r="R91">
            <v>10086.293</v>
          </cell>
          <cell r="S91">
            <v>1507.7239999999999</v>
          </cell>
          <cell r="U91">
            <v>38307.731</v>
          </cell>
        </row>
        <row r="92">
          <cell r="B92" t="str">
            <v>FY(1)</v>
          </cell>
          <cell r="C92">
            <v>16388.900000000001</v>
          </cell>
          <cell r="D92">
            <v>18486.4729787059</v>
          </cell>
          <cell r="E92">
            <v>24892</v>
          </cell>
          <cell r="F92">
            <v>8291</v>
          </cell>
          <cell r="G92">
            <v>3036.8879999999999</v>
          </cell>
          <cell r="H92">
            <v>6486.1390000000001</v>
          </cell>
          <cell r="I92">
            <v>18999.505000000001</v>
          </cell>
          <cell r="K92">
            <v>96580.904978705905</v>
          </cell>
          <cell r="M92">
            <v>3484.0569999999998</v>
          </cell>
          <cell r="N92">
            <v>1885.5309999999999</v>
          </cell>
          <cell r="O92">
            <v>2988.817</v>
          </cell>
          <cell r="P92">
            <v>3180.7570000000001</v>
          </cell>
          <cell r="Q92">
            <v>14526</v>
          </cell>
          <cell r="R92">
            <v>9042.7009999999991</v>
          </cell>
          <cell r="S92">
            <v>1834.6179999999999</v>
          </cell>
          <cell r="U92">
            <v>36942.481</v>
          </cell>
        </row>
        <row r="93">
          <cell r="B93" t="str">
            <v>FY0</v>
          </cell>
          <cell r="C93">
            <v>17177</v>
          </cell>
          <cell r="D93">
            <v>17557.479531695401</v>
          </cell>
          <cell r="E93">
            <v>23489</v>
          </cell>
          <cell r="F93">
            <v>8258</v>
          </cell>
          <cell r="G93">
            <v>2625.71</v>
          </cell>
          <cell r="H93">
            <v>7184.2129999999997</v>
          </cell>
          <cell r="I93">
            <v>20288.444</v>
          </cell>
          <cell r="K93">
            <v>96579.84653169541</v>
          </cell>
          <cell r="M93">
            <v>2928.625</v>
          </cell>
          <cell r="N93">
            <v>2230.105</v>
          </cell>
          <cell r="O93">
            <v>2990.558</v>
          </cell>
          <cell r="P93">
            <v>3230.4679999999998</v>
          </cell>
          <cell r="Q93">
            <v>14197</v>
          </cell>
          <cell r="R93">
            <v>8632.5365000000002</v>
          </cell>
          <cell r="S93">
            <v>1937.8150000000001</v>
          </cell>
          <cell r="U93">
            <v>36147.107500000006</v>
          </cell>
        </row>
        <row r="94">
          <cell r="B94" t="str">
            <v>FY1</v>
          </cell>
          <cell r="C94">
            <v>18498.109536433902</v>
          </cell>
          <cell r="D94">
            <v>17806.182108049401</v>
          </cell>
          <cell r="E94">
            <v>24544.575112720999</v>
          </cell>
          <cell r="F94">
            <v>8931.4666703660005</v>
          </cell>
          <cell r="G94">
            <v>2737.49293223829</v>
          </cell>
          <cell r="H94">
            <v>7803.8611769138997</v>
          </cell>
          <cell r="I94">
            <v>22056.154446994798</v>
          </cell>
          <cell r="K94">
            <v>102377.8419837173</v>
          </cell>
          <cell r="M94">
            <v>3162.7476001191799</v>
          </cell>
          <cell r="N94">
            <v>2430.26432838644</v>
          </cell>
          <cell r="O94">
            <v>2988.9123471029702</v>
          </cell>
          <cell r="P94">
            <v>3476.1003261498299</v>
          </cell>
          <cell r="Q94">
            <v>14057.709404797301</v>
          </cell>
          <cell r="R94">
            <v>9110.7464272638808</v>
          </cell>
          <cell r="S94">
            <v>2261.5106702375401</v>
          </cell>
          <cell r="U94">
            <v>37487.991104057146</v>
          </cell>
        </row>
        <row r="95">
          <cell r="B95" t="str">
            <v>FY2</v>
          </cell>
          <cell r="C95">
            <v>20039.552621656901</v>
          </cell>
          <cell r="D95">
            <v>18198.430040241499</v>
          </cell>
          <cell r="E95">
            <v>24750.731353234001</v>
          </cell>
          <cell r="F95">
            <v>9352.2268005773403</v>
          </cell>
          <cell r="G95">
            <v>2932.27969354073</v>
          </cell>
          <cell r="H95">
            <v>8161.2515621648599</v>
          </cell>
          <cell r="I95">
            <v>23509.655025051801</v>
          </cell>
          <cell r="K95">
            <v>106944.12709646713</v>
          </cell>
          <cell r="M95">
            <v>3416.94856393808</v>
          </cell>
          <cell r="N95">
            <v>2750.6661824206799</v>
          </cell>
          <cell r="O95">
            <v>3305.3180742735199</v>
          </cell>
          <cell r="P95">
            <v>3717.3890173600098</v>
          </cell>
          <cell r="Q95">
            <v>13508.772793591699</v>
          </cell>
          <cell r="R95">
            <v>9454.1724434505995</v>
          </cell>
          <cell r="S95">
            <v>2580.1207421026002</v>
          </cell>
          <cell r="U95">
            <v>38733.387817137183</v>
          </cell>
        </row>
        <row r="96">
          <cell r="B96" t="str">
            <v>FQ(3)</v>
          </cell>
          <cell r="C96">
            <v>3638</v>
          </cell>
          <cell r="D96">
            <v>3884.4351206486299</v>
          </cell>
          <cell r="E96">
            <v>5199</v>
          </cell>
          <cell r="F96">
            <v>1706</v>
          </cell>
          <cell r="G96">
            <v>621.26599999999996</v>
          </cell>
          <cell r="H96">
            <v>1691.5989999999999</v>
          </cell>
          <cell r="I96">
            <v>4354.2240000000002</v>
          </cell>
          <cell r="K96">
            <v>21094.524120648632</v>
          </cell>
          <cell r="M96">
            <v>601.72900000000004</v>
          </cell>
          <cell r="N96">
            <v>408.024</v>
          </cell>
          <cell r="O96">
            <v>612</v>
          </cell>
          <cell r="P96">
            <v>739.93899999999996</v>
          </cell>
          <cell r="Q96">
            <v>3127</v>
          </cell>
          <cell r="R96">
            <v>1725.2370000000001</v>
          </cell>
          <cell r="S96">
            <v>384.79599999999999</v>
          </cell>
          <cell r="U96">
            <v>7598.7250000000004</v>
          </cell>
        </row>
        <row r="97">
          <cell r="B97" t="str">
            <v>FQ(2)</v>
          </cell>
          <cell r="C97">
            <v>3806</v>
          </cell>
          <cell r="D97">
            <v>3942.65022008711</v>
          </cell>
          <cell r="E97">
            <v>5164</v>
          </cell>
          <cell r="F97">
            <v>2145</v>
          </cell>
          <cell r="G97">
            <v>561.69600000000003</v>
          </cell>
          <cell r="H97">
            <v>1768.636</v>
          </cell>
          <cell r="I97">
            <v>4747.5280000000002</v>
          </cell>
          <cell r="K97">
            <v>22135.510220087112</v>
          </cell>
          <cell r="M97">
            <v>637.221</v>
          </cell>
          <cell r="N97">
            <v>453.02</v>
          </cell>
          <cell r="O97">
            <v>657.596</v>
          </cell>
          <cell r="P97">
            <v>777.74400000000003</v>
          </cell>
          <cell r="Q97">
            <v>3245</v>
          </cell>
          <cell r="R97">
            <v>2066.61</v>
          </cell>
          <cell r="S97">
            <v>458.62599999999998</v>
          </cell>
          <cell r="U97">
            <v>8295.8170000000009</v>
          </cell>
        </row>
        <row r="98">
          <cell r="B98" t="str">
            <v>FQ(1)</v>
          </cell>
          <cell r="C98">
            <v>4051</v>
          </cell>
          <cell r="D98">
            <v>4180.3941909596297</v>
          </cell>
          <cell r="E98">
            <v>5277</v>
          </cell>
          <cell r="F98">
            <v>1868</v>
          </cell>
          <cell r="G98">
            <v>631.43399999999997</v>
          </cell>
          <cell r="H98">
            <v>1744.1389999999999</v>
          </cell>
          <cell r="I98">
            <v>5244.9459999999999</v>
          </cell>
          <cell r="K98">
            <v>22996.913190959629</v>
          </cell>
          <cell r="M98">
            <v>753.68399999999997</v>
          </cell>
          <cell r="N98">
            <v>567.83799999999997</v>
          </cell>
          <cell r="O98">
            <v>748.96199999999999</v>
          </cell>
          <cell r="P98">
            <v>761.43700000000001</v>
          </cell>
          <cell r="Q98">
            <v>3589</v>
          </cell>
          <cell r="R98">
            <v>1777.2895000000001</v>
          </cell>
          <cell r="S98">
            <v>505.9</v>
          </cell>
          <cell r="U98">
            <v>8704.1105000000007</v>
          </cell>
        </row>
        <row r="99">
          <cell r="B99" t="str">
            <v>Last Reported Q</v>
          </cell>
          <cell r="C99">
            <v>17177</v>
          </cell>
          <cell r="D99">
            <v>17557.479531695401</v>
          </cell>
          <cell r="E99">
            <v>23489</v>
          </cell>
          <cell r="F99">
            <v>8258</v>
          </cell>
          <cell r="G99">
            <v>2625.71</v>
          </cell>
          <cell r="H99">
            <v>7184.2129999999997</v>
          </cell>
          <cell r="I99">
            <v>20288.444</v>
          </cell>
          <cell r="K99">
            <v>96579.84653169541</v>
          </cell>
          <cell r="M99">
            <v>2928.625</v>
          </cell>
          <cell r="N99">
            <v>2230.105</v>
          </cell>
          <cell r="O99">
            <v>2990.558</v>
          </cell>
          <cell r="P99">
            <v>1065.0050000000001</v>
          </cell>
          <cell r="Q99">
            <v>14197</v>
          </cell>
          <cell r="R99">
            <v>8632.5365000000002</v>
          </cell>
          <cell r="S99">
            <v>1937.8150000000001</v>
          </cell>
          <cell r="U99">
            <v>33981.644500000002</v>
          </cell>
          <cell r="AA99" t="str">
            <v>Avg</v>
          </cell>
        </row>
        <row r="100">
          <cell r="B100" t="str">
            <v>LTM</v>
          </cell>
          <cell r="C100">
            <v>28672</v>
          </cell>
          <cell r="D100">
            <v>29564.959063390772</v>
          </cell>
          <cell r="E100">
            <v>39129</v>
          </cell>
          <cell r="F100">
            <v>13977</v>
          </cell>
          <cell r="G100">
            <v>4440.1059999999998</v>
          </cell>
          <cell r="H100">
            <v>12388.587</v>
          </cell>
          <cell r="I100">
            <v>34635.142</v>
          </cell>
          <cell r="K100">
            <v>162806.79406339076</v>
          </cell>
          <cell r="M100">
            <v>4921.259</v>
          </cell>
          <cell r="N100">
            <v>3658.9870000000001</v>
          </cell>
          <cell r="O100">
            <v>5009.116</v>
          </cell>
          <cell r="P100">
            <v>3344.125</v>
          </cell>
          <cell r="Q100">
            <v>24158</v>
          </cell>
          <cell r="R100">
            <v>14201.673000000001</v>
          </cell>
          <cell r="S100">
            <v>3287.1370000000002</v>
          </cell>
          <cell r="U100">
            <v>58580.297000000006</v>
          </cell>
          <cell r="X100" t="str">
            <v>% Chg Sales</v>
          </cell>
          <cell r="Y100" t="str">
            <v>GM</v>
          </cell>
          <cell r="Z100" t="str">
            <v>SG&amp;A</v>
          </cell>
          <cell r="AA100" t="str">
            <v>% Chg EPS</v>
          </cell>
          <cell r="AB100" t="str">
            <v>Y/Y Stock Return</v>
          </cell>
        </row>
        <row r="101">
          <cell r="B101" t="str">
            <v>FY1</v>
          </cell>
          <cell r="C101">
            <v>4.3222849199793689E-2</v>
          </cell>
          <cell r="D101">
            <v>-5.2735424999238778E-2</v>
          </cell>
          <cell r="E101">
            <v>-6.3459608302113168E-2</v>
          </cell>
          <cell r="F101">
            <v>-2.5871558510100034E-2</v>
          </cell>
          <cell r="G101">
            <v>-0.15055978898799161</v>
          </cell>
          <cell r="H101">
            <v>9.870750403746964E-2</v>
          </cell>
          <cell r="I101">
            <v>5.1592050593949557E-2</v>
          </cell>
          <cell r="K101">
            <v>-9.2860793391353891E-3</v>
          </cell>
          <cell r="M101">
            <v>-0.16119630832569265</v>
          </cell>
          <cell r="N101">
            <v>0.15716657972563697</v>
          </cell>
          <cell r="O101">
            <v>-1.2369922577250447E-2</v>
          </cell>
          <cell r="P101">
            <v>8.0404128485095816E-2</v>
          </cell>
          <cell r="Q101">
            <v>-1.7904211109190493E-2</v>
          </cell>
          <cell r="R101">
            <v>-6.1916819776748011E-2</v>
          </cell>
          <cell r="S101">
            <v>5.6907951718232486E-2</v>
          </cell>
          <cell r="U101">
            <v>-2.070623056639842E-2</v>
          </cell>
          <cell r="W101" t="str">
            <v>Dept Stores</v>
          </cell>
          <cell r="X101">
            <v>-3.5409089577638664E-2</v>
          </cell>
          <cell r="Y101">
            <v>157.63350500292728</v>
          </cell>
          <cell r="Z101">
            <v>140.95424200297856</v>
          </cell>
          <cell r="AA101">
            <v>-0.27193440625115911</v>
          </cell>
          <cell r="AB101">
            <v>0.55000000000000004</v>
          </cell>
        </row>
        <row r="102">
          <cell r="B102" t="str">
            <v>Revenue Growth</v>
          </cell>
          <cell r="C102">
            <v>6.2837928325937487E-2</v>
          </cell>
          <cell r="D102">
            <v>-2.2980410921283889E-3</v>
          </cell>
          <cell r="E102">
            <v>-1.7603372549021334E-2</v>
          </cell>
          <cell r="F102">
            <v>1.0432109608290219E-2</v>
          </cell>
          <cell r="G102">
            <v>1.6315182620068924E-2</v>
          </cell>
          <cell r="H102">
            <v>4.2812256217959366E-2</v>
          </cell>
          <cell r="I102">
            <v>6.590000000000007E-2</v>
          </cell>
          <cell r="K102">
            <v>2.4788718789983566E-2</v>
          </cell>
          <cell r="M102">
            <v>0.11024888457662718</v>
          </cell>
          <cell r="N102">
            <v>0.10712689289907362</v>
          </cell>
          <cell r="O102">
            <v>7.1732264728360029E-2</v>
          </cell>
          <cell r="P102">
            <v>7.0465151392704151E-2</v>
          </cell>
          <cell r="Q102">
            <v>-1.1298021641825362E-2</v>
          </cell>
          <cell r="R102">
            <v>7.6674865314052543E-3</v>
          </cell>
          <cell r="S102">
            <v>0.16454681980554886</v>
          </cell>
          <cell r="U102">
            <v>3.4225307407317107E-2</v>
          </cell>
          <cell r="W102" t="str">
            <v>Off-Price</v>
          </cell>
          <cell r="X102">
            <v>6.358301225388252E-2</v>
          </cell>
          <cell r="Y102">
            <v>182.45939169460684</v>
          </cell>
          <cell r="Z102">
            <v>-27.013836931441965</v>
          </cell>
          <cell r="AA102">
            <v>0.40811766300825936</v>
          </cell>
          <cell r="AB102">
            <v>0.61</v>
          </cell>
        </row>
        <row r="103">
          <cell r="B103" t="str">
            <v>FY(5)</v>
          </cell>
          <cell r="C103">
            <v>0.13796858888860597</v>
          </cell>
          <cell r="D103">
            <v>3.3289556329583636E-2</v>
          </cell>
          <cell r="E103">
            <v>2.361796003114458E-2</v>
          </cell>
          <cell r="F103">
            <v>0.10589026531765477</v>
          </cell>
          <cell r="G103">
            <v>0.13308331855712696</v>
          </cell>
          <cell r="H103">
            <v>8.1469261076732691E-2</v>
          </cell>
          <cell r="I103">
            <v>0.11896401378817933</v>
          </cell>
          <cell r="K103">
            <v>7.6116482616143122E-2</v>
          </cell>
          <cell r="M103">
            <v>0.18353633222450516</v>
          </cell>
          <cell r="N103">
            <v>0.31208870164437674</v>
          </cell>
          <cell r="O103">
            <v>0.31057114354105653</v>
          </cell>
          <cell r="P103">
            <v>0.37337193411959779</v>
          </cell>
          <cell r="Q103">
            <v>2.6065028944848523E-2</v>
          </cell>
          <cell r="R103">
            <v>5.3093847496517022E-2</v>
          </cell>
          <cell r="S103">
            <v>0.50949830494874737</v>
          </cell>
          <cell r="U103">
            <v>8.2992475537334798E-2</v>
          </cell>
          <cell r="W103" t="str">
            <v>Specialty</v>
          </cell>
          <cell r="X103">
            <v>-2.070623056639842E-2</v>
          </cell>
          <cell r="Y103">
            <v>78.241077287845656</v>
          </cell>
          <cell r="Z103">
            <v>115.90085133750428</v>
          </cell>
          <cell r="AA103">
            <v>-1.7056810027645159E-2</v>
          </cell>
          <cell r="AB103">
            <v>0.76</v>
          </cell>
        </row>
        <row r="104">
          <cell r="B104" t="str">
            <v>FY(4)</v>
          </cell>
          <cell r="C104">
            <v>0.14541865016622935</v>
          </cell>
          <cell r="D104">
            <v>3.7853669319186656E-2</v>
          </cell>
          <cell r="E104">
            <v>0.41924442190669375</v>
          </cell>
          <cell r="F104">
            <v>8.2900681814389365E-2</v>
          </cell>
          <cell r="G104">
            <v>4.1041179597807176E-3</v>
          </cell>
          <cell r="H104">
            <v>0.16608270302524297</v>
          </cell>
          <cell r="I104">
            <v>6.990050546877602E-2</v>
          </cell>
          <cell r="K104">
            <v>0.15209072648103805</v>
          </cell>
          <cell r="M104">
            <v>0.36952802567119236</v>
          </cell>
          <cell r="N104">
            <v>0.24904792721932512</v>
          </cell>
          <cell r="O104">
            <v>0.23427141977024735</v>
          </cell>
          <cell r="P104">
            <v>0.29820325394954028</v>
          </cell>
          <cell r="Q104">
            <v>-1.4999692629249384E-2</v>
          </cell>
          <cell r="R104">
            <v>2.7761409272991866E-2</v>
          </cell>
          <cell r="S104">
            <v>0.31936816671700385</v>
          </cell>
          <cell r="U104">
            <v>6.3988437742717785E-2</v>
          </cell>
        </row>
        <row r="105">
          <cell r="A105" t="str">
            <v>mstag:costOfSalesWithoutDepreciation</v>
          </cell>
          <cell r="B105" t="str">
            <v>FY(3)</v>
          </cell>
          <cell r="C105">
            <v>0.16289124173643121</v>
          </cell>
          <cell r="D105">
            <v>5.9745913423140395E-2</v>
          </cell>
          <cell r="E105">
            <v>0.20455560518088434</v>
          </cell>
          <cell r="F105">
            <v>0.10852364459071628</v>
          </cell>
          <cell r="G105">
            <v>5.8189569068934466E-2</v>
          </cell>
          <cell r="H105">
            <v>0.12661980887018864</v>
          </cell>
          <cell r="I105">
            <v>9.07933802470966E-2</v>
          </cell>
          <cell r="K105">
            <v>0.12747616679302443</v>
          </cell>
          <cell r="M105">
            <v>0.18640947573915412</v>
          </cell>
          <cell r="N105">
            <v>0.17342260992886604</v>
          </cell>
          <cell r="O105">
            <v>0.20346887675164371</v>
          </cell>
          <cell r="P105">
            <v>0.23211241239350389</v>
          </cell>
          <cell r="Q105">
            <v>-6.2410285215003247E-3</v>
          </cell>
          <cell r="R105">
            <v>0.10353710119447745</v>
          </cell>
          <cell r="S105">
            <v>0.12142583098542548</v>
          </cell>
          <cell r="U105">
            <v>7.5277972417783445E-2</v>
          </cell>
        </row>
        <row r="106">
          <cell r="B106" t="str">
            <v>FY(2)</v>
          </cell>
          <cell r="C106">
            <v>5.7002363958193802E-2</v>
          </cell>
          <cell r="D106">
            <v>-2.1181637743851178E-3</v>
          </cell>
          <cell r="E106">
            <v>-2.4360400444938812E-2</v>
          </cell>
          <cell r="F106">
            <v>3.1202595863094373E-2</v>
          </cell>
          <cell r="G106">
            <v>0.11041825467525013</v>
          </cell>
          <cell r="H106">
            <v>7.270856933580605E-2</v>
          </cell>
          <cell r="I106">
            <v>5.3554061483729987E-2</v>
          </cell>
          <cell r="K106">
            <v>2.1850737373846574E-2</v>
          </cell>
          <cell r="M106">
            <v>0.12650966330671687</v>
          </cell>
          <cell r="N106">
            <v>0.12027599617324558</v>
          </cell>
          <cell r="O106">
            <v>9.3404365645830545E-2</v>
          </cell>
          <cell r="P106">
            <v>0.283708542886415</v>
          </cell>
          <cell r="Q106">
            <v>-1.0048357721534895E-2</v>
          </cell>
          <cell r="R106">
            <v>-5.476319535113694E-2</v>
          </cell>
          <cell r="S106">
            <v>0.23107950653089637</v>
          </cell>
          <cell r="U106">
            <v>2.577259697867329E-2</v>
          </cell>
        </row>
        <row r="107">
          <cell r="B107" t="str">
            <v>FY(1)</v>
          </cell>
          <cell r="C107">
            <v>-5.147598900064887E-3</v>
          </cell>
          <cell r="D107">
            <v>-6.9204061506389691E-2</v>
          </cell>
          <cell r="E107">
            <v>-5.4003724394785846E-2</v>
          </cell>
          <cell r="F107">
            <v>-6.0809391770148324E-2</v>
          </cell>
          <cell r="G107">
            <v>-6.9761287103328296E-2</v>
          </cell>
          <cell r="H107">
            <v>8.5507761063540411E-2</v>
          </cell>
          <cell r="I107">
            <v>3.6144893041429649E-2</v>
          </cell>
          <cell r="K107">
            <v>-2.4947599716109714E-2</v>
          </cell>
          <cell r="M107">
            <v>-5.8275418038866378E-2</v>
          </cell>
          <cell r="N107">
            <v>0.1909747641302364</v>
          </cell>
          <cell r="O107">
            <v>-2.1797992353912776E-2</v>
          </cell>
          <cell r="P107">
            <v>0.21753514700343279</v>
          </cell>
          <cell r="Q107">
            <v>-7.8474909598426734E-2</v>
          </cell>
          <cell r="R107">
            <v>-0.10346635775899038</v>
          </cell>
          <cell r="S107">
            <v>0.21681289148411786</v>
          </cell>
          <cell r="U107">
            <v>-3.5639020228057872E-2</v>
          </cell>
          <cell r="X107" t="str">
            <v>2010 vs. 2009</v>
          </cell>
          <cell r="Y107" t="str">
            <v>2008 vs. 2007</v>
          </cell>
          <cell r="AE107" t="str">
            <v>2009 vs. 2008</v>
          </cell>
          <cell r="AL107" t="str">
            <v>2008 vs. 2007</v>
          </cell>
        </row>
        <row r="108">
          <cell r="B108" t="str">
            <v>FY0</v>
          </cell>
          <cell r="C108">
            <v>4.8087425025474362E-2</v>
          </cell>
          <cell r="D108">
            <v>-5.0252606220807183E-2</v>
          </cell>
          <cell r="E108">
            <v>-5.6363490278000916E-2</v>
          </cell>
          <cell r="F108">
            <v>-3.9802195151369402E-3</v>
          </cell>
          <cell r="G108">
            <v>-0.13539452228728877</v>
          </cell>
          <cell r="H108">
            <v>0.10762550725477826</v>
          </cell>
          <cell r="I108">
            <v>6.7840662164619481E-2</v>
          </cell>
          <cell r="K108">
            <v>-1.095917470150809E-5</v>
          </cell>
          <cell r="L108" t="str">
            <v>GM</v>
          </cell>
          <cell r="M108">
            <v>-0.1594210427670959</v>
          </cell>
          <cell r="N108">
            <v>0.1827463987598188</v>
          </cell>
          <cell r="O108">
            <v>5.8250471674914372E-4</v>
          </cell>
          <cell r="P108">
            <v>1.5628669527411265E-2</v>
          </cell>
          <cell r="Q108">
            <v>-2.2649043095139709E-2</v>
          </cell>
          <cell r="R108">
            <v>-4.5358626808516544E-2</v>
          </cell>
          <cell r="S108">
            <v>5.6249856918443086E-2</v>
          </cell>
          <cell r="T108" t="str">
            <v>SG&amp;A</v>
          </cell>
          <cell r="U108">
            <v>-2.1530051000093753E-2</v>
          </cell>
          <cell r="V108" t="str">
            <v>Y/Y Stock Return</v>
          </cell>
          <cell r="X108" t="str">
            <v>% Chg Sales</v>
          </cell>
          <cell r="Y108" t="str">
            <v>GM</v>
          </cell>
          <cell r="Z108" t="str">
            <v>SG&amp;A</v>
          </cell>
          <cell r="AA108" t="str">
            <v>% Chg NI</v>
          </cell>
          <cell r="AB108" t="str">
            <v>Y/Y Stock Return</v>
          </cell>
          <cell r="AC108" t="str">
            <v>Y/Y Stock Return</v>
          </cell>
          <cell r="AE108" t="str">
            <v>% Chg Sales</v>
          </cell>
          <cell r="AF108" t="str">
            <v>GM</v>
          </cell>
          <cell r="AG108" t="str">
            <v>SG&amp;A</v>
          </cell>
          <cell r="AH108" t="str">
            <v>% Chg NI</v>
          </cell>
          <cell r="AI108" t="str">
            <v>Y/Y Stock Return</v>
          </cell>
          <cell r="AL108" t="str">
            <v>% Chg Sales</v>
          </cell>
          <cell r="AM108" t="str">
            <v>GM</v>
          </cell>
          <cell r="AN108" t="str">
            <v>SG&amp;A</v>
          </cell>
          <cell r="AO108" t="str">
            <v>% Chg NI</v>
          </cell>
          <cell r="AP108" t="str">
            <v>Y/Y Stock Return</v>
          </cell>
        </row>
        <row r="109">
          <cell r="A109" t="str">
            <v>mstag:costOfSalesWithDepreciation</v>
          </cell>
          <cell r="B109" t="str">
            <v>FY1</v>
          </cell>
          <cell r="C109">
            <v>7.6911540806537948E-2</v>
          </cell>
          <cell r="D109">
            <v>1.4165050052032502E-2</v>
          </cell>
          <cell r="E109">
            <v>4.4939125238239175E-2</v>
          </cell>
          <cell r="F109">
            <v>8.1553241749334093E-2</v>
          </cell>
          <cell r="G109">
            <v>4.2572459349391245E-2</v>
          </cell>
          <cell r="H109">
            <v>8.6251364890475912E-2</v>
          </cell>
          <cell r="I109">
            <v>8.7128931474232285E-2</v>
          </cell>
          <cell r="K109">
            <v>6.003318145798775E-2</v>
          </cell>
          <cell r="L109">
            <v>57.00435109266364</v>
          </cell>
          <cell r="M109">
            <v>7.9942840110693636E-2</v>
          </cell>
          <cell r="N109">
            <v>8.975332030843397E-2</v>
          </cell>
          <cell r="O109">
            <v>-5.5028288935698999E-4</v>
          </cell>
          <cell r="P109">
            <v>7.6036142797213824E-2</v>
          </cell>
          <cell r="Q109">
            <v>-9.811269648707488E-3</v>
          </cell>
          <cell r="R109">
            <v>5.5396224187859611E-2</v>
          </cell>
          <cell r="S109">
            <v>0.16704157529874619</v>
          </cell>
          <cell r="T109">
            <v>137.26157467508881</v>
          </cell>
          <cell r="U109">
            <v>3.709518400765921E-2</v>
          </cell>
          <cell r="V109">
            <v>0.55000000000000004</v>
          </cell>
          <cell r="W109" t="str">
            <v>Dept Stores</v>
          </cell>
          <cell r="X109">
            <v>4.9620645014408327E-2</v>
          </cell>
          <cell r="Y109">
            <v>48.304398643647801</v>
          </cell>
          <cell r="Z109">
            <v>-60.114503171233572</v>
          </cell>
          <cell r="AA109">
            <v>0.30030313020429822</v>
          </cell>
          <cell r="AB109">
            <v>0.55000000000000004</v>
          </cell>
          <cell r="AC109">
            <v>0.55000000000000004</v>
          </cell>
          <cell r="AD109" t="str">
            <v>Dept Stores</v>
          </cell>
          <cell r="AE109">
            <v>-2.31697200211336E-2</v>
          </cell>
          <cell r="AF109">
            <v>114.94818829006145</v>
          </cell>
          <cell r="AG109">
            <v>141.27383060223303</v>
          </cell>
          <cell r="AH109">
            <v>-6.0407618341568714E-2</v>
          </cell>
          <cell r="AI109">
            <v>0.55000000000000004</v>
          </cell>
          <cell r="AK109" t="str">
            <v>Dept Stores</v>
          </cell>
          <cell r="AL109">
            <v>-4.7807622171526565E-2</v>
          </cell>
          <cell r="AM109">
            <v>-108.66064553076941</v>
          </cell>
          <cell r="AN109">
            <v>179.20699165687495</v>
          </cell>
          <cell r="AO109">
            <v>-0.37489659665696418</v>
          </cell>
          <cell r="AP109">
            <v>0.55000000000000004</v>
          </cell>
        </row>
        <row r="110">
          <cell r="B110" t="str">
            <v>FY2</v>
          </cell>
          <cell r="C110">
            <v>8.3329763086707365E-2</v>
          </cell>
          <cell r="D110">
            <v>2.2028749892138766E-2</v>
          </cell>
          <cell r="E110">
            <v>8.3992588816970137E-3</v>
          </cell>
          <cell r="F110">
            <v>4.7109858407398342E-2</v>
          </cell>
          <cell r="G110">
            <v>7.115516500828889E-2</v>
          </cell>
          <cell r="H110">
            <v>4.5796609799803267E-2</v>
          </cell>
          <cell r="I110">
            <v>6.5900000000002068E-2</v>
          </cell>
          <cell r="K110">
            <v>4.4602279402178313E-2</v>
          </cell>
          <cell r="L110" t="e">
            <v>#REF!</v>
          </cell>
          <cell r="M110">
            <v>8.0373458763930872E-2</v>
          </cell>
          <cell r="N110">
            <v>0.13183827384199343</v>
          </cell>
          <cell r="O110">
            <v>0.10585982137523331</v>
          </cell>
          <cell r="P110">
            <v>6.9413615422726949E-2</v>
          </cell>
          <cell r="Q110">
            <v>-3.9048794892450389E-2</v>
          </cell>
          <cell r="R110">
            <v>3.769460811235148E-2</v>
          </cell>
          <cell r="S110">
            <v>0.14088373583998814</v>
          </cell>
          <cell r="T110" t="e">
            <v>#REF!</v>
          </cell>
          <cell r="U110">
            <v>3.3221217686035365E-2</v>
          </cell>
          <cell r="V110">
            <v>0.76</v>
          </cell>
          <cell r="W110" t="str">
            <v>Specialty</v>
          </cell>
          <cell r="X110">
            <v>3.709518400765921E-2</v>
          </cell>
          <cell r="Y110">
            <v>94.718936271333448</v>
          </cell>
          <cell r="Z110">
            <v>-64.14043276116</v>
          </cell>
          <cell r="AA110">
            <v>0.15150826686137386</v>
          </cell>
          <cell r="AB110">
            <v>0.76</v>
          </cell>
          <cell r="AC110">
            <v>0.76</v>
          </cell>
          <cell r="AD110" t="str">
            <v>Specialty</v>
          </cell>
          <cell r="AE110">
            <v>-2.1530051000093753E-2</v>
          </cell>
          <cell r="AF110">
            <v>40.030898769839546</v>
          </cell>
          <cell r="AG110">
            <v>144.76387005440017</v>
          </cell>
          <cell r="AH110">
            <v>-3.4655015148206236E-2</v>
          </cell>
          <cell r="AI110">
            <v>0.76</v>
          </cell>
          <cell r="AK110" t="str">
            <v>Specialty</v>
          </cell>
          <cell r="AL110">
            <v>-3.5639020228057872E-2</v>
          </cell>
          <cell r="AM110">
            <v>0</v>
          </cell>
          <cell r="AN110">
            <v>62.129127811416666</v>
          </cell>
          <cell r="AO110">
            <v>-7.2139784257026163E-2</v>
          </cell>
          <cell r="AP110">
            <v>0.76</v>
          </cell>
        </row>
        <row r="111">
          <cell r="B111" t="str">
            <v>10-Yr. Compounded</v>
          </cell>
          <cell r="C111">
            <v>0.14189722963753648</v>
          </cell>
          <cell r="D111">
            <v>-5.749986698751286E-2</v>
          </cell>
          <cell r="E111">
            <v>3.8952780979517598E-2</v>
          </cell>
          <cell r="F111">
            <v>4.8371481992315113E-2</v>
          </cell>
          <cell r="G111" t="str">
            <v>NA</v>
          </cell>
          <cell r="H111">
            <v>0.11273610285110758</v>
          </cell>
          <cell r="I111">
            <v>8.7175298300664394E-2</v>
          </cell>
          <cell r="K111">
            <v>3.458566556673115E-2</v>
          </cell>
          <cell r="L111" t="e">
            <v>#REF!</v>
          </cell>
          <cell r="M111">
            <v>0.11006009826696972</v>
          </cell>
          <cell r="N111">
            <v>0.25390594587671522</v>
          </cell>
          <cell r="O111">
            <v>0.1364686551863461</v>
          </cell>
          <cell r="P111">
            <v>0.20325839306934901</v>
          </cell>
          <cell r="Q111">
            <v>2.0100638670918158E-2</v>
          </cell>
          <cell r="R111">
            <v>-1.226107165265633E-2</v>
          </cell>
          <cell r="S111">
            <v>0.21425276852939179</v>
          </cell>
          <cell r="T111" t="e">
            <v>#REF!</v>
          </cell>
          <cell r="U111">
            <v>4.0588417934013465E-2</v>
          </cell>
          <cell r="V111">
            <v>0.61</v>
          </cell>
          <cell r="W111" t="str">
            <v>Off-Price</v>
          </cell>
          <cell r="X111">
            <v>8.6899444196777198E-2</v>
          </cell>
          <cell r="Y111">
            <v>53.999551334442401</v>
          </cell>
          <cell r="Z111">
            <v>-26.34788368614624</v>
          </cell>
          <cell r="AA111">
            <v>0.16785798184105638</v>
          </cell>
          <cell r="AB111">
            <v>0.61</v>
          </cell>
          <cell r="AC111">
            <v>0.61</v>
          </cell>
          <cell r="AD111" t="str">
            <v>Off-Price</v>
          </cell>
          <cell r="AE111">
            <v>7.7965971744720308E-2</v>
          </cell>
          <cell r="AF111">
            <v>219.75066107665336</v>
          </cell>
          <cell r="AG111">
            <v>-20.315851925331586</v>
          </cell>
          <cell r="AH111">
            <v>0.39582196945041037</v>
          </cell>
          <cell r="AI111">
            <v>0.61</v>
          </cell>
          <cell r="AK111" t="str">
            <v>Off-Price</v>
          </cell>
          <cell r="AL111">
            <v>4.8276941147184615E-2</v>
          </cell>
          <cell r="AM111">
            <v>-216.83583107443198</v>
          </cell>
          <cell r="AN111">
            <v>17.44038581543747</v>
          </cell>
          <cell r="AO111">
            <v>1.9813150853928985E-2</v>
          </cell>
          <cell r="AP111">
            <v>0.61</v>
          </cell>
        </row>
        <row r="112">
          <cell r="B112" t="str">
            <v>5-Yr. Compounded</v>
          </cell>
          <cell r="C112">
            <v>6.6572177277572031E-2</v>
          </cell>
          <cell r="D112">
            <v>-1.0603386337421306E-2</v>
          </cell>
          <cell r="E112">
            <v>1.8545149635570857E-2</v>
          </cell>
          <cell r="F112">
            <v>2.9512711519935175E-2</v>
          </cell>
          <cell r="G112">
            <v>-2.9573372874684978E-3</v>
          </cell>
          <cell r="H112">
            <v>9.5577412654757277E-2</v>
          </cell>
          <cell r="I112">
            <v>6.6894468863567313E-2</v>
          </cell>
          <cell r="K112">
            <v>3.554147519379014E-2</v>
          </cell>
          <cell r="M112">
            <v>2.7009695794492306E-2</v>
          </cell>
          <cell r="N112">
            <v>0.150748388636057</v>
          </cell>
          <cell r="O112">
            <v>5.1796240644010894E-2</v>
          </cell>
          <cell r="P112">
            <v>0.1604649194425094</v>
          </cell>
          <cell r="Q112">
            <v>-2.5831357941118904E-2</v>
          </cell>
          <cell r="R112">
            <v>-1.1833814857948877E-2</v>
          </cell>
          <cell r="S112">
            <v>0.15671585931487209</v>
          </cell>
          <cell r="U112">
            <v>1.5396158985442998E-2</v>
          </cell>
        </row>
        <row r="113">
          <cell r="B113" t="str">
            <v>FY2</v>
          </cell>
          <cell r="C113">
            <v>6867.7744825180016</v>
          </cell>
          <cell r="D113">
            <v>7056.233101154201</v>
          </cell>
          <cell r="E113">
            <v>9364.9520392895975</v>
          </cell>
          <cell r="F113">
            <v>2869.9035458410099</v>
          </cell>
          <cell r="G113">
            <v>972.76116919244009</v>
          </cell>
          <cell r="H113">
            <v>1872.43915372229</v>
          </cell>
          <cell r="I113">
            <v>5542.9003991096997</v>
          </cell>
          <cell r="K113">
            <v>34546.963890827239</v>
          </cell>
          <cell r="M113">
            <v>2161.51789129181</v>
          </cell>
          <cell r="N113">
            <v>889.90785494402007</v>
          </cell>
          <cell r="O113">
            <v>1256.3330848648402</v>
          </cell>
          <cell r="P113">
            <v>2702.2788492776199</v>
          </cell>
          <cell r="Q113">
            <v>5740.2146486659603</v>
          </cell>
          <cell r="R113">
            <v>3045.5004101906898</v>
          </cell>
          <cell r="S113">
            <v>913.91993482507019</v>
          </cell>
          <cell r="U113">
            <v>16709.67267406001</v>
          </cell>
        </row>
        <row r="114">
          <cell r="A114" t="str">
            <v>mstag:costOfSalesWithoutDepreciation</v>
          </cell>
          <cell r="B114" t="str">
            <v>Gross Profit</v>
          </cell>
          <cell r="C114">
            <v>1822</v>
          </cell>
          <cell r="D114">
            <v>1996</v>
          </cell>
          <cell r="E114">
            <v>3122</v>
          </cell>
          <cell r="F114">
            <v>736</v>
          </cell>
          <cell r="G114">
            <v>173.73799999999994</v>
          </cell>
          <cell r="H114">
            <v>412.76600000000008</v>
          </cell>
          <cell r="I114">
            <v>1219.3129999999992</v>
          </cell>
          <cell r="K114">
            <v>9481.8169999999991</v>
          </cell>
          <cell r="M114">
            <v>642.61400000000003</v>
          </cell>
          <cell r="N114">
            <v>243.51700000000005</v>
          </cell>
          <cell r="O114">
            <v>311.62400000000002</v>
          </cell>
          <cell r="P114">
            <v>558.19299999999998</v>
          </cell>
          <cell r="Q114">
            <v>1389</v>
          </cell>
          <cell r="R114">
            <v>1024.6599999999999</v>
          </cell>
          <cell r="S114">
            <v>172.892</v>
          </cell>
          <cell r="U114">
            <v>4342.5</v>
          </cell>
        </row>
        <row r="115">
          <cell r="B115" t="str">
            <v>FY(5)</v>
          </cell>
          <cell r="C115">
            <v>4113.6750000000011</v>
          </cell>
          <cell r="D115">
            <v>6774</v>
          </cell>
          <cell r="E115">
            <v>6430</v>
          </cell>
          <cell r="F115">
            <v>2572.0249999999996</v>
          </cell>
          <cell r="G115">
            <v>1085.6799999999998</v>
          </cell>
          <cell r="H115">
            <v>953.38599999999997</v>
          </cell>
          <cell r="I115">
            <v>3566.2219999999998</v>
          </cell>
          <cell r="K115">
            <v>25494.988000000005</v>
          </cell>
          <cell r="M115">
            <v>1341.2249999999999</v>
          </cell>
          <cell r="N115">
            <v>324.60699999999997</v>
          </cell>
          <cell r="O115">
            <v>877.80799999999999</v>
          </cell>
          <cell r="P115">
            <v>955.01900000000001</v>
          </cell>
          <cell r="Q115">
            <v>6381</v>
          </cell>
          <cell r="R115">
            <v>3455.0739999999996</v>
          </cell>
          <cell r="S115">
            <v>338.75</v>
          </cell>
          <cell r="U115">
            <v>13673.483</v>
          </cell>
        </row>
        <row r="116">
          <cell r="B116" t="str">
            <v>FY(4)</v>
          </cell>
          <cell r="C116">
            <v>4760.6000000000004</v>
          </cell>
          <cell r="D116">
            <v>7190</v>
          </cell>
          <cell r="E116">
            <v>9118</v>
          </cell>
          <cell r="F116">
            <v>2834.5889999999999</v>
          </cell>
          <cell r="G116">
            <v>1023.5</v>
          </cell>
          <cell r="H116">
            <v>1091.5880000000002</v>
          </cell>
          <cell r="I116">
            <v>3748.271999999999</v>
          </cell>
          <cell r="K116">
            <v>29766.548999999999</v>
          </cell>
          <cell r="M116">
            <v>1854.1850000000002</v>
          </cell>
          <cell r="N116">
            <v>362.47500000000002</v>
          </cell>
          <cell r="O116">
            <v>1075.961</v>
          </cell>
          <cell r="P116">
            <v>1267.5509999999999</v>
          </cell>
          <cell r="Q116">
            <v>5870</v>
          </cell>
          <cell r="R116">
            <v>3450.1480000000001</v>
          </cell>
          <cell r="S116">
            <v>448.60599999999999</v>
          </cell>
          <cell r="U116">
            <v>14328.925999999999</v>
          </cell>
        </row>
        <row r="117">
          <cell r="B117" t="str">
            <v>FY(3)</v>
          </cell>
          <cell r="C117">
            <v>5667.5829999999987</v>
          </cell>
          <cell r="D117">
            <v>7809</v>
          </cell>
          <cell r="E117">
            <v>10951</v>
          </cell>
          <cell r="F117">
            <v>3206.7490000000007</v>
          </cell>
          <cell r="G117">
            <v>1135.7090000000001</v>
          </cell>
          <cell r="H117">
            <v>1252.683</v>
          </cell>
          <cell r="I117">
            <v>4190.9339999999993</v>
          </cell>
          <cell r="K117">
            <v>34213.657999999996</v>
          </cell>
          <cell r="M117">
            <v>2200.6669999999999</v>
          </cell>
          <cell r="N117">
            <v>448.01700000000005</v>
          </cell>
          <cell r="O117">
            <v>1340.4290000000001</v>
          </cell>
          <cell r="P117">
            <v>1581.571412546203</v>
          </cell>
          <cell r="Q117">
            <v>5657</v>
          </cell>
          <cell r="R117">
            <v>4013.5119999999997</v>
          </cell>
          <cell r="S117">
            <v>451.92100000000005</v>
          </cell>
          <cell r="U117">
            <v>15693.117412546204</v>
          </cell>
        </row>
        <row r="118">
          <cell r="A118" t="str">
            <v>mstag:costOfSalesWithDepreciation</v>
          </cell>
          <cell r="B118" t="str">
            <v>FY(2)</v>
          </cell>
          <cell r="C118">
            <v>6014.1</v>
          </cell>
          <cell r="D118">
            <v>7665</v>
          </cell>
          <cell r="E118">
            <v>10636</v>
          </cell>
          <cell r="F118">
            <v>3301.6360000000004</v>
          </cell>
          <cell r="G118">
            <v>1273.6319999999998</v>
          </cell>
          <cell r="H118">
            <v>1356.9920000000002</v>
          </cell>
          <cell r="I118">
            <v>4491.1141962548991</v>
          </cell>
          <cell r="K118">
            <v>34738.474196254901</v>
          </cell>
          <cell r="M118">
            <v>2488.1660000000002</v>
          </cell>
          <cell r="N118">
            <v>545.50299999999993</v>
          </cell>
          <cell r="O118">
            <v>1423.1379999999999</v>
          </cell>
          <cell r="P118">
            <v>2022.9860000000001</v>
          </cell>
          <cell r="Q118">
            <v>5694</v>
          </cell>
          <cell r="R118">
            <v>3463.5389999999998</v>
          </cell>
          <cell r="S118">
            <v>576.77199999999993</v>
          </cell>
          <cell r="U118">
            <v>16214.103999999999</v>
          </cell>
        </row>
        <row r="119">
          <cell r="B119" t="str">
            <v>FY(1)</v>
          </cell>
          <cell r="C119">
            <v>6055.2870000000021</v>
          </cell>
          <cell r="D119">
            <v>6916</v>
          </cell>
          <cell r="E119">
            <v>9883</v>
          </cell>
          <cell r="F119">
            <v>2861.5169999999998</v>
          </cell>
          <cell r="G119">
            <v>974.39399999999978</v>
          </cell>
          <cell r="H119">
            <v>1529.5630000000001</v>
          </cell>
          <cell r="I119">
            <v>4577.4170000000013</v>
          </cell>
          <cell r="K119">
            <v>32797.178000000007</v>
          </cell>
          <cell r="M119">
            <v>2331.0949999999998</v>
          </cell>
          <cell r="N119">
            <v>654.18200000000002</v>
          </cell>
          <cell r="O119">
            <v>1174.0509999999999</v>
          </cell>
          <cell r="P119">
            <v>2407.1030000000001</v>
          </cell>
          <cell r="Q119">
            <v>5447</v>
          </cell>
          <cell r="R119">
            <v>3006.3959999999988</v>
          </cell>
          <cell r="S119">
            <v>713.47799999999984</v>
          </cell>
          <cell r="U119">
            <v>15733.304999999998</v>
          </cell>
        </row>
        <row r="120">
          <cell r="B120" t="str">
            <v>FY0</v>
          </cell>
          <cell r="C120">
            <v>6497</v>
          </cell>
          <cell r="D120">
            <v>6910</v>
          </cell>
          <cell r="E120">
            <v>9516</v>
          </cell>
          <cell r="F120">
            <v>2930</v>
          </cell>
          <cell r="G120">
            <v>957.61300000000006</v>
          </cell>
          <cell r="H120">
            <v>1856.9349999999995</v>
          </cell>
          <cell r="I120">
            <v>5320.0149999999994</v>
          </cell>
          <cell r="K120">
            <v>33987.563000000002</v>
          </cell>
          <cell r="M120">
            <v>1883.596</v>
          </cell>
          <cell r="N120">
            <v>849.54700000000003</v>
          </cell>
          <cell r="O120">
            <v>1158.087</v>
          </cell>
          <cell r="P120">
            <v>2322.6099999999997</v>
          </cell>
          <cell r="Q120">
            <v>5724</v>
          </cell>
          <cell r="R120">
            <v>3028.0910000000003</v>
          </cell>
          <cell r="S120">
            <v>786.14499999999998</v>
          </cell>
          <cell r="U120">
            <v>15752.076000000001</v>
          </cell>
        </row>
        <row r="121">
          <cell r="B121" t="str">
            <v>FY1</v>
          </cell>
          <cell r="C121">
            <v>7101.2509991962015</v>
          </cell>
          <cell r="D121">
            <v>7052.195963943901</v>
          </cell>
          <cell r="E121">
            <v>9999.5034685626979</v>
          </cell>
          <cell r="F121">
            <v>3248.4832725953502</v>
          </cell>
          <cell r="G121">
            <v>1042.28930686739</v>
          </cell>
          <cell r="H121">
            <v>2065.3716729641901</v>
          </cell>
          <cell r="I121">
            <v>5885.310704664098</v>
          </cell>
          <cell r="J121">
            <v>0.33274507332440401</v>
          </cell>
          <cell r="K121">
            <v>36394.405388793828</v>
          </cell>
          <cell r="M121">
            <v>2032.8679729421399</v>
          </cell>
          <cell r="N121">
            <v>929.96868914735001</v>
          </cell>
          <cell r="O121">
            <v>1266.9787359654401</v>
          </cell>
          <cell r="P121">
            <v>2515.6925399197899</v>
          </cell>
          <cell r="Q121">
            <v>5761.9927510824509</v>
          </cell>
          <cell r="R121">
            <v>3280.7318835615306</v>
          </cell>
          <cell r="S121">
            <v>934.6473444801602</v>
          </cell>
          <cell r="T121">
            <v>0.45872835288662239</v>
          </cell>
          <cell r="U121">
            <v>16722.87991709886</v>
          </cell>
        </row>
        <row r="122">
          <cell r="B122" t="str">
            <v>FY2</v>
          </cell>
          <cell r="C122">
            <v>7753.115220443502</v>
          </cell>
          <cell r="D122">
            <v>7243.9438851044997</v>
          </cell>
          <cell r="E122">
            <v>10108.242618236802</v>
          </cell>
          <cell r="F122">
            <v>3410.8710864067007</v>
          </cell>
          <cell r="G122">
            <v>1152.43096073528</v>
          </cell>
          <cell r="H122">
            <v>2159.9586935625002</v>
          </cell>
          <cell r="I122">
            <v>6237.8881975639015</v>
          </cell>
          <cell r="J122">
            <v>0.33578685815822862</v>
          </cell>
          <cell r="K122">
            <v>38066.45066205319</v>
          </cell>
          <cell r="M122">
            <v>2223.0728258744202</v>
          </cell>
          <cell r="N122">
            <v>1021.1927511121598</v>
          </cell>
          <cell r="O122">
            <v>1425.8441936296099</v>
          </cell>
          <cell r="P122">
            <v>2690.3158544076095</v>
          </cell>
          <cell r="Q122">
            <v>5577.5201963543695</v>
          </cell>
          <cell r="R122">
            <v>3451.6686484513293</v>
          </cell>
          <cell r="S122">
            <v>1074.0643162897602</v>
          </cell>
          <cell r="T122">
            <v>0.48614174132266724</v>
          </cell>
          <cell r="U122">
            <v>17463.678786119261</v>
          </cell>
        </row>
        <row r="123">
          <cell r="B123" t="str">
            <v>FQ(3)</v>
          </cell>
          <cell r="C123">
            <v>1368</v>
          </cell>
          <cell r="D123">
            <v>1574</v>
          </cell>
          <cell r="E123">
            <v>1980</v>
          </cell>
          <cell r="F123">
            <v>599</v>
          </cell>
          <cell r="G123">
            <v>238.40799999999996</v>
          </cell>
          <cell r="H123">
            <v>422.88999999999987</v>
          </cell>
          <cell r="I123">
            <v>1080.8780000000002</v>
          </cell>
          <cell r="J123">
            <v>0.3337732364602749</v>
          </cell>
          <cell r="K123">
            <v>7263.1760000000013</v>
          </cell>
          <cell r="M123">
            <v>381.45200000000006</v>
          </cell>
          <cell r="N123">
            <v>150.29000000000002</v>
          </cell>
          <cell r="O123">
            <v>220.93900000000002</v>
          </cell>
          <cell r="P123">
            <v>525.06299999999999</v>
          </cell>
          <cell r="Q123">
            <v>1239</v>
          </cell>
          <cell r="R123">
            <v>548.35599999999999</v>
          </cell>
          <cell r="S123">
            <v>143.30499999999998</v>
          </cell>
          <cell r="T123">
            <v>0.47718374728426216</v>
          </cell>
          <cell r="U123">
            <v>3208.4050000000002</v>
          </cell>
        </row>
        <row r="124">
          <cell r="B124" t="str">
            <v>FQ(2)</v>
          </cell>
          <cell r="C124">
            <v>1520</v>
          </cell>
          <cell r="D124">
            <v>1520</v>
          </cell>
          <cell r="E124">
            <v>2143</v>
          </cell>
          <cell r="F124">
            <v>727</v>
          </cell>
          <cell r="G124">
            <v>168.17600000000004</v>
          </cell>
          <cell r="H124">
            <v>457.5</v>
          </cell>
          <cell r="I124">
            <v>1213.2260000000001</v>
          </cell>
          <cell r="J124">
            <v>0.34123040841955765</v>
          </cell>
          <cell r="K124">
            <v>7748.902</v>
          </cell>
          <cell r="M124">
            <v>424.51499999999999</v>
          </cell>
          <cell r="N124">
            <v>165.69200000000001</v>
          </cell>
          <cell r="O124">
            <v>248.83300000000003</v>
          </cell>
          <cell r="P124">
            <v>547.31799999999998</v>
          </cell>
          <cell r="Q124">
            <v>1288</v>
          </cell>
          <cell r="R124">
            <v>668.00900000000001</v>
          </cell>
          <cell r="S124">
            <v>187.09099999999995</v>
          </cell>
          <cell r="T124">
            <v>0.47674238848644357</v>
          </cell>
          <cell r="U124">
            <v>3529.4580000000001</v>
          </cell>
        </row>
        <row r="125">
          <cell r="B125" t="str">
            <v>FQ(1)</v>
          </cell>
          <cell r="C125">
            <v>1539</v>
          </cell>
          <cell r="D125">
            <v>1695.9999999999995</v>
          </cell>
          <cell r="E125">
            <v>2121</v>
          </cell>
          <cell r="F125">
            <v>658</v>
          </cell>
          <cell r="G125">
            <v>254.63499999999999</v>
          </cell>
          <cell r="H125">
            <v>459.28699999999981</v>
          </cell>
          <cell r="I125">
            <v>1442.7669999999998</v>
          </cell>
          <cell r="J125">
            <v>0.34162562690306364</v>
          </cell>
          <cell r="K125">
            <v>8170.6890000000003</v>
          </cell>
          <cell r="M125">
            <v>483.08699999999999</v>
          </cell>
          <cell r="N125">
            <v>222.91699999999997</v>
          </cell>
          <cell r="O125">
            <v>300.12799999999999</v>
          </cell>
          <cell r="P125">
            <v>550.178</v>
          </cell>
          <cell r="Q125">
            <v>1524</v>
          </cell>
          <cell r="R125">
            <v>562.74800000000005</v>
          </cell>
          <cell r="S125">
            <v>210.08799999999997</v>
          </cell>
          <cell r="T125">
            <v>0.47485611668511796</v>
          </cell>
          <cell r="U125">
            <v>3853.1459999999997</v>
          </cell>
        </row>
        <row r="126">
          <cell r="B126" t="str">
            <v>Last Reported Q</v>
          </cell>
          <cell r="C126">
            <v>6497</v>
          </cell>
          <cell r="D126">
            <v>6910</v>
          </cell>
          <cell r="E126">
            <v>9516</v>
          </cell>
          <cell r="F126">
            <v>2930</v>
          </cell>
          <cell r="G126">
            <v>957.61300000000006</v>
          </cell>
          <cell r="H126">
            <v>1856.9349999999995</v>
          </cell>
          <cell r="I126">
            <v>5320.0149999999994</v>
          </cell>
          <cell r="J126">
            <v>0.32606283340050934</v>
          </cell>
          <cell r="K126">
            <v>33987.563000000002</v>
          </cell>
          <cell r="M126">
            <v>1883.596</v>
          </cell>
          <cell r="N126">
            <v>849.54700000000003</v>
          </cell>
          <cell r="O126">
            <v>1158.087</v>
          </cell>
          <cell r="P126">
            <v>770.93900000000008</v>
          </cell>
          <cell r="Q126">
            <v>5724</v>
          </cell>
          <cell r="R126">
            <v>3028.0910000000003</v>
          </cell>
          <cell r="S126">
            <v>786.14499999999998</v>
          </cell>
          <cell r="T126">
            <v>0.46031035398215553</v>
          </cell>
          <cell r="U126">
            <v>14200.405000000001</v>
          </cell>
        </row>
        <row r="127">
          <cell r="B127" t="str">
            <v>LTM</v>
          </cell>
          <cell r="C127">
            <v>10924</v>
          </cell>
          <cell r="D127">
            <v>11700</v>
          </cell>
          <cell r="E127">
            <v>15760</v>
          </cell>
          <cell r="F127">
            <v>4914</v>
          </cell>
          <cell r="G127">
            <v>1618.8320000000001</v>
          </cell>
          <cell r="H127">
            <v>3196.6119999999992</v>
          </cell>
          <cell r="I127">
            <v>9056.8859999999986</v>
          </cell>
          <cell r="J127">
            <v>0.34253549494913577</v>
          </cell>
          <cell r="K127">
            <v>57170.33</v>
          </cell>
          <cell r="M127">
            <v>3172.65</v>
          </cell>
          <cell r="N127">
            <v>1388.4459999999999</v>
          </cell>
          <cell r="O127">
            <v>1927.9870000000001</v>
          </cell>
          <cell r="P127">
            <v>2393.4979999999996</v>
          </cell>
          <cell r="Q127">
            <v>9775</v>
          </cell>
          <cell r="R127">
            <v>4807.2040000000006</v>
          </cell>
          <cell r="S127">
            <v>1326.6289999999999</v>
          </cell>
          <cell r="T127">
            <v>0.4681344617109402</v>
          </cell>
          <cell r="U127">
            <v>24791.414000000001</v>
          </cell>
        </row>
        <row r="128">
          <cell r="B128" t="str">
            <v>FY2</v>
          </cell>
          <cell r="C128">
            <v>0.37793932721135309</v>
          </cell>
          <cell r="D128">
            <v>0.40387478302889063</v>
          </cell>
          <cell r="E128">
            <v>0.40891438601937197</v>
          </cell>
          <cell r="F128">
            <v>0.3516713781024392</v>
          </cell>
          <cell r="G128">
            <v>0.37153492972519664</v>
          </cell>
          <cell r="H128">
            <v>0.2519609544743126</v>
          </cell>
          <cell r="I128">
            <v>0.26027414700690904</v>
          </cell>
          <cell r="J128">
            <v>0.34659570079549618</v>
          </cell>
          <cell r="K128">
            <v>0.35233383234608834</v>
          </cell>
          <cell r="M128">
            <v>0.65560315511496348</v>
          </cell>
          <cell r="N128">
            <v>0.36839869294545086</v>
          </cell>
          <cell r="O128">
            <v>0.39712283400869647</v>
          </cell>
          <cell r="P128">
            <v>0.72327915689366484</v>
          </cell>
          <cell r="Q128">
            <v>0.40697041666330491</v>
          </cell>
          <cell r="R128">
            <v>0.35628857516161133</v>
          </cell>
          <cell r="S128">
            <v>0.40473278102974558</v>
          </cell>
          <cell r="T128">
            <v>0.47319937311677679</v>
          </cell>
          <cell r="U128">
            <v>0.44531795350216397</v>
          </cell>
        </row>
        <row r="129">
          <cell r="B129" t="str">
            <v>Gross Margin</v>
          </cell>
          <cell r="C129">
            <v>0.34804202483285579</v>
          </cell>
          <cell r="D129">
            <v>0.34657460701020493</v>
          </cell>
          <cell r="E129">
            <v>0.39349634484497104</v>
          </cell>
          <cell r="F129">
            <v>0.31986093003042154</v>
          </cell>
          <cell r="G129">
            <v>0.20794369872113266</v>
          </cell>
          <cell r="H129">
            <v>0.23802730158144345</v>
          </cell>
          <cell r="I129">
            <v>0.22663705094307168</v>
          </cell>
          <cell r="J129">
            <v>0.29722599399487154</v>
          </cell>
          <cell r="K129">
            <v>0.32495497751431268</v>
          </cell>
          <cell r="M129">
            <v>0.6439308385648651</v>
          </cell>
          <cell r="N129">
            <v>0.35291449341103193</v>
          </cell>
          <cell r="O129">
            <v>0.34406978028044605</v>
          </cell>
          <cell r="P129">
            <v>0.74175613165738463</v>
          </cell>
          <cell r="Q129">
            <v>0.34027437530622245</v>
          </cell>
          <cell r="R129">
            <v>0.3425693941564012</v>
          </cell>
          <cell r="S129">
            <v>0.34028633398808844</v>
          </cell>
          <cell r="T129">
            <v>0.44368590676634856</v>
          </cell>
          <cell r="U129">
            <v>1.0309375029018297E-2</v>
          </cell>
        </row>
        <row r="130">
          <cell r="B130" t="str">
            <v>FY(5)</v>
          </cell>
          <cell r="C130">
            <v>0.35157511943729869</v>
          </cell>
          <cell r="D130">
            <v>0.37433687002652521</v>
          </cell>
          <cell r="E130">
            <v>0.40758113590263689</v>
          </cell>
          <cell r="F130">
            <v>0.36066134439275915</v>
          </cell>
          <cell r="G130">
            <v>0.39237044615838867</v>
          </cell>
          <cell r="H130">
            <v>0.22485571899933726</v>
          </cell>
          <cell r="I130">
            <v>0.23912737219065458</v>
          </cell>
          <cell r="J130">
            <v>0.33578685815822862</v>
          </cell>
          <cell r="K130">
            <v>0.34164338087983182</v>
          </cell>
          <cell r="M130">
            <v>0.66356083896432605</v>
          </cell>
          <cell r="N130">
            <v>0.33665521690250688</v>
          </cell>
          <cell r="O130">
            <v>0.46661113594696269</v>
          </cell>
          <cell r="P130">
            <v>0.75062406665094716</v>
          </cell>
          <cell r="Q130">
            <v>0.39226655191491977</v>
          </cell>
          <cell r="R130">
            <v>0.3672363331488156</v>
          </cell>
          <cell r="S130">
            <v>0.40924192086982786</v>
          </cell>
          <cell r="T130">
            <v>0.48374229491404369</v>
          </cell>
          <cell r="U130">
            <v>0.41889143117735578</v>
          </cell>
        </row>
        <row r="131">
          <cell r="B131" t="str">
            <v>FY(4)</v>
          </cell>
          <cell r="C131">
            <v>0.35521033860112522</v>
          </cell>
          <cell r="D131">
            <v>0.3828337149246579</v>
          </cell>
          <cell r="E131">
            <v>0.4072353729343457</v>
          </cell>
          <cell r="F131">
            <v>0.36705055232607825</v>
          </cell>
          <cell r="G131">
            <v>0.36838636693297744</v>
          </cell>
          <cell r="H131">
            <v>0.22078245953473774</v>
          </cell>
          <cell r="I131">
            <v>0.23491384996800246</v>
          </cell>
          <cell r="J131">
            <v>0.3337732364602749</v>
          </cell>
          <cell r="K131">
            <v>0.34622626093456549</v>
          </cell>
          <cell r="M131">
            <v>0.66982483696775197</v>
          </cell>
          <cell r="N131">
            <v>0.30097222810369439</v>
          </cell>
          <cell r="O131">
            <v>0.46338441369841538</v>
          </cell>
          <cell r="P131">
            <v>0.76742019151131191</v>
          </cell>
          <cell r="Q131">
            <v>0.36634837421207017</v>
          </cell>
          <cell r="R131">
            <v>0.35680728062464451</v>
          </cell>
          <cell r="S131">
            <v>0.41077110576161496</v>
          </cell>
          <cell r="T131">
            <v>0.47650406155421482</v>
          </cell>
          <cell r="U131">
            <v>0.41257133728970818</v>
          </cell>
        </row>
        <row r="132">
          <cell r="B132" t="str">
            <v>FY(3)</v>
          </cell>
          <cell r="C132">
            <v>0.3636492487376406</v>
          </cell>
          <cell r="D132">
            <v>0.39235117686260546</v>
          </cell>
          <cell r="E132">
            <v>0.40604375231738971</v>
          </cell>
          <cell r="F132">
            <v>0.37458966546886718</v>
          </cell>
          <cell r="G132">
            <v>0.38629518405253327</v>
          </cell>
          <cell r="H132">
            <v>0.2248897258810709</v>
          </cell>
          <cell r="I132">
            <v>0.24079410561679623</v>
          </cell>
          <cell r="J132">
            <v>0.34123040841955765</v>
          </cell>
          <cell r="K132">
            <v>0.35295851028933234</v>
          </cell>
          <cell r="M132">
            <v>0.67008193227159563</v>
          </cell>
          <cell r="N132">
            <v>0.31702127358463866</v>
          </cell>
          <cell r="O132">
            <v>0.47968246595255026</v>
          </cell>
          <cell r="P132">
            <v>0.77715250839458938</v>
          </cell>
          <cell r="Q132">
            <v>0.35527224769201782</v>
          </cell>
          <cell r="R132">
            <v>0.37612621984111183</v>
          </cell>
          <cell r="S132">
            <v>0.36900034865197429</v>
          </cell>
          <cell r="T132">
            <v>0.47776242805549679</v>
          </cell>
          <cell r="U132">
            <v>0.42021726118309527</v>
          </cell>
        </row>
        <row r="133">
          <cell r="B133" t="str">
            <v>FY(2)</v>
          </cell>
          <cell r="C133">
            <v>0.36507281302925271</v>
          </cell>
          <cell r="D133">
            <v>0.38593358921258974</v>
          </cell>
          <cell r="E133">
            <v>0.40421084634971305</v>
          </cell>
          <cell r="F133">
            <v>0.37400380207376371</v>
          </cell>
          <cell r="G133">
            <v>0.39013022290713839</v>
          </cell>
          <cell r="H133">
            <v>0.22710357389829852</v>
          </cell>
          <cell r="I133">
            <v>0.24492454085068946</v>
          </cell>
          <cell r="J133">
            <v>0.34162562690306364</v>
          </cell>
          <cell r="K133">
            <v>0.35070941460660748</v>
          </cell>
          <cell r="M133">
            <v>0.67253982532430046</v>
          </cell>
          <cell r="N133">
            <v>0.34456092567946972</v>
          </cell>
          <cell r="O133">
            <v>0.46577507045678512</v>
          </cell>
          <cell r="P133">
            <v>0.77436175001607688</v>
          </cell>
          <cell r="Q133">
            <v>0.36122565501490833</v>
          </cell>
          <cell r="R133">
            <v>0.34339067881529911</v>
          </cell>
          <cell r="S133">
            <v>0.38254481589468625</v>
          </cell>
          <cell r="T133">
            <v>0.47777124588593223</v>
          </cell>
          <cell r="U133">
            <v>0.42325931546298057</v>
          </cell>
        </row>
        <row r="134">
          <cell r="B134" t="str">
            <v>FY(1)</v>
          </cell>
          <cell r="C134">
            <v>0.36947488849160109</v>
          </cell>
          <cell r="D134">
            <v>0.37411138446832803</v>
          </cell>
          <cell r="E134">
            <v>0.39703519202956772</v>
          </cell>
          <cell r="F134">
            <v>0.34513532746351461</v>
          </cell>
          <cell r="G134">
            <v>0.32085279404442962</v>
          </cell>
          <cell r="H134">
            <v>0.23582026225463254</v>
          </cell>
          <cell r="I134">
            <v>0.24092296088766529</v>
          </cell>
          <cell r="J134">
            <v>0.32619325851996273</v>
          </cell>
          <cell r="K134">
            <v>0.33958242581420323</v>
          </cell>
          <cell r="M134">
            <v>0.66907487449258152</v>
          </cell>
          <cell r="N134">
            <v>0.34694841930469456</v>
          </cell>
          <cell r="O134">
            <v>0.3928146152808954</v>
          </cell>
          <cell r="P134">
            <v>0.75677047948019927</v>
          </cell>
          <cell r="Q134">
            <v>0.37498278948093072</v>
          </cell>
          <cell r="R134">
            <v>0.33246659377546589</v>
          </cell>
          <cell r="S134">
            <v>0.38889730723235022</v>
          </cell>
          <cell r="T134">
            <v>0.46599358272101676</v>
          </cell>
          <cell r="U134">
            <v>0.42588652884466527</v>
          </cell>
        </row>
        <row r="135">
          <cell r="B135" t="str">
            <v>FY0</v>
          </cell>
          <cell r="C135">
            <v>0.37823834196891193</v>
          </cell>
          <cell r="D135">
            <v>0.39356446279921992</v>
          </cell>
          <cell r="E135">
            <v>0.4051258035676274</v>
          </cell>
          <cell r="F135">
            <v>0.3548074594332768</v>
          </cell>
          <cell r="G135">
            <v>0.36470630800811971</v>
          </cell>
          <cell r="H135">
            <v>0.25847437986596439</v>
          </cell>
          <cell r="I135">
            <v>0.26221897549166412</v>
          </cell>
          <cell r="J135">
            <v>0.34530510444782631</v>
          </cell>
          <cell r="K135">
            <v>0.3519115449085542</v>
          </cell>
          <cell r="M135">
            <v>0.6431673566946946</v>
          </cell>
          <cell r="N135">
            <v>0.38094484340423435</v>
          </cell>
          <cell r="O135">
            <v>0.38724779790259878</v>
          </cell>
          <cell r="P135">
            <v>0.71897013064360948</v>
          </cell>
          <cell r="Q135">
            <v>0.40318377121927168</v>
          </cell>
          <cell r="R135">
            <v>0.35077650699768259</v>
          </cell>
          <cell r="S135">
            <v>0.40568630132391376</v>
          </cell>
          <cell r="T135">
            <v>0.46999667259800076</v>
          </cell>
          <cell r="U135">
            <v>0.43577694287156998</v>
          </cell>
        </row>
        <row r="136">
          <cell r="A136" t="str">
            <v>Gross Margin Y/Y bps</v>
          </cell>
          <cell r="B136" t="str">
            <v>FY1</v>
          </cell>
          <cell r="C136">
            <v>0.38389063407855639</v>
          </cell>
          <cell r="D136">
            <v>0.39605323146481297</v>
          </cell>
          <cell r="E136">
            <v>0.40740177504153008</v>
          </cell>
          <cell r="F136">
            <v>0.36371218664159571</v>
          </cell>
          <cell r="G136">
            <v>0.38074593530189327</v>
          </cell>
          <cell r="H136">
            <v>0.26466022730826666</v>
          </cell>
          <cell r="I136">
            <v>0.26683303831625033</v>
          </cell>
          <cell r="J136">
            <v>0.351899575450415</v>
          </cell>
          <cell r="K136">
            <v>0.35549103872088045</v>
          </cell>
          <cell r="M136">
            <v>0.64275377929795485</v>
          </cell>
          <cell r="N136">
            <v>0.38266153944036096</v>
          </cell>
          <cell r="O136">
            <v>0.42389290445183864</v>
          </cell>
          <cell r="P136">
            <v>0.72371114291347305</v>
          </cell>
          <cell r="Q136">
            <v>0.40988133878454813</v>
          </cell>
          <cell r="R136">
            <v>0.36009474193507907</v>
          </cell>
          <cell r="S136">
            <v>0.41328451675268396</v>
          </cell>
          <cell r="T136">
            <v>0.47946856622513412</v>
          </cell>
          <cell r="U136">
            <v>0.44608631790058828</v>
          </cell>
        </row>
        <row r="137">
          <cell r="B137" t="str">
            <v>FY2</v>
          </cell>
          <cell r="C137">
            <v>0.38689063407855973</v>
          </cell>
          <cell r="D137">
            <v>0.39805323146481542</v>
          </cell>
          <cell r="E137">
            <v>0.40840177504152941</v>
          </cell>
          <cell r="F137">
            <v>0.36471218664159616</v>
          </cell>
          <cell r="G137">
            <v>0.39301536046301189</v>
          </cell>
          <cell r="H137">
            <v>0.26466022730826688</v>
          </cell>
          <cell r="I137">
            <v>0.26533303831625055</v>
          </cell>
          <cell r="J137">
            <v>0.35443806475914713</v>
          </cell>
          <cell r="K137">
            <v>0.35594708840548112</v>
          </cell>
          <cell r="M137">
            <v>0.65060178234357102</v>
          </cell>
          <cell r="N137">
            <v>0.37125288326098349</v>
          </cell>
          <cell r="O137">
            <v>0.43137881486428442</v>
          </cell>
          <cell r="P137">
            <v>0.72371114291347427</v>
          </cell>
          <cell r="Q137">
            <v>0.41288133878454431</v>
          </cell>
          <cell r="R137">
            <v>0.36509474193507874</v>
          </cell>
          <cell r="S137">
            <v>0.41628451675268513</v>
          </cell>
          <cell r="T137">
            <v>0.48160074583637452</v>
          </cell>
          <cell r="U137">
            <v>0.45086886973497936</v>
          </cell>
        </row>
        <row r="138">
          <cell r="B138" t="str">
            <v>FQ(3)</v>
          </cell>
          <cell r="C138">
            <v>0.3760307861462342</v>
          </cell>
          <cell r="D138">
            <v>0.4052069222711514</v>
          </cell>
          <cell r="E138">
            <v>0.38084246970571262</v>
          </cell>
          <cell r="F138">
            <v>0.35111371629542792</v>
          </cell>
          <cell r="G138">
            <v>0.38374544880936662</v>
          </cell>
          <cell r="H138">
            <v>0.24999423622265082</v>
          </cell>
          <cell r="I138">
            <v>0.24823665479773208</v>
          </cell>
          <cell r="J138">
            <v>0.34216717632118215</v>
          </cell>
          <cell r="K138">
            <v>0.34431570764330982</v>
          </cell>
          <cell r="M138">
            <v>0.63392656827242833</v>
          </cell>
          <cell r="N138">
            <v>0.36833617630335475</v>
          </cell>
          <cell r="O138">
            <v>0.36101143790849677</v>
          </cell>
          <cell r="P138">
            <v>0.7096030889032745</v>
          </cell>
          <cell r="Q138">
            <v>0.39622641509433965</v>
          </cell>
          <cell r="R138">
            <v>0.31784386724838382</v>
          </cell>
          <cell r="S138">
            <v>0.37241811245439138</v>
          </cell>
          <cell r="T138">
            <v>0.45133795231209556</v>
          </cell>
          <cell r="U138">
            <v>0.42222938716692604</v>
          </cell>
        </row>
        <row r="139">
          <cell r="B139" t="str">
            <v>FQ(2)</v>
          </cell>
          <cell r="C139">
            <v>0.39936941671045717</v>
          </cell>
          <cell r="D139">
            <v>0.3855274790180136</v>
          </cell>
          <cell r="E139">
            <v>0.41498838109992253</v>
          </cell>
          <cell r="F139">
            <v>0.33892773892773892</v>
          </cell>
          <cell r="G139">
            <v>0.29940750868797361</v>
          </cell>
          <cell r="H139">
            <v>0.25867391594426442</v>
          </cell>
          <cell r="I139">
            <v>0.25554899307597556</v>
          </cell>
          <cell r="J139">
            <v>0.33606334763776363</v>
          </cell>
          <cell r="K139">
            <v>0.35006656376812012</v>
          </cell>
          <cell r="M139">
            <v>0.66619744170389861</v>
          </cell>
          <cell r="N139">
            <v>0.36574985651847602</v>
          </cell>
          <cell r="O139">
            <v>0.37839798295610072</v>
          </cell>
          <cell r="P139">
            <v>0.70372513320578489</v>
          </cell>
          <cell r="Q139">
            <v>0.39691833590138675</v>
          </cell>
          <cell r="R139">
            <v>0.32323902429582746</v>
          </cell>
          <cell r="S139">
            <v>0.40793805846157866</v>
          </cell>
          <cell r="T139">
            <v>0.46316654757757902</v>
          </cell>
          <cell r="U139">
            <v>0.4254503203240862</v>
          </cell>
        </row>
        <row r="140">
          <cell r="A140" t="str">
            <v>mstag:sellingGeneralAndAdministrativeExpenses</v>
          </cell>
          <cell r="B140" t="str">
            <v>FQ(1)</v>
          </cell>
          <cell r="C140">
            <v>0.37990619600098741</v>
          </cell>
          <cell r="D140">
            <v>0.40570336732064843</v>
          </cell>
          <cell r="E140">
            <v>0.40193291642978968</v>
          </cell>
          <cell r="F140">
            <v>0.35224839400428265</v>
          </cell>
          <cell r="G140">
            <v>0.40326463256650735</v>
          </cell>
          <cell r="H140">
            <v>0.26333164959902844</v>
          </cell>
          <cell r="I140">
            <v>0.27507756991206389</v>
          </cell>
          <cell r="J140">
            <v>0.35449496083332965</v>
          </cell>
          <cell r="K140">
            <v>0.35529503164850834</v>
          </cell>
          <cell r="M140">
            <v>0.64096756730937632</v>
          </cell>
          <cell r="N140">
            <v>0.39257147284965077</v>
          </cell>
          <cell r="O140">
            <v>0.40072527044095696</v>
          </cell>
          <cell r="P140">
            <v>0.72255222690780718</v>
          </cell>
          <cell r="Q140">
            <v>0.42463081638339373</v>
          </cell>
          <cell r="R140">
            <v>0.31663271515417157</v>
          </cell>
          <cell r="S140">
            <v>0.41527574619490015</v>
          </cell>
          <cell r="T140">
            <v>0.47333654503432243</v>
          </cell>
          <cell r="U140">
            <v>0.44268119068571099</v>
          </cell>
        </row>
        <row r="141">
          <cell r="B141" t="str">
            <v>Last Reported Q</v>
          </cell>
          <cell r="C141">
            <v>0.37823834196891193</v>
          </cell>
          <cell r="D141">
            <v>0.39356446279921992</v>
          </cell>
          <cell r="E141">
            <v>0.4051258035676274</v>
          </cell>
          <cell r="F141">
            <v>0.3548074594332768</v>
          </cell>
          <cell r="G141">
            <v>0.36470630800811971</v>
          </cell>
          <cell r="H141">
            <v>0.25847437986596439</v>
          </cell>
          <cell r="I141">
            <v>0.26221897549166412</v>
          </cell>
          <cell r="J141">
            <v>0.34530510444782631</v>
          </cell>
          <cell r="K141">
            <v>0.3519115449085542</v>
          </cell>
          <cell r="M141">
            <v>0.6431673566946946</v>
          </cell>
          <cell r="N141">
            <v>0.38094484340423435</v>
          </cell>
          <cell r="O141">
            <v>0.38724779790259878</v>
          </cell>
          <cell r="P141">
            <v>0.72388298646485227</v>
          </cell>
          <cell r="Q141">
            <v>0.40318377121927168</v>
          </cell>
          <cell r="R141">
            <v>0.35077650699768259</v>
          </cell>
          <cell r="S141">
            <v>0.40568630132391376</v>
          </cell>
          <cell r="T141">
            <v>0.47069850914389255</v>
          </cell>
          <cell r="U141">
            <v>0.41788457294937564</v>
          </cell>
        </row>
        <row r="142">
          <cell r="B142" t="str">
            <v>LTM</v>
          </cell>
          <cell r="C142">
            <v>0.38099888392857145</v>
          </cell>
          <cell r="D142">
            <v>0.39573875190944169</v>
          </cell>
          <cell r="E142">
            <v>0.40277032380076161</v>
          </cell>
          <cell r="F142">
            <v>0.35157759175788794</v>
          </cell>
          <cell r="G142">
            <v>0.36459309755217562</v>
          </cell>
          <cell r="H142">
            <v>0.25802878084482106</v>
          </cell>
          <cell r="I142">
            <v>0.26149412062465338</v>
          </cell>
          <cell r="J142">
            <v>0.34502879291690175</v>
          </cell>
          <cell r="K142">
            <v>0.35115444861434991</v>
          </cell>
          <cell r="M142">
            <v>0.64468259036965947</v>
          </cell>
          <cell r="N142">
            <v>0.37946185651930436</v>
          </cell>
          <cell r="O142">
            <v>0.38489565823590433</v>
          </cell>
          <cell r="P142">
            <v>0.71573221694763189</v>
          </cell>
          <cell r="Q142">
            <v>0.4046278665452438</v>
          </cell>
          <cell r="R142">
            <v>0.33849561245354687</v>
          </cell>
          <cell r="S142">
            <v>0.40358190121068876</v>
          </cell>
          <cell r="T142">
            <v>0.46735395746885416</v>
          </cell>
          <cell r="U142">
            <v>0.42320396566101393</v>
          </cell>
        </row>
        <row r="143">
          <cell r="B143" t="str">
            <v>FY0</v>
          </cell>
          <cell r="C143">
            <v>3936.0219999999999</v>
          </cell>
          <cell r="D143">
            <v>5805</v>
          </cell>
          <cell r="E143">
            <v>8458</v>
          </cell>
          <cell r="F143">
            <v>2387.9659999999999</v>
          </cell>
          <cell r="G143">
            <v>763.44408199055204</v>
          </cell>
          <cell r="H143">
            <v>1038.6748406189799</v>
          </cell>
          <cell r="I143">
            <v>3142.6860000000001</v>
          </cell>
          <cell r="J143">
            <v>3647.3989889442191</v>
          </cell>
          <cell r="K143">
            <v>25531.792922609533</v>
          </cell>
          <cell r="M143">
            <v>1899.1166546239299</v>
          </cell>
          <cell r="N143">
            <v>405.88299999999998</v>
          </cell>
          <cell r="O143">
            <v>734.04100000000005</v>
          </cell>
          <cell r="P143">
            <v>1322.3320000000001</v>
          </cell>
          <cell r="Q143">
            <v>3899</v>
          </cell>
          <cell r="R143">
            <v>2288.8490000000002</v>
          </cell>
          <cell r="S143">
            <v>414.04300000000001</v>
          </cell>
          <cell r="T143">
            <v>1566.1806649462758</v>
          </cell>
          <cell r="U143">
            <v>10963.26465462393</v>
          </cell>
        </row>
        <row r="144">
          <cell r="B144" t="str">
            <v>Gross Margin Y/Y bps</v>
          </cell>
          <cell r="C144">
            <v>4113.7056954443497</v>
          </cell>
          <cell r="D144">
            <v>6287.7702622184797</v>
          </cell>
          <cell r="E144">
            <v>8138.20603779462</v>
          </cell>
          <cell r="F144">
            <v>2407.8401552619498</v>
          </cell>
          <cell r="G144">
            <v>662.84608804704499</v>
          </cell>
          <cell r="H144">
            <v>1126.7119614783401</v>
          </cell>
          <cell r="I144">
            <v>3237.4964959774902</v>
          </cell>
          <cell r="J144">
            <v>3710.6538137460398</v>
          </cell>
          <cell r="K144">
            <v>25974.576696222277</v>
          </cell>
          <cell r="M144">
            <v>1786.39824222727</v>
          </cell>
          <cell r="N144">
            <v>463.14226890431502</v>
          </cell>
          <cell r="O144">
            <v>740.46848990890896</v>
          </cell>
          <cell r="P144">
            <v>1438.1228808739399</v>
          </cell>
          <cell r="Q144">
            <v>3932.69367470526</v>
          </cell>
          <cell r="R144">
            <v>2141.0715781598301</v>
          </cell>
          <cell r="S144">
            <v>446.30350135266099</v>
          </cell>
          <cell r="T144">
            <v>1564.0286623045977</v>
          </cell>
          <cell r="U144">
            <v>10948.200636132184</v>
          </cell>
        </row>
        <row r="145">
          <cell r="B145" t="str">
            <v>FY(1)</v>
          </cell>
          <cell r="C145">
            <v>44.020754623483867</v>
          </cell>
          <cell r="D145">
            <v>-118.22204744261711</v>
          </cell>
          <cell r="E145">
            <v>-71.756543201453297</v>
          </cell>
          <cell r="F145">
            <v>-288.68474610249109</v>
          </cell>
          <cell r="G145">
            <v>-692.77428862708769</v>
          </cell>
          <cell r="H145">
            <v>87.166883563340178</v>
          </cell>
          <cell r="I145">
            <v>-40.015799630241652</v>
          </cell>
          <cell r="J145">
            <v>-154.32368383100953</v>
          </cell>
          <cell r="K145">
            <v>-111.26988792404258</v>
          </cell>
          <cell r="M145">
            <v>-34.64950831718938</v>
          </cell>
          <cell r="N145">
            <v>23.874936252248347</v>
          </cell>
          <cell r="O145">
            <v>-729.60455175889729</v>
          </cell>
          <cell r="P145">
            <v>-175.91270535877612</v>
          </cell>
          <cell r="Q145">
            <v>137.57134466022393</v>
          </cell>
          <cell r="R145">
            <v>-109.2408503983322</v>
          </cell>
          <cell r="S145">
            <v>63.524913376639681</v>
          </cell>
          <cell r="T145">
            <v>-117.77663164915472</v>
          </cell>
          <cell r="U145">
            <v>26.27213381684701</v>
          </cell>
        </row>
        <row r="146">
          <cell r="A146" t="str">
            <v>Gross Margin Y/Y bps</v>
          </cell>
          <cell r="B146" t="str">
            <v>FY0</v>
          </cell>
          <cell r="C146">
            <v>87.634534773108342</v>
          </cell>
          <cell r="D146">
            <v>194.53078330891881</v>
          </cell>
          <cell r="E146">
            <v>80.906115380596773</v>
          </cell>
          <cell r="F146">
            <v>96.72131969762188</v>
          </cell>
          <cell r="G146">
            <v>438.53513963690085</v>
          </cell>
          <cell r="H146">
            <v>226.54117611331847</v>
          </cell>
          <cell r="I146">
            <v>212.96014603998825</v>
          </cell>
          <cell r="J146">
            <v>191.11845927863621</v>
          </cell>
          <cell r="K146">
            <v>123.2911909435097</v>
          </cell>
          <cell r="M146">
            <v>-259.07517797886914</v>
          </cell>
          <cell r="N146">
            <v>339.96424099539792</v>
          </cell>
          <cell r="O146">
            <v>-55.668173782966178</v>
          </cell>
          <cell r="P146">
            <v>-378.00348836589779</v>
          </cell>
          <cell r="Q146">
            <v>282.0098173834096</v>
          </cell>
          <cell r="R146">
            <v>183.09913222216701</v>
          </cell>
          <cell r="S146">
            <v>167.88994091563535</v>
          </cell>
          <cell r="T146">
            <v>40.030898769839546</v>
          </cell>
          <cell r="U146">
            <v>98.904140269047147</v>
          </cell>
        </row>
        <row r="147">
          <cell r="B147" t="str">
            <v>FY1</v>
          </cell>
          <cell r="C147">
            <v>56.522921096444634</v>
          </cell>
          <cell r="D147">
            <v>24.887686655930551</v>
          </cell>
          <cell r="E147">
            <v>22.759714739026826</v>
          </cell>
          <cell r="F147">
            <v>89.047272083189185</v>
          </cell>
          <cell r="G147">
            <v>160.39627293773563</v>
          </cell>
          <cell r="H147">
            <v>61.858474423022727</v>
          </cell>
          <cell r="I147">
            <v>46.140628245862068</v>
          </cell>
          <cell r="J147">
            <v>65.94471002588736</v>
          </cell>
          <cell r="K147">
            <v>35.794938123262511</v>
          </cell>
          <cell r="M147">
            <v>-4.1357739673975047</v>
          </cell>
          <cell r="N147">
            <v>17.166960361266192</v>
          </cell>
          <cell r="O147">
            <v>366.45106549239858</v>
          </cell>
          <cell r="P147">
            <v>47.410122698635647</v>
          </cell>
          <cell r="Q147">
            <v>66.975675652764522</v>
          </cell>
          <cell r="R147">
            <v>93.18234937396474</v>
          </cell>
          <cell r="S147">
            <v>75.982154287702059</v>
          </cell>
          <cell r="T147">
            <v>94.718936271333448</v>
          </cell>
          <cell r="U147">
            <v>103.09375029018297</v>
          </cell>
        </row>
        <row r="148">
          <cell r="B148" t="str">
            <v>FY2</v>
          </cell>
          <cell r="C148">
            <v>30.000000000033332</v>
          </cell>
          <cell r="D148">
            <v>20.000000000024443</v>
          </cell>
          <cell r="E148">
            <v>9.9999999999933475</v>
          </cell>
          <cell r="F148">
            <v>10.00000000000445</v>
          </cell>
          <cell r="G148">
            <v>122.69425161118619</v>
          </cell>
          <cell r="H148">
            <v>2.2204460492503131E-12</v>
          </cell>
          <cell r="I148">
            <v>-14.999999999997794</v>
          </cell>
          <cell r="J148">
            <v>25.384893087320886</v>
          </cell>
          <cell r="K148">
            <v>4.5604968460066786</v>
          </cell>
          <cell r="M148">
            <v>78.4800304561617</v>
          </cell>
          <cell r="N148">
            <v>-114.08656179377475</v>
          </cell>
          <cell r="O148">
            <v>74.859104124457843</v>
          </cell>
          <cell r="P148">
            <v>1.2212453270876722E-11</v>
          </cell>
          <cell r="Q148">
            <v>29.999999999961723</v>
          </cell>
          <cell r="R148">
            <v>49.999999999996717</v>
          </cell>
          <cell r="S148">
            <v>30.000000000011685</v>
          </cell>
          <cell r="T148">
            <v>21.321796112403877</v>
          </cell>
          <cell r="U148">
            <v>47.825518343910801</v>
          </cell>
        </row>
        <row r="149">
          <cell r="B149" t="str">
            <v>Last Reported Q</v>
          </cell>
          <cell r="C149">
            <v>1027</v>
          </cell>
          <cell r="D149">
            <v>1586</v>
          </cell>
          <cell r="E149">
            <v>2033</v>
          </cell>
          <cell r="F149">
            <v>581</v>
          </cell>
          <cell r="G149">
            <v>162.55199999999999</v>
          </cell>
          <cell r="H149">
            <v>286.51100000000002</v>
          </cell>
          <cell r="I149">
            <v>864.09699999999998</v>
          </cell>
          <cell r="J149">
            <v>934.30857142857144</v>
          </cell>
          <cell r="K149">
            <v>6540.16</v>
          </cell>
          <cell r="M149">
            <v>448.09300000000002</v>
          </cell>
          <cell r="N149">
            <v>117.236</v>
          </cell>
          <cell r="O149">
            <v>193.26900000000001</v>
          </cell>
          <cell r="P149">
            <v>1322.3320000000001</v>
          </cell>
          <cell r="Q149">
            <v>1024</v>
          </cell>
          <cell r="R149">
            <v>503.863</v>
          </cell>
          <cell r="S149">
            <v>114.327</v>
          </cell>
          <cell r="T149">
            <v>531.87428571428575</v>
          </cell>
          <cell r="U149">
            <v>3723.12</v>
          </cell>
        </row>
        <row r="150">
          <cell r="A150" t="str">
            <v>mstag:sellingGeneralAndAdministrativeExpenses</v>
          </cell>
          <cell r="B150" t="str">
            <v>SG&amp;A</v>
          </cell>
          <cell r="C150">
            <v>4056</v>
          </cell>
          <cell r="D150">
            <v>6115</v>
          </cell>
          <cell r="E150">
            <v>8106</v>
          </cell>
          <cell r="F150">
            <v>2398</v>
          </cell>
          <cell r="G150">
            <v>667.96800000000007</v>
          </cell>
          <cell r="H150">
            <v>1100.011</v>
          </cell>
          <cell r="I150">
            <v>3229.5609999999997</v>
          </cell>
          <cell r="J150">
            <v>3667.5057142857145</v>
          </cell>
          <cell r="K150">
            <v>25672.54</v>
          </cell>
          <cell r="M150">
            <v>1803.8050000000001</v>
          </cell>
          <cell r="N150">
            <v>442.11900000000003</v>
          </cell>
          <cell r="O150">
            <v>733.92599999999993</v>
          </cell>
          <cell r="P150">
            <v>2317.0330000000004</v>
          </cell>
          <cell r="Q150">
            <v>3814</v>
          </cell>
          <cell r="R150">
            <v>2140.2979999999998</v>
          </cell>
          <cell r="S150">
            <v>429.86</v>
          </cell>
          <cell r="T150">
            <v>1668.7201428571429</v>
          </cell>
          <cell r="U150">
            <v>11681.041000000001</v>
          </cell>
        </row>
        <row r="151">
          <cell r="B151" t="str">
            <v>FY(5)</v>
          </cell>
          <cell r="C151">
            <v>2582.971</v>
          </cell>
          <cell r="D151">
            <v>5505</v>
          </cell>
          <cell r="E151">
            <v>4931</v>
          </cell>
          <cell r="F151">
            <v>2020.2329999999999</v>
          </cell>
          <cell r="G151">
            <v>796.57399999999996</v>
          </cell>
          <cell r="H151">
            <v>657.66800000000001</v>
          </cell>
          <cell r="I151">
            <v>2520.8139999999999</v>
          </cell>
          <cell r="J151">
            <v>2716.3228571428567</v>
          </cell>
          <cell r="K151">
            <v>19014.259999999998</v>
          </cell>
          <cell r="M151">
            <v>957.18</v>
          </cell>
          <cell r="N151">
            <v>183.977</v>
          </cell>
          <cell r="O151">
            <v>446.82900000000001</v>
          </cell>
          <cell r="P151">
            <v>578.82000000000005</v>
          </cell>
          <cell r="Q151">
            <v>4296</v>
          </cell>
          <cell r="R151">
            <v>2367.2660000000001</v>
          </cell>
          <cell r="S151">
            <v>190.38399999999999</v>
          </cell>
          <cell r="T151">
            <v>1288.6365714285714</v>
          </cell>
          <cell r="U151">
            <v>9020.4560000000001</v>
          </cell>
        </row>
        <row r="152">
          <cell r="B152" t="str">
            <v>FY(4)</v>
          </cell>
          <cell r="C152">
            <v>2963.5</v>
          </cell>
          <cell r="D152">
            <v>5614</v>
          </cell>
          <cell r="E152">
            <v>6980</v>
          </cell>
          <cell r="F152">
            <v>2100.6660000000002</v>
          </cell>
          <cell r="G152">
            <v>801.57593271205303</v>
          </cell>
          <cell r="H152">
            <v>766.14400000000001</v>
          </cell>
          <cell r="I152">
            <v>2689.3210009596</v>
          </cell>
          <cell r="J152">
            <v>3130.7438476673792</v>
          </cell>
          <cell r="K152">
            <v>21915.206933671656</v>
          </cell>
          <cell r="M152">
            <v>1268.431</v>
          </cell>
          <cell r="N152">
            <v>227.04400000000001</v>
          </cell>
          <cell r="O152">
            <v>542.29499999999996</v>
          </cell>
          <cell r="P152">
            <v>731.89099999999996</v>
          </cell>
          <cell r="Q152">
            <v>4185</v>
          </cell>
          <cell r="R152">
            <v>2493.951</v>
          </cell>
          <cell r="S152">
            <v>242.50700000000001</v>
          </cell>
          <cell r="T152">
            <v>1384.4455714285716</v>
          </cell>
          <cell r="U152">
            <v>9691.1190000000006</v>
          </cell>
        </row>
        <row r="153">
          <cell r="B153" t="str">
            <v>FY(3)</v>
          </cell>
          <cell r="C153">
            <v>3415.4940000000001</v>
          </cell>
          <cell r="D153">
            <v>5937</v>
          </cell>
          <cell r="E153">
            <v>8678</v>
          </cell>
          <cell r="F153">
            <v>2296.8629999999998</v>
          </cell>
          <cell r="G153">
            <v>749.86758829015298</v>
          </cell>
          <cell r="H153">
            <v>863.03300000000002</v>
          </cell>
          <cell r="I153">
            <v>2916.56</v>
          </cell>
          <cell r="J153">
            <v>3550.9739411843075</v>
          </cell>
          <cell r="K153">
            <v>24856.817588290152</v>
          </cell>
          <cell r="M153">
            <v>1512.6610000000001</v>
          </cell>
          <cell r="N153">
            <v>289.73599999999999</v>
          </cell>
          <cell r="O153">
            <v>665.60699999999997</v>
          </cell>
          <cell r="P153">
            <v>866.86556379972797</v>
          </cell>
          <cell r="Q153">
            <v>4477</v>
          </cell>
          <cell r="R153">
            <v>2837.4270000000001</v>
          </cell>
          <cell r="S153">
            <v>287.93200000000002</v>
          </cell>
          <cell r="T153">
            <v>1562.4612233999612</v>
          </cell>
          <cell r="U153">
            <v>10937.228563799728</v>
          </cell>
        </row>
        <row r="154">
          <cell r="B154" t="str">
            <v>FY(2)</v>
          </cell>
          <cell r="C154">
            <v>3696.9</v>
          </cell>
          <cell r="D154">
            <v>5829</v>
          </cell>
          <cell r="E154">
            <v>8554</v>
          </cell>
          <cell r="F154">
            <v>2359.7800000000002</v>
          </cell>
          <cell r="G154">
            <v>807.92702269720496</v>
          </cell>
          <cell r="H154">
            <v>935.90099999999995</v>
          </cell>
          <cell r="I154">
            <v>3033.4039100715199</v>
          </cell>
          <cell r="J154">
            <v>3602.4159903955324</v>
          </cell>
          <cell r="K154">
            <v>25216.911932768726</v>
          </cell>
          <cell r="M154">
            <v>1720.9580000000001</v>
          </cell>
          <cell r="N154">
            <v>345.80500000000001</v>
          </cell>
          <cell r="O154">
            <v>715.18</v>
          </cell>
          <cell r="P154">
            <v>1029.5889999999999</v>
          </cell>
          <cell r="Q154">
            <v>4345</v>
          </cell>
          <cell r="R154">
            <v>2602.4180000000001</v>
          </cell>
          <cell r="S154">
            <v>351.827</v>
          </cell>
          <cell r="T154">
            <v>1587.253857142857</v>
          </cell>
          <cell r="U154">
            <v>11110.776999999998</v>
          </cell>
        </row>
        <row r="155">
          <cell r="B155" t="str">
            <v>FY(1)</v>
          </cell>
          <cell r="C155">
            <v>3936.0219999999999</v>
          </cell>
          <cell r="D155">
            <v>5805</v>
          </cell>
          <cell r="E155">
            <v>8458</v>
          </cell>
          <cell r="F155">
            <v>2387.9659999999999</v>
          </cell>
          <cell r="G155">
            <v>763.44408199055204</v>
          </cell>
          <cell r="H155">
            <v>1038.6748406189799</v>
          </cell>
          <cell r="I155">
            <v>3142.6860000000001</v>
          </cell>
          <cell r="J155">
            <v>3647.3989889442191</v>
          </cell>
          <cell r="K155">
            <v>25531.792922609533</v>
          </cell>
          <cell r="M155">
            <v>1840.15625086369</v>
          </cell>
          <cell r="N155">
            <v>405.88299999999998</v>
          </cell>
          <cell r="O155">
            <v>734.04100000000005</v>
          </cell>
          <cell r="P155">
            <v>1227.874</v>
          </cell>
          <cell r="Q155">
            <v>3899</v>
          </cell>
          <cell r="R155">
            <v>2288.8490000000002</v>
          </cell>
          <cell r="S155">
            <v>414.04300000000001</v>
          </cell>
          <cell r="T155">
            <v>1544.2637501233842</v>
          </cell>
          <cell r="U155">
            <v>10809.846250863689</v>
          </cell>
        </row>
        <row r="156">
          <cell r="B156" t="str">
            <v>FY0</v>
          </cell>
          <cell r="C156">
            <v>4144</v>
          </cell>
          <cell r="D156">
            <v>6242</v>
          </cell>
          <cell r="E156">
            <v>8062</v>
          </cell>
          <cell r="F156">
            <v>2465</v>
          </cell>
          <cell r="G156">
            <v>663.38400000000001</v>
          </cell>
          <cell r="H156">
            <v>1130.8130000000001</v>
          </cell>
          <cell r="I156">
            <v>3328.944</v>
          </cell>
          <cell r="J156">
            <v>3719.4487142857142</v>
          </cell>
          <cell r="K156">
            <v>26036.141</v>
          </cell>
          <cell r="M156">
            <v>1746.019</v>
          </cell>
          <cell r="N156">
            <v>463.56200000000001</v>
          </cell>
          <cell r="O156">
            <v>756.25599999999997</v>
          </cell>
          <cell r="P156">
            <v>1322.3320000000001</v>
          </cell>
          <cell r="Q156">
            <v>3913</v>
          </cell>
          <cell r="R156">
            <v>2166.4029999999998</v>
          </cell>
          <cell r="S156">
            <v>447.161</v>
          </cell>
          <cell r="T156">
            <v>1544.9618571428571</v>
          </cell>
          <cell r="U156">
            <v>10814.733</v>
          </cell>
        </row>
        <row r="157">
          <cell r="B157" t="str">
            <v>FY1</v>
          </cell>
          <cell r="C157">
            <v>4394.4091829754097</v>
          </cell>
          <cell r="D157">
            <v>6246.8233738916697</v>
          </cell>
          <cell r="E157">
            <v>8248.0658741166299</v>
          </cell>
          <cell r="F157">
            <v>2590.3075410872998</v>
          </cell>
          <cell r="G157">
            <v>695.74853440064305</v>
          </cell>
          <cell r="H157">
            <v>1211.18901626811</v>
          </cell>
          <cell r="I157">
            <v>3551.2590335353202</v>
          </cell>
          <cell r="J157">
            <v>3848.2575080392967</v>
          </cell>
          <cell r="K157">
            <v>26937.802556275077</v>
          </cell>
          <cell r="M157">
            <v>1792.8121806045201</v>
          </cell>
          <cell r="N157">
            <v>504.30645509643699</v>
          </cell>
          <cell r="O157">
            <v>728.64913129426805</v>
          </cell>
          <cell r="P157">
            <v>1421.66648658546</v>
          </cell>
          <cell r="Q157">
            <v>3985.1203682867199</v>
          </cell>
          <cell r="R157">
            <v>2225.6272843379302</v>
          </cell>
          <cell r="S157">
            <v>506.13870145797398</v>
          </cell>
          <cell r="T157">
            <v>1594.9029439519013</v>
          </cell>
          <cell r="U157">
            <v>11164.320607663309</v>
          </cell>
        </row>
        <row r="158">
          <cell r="B158" t="str">
            <v>FY2</v>
          </cell>
          <cell r="C158">
            <v>4720.5151538554701</v>
          </cell>
          <cell r="D158">
            <v>6372.0902312446397</v>
          </cell>
          <cell r="E158">
            <v>8292.5927833133792</v>
          </cell>
          <cell r="F158">
            <v>2676.5791025920498</v>
          </cell>
          <cell r="G158">
            <v>736.52206639947497</v>
          </cell>
          <cell r="H158">
            <v>1266.65736703995</v>
          </cell>
          <cell r="I158">
            <v>3773.5321763327702</v>
          </cell>
          <cell r="J158">
            <v>3976.9269829682466</v>
          </cell>
          <cell r="K158">
            <v>27838.488880777728</v>
          </cell>
          <cell r="M158">
            <v>1906.1941041853299</v>
          </cell>
          <cell r="N158">
            <v>594.038263854913</v>
          </cell>
          <cell r="O158">
            <v>789.28825485253299</v>
          </cell>
          <cell r="P158">
            <v>1512.91471930996</v>
          </cell>
          <cell r="Q158">
            <v>3815.9974476101902</v>
          </cell>
          <cell r="R158">
            <v>2291.5018855364201</v>
          </cell>
          <cell r="S158">
            <v>564.28679678784999</v>
          </cell>
          <cell r="T158">
            <v>1639.1744960195995</v>
          </cell>
          <cell r="U158">
            <v>11474.221472137197</v>
          </cell>
        </row>
        <row r="159">
          <cell r="B159" t="str">
            <v>FQ(3)</v>
          </cell>
          <cell r="C159">
            <v>961</v>
          </cell>
          <cell r="D159">
            <v>1474</v>
          </cell>
          <cell r="E159">
            <v>1956</v>
          </cell>
          <cell r="F159">
            <v>539</v>
          </cell>
          <cell r="G159">
            <v>155.434</v>
          </cell>
          <cell r="H159">
            <v>272.02999999999997</v>
          </cell>
          <cell r="I159">
            <v>735.05700000000002</v>
          </cell>
          <cell r="J159">
            <v>870.36014285714282</v>
          </cell>
          <cell r="K159">
            <v>6092.5209999999997</v>
          </cell>
          <cell r="M159">
            <v>416.65499999999997</v>
          </cell>
          <cell r="N159">
            <v>94.146000000000001</v>
          </cell>
          <cell r="O159">
            <v>158.69200000000001</v>
          </cell>
          <cell r="P159">
            <v>326.32100000000003</v>
          </cell>
          <cell r="Q159">
            <v>886</v>
          </cell>
          <cell r="R159">
            <v>483.14400000000001</v>
          </cell>
          <cell r="S159">
            <v>97.185000000000002</v>
          </cell>
          <cell r="T159">
            <v>351.73471428571423</v>
          </cell>
          <cell r="U159">
            <v>2462.1429999999996</v>
          </cell>
        </row>
        <row r="160">
          <cell r="B160" t="str">
            <v>FQ(2)</v>
          </cell>
          <cell r="C160">
            <v>966</v>
          </cell>
          <cell r="D160">
            <v>1460</v>
          </cell>
          <cell r="E160">
            <v>1861</v>
          </cell>
          <cell r="F160">
            <v>608</v>
          </cell>
          <cell r="G160">
            <v>154.941</v>
          </cell>
          <cell r="H160">
            <v>286.15800000000002</v>
          </cell>
          <cell r="I160">
            <v>790.87599999999998</v>
          </cell>
          <cell r="J160">
            <v>875.28214285714296</v>
          </cell>
          <cell r="K160">
            <v>6126.9750000000004</v>
          </cell>
          <cell r="M160">
            <v>418.96199999999999</v>
          </cell>
          <cell r="N160">
            <v>100.682</v>
          </cell>
          <cell r="O160">
            <v>167.17500000000001</v>
          </cell>
          <cell r="P160">
            <v>327.63099999999997</v>
          </cell>
          <cell r="Q160">
            <v>913</v>
          </cell>
          <cell r="R160">
            <v>519.36599999999999</v>
          </cell>
          <cell r="S160">
            <v>108.65</v>
          </cell>
          <cell r="T160">
            <v>365.06657142857142</v>
          </cell>
          <cell r="U160">
            <v>2555.4659999999999</v>
          </cell>
        </row>
        <row r="161">
          <cell r="B161" t="str">
            <v>FQ(1)</v>
          </cell>
          <cell r="C161">
            <v>1027</v>
          </cell>
          <cell r="D161">
            <v>1586</v>
          </cell>
          <cell r="E161">
            <v>2033</v>
          </cell>
          <cell r="F161">
            <v>581</v>
          </cell>
          <cell r="G161">
            <v>162.55199999999999</v>
          </cell>
          <cell r="H161">
            <v>286.51100000000002</v>
          </cell>
          <cell r="I161">
            <v>864.09699999999998</v>
          </cell>
          <cell r="J161">
            <v>934.30857142857144</v>
          </cell>
          <cell r="K161">
            <v>6540.16</v>
          </cell>
          <cell r="M161">
            <v>437.22899999999998</v>
          </cell>
          <cell r="N161">
            <v>117.236</v>
          </cell>
          <cell r="O161">
            <v>193.26900000000001</v>
          </cell>
          <cell r="P161">
            <v>326.93099999999998</v>
          </cell>
          <cell r="Q161">
            <v>1024</v>
          </cell>
          <cell r="R161">
            <v>503.863</v>
          </cell>
          <cell r="S161">
            <v>114.327</v>
          </cell>
          <cell r="T161">
            <v>388.12214285714282</v>
          </cell>
          <cell r="U161">
            <v>2716.8549999999996</v>
          </cell>
        </row>
        <row r="162">
          <cell r="B162" t="str">
            <v>Last Reported Q</v>
          </cell>
          <cell r="C162">
            <v>4144</v>
          </cell>
          <cell r="D162">
            <v>6242</v>
          </cell>
          <cell r="E162">
            <v>8062</v>
          </cell>
          <cell r="F162">
            <v>2465</v>
          </cell>
          <cell r="G162">
            <v>663.38400000000001</v>
          </cell>
          <cell r="H162">
            <v>1130.8130000000001</v>
          </cell>
          <cell r="I162">
            <v>3328.944</v>
          </cell>
          <cell r="J162">
            <v>3719.4487142857142</v>
          </cell>
          <cell r="K162">
            <v>26036.141</v>
          </cell>
          <cell r="M162">
            <v>1746.019</v>
          </cell>
          <cell r="N162">
            <v>463.56200000000001</v>
          </cell>
          <cell r="O162">
            <v>756.25599999999997</v>
          </cell>
          <cell r="P162">
            <v>390.10199999999998</v>
          </cell>
          <cell r="Q162">
            <v>3913</v>
          </cell>
          <cell r="R162">
            <v>2166.4029999999998</v>
          </cell>
          <cell r="S162">
            <v>447.161</v>
          </cell>
          <cell r="T162">
            <v>1411.786142857143</v>
          </cell>
          <cell r="U162">
            <v>9882.5030000000006</v>
          </cell>
        </row>
        <row r="163">
          <cell r="B163" t="str">
            <v>LTM</v>
          </cell>
          <cell r="C163">
            <v>7098</v>
          </cell>
          <cell r="D163">
            <v>10762</v>
          </cell>
          <cell r="E163">
            <v>13912</v>
          </cell>
          <cell r="F163">
            <v>4193</v>
          </cell>
          <cell r="G163">
            <v>1136.3110000000001</v>
          </cell>
          <cell r="H163">
            <v>1975.5120000000002</v>
          </cell>
          <cell r="I163">
            <v>5718.9740000000002</v>
          </cell>
          <cell r="J163">
            <v>6399.399571428572</v>
          </cell>
          <cell r="K163">
            <v>44795.797000000006</v>
          </cell>
          <cell r="M163">
            <v>3018.8649999999998</v>
          </cell>
          <cell r="N163">
            <v>775.62599999999998</v>
          </cell>
          <cell r="O163">
            <v>1275.3919999999998</v>
          </cell>
          <cell r="P163">
            <v>1370.9850000000001</v>
          </cell>
          <cell r="Q163">
            <v>6736</v>
          </cell>
          <cell r="R163">
            <v>3672.7759999999998</v>
          </cell>
          <cell r="S163">
            <v>767.32300000000009</v>
          </cell>
          <cell r="T163">
            <v>2516.7095714285715</v>
          </cell>
          <cell r="U163">
            <v>17616.967000000001</v>
          </cell>
        </row>
        <row r="164">
          <cell r="B164" t="str">
            <v>Expense Ratio Y/Y bps</v>
          </cell>
        </row>
        <row r="165">
          <cell r="B165" t="str">
            <v>Expense Ratio</v>
          </cell>
          <cell r="C165">
            <v>157.51646442021732</v>
          </cell>
          <cell r="D165">
            <v>205.22599143587615</v>
          </cell>
          <cell r="E165">
            <v>147.01424492728543</v>
          </cell>
          <cell r="F165">
            <v>207.07126584412094</v>
          </cell>
          <cell r="G165">
            <v>42.49542357614655</v>
          </cell>
          <cell r="H165">
            <v>35.070234436621604</v>
          </cell>
          <cell r="I165">
            <v>-0.18946280574666519</v>
          </cell>
          <cell r="J165">
            <v>113.45773740493142</v>
          </cell>
          <cell r="K165">
            <v>97.851665616149333</v>
          </cell>
          <cell r="M165">
            <v>610.51345563298059</v>
          </cell>
          <cell r="N165">
            <v>-31.619890153258833</v>
          </cell>
          <cell r="O165">
            <v>115.26462868643839</v>
          </cell>
          <cell r="P165">
            <v>232.99399044565573</v>
          </cell>
          <cell r="Q165">
            <v>-72.302435491419232</v>
          </cell>
          <cell r="R165">
            <v>-48.996741320501137</v>
          </cell>
          <cell r="S165">
            <v>-76.662439658733987</v>
          </cell>
          <cell r="T165">
            <v>104.17008116302362</v>
          </cell>
          <cell r="U165">
            <v>38.080667608011986</v>
          </cell>
        </row>
        <row r="166">
          <cell r="B166" t="str">
            <v>FY(5)</v>
          </cell>
          <cell r="C166">
            <v>0.22075354465972119</v>
          </cell>
          <cell r="D166">
            <v>0.30421087533156499</v>
          </cell>
          <cell r="E166">
            <v>0.31256338742393508</v>
          </cell>
          <cell r="F166">
            <v>0.28328649595809413</v>
          </cell>
          <cell r="G166">
            <v>0.28788602145952064</v>
          </cell>
          <cell r="H166">
            <v>0.15511074318571508</v>
          </cell>
          <cell r="I166">
            <v>0.16902919324747948</v>
          </cell>
          <cell r="J166">
            <v>0.24754860875229007</v>
          </cell>
          <cell r="K166">
            <v>0.25479894602531877</v>
          </cell>
          <cell r="M166">
            <v>0.47355750440073341</v>
          </cell>
          <cell r="N166">
            <v>0.19080554898715221</v>
          </cell>
          <cell r="O166">
            <v>0.2375182127117153</v>
          </cell>
          <cell r="P166">
            <v>0.45493987267153979</v>
          </cell>
          <cell r="Q166">
            <v>0.26409294891498125</v>
          </cell>
          <cell r="R166">
            <v>0.25161431721226934</v>
          </cell>
          <cell r="S166">
            <v>0.23000181214134702</v>
          </cell>
          <cell r="T166">
            <v>0.30036145957710547</v>
          </cell>
          <cell r="U166">
            <v>0.27634449274646161</v>
          </cell>
        </row>
        <row r="167">
          <cell r="B167" t="str">
            <v>FY(4)</v>
          </cell>
          <cell r="C167">
            <v>0.22112041306651145</v>
          </cell>
          <cell r="D167">
            <v>0.2989191203876258</v>
          </cell>
          <cell r="E167">
            <v>0.311746315319339</v>
          </cell>
          <cell r="F167">
            <v>0.27201496074126219</v>
          </cell>
          <cell r="G167">
            <v>0.28850966846380655</v>
          </cell>
          <cell r="H167">
            <v>0.15495879093374249</v>
          </cell>
          <cell r="I167">
            <v>0.16854666633990859</v>
          </cell>
          <cell r="J167">
            <v>0.24511656217888514</v>
          </cell>
          <cell r="K167">
            <v>0.25490426029071767</v>
          </cell>
          <cell r="M167">
            <v>0.45822104470688874</v>
          </cell>
          <cell r="N167">
            <v>0.18852041811869835</v>
          </cell>
          <cell r="O167">
            <v>0.23355033372639172</v>
          </cell>
          <cell r="P167">
            <v>0.44311268847202645</v>
          </cell>
          <cell r="Q167">
            <v>0.26118704362478934</v>
          </cell>
          <cell r="R167">
            <v>0.25791933398831379</v>
          </cell>
          <cell r="S167">
            <v>0.22205424926312167</v>
          </cell>
          <cell r="T167">
            <v>0.29493787312860426</v>
          </cell>
          <cell r="U167">
            <v>0.2790354228686574</v>
          </cell>
        </row>
        <row r="168">
          <cell r="B168" t="str">
            <v>FY(3)</v>
          </cell>
          <cell r="C168">
            <v>0.21914841426546719</v>
          </cell>
          <cell r="D168">
            <v>0.29829542028855022</v>
          </cell>
          <cell r="E168">
            <v>0.32176492398961809</v>
          </cell>
          <cell r="F168">
            <v>0.2683032388246846</v>
          </cell>
          <cell r="G168">
            <v>0.2550567425577977</v>
          </cell>
          <cell r="H168">
            <v>0.15493724653110028</v>
          </cell>
          <cell r="I168">
            <v>0.16757373336772263</v>
          </cell>
          <cell r="J168">
            <v>0.24072567426070579</v>
          </cell>
          <cell r="K168">
            <v>0.25643049645543803</v>
          </cell>
          <cell r="M168">
            <v>0.46059072351786268</v>
          </cell>
          <cell r="N168">
            <v>0.20502006781733473</v>
          </cell>
          <cell r="O168">
            <v>0.23819240490565266</v>
          </cell>
          <cell r="P168">
            <v>0.42596037207277726</v>
          </cell>
          <cell r="Q168">
            <v>0.28116560949569802</v>
          </cell>
          <cell r="R168">
            <v>0.26590943083890284</v>
          </cell>
          <cell r="S168">
            <v>0.23510084370511716</v>
          </cell>
          <cell r="T168">
            <v>0.30170563605047784</v>
          </cell>
          <cell r="U168">
            <v>0.29286802049534522</v>
          </cell>
        </row>
        <row r="169">
          <cell r="B169" t="str">
            <v>FY(2)</v>
          </cell>
          <cell r="C169">
            <v>0.22441224497228915</v>
          </cell>
          <cell r="D169">
            <v>0.29349078819571894</v>
          </cell>
          <cell r="E169">
            <v>0.32508645916467144</v>
          </cell>
          <cell r="F169">
            <v>0.26731193022417554</v>
          </cell>
          <cell r="G169">
            <v>0.24747866688145498</v>
          </cell>
          <cell r="H169">
            <v>0.15663059319066835</v>
          </cell>
          <cell r="I169">
            <v>0.16542778193181926</v>
          </cell>
          <cell r="J169">
            <v>0.23997692350868541</v>
          </cell>
          <cell r="K169">
            <v>0.25458252346273547</v>
          </cell>
          <cell r="M169">
            <v>0.46516703174565421</v>
          </cell>
          <cell r="N169">
            <v>0.21842389666892584</v>
          </cell>
          <cell r="O169">
            <v>0.23406936986383864</v>
          </cell>
          <cell r="P169">
            <v>0.39410769023478287</v>
          </cell>
          <cell r="Q169">
            <v>0.27564549895324492</v>
          </cell>
          <cell r="R169">
            <v>0.25801530849837501</v>
          </cell>
          <cell r="S169">
            <v>0.23334973775041057</v>
          </cell>
          <cell r="T169">
            <v>0.29696836195931881</v>
          </cell>
          <cell r="U169">
            <v>0.29004007050169583</v>
          </cell>
        </row>
        <row r="170">
          <cell r="B170" t="str">
            <v>FY(1)</v>
          </cell>
          <cell r="C170">
            <v>0.24016389141431088</v>
          </cell>
          <cell r="D170">
            <v>0.31401338733930656</v>
          </cell>
          <cell r="E170">
            <v>0.33978788365739998</v>
          </cell>
          <cell r="F170">
            <v>0.28801905680858764</v>
          </cell>
          <cell r="G170">
            <v>0.2513902659533549</v>
          </cell>
          <cell r="H170">
            <v>0.16013761663433052</v>
          </cell>
          <cell r="I170">
            <v>0.16540883565124459</v>
          </cell>
          <cell r="J170">
            <v>0.25127441963693359</v>
          </cell>
          <cell r="K170">
            <v>0.2643565301882268</v>
          </cell>
          <cell r="M170">
            <v>0.528164794911131</v>
          </cell>
          <cell r="N170">
            <v>0.21526190765359995</v>
          </cell>
          <cell r="O170">
            <v>0.24559583273248248</v>
          </cell>
          <cell r="P170">
            <v>0.38603200433104445</v>
          </cell>
          <cell r="Q170">
            <v>0.26841525540410299</v>
          </cell>
          <cell r="R170">
            <v>0.25311563436632489</v>
          </cell>
          <cell r="S170">
            <v>0.22568349378453717</v>
          </cell>
          <cell r="T170">
            <v>0.30318127474046047</v>
          </cell>
          <cell r="U170">
            <v>0.29261289329386647</v>
          </cell>
        </row>
        <row r="171">
          <cell r="B171" t="str">
            <v>FY0</v>
          </cell>
          <cell r="C171">
            <v>0.2412528380974559</v>
          </cell>
          <cell r="D171">
            <v>0.35551799953585106</v>
          </cell>
          <cell r="E171">
            <v>0.34322448805824002</v>
          </cell>
          <cell r="F171">
            <v>0.2984984257689513</v>
          </cell>
          <cell r="G171">
            <v>0.25264937864425241</v>
          </cell>
          <cell r="H171">
            <v>0.15740248792734851</v>
          </cell>
          <cell r="I171">
            <v>0.16408079397316028</v>
          </cell>
          <cell r="J171">
            <v>0.25894663028646564</v>
          </cell>
          <cell r="K171">
            <v>0.26958151141248193</v>
          </cell>
          <cell r="M171">
            <v>0.59619070382858852</v>
          </cell>
          <cell r="N171">
            <v>0.20786554893155254</v>
          </cell>
          <cell r="O171">
            <v>0.25288123487322434</v>
          </cell>
          <cell r="P171">
            <v>0.40933140337561003</v>
          </cell>
          <cell r="Q171">
            <v>0.2756216101993379</v>
          </cell>
          <cell r="R171">
            <v>0.25095787315813839</v>
          </cell>
          <cell r="S171">
            <v>0.23075525785485199</v>
          </cell>
          <cell r="T171">
            <v>0.31765766174590049</v>
          </cell>
          <cell r="U171">
            <v>0.29918667766155282</v>
          </cell>
        </row>
        <row r="172">
          <cell r="B172" t="str">
            <v>FY1</v>
          </cell>
          <cell r="C172">
            <v>0.23755990709862407</v>
          </cell>
          <cell r="D172">
            <v>0.35082328912427285</v>
          </cell>
          <cell r="E172">
            <v>0.33604435343603933</v>
          </cell>
          <cell r="F172">
            <v>0.2900204005330686</v>
          </cell>
          <cell r="G172">
            <v>0.25415537194894949</v>
          </cell>
          <cell r="H172">
            <v>0.15520381370329353</v>
          </cell>
          <cell r="I172">
            <v>0.16100989145998601</v>
          </cell>
          <cell r="J172">
            <v>0.25497386104346204</v>
          </cell>
          <cell r="K172">
            <v>0.26312141410989504</v>
          </cell>
          <cell r="M172">
            <v>0.56685275187212625</v>
          </cell>
          <cell r="N172">
            <v>0.20751094817380147</v>
          </cell>
          <cell r="O172">
            <v>0.24378404137562537</v>
          </cell>
          <cell r="P172">
            <v>0.40898315733024737</v>
          </cell>
          <cell r="Q172">
            <v>0.2834829098776766</v>
          </cell>
          <cell r="R172">
            <v>0.2442859432107283</v>
          </cell>
          <cell r="S172">
            <v>0.22380557744828644</v>
          </cell>
          <cell r="T172">
            <v>0.31124361846978449</v>
          </cell>
          <cell r="U172">
            <v>0.29781058624011059</v>
          </cell>
        </row>
        <row r="173">
          <cell r="B173" t="str">
            <v>FY2</v>
          </cell>
          <cell r="C173">
            <v>0.23555990709862318</v>
          </cell>
          <cell r="D173">
            <v>0.35014505191680151</v>
          </cell>
          <cell r="E173">
            <v>0.33504435343603878</v>
          </cell>
          <cell r="F173">
            <v>0.28619698384846876</v>
          </cell>
          <cell r="G173">
            <v>0.25117728981375714</v>
          </cell>
          <cell r="H173">
            <v>0.15520381370329375</v>
          </cell>
          <cell r="I173">
            <v>0.16050989145998562</v>
          </cell>
          <cell r="J173">
            <v>0.25340532732528126</v>
          </cell>
          <cell r="K173">
            <v>0.26030872041871445</v>
          </cell>
          <cell r="M173">
            <v>0.55786444206476882</v>
          </cell>
          <cell r="N173">
            <v>0.21596159783087132</v>
          </cell>
          <cell r="O173">
            <v>0.23879343443399517</v>
          </cell>
          <cell r="P173">
            <v>0.4069831573302467</v>
          </cell>
          <cell r="Q173">
            <v>0.28248290987767782</v>
          </cell>
          <cell r="R173">
            <v>0.24237995437917609</v>
          </cell>
          <cell r="S173">
            <v>0.21870557744828625</v>
          </cell>
          <cell r="T173">
            <v>0.30902443905214605</v>
          </cell>
          <cell r="U173">
            <v>0.29623593800541625</v>
          </cell>
        </row>
        <row r="174">
          <cell r="B174" t="str">
            <v>FQ(3)</v>
          </cell>
          <cell r="C174">
            <v>0.26415612974161629</v>
          </cell>
          <cell r="D174">
            <v>0.37946315338480124</v>
          </cell>
          <cell r="E174">
            <v>0.37622619734564339</v>
          </cell>
          <cell r="F174">
            <v>0.31594372801875731</v>
          </cell>
          <cell r="G174">
            <v>0.25018912993790099</v>
          </cell>
          <cell r="H174">
            <v>0.16081234382380219</v>
          </cell>
          <cell r="I174">
            <v>0.16881469579883809</v>
          </cell>
          <cell r="J174">
            <v>0.27365791115019422</v>
          </cell>
          <cell r="K174">
            <v>0.28882002576376026</v>
          </cell>
          <cell r="M174">
            <v>0.69242964856272504</v>
          </cell>
          <cell r="N174">
            <v>0.23073642726898419</v>
          </cell>
          <cell r="O174">
            <v>0.25930065359477128</v>
          </cell>
          <cell r="P174">
            <v>0.44101067790723297</v>
          </cell>
          <cell r="Q174">
            <v>0.28333866325551649</v>
          </cell>
          <cell r="R174">
            <v>0.28004500251269826</v>
          </cell>
          <cell r="S174">
            <v>0.25256239669851038</v>
          </cell>
          <cell r="T174">
            <v>0.34848906711434841</v>
          </cell>
          <cell r="U174">
            <v>0.3240205429200293</v>
          </cell>
        </row>
        <row r="175">
          <cell r="B175" t="str">
            <v>FQ(2)</v>
          </cell>
          <cell r="C175">
            <v>0.25380977404098792</v>
          </cell>
          <cell r="D175">
            <v>0.37030928905677624</v>
          </cell>
          <cell r="E175">
            <v>0.3603795507358637</v>
          </cell>
          <cell r="F175">
            <v>0.28344988344988348</v>
          </cell>
          <cell r="G175">
            <v>0.27584494103572038</v>
          </cell>
          <cell r="H175">
            <v>0.1617958698115384</v>
          </cell>
          <cell r="I175">
            <v>0.16658690585921768</v>
          </cell>
          <cell r="J175">
            <v>0.26745374485571255</v>
          </cell>
          <cell r="K175">
            <v>0.27679393603676727</v>
          </cell>
          <cell r="M175">
            <v>0.65748303963617016</v>
          </cell>
          <cell r="N175">
            <v>0.22224625844333584</v>
          </cell>
          <cell r="O175">
            <v>0.254221436870054</v>
          </cell>
          <cell r="P175">
            <v>0.42125815178259163</v>
          </cell>
          <cell r="Q175">
            <v>0.28135593220338984</v>
          </cell>
          <cell r="R175">
            <v>0.25131301987312554</v>
          </cell>
          <cell r="S175">
            <v>0.23690327194707672</v>
          </cell>
          <cell r="T175">
            <v>0.33211158725082057</v>
          </cell>
          <cell r="U175">
            <v>0.30804271598565874</v>
          </cell>
        </row>
        <row r="176">
          <cell r="B176" t="str">
            <v>FQ(1)</v>
          </cell>
          <cell r="C176">
            <v>0.2535176499629721</v>
          </cell>
          <cell r="D176">
            <v>0.37939005929867253</v>
          </cell>
          <cell r="E176">
            <v>0.38525677468258479</v>
          </cell>
          <cell r="F176">
            <v>0.31102783725910066</v>
          </cell>
          <cell r="G176">
            <v>0.25743308089206474</v>
          </cell>
          <cell r="H176">
            <v>0.16427073759602878</v>
          </cell>
          <cell r="I176">
            <v>0.16474850265379282</v>
          </cell>
          <cell r="J176">
            <v>0.27366352033503094</v>
          </cell>
          <cell r="K176">
            <v>0.28439295072744886</v>
          </cell>
          <cell r="M176">
            <v>0.58012243858168677</v>
          </cell>
          <cell r="N176">
            <v>0.20646029325265305</v>
          </cell>
          <cell r="O176">
            <v>0.25804914000977353</v>
          </cell>
          <cell r="P176">
            <v>0.42936053803532004</v>
          </cell>
          <cell r="Q176">
            <v>0.2853162440791307</v>
          </cell>
          <cell r="R176">
            <v>0.28350080276736006</v>
          </cell>
          <cell r="S176">
            <v>0.22598734927851355</v>
          </cell>
          <cell r="T176">
            <v>0.32411382942920541</v>
          </cell>
          <cell r="U176">
            <v>0.31213470922732417</v>
          </cell>
        </row>
        <row r="177">
          <cell r="B177" t="str">
            <v>Last Reported Q</v>
          </cell>
          <cell r="C177">
            <v>0.2412528380974559</v>
          </cell>
          <cell r="D177">
            <v>0.35551799953585106</v>
          </cell>
          <cell r="E177">
            <v>0.34322448805824002</v>
          </cell>
          <cell r="F177">
            <v>0.2984984257689513</v>
          </cell>
          <cell r="G177">
            <v>0.25264937864425241</v>
          </cell>
          <cell r="H177">
            <v>0.15740248792734851</v>
          </cell>
          <cell r="I177">
            <v>0.16408079397316028</v>
          </cell>
          <cell r="J177">
            <v>0.25894663028646564</v>
          </cell>
          <cell r="K177">
            <v>0.26958151141248193</v>
          </cell>
          <cell r="M177">
            <v>0.59619070382858852</v>
          </cell>
          <cell r="N177">
            <v>0.20786554893155254</v>
          </cell>
          <cell r="O177">
            <v>0.25288123487322434</v>
          </cell>
          <cell r="P177">
            <v>0.3662912380693048</v>
          </cell>
          <cell r="Q177">
            <v>0.2756216101993379</v>
          </cell>
          <cell r="R177">
            <v>0.25095787315813839</v>
          </cell>
          <cell r="S177">
            <v>0.23075525785485199</v>
          </cell>
          <cell r="T177">
            <v>0.31150906670214262</v>
          </cell>
          <cell r="U177">
            <v>0.29081885663302726</v>
          </cell>
        </row>
        <row r="178">
          <cell r="B178" t="str">
            <v>LTM</v>
          </cell>
          <cell r="C178">
            <v>0.24755859375</v>
          </cell>
          <cell r="D178">
            <v>0.3640120041067873</v>
          </cell>
          <cell r="E178">
            <v>0.35554192542615454</v>
          </cell>
          <cell r="F178">
            <v>0.29999284538885312</v>
          </cell>
          <cell r="G178">
            <v>0.2559197911040863</v>
          </cell>
          <cell r="H178">
            <v>0.15946225344343146</v>
          </cell>
          <cell r="I178">
            <v>0.16512055876658455</v>
          </cell>
          <cell r="J178">
            <v>0.26394399599798529</v>
          </cell>
          <cell r="K178">
            <v>0.27514697563885587</v>
          </cell>
          <cell r="M178">
            <v>0.61343347301981055</v>
          </cell>
          <cell r="N178">
            <v>0.21197834263964316</v>
          </cell>
          <cell r="O178">
            <v>0.25461418741350766</v>
          </cell>
          <cell r="P178">
            <v>0.40996822786229586</v>
          </cell>
          <cell r="Q178">
            <v>0.27883102905869689</v>
          </cell>
          <cell r="R178">
            <v>0.25861572787938431</v>
          </cell>
          <cell r="S178">
            <v>0.23343201089580387</v>
          </cell>
          <cell r="T178">
            <v>0.32298185696702031</v>
          </cell>
          <cell r="U178">
            <v>0.30073195088102744</v>
          </cell>
        </row>
        <row r="179">
          <cell r="B179" t="str">
            <v>FY(1)</v>
          </cell>
          <cell r="C179">
            <v>1980.6181424947576</v>
          </cell>
          <cell r="D179">
            <v>1984.4633176922603</v>
          </cell>
          <cell r="E179">
            <v>2202.7236417983245</v>
          </cell>
          <cell r="F179">
            <v>1246.211643382778</v>
          </cell>
          <cell r="G179">
            <v>173.8130453674847</v>
          </cell>
          <cell r="H179">
            <v>482.08061137554455</v>
          </cell>
          <cell r="I179">
            <v>1671.8902989417663</v>
          </cell>
          <cell r="J179">
            <v>1391.6858144361308</v>
          </cell>
          <cell r="K179">
            <v>9741.8007010529163</v>
          </cell>
          <cell r="M179">
            <v>789.86515194133233</v>
          </cell>
          <cell r="N179">
            <v>215.33854842049243</v>
          </cell>
          <cell r="O179">
            <v>627.84877745647373</v>
          </cell>
          <cell r="P179">
            <v>1211.6714117526039</v>
          </cell>
          <cell r="Q179">
            <v>1644.5986291646034</v>
          </cell>
          <cell r="R179">
            <v>1068.359336648728</v>
          </cell>
          <cell r="S179">
            <v>255.22575446775724</v>
          </cell>
          <cell r="T179">
            <v>830.4153728359986</v>
          </cell>
          <cell r="U179">
            <v>5812.9076098519899</v>
          </cell>
        </row>
        <row r="180">
          <cell r="B180" t="str">
            <v>Expense Ratio Y/Y bps</v>
          </cell>
          <cell r="C180">
            <v>1705.1856268015219</v>
          </cell>
          <cell r="D180">
            <v>1232.8094973777047</v>
          </cell>
          <cell r="E180">
            <v>1553.8230857746548</v>
          </cell>
          <cell r="F180">
            <v>802.61653937056747</v>
          </cell>
          <cell r="G180">
            <v>-82.354512381842142</v>
          </cell>
          <cell r="H180">
            <v>551.23890722468843</v>
          </cell>
          <cell r="I180">
            <v>1684.3207963303021</v>
          </cell>
          <cell r="J180">
            <v>1063.9485629282283</v>
          </cell>
          <cell r="K180">
            <v>7447.6399404975982</v>
          </cell>
          <cell r="M180">
            <v>536.74816545626607</v>
          </cell>
          <cell r="N180">
            <v>272.88205450139014</v>
          </cell>
          <cell r="O180">
            <v>354.55073316454383</v>
          </cell>
          <cell r="P180">
            <v>1042.1427565666907</v>
          </cell>
          <cell r="Q180">
            <v>1921.1686440084529</v>
          </cell>
          <cell r="R180">
            <v>834.83801786001254</v>
          </cell>
          <cell r="S180">
            <v>323.59547798093331</v>
          </cell>
          <cell r="T180">
            <v>755.13226421975571</v>
          </cell>
          <cell r="U180">
            <v>5285.9258495382901</v>
          </cell>
        </row>
        <row r="181">
          <cell r="B181" t="str">
            <v>FY(1)</v>
          </cell>
          <cell r="C181">
            <v>157.51646442021732</v>
          </cell>
          <cell r="D181">
            <v>205.22599143587615</v>
          </cell>
          <cell r="E181">
            <v>147.01424492728543</v>
          </cell>
          <cell r="F181">
            <v>207.07126584412094</v>
          </cell>
          <cell r="G181">
            <v>39.115990718999186</v>
          </cell>
          <cell r="H181">
            <v>35.070234436621604</v>
          </cell>
          <cell r="I181">
            <v>-0.18946280574666519</v>
          </cell>
          <cell r="J181">
            <v>112.9749612824818</v>
          </cell>
          <cell r="K181">
            <v>97.740067254913356</v>
          </cell>
          <cell r="M181">
            <v>629.97763165476783</v>
          </cell>
          <cell r="N181">
            <v>-31.619890153258833</v>
          </cell>
          <cell r="O181">
            <v>115.26462868643839</v>
          </cell>
          <cell r="P181">
            <v>-80.75685903738416</v>
          </cell>
          <cell r="Q181">
            <v>-72.302435491419232</v>
          </cell>
          <cell r="R181">
            <v>-48.996741320501137</v>
          </cell>
          <cell r="S181">
            <v>-76.662439658733987</v>
          </cell>
          <cell r="T181">
            <v>62.129127811416666</v>
          </cell>
          <cell r="U181">
            <v>25.72822792170637</v>
          </cell>
        </row>
        <row r="182">
          <cell r="B182" t="str">
            <v>FY0</v>
          </cell>
          <cell r="C182">
            <v>10.8894668314502</v>
          </cell>
          <cell r="D182">
            <v>415.04612196544497</v>
          </cell>
          <cell r="E182">
            <v>34.36604400840038</v>
          </cell>
          <cell r="F182">
            <v>104.79368960363666</v>
          </cell>
          <cell r="G182">
            <v>12.591126908975125</v>
          </cell>
          <cell r="H182">
            <v>-27.351287069820039</v>
          </cell>
          <cell r="I182">
            <v>-13.280416780843129</v>
          </cell>
          <cell r="J182">
            <v>76.722106495320517</v>
          </cell>
          <cell r="K182">
            <v>52.249812242551322</v>
          </cell>
          <cell r="M182">
            <v>680.25908917457525</v>
          </cell>
          <cell r="N182">
            <v>-73.963587220474139</v>
          </cell>
          <cell r="O182">
            <v>72.854021407418585</v>
          </cell>
          <cell r="P182">
            <v>232.99399044565573</v>
          </cell>
          <cell r="Q182">
            <v>72.06354795234904</v>
          </cell>
          <cell r="R182">
            <v>-21.577612081865038</v>
          </cell>
          <cell r="S182">
            <v>50.717640703148156</v>
          </cell>
          <cell r="T182">
            <v>144.76387005440017</v>
          </cell>
          <cell r="U182">
            <v>65.737843676863534</v>
          </cell>
        </row>
        <row r="183">
          <cell r="B183" t="str">
            <v>FY1</v>
          </cell>
          <cell r="C183">
            <v>-36.929309988318337</v>
          </cell>
          <cell r="D183">
            <v>-46.947104115782068</v>
          </cell>
          <cell r="E183">
            <v>-71.801346222006842</v>
          </cell>
          <cell r="F183">
            <v>-84.780252358827028</v>
          </cell>
          <cell r="G183">
            <v>15.059933046970841</v>
          </cell>
          <cell r="H183">
            <v>-21.986742240549805</v>
          </cell>
          <cell r="I183">
            <v>-30.709025131742674</v>
          </cell>
          <cell r="J183">
            <v>-39.727692430036043</v>
          </cell>
          <cell r="K183">
            <v>-64.600973025868981</v>
          </cell>
          <cell r="M183">
            <v>-293.37951956462274</v>
          </cell>
          <cell r="N183">
            <v>-3.5460075775106681</v>
          </cell>
          <cell r="O183">
            <v>-90.971934975989655</v>
          </cell>
          <cell r="P183">
            <v>-3.4824604536265458</v>
          </cell>
          <cell r="Q183">
            <v>78.612996783387075</v>
          </cell>
          <cell r="R183">
            <v>-66.719299474100879</v>
          </cell>
          <cell r="S183">
            <v>-69.496804065655454</v>
          </cell>
          <cell r="T183">
            <v>-64.14043276116</v>
          </cell>
          <cell r="U183">
            <v>-13.760914214422382</v>
          </cell>
        </row>
        <row r="184">
          <cell r="B184" t="str">
            <v>FY2</v>
          </cell>
          <cell r="C184">
            <v>-20.0000000000089</v>
          </cell>
          <cell r="D184">
            <v>-6.7823720747134386</v>
          </cell>
          <cell r="E184">
            <v>-10.00000000000556</v>
          </cell>
          <cell r="F184">
            <v>-38.234166845998452</v>
          </cell>
          <cell r="G184">
            <v>-29.780821351923503</v>
          </cell>
          <cell r="H184">
            <v>2.2204460492503131E-12</v>
          </cell>
          <cell r="I184">
            <v>-5.0000000000038902</v>
          </cell>
          <cell r="J184">
            <v>-15.685337181807757</v>
          </cell>
          <cell r="K184">
            <v>-28.126936911805899</v>
          </cell>
          <cell r="M184">
            <v>-89.883098073574303</v>
          </cell>
          <cell r="N184">
            <v>84.506496570698474</v>
          </cell>
          <cell r="O184">
            <v>-49.906069416301989</v>
          </cell>
          <cell r="P184">
            <v>-20.000000000006679</v>
          </cell>
          <cell r="Q184">
            <v>-9.9999999999877964</v>
          </cell>
          <cell r="R184">
            <v>-19.059888315522134</v>
          </cell>
          <cell r="S184">
            <v>-51.000000000001876</v>
          </cell>
          <cell r="T184">
            <v>-22.191794176384395</v>
          </cell>
          <cell r="U184">
            <v>-15.746482346943314</v>
          </cell>
        </row>
        <row r="185">
          <cell r="B185" t="str">
            <v>FQ(1)</v>
          </cell>
          <cell r="C185">
            <v>399</v>
          </cell>
          <cell r="D185">
            <v>67.000000000000114</v>
          </cell>
          <cell r="E185">
            <v>282.00000000000017</v>
          </cell>
          <cell r="F185">
            <v>205.99999999999991</v>
          </cell>
          <cell r="G185">
            <v>-67.604999999999734</v>
          </cell>
          <cell r="H185">
            <v>171.34199999999998</v>
          </cell>
          <cell r="I185">
            <v>422.35000000000019</v>
          </cell>
          <cell r="J185">
            <v>211.44100000000009</v>
          </cell>
          <cell r="K185">
            <v>1480.0870000000007</v>
          </cell>
          <cell r="M185">
            <v>2.8660000000000005</v>
          </cell>
          <cell r="N185">
            <v>65.00999999999992</v>
          </cell>
          <cell r="O185">
            <v>46.316999999999979</v>
          </cell>
          <cell r="P185">
            <v>198.7420000000003</v>
          </cell>
          <cell r="Q185">
            <v>375.00000000000028</v>
          </cell>
          <cell r="R185">
            <v>148.643</v>
          </cell>
          <cell r="S185">
            <v>78.440999999999988</v>
          </cell>
          <cell r="T185">
            <v>130.71700000000007</v>
          </cell>
          <cell r="U185">
            <v>915.01900000000046</v>
          </cell>
        </row>
        <row r="186">
          <cell r="B186" t="str">
            <v>Operating Income</v>
          </cell>
          <cell r="C186">
            <v>338.99999999999983</v>
          </cell>
          <cell r="D186">
            <v>107.0000000000002</v>
          </cell>
          <cell r="E186">
            <v>88.000000000000256</v>
          </cell>
          <cell r="F186">
            <v>171.99999999999989</v>
          </cell>
          <cell r="G186">
            <v>15.793999999999976</v>
          </cell>
          <cell r="H186">
            <v>172.77600000000004</v>
          </cell>
          <cell r="I186">
            <v>578.6699999999995</v>
          </cell>
          <cell r="J186">
            <v>210.4628571428571</v>
          </cell>
          <cell r="K186">
            <v>1473.2399999999998</v>
          </cell>
          <cell r="M186">
            <v>40.445999999999977</v>
          </cell>
          <cell r="N186">
            <v>105.68100000000014</v>
          </cell>
          <cell r="O186">
            <v>70.301999999999992</v>
          </cell>
          <cell r="P186">
            <v>1042.1427565666907</v>
          </cell>
          <cell r="Q186">
            <v>499.99999999999989</v>
          </cell>
          <cell r="R186">
            <v>58.885000000000019</v>
          </cell>
          <cell r="S186">
            <v>95.76100000000018</v>
          </cell>
          <cell r="T186">
            <v>273.31682236667012</v>
          </cell>
          <cell r="U186">
            <v>1913.2177565666907</v>
          </cell>
        </row>
        <row r="187">
          <cell r="B187" t="str">
            <v>FY(10)</v>
          </cell>
          <cell r="C187">
            <v>485.50638863045646</v>
          </cell>
          <cell r="D187">
            <v>454.83386963538283</v>
          </cell>
          <cell r="E187">
            <v>1723.0596260973161</v>
          </cell>
          <cell r="F187">
            <v>738.45824411134856</v>
          </cell>
          <cell r="G187">
            <v>66.281727613653899</v>
          </cell>
          <cell r="H187">
            <v>287.05417646869847</v>
          </cell>
          <cell r="I187">
            <v>975.25368491205768</v>
          </cell>
          <cell r="J187">
            <v>867.71846902713219</v>
          </cell>
          <cell r="K187">
            <v>3470.8738761085287</v>
          </cell>
          <cell r="M187">
            <v>253.55646844534496</v>
          </cell>
          <cell r="N187">
            <v>394.35079233689953</v>
          </cell>
          <cell r="O187">
            <v>175.22153552145889</v>
          </cell>
          <cell r="P187">
            <v>26.474000000000014</v>
          </cell>
          <cell r="Q187">
            <v>1956.3945388687653</v>
          </cell>
          <cell r="R187">
            <v>1144.2814089708986</v>
          </cell>
          <cell r="S187">
            <v>39.337540426959102</v>
          </cell>
          <cell r="T187">
            <v>327.77419067293232</v>
          </cell>
          <cell r="U187">
            <v>1638.8709533646615</v>
          </cell>
        </row>
        <row r="188">
          <cell r="B188" t="str">
            <v>FY(9)</v>
          </cell>
          <cell r="C188">
            <v>693.91973802158805</v>
          </cell>
          <cell r="D188">
            <v>756.13092473995562</v>
          </cell>
          <cell r="E188">
            <v>1827.1086449770082</v>
          </cell>
          <cell r="F188">
            <v>266.29261150659278</v>
          </cell>
          <cell r="H188">
            <v>291.78555250618194</v>
          </cell>
          <cell r="I188">
            <v>1008.5619151459657</v>
          </cell>
          <cell r="J188">
            <v>807.29989781621543</v>
          </cell>
          <cell r="K188">
            <v>4843.7993868972926</v>
          </cell>
          <cell r="M188">
            <v>268.56767956932532</v>
          </cell>
          <cell r="O188">
            <v>166.83186574975571</v>
          </cell>
          <cell r="P188">
            <v>59.872573637159007</v>
          </cell>
          <cell r="R188">
            <v>1122.5496622628291</v>
          </cell>
          <cell r="S188">
            <v>24.391951260244909</v>
          </cell>
          <cell r="T188">
            <v>328.44274649586282</v>
          </cell>
          <cell r="U188">
            <v>1642.2137324793141</v>
          </cell>
        </row>
        <row r="189">
          <cell r="B189" t="str">
            <v>FY(8)</v>
          </cell>
          <cell r="C189">
            <v>912.830461606629</v>
          </cell>
          <cell r="D189">
            <v>799.96102171577115</v>
          </cell>
          <cell r="E189">
            <v>1432.933359721186</v>
          </cell>
          <cell r="F189">
            <v>290.62577110649232</v>
          </cell>
          <cell r="H189">
            <v>301.69612923432788</v>
          </cell>
          <cell r="I189">
            <v>1043.2810810232318</v>
          </cell>
          <cell r="J189">
            <v>796.88797073460637</v>
          </cell>
          <cell r="K189">
            <v>4781.3278244076382</v>
          </cell>
          <cell r="M189">
            <v>289.74730211917876</v>
          </cell>
          <cell r="O189">
            <v>159.35718223413812</v>
          </cell>
          <cell r="P189">
            <v>113.7959941939974</v>
          </cell>
          <cell r="Q189">
            <v>600.1907159357828</v>
          </cell>
          <cell r="R189">
            <v>966.11037711634867</v>
          </cell>
          <cell r="S189">
            <v>36.60963094345874</v>
          </cell>
          <cell r="T189">
            <v>360.96853375715074</v>
          </cell>
          <cell r="U189">
            <v>2165.8112025429045</v>
          </cell>
        </row>
        <row r="190">
          <cell r="B190" t="str">
            <v>FY(7)</v>
          </cell>
          <cell r="C190">
            <v>1156.5458318605124</v>
          </cell>
          <cell r="D190">
            <v>952.02102914901707</v>
          </cell>
          <cell r="E190">
            <v>1479.0339278923957</v>
          </cell>
          <cell r="F190">
            <v>365.97286870857812</v>
          </cell>
          <cell r="G190" t="str">
            <v>NA</v>
          </cell>
          <cell r="H190">
            <v>374.54772447620013</v>
          </cell>
          <cell r="I190">
            <v>1146.9885114400181</v>
          </cell>
          <cell r="J190">
            <v>912.51831558778701</v>
          </cell>
          <cell r="K190">
            <v>5475.1098935267219</v>
          </cell>
          <cell r="M190">
            <v>347.89566377000904</v>
          </cell>
          <cell r="N190" t="str">
            <v>NA</v>
          </cell>
          <cell r="O190">
            <v>169.11954156440302</v>
          </cell>
          <cell r="P190">
            <v>132.64145750097384</v>
          </cell>
          <cell r="Q190">
            <v>1262.4916241331193</v>
          </cell>
          <cell r="R190">
            <v>1071.3813754740067</v>
          </cell>
          <cell r="S190">
            <v>58.974819103510981</v>
          </cell>
          <cell r="T190">
            <v>507.08408025767045</v>
          </cell>
          <cell r="U190">
            <v>3042.5044815460228</v>
          </cell>
        </row>
        <row r="191">
          <cell r="B191" t="str">
            <v>FY(6)</v>
          </cell>
          <cell r="C191">
            <v>1110.9592223864277</v>
          </cell>
          <cell r="D191">
            <v>887.96830557822909</v>
          </cell>
          <cell r="E191">
            <v>1475.978670652361</v>
          </cell>
          <cell r="F191">
            <v>532.23532413226133</v>
          </cell>
          <cell r="G191" t="str">
            <v>NA</v>
          </cell>
          <cell r="H191">
            <v>421.06482424252988</v>
          </cell>
          <cell r="I191">
            <v>1219.1001386003595</v>
          </cell>
          <cell r="J191">
            <v>941.21774759869459</v>
          </cell>
          <cell r="K191">
            <v>5647.3064855921675</v>
          </cell>
          <cell r="M191">
            <v>369.2668365757271</v>
          </cell>
          <cell r="N191">
            <v>97.254885945739034</v>
          </cell>
          <cell r="O191">
            <v>158.77767171943319</v>
          </cell>
          <cell r="P191">
            <v>223.20367713801565</v>
          </cell>
          <cell r="Q191">
            <v>2114.0535915546652</v>
          </cell>
          <cell r="R191">
            <v>1185.4625330413942</v>
          </cell>
          <cell r="S191">
            <v>94.58352886198692</v>
          </cell>
          <cell r="T191">
            <v>606.08610354813743</v>
          </cell>
          <cell r="U191">
            <v>4242.6027248369619</v>
          </cell>
        </row>
        <row r="192">
          <cell r="B192" t="str">
            <v>FY(5)</v>
          </cell>
          <cell r="C192">
            <v>1327.2810663472981</v>
          </cell>
          <cell r="D192">
            <v>1363.3222942359873</v>
          </cell>
          <cell r="E192">
            <v>1534.031924074967</v>
          </cell>
          <cell r="F192">
            <v>779.85642988208429</v>
          </cell>
          <cell r="G192">
            <v>56.136268401386211</v>
          </cell>
          <cell r="H192">
            <v>336.38059571826591</v>
          </cell>
          <cell r="I192">
            <v>1301.661646187174</v>
          </cell>
          <cell r="J192">
            <v>956.95288926388037</v>
          </cell>
          <cell r="K192">
            <v>6698.6702248471629</v>
          </cell>
          <cell r="M192">
            <v>429.36043175478039</v>
          </cell>
          <cell r="N192">
            <v>151.96385778846152</v>
          </cell>
          <cell r="O192">
            <v>404.77580086465468</v>
          </cell>
          <cell r="P192">
            <v>397.9131168529151</v>
          </cell>
          <cell r="Q192">
            <v>2280.1902642154814</v>
          </cell>
          <cell r="R192">
            <v>1230.245379450329</v>
          </cell>
          <cell r="S192">
            <v>165.51726670602028</v>
          </cell>
          <cell r="T192">
            <v>722.85230251894893</v>
          </cell>
          <cell r="U192">
            <v>5059.9661176326426</v>
          </cell>
        </row>
        <row r="193">
          <cell r="B193" t="str">
            <v>FY(4)</v>
          </cell>
          <cell r="C193">
            <v>1565.4378204279326</v>
          </cell>
          <cell r="D193">
            <v>1738.7575625986995</v>
          </cell>
          <cell r="E193">
            <v>2215.3327716330614</v>
          </cell>
          <cell r="F193">
            <v>960.91185864544013</v>
          </cell>
          <cell r="G193">
            <v>-26.280904432310574</v>
          </cell>
          <cell r="H193">
            <v>369.61270424936185</v>
          </cell>
          <cell r="I193">
            <v>1321.0695433166463</v>
          </cell>
          <cell r="J193">
            <v>1163.5487652055474</v>
          </cell>
          <cell r="K193">
            <v>8144.8413564388311</v>
          </cell>
          <cell r="M193">
            <v>645.09067297176182</v>
          </cell>
          <cell r="N193">
            <v>148.87318131466253</v>
          </cell>
          <cell r="O193">
            <v>500.32993354617793</v>
          </cell>
          <cell r="P193">
            <v>574.46943808753178</v>
          </cell>
          <cell r="Q193">
            <v>1878.3884391216775</v>
          </cell>
          <cell r="R193">
            <v>1072.0481055115672</v>
          </cell>
          <cell r="S193">
            <v>219.24526081544155</v>
          </cell>
          <cell r="T193">
            <v>719.77786162411724</v>
          </cell>
          <cell r="U193">
            <v>5038.4450313688203</v>
          </cell>
        </row>
        <row r="194">
          <cell r="B194" t="str">
            <v>FY(3)</v>
          </cell>
          <cell r="C194">
            <v>1986.8854496897454</v>
          </cell>
          <cell r="D194">
            <v>2015.8491990278244</v>
          </cell>
          <cell r="E194">
            <v>2395.6367130314761</v>
          </cell>
          <cell r="F194">
            <v>1180.6253732754576</v>
          </cell>
          <cell r="G194">
            <v>105.98450218643146</v>
          </cell>
          <cell r="H194">
            <v>428.50716111120238</v>
          </cell>
          <cell r="I194">
            <v>1532.0897485636781</v>
          </cell>
          <cell r="J194">
            <v>1377.9397352694025</v>
          </cell>
          <cell r="K194">
            <v>9645.5781468858168</v>
          </cell>
          <cell r="M194">
            <v>751.22542850829609</v>
          </cell>
          <cell r="N194">
            <v>174.35257387578639</v>
          </cell>
          <cell r="O194">
            <v>624.34594845746699</v>
          </cell>
          <cell r="P194">
            <v>746.30143442651263</v>
          </cell>
          <cell r="Q194">
            <v>1451.1546513463388</v>
          </cell>
          <cell r="R194">
            <v>1270.23310915313</v>
          </cell>
          <cell r="S194">
            <v>182.36046176901246</v>
          </cell>
          <cell r="T194">
            <v>742.85337250522048</v>
          </cell>
          <cell r="U194">
            <v>5199.9736075365436</v>
          </cell>
        </row>
        <row r="195">
          <cell r="B195" t="str">
            <v>FY(2)</v>
          </cell>
          <cell r="C195">
            <v>1980.6181424947576</v>
          </cell>
          <cell r="D195">
            <v>1984.4633176922603</v>
          </cell>
          <cell r="E195">
            <v>2202.7236417983245</v>
          </cell>
          <cell r="F195">
            <v>1246.211643382778</v>
          </cell>
          <cell r="G195">
            <v>173.8130453674847</v>
          </cell>
          <cell r="H195">
            <v>482.08061137554455</v>
          </cell>
          <cell r="I195">
            <v>1671.8902989417663</v>
          </cell>
          <cell r="J195">
            <v>1391.6858144361308</v>
          </cell>
          <cell r="K195">
            <v>9741.8007010529163</v>
          </cell>
          <cell r="M195">
            <v>828.27815194133564</v>
          </cell>
          <cell r="N195">
            <v>215.33854842049243</v>
          </cell>
          <cell r="O195">
            <v>627.84877745647373</v>
          </cell>
          <cell r="P195">
            <v>1024.8933082993212</v>
          </cell>
          <cell r="Q195">
            <v>1644.5986291646034</v>
          </cell>
          <cell r="R195">
            <v>1068.359336648728</v>
          </cell>
          <cell r="S195">
            <v>255.22575446775724</v>
          </cell>
          <cell r="T195">
            <v>809.22035805695862</v>
          </cell>
          <cell r="U195">
            <v>5664.5425063987104</v>
          </cell>
        </row>
        <row r="196">
          <cell r="B196" t="str">
            <v>FY(1)</v>
          </cell>
          <cell r="C196">
            <v>1705.1856268015219</v>
          </cell>
          <cell r="D196">
            <v>1232.8094973777047</v>
          </cell>
          <cell r="E196">
            <v>1553.8230857746548</v>
          </cell>
          <cell r="F196">
            <v>798.68184271838584</v>
          </cell>
          <cell r="G196">
            <v>-78.277512381842001</v>
          </cell>
          <cell r="H196">
            <v>551.23890722468843</v>
          </cell>
          <cell r="I196">
            <v>1685.8577701460415</v>
          </cell>
          <cell r="J196">
            <v>1064.1884596658795</v>
          </cell>
          <cell r="K196">
            <v>7449.3192176611565</v>
          </cell>
          <cell r="M196">
            <v>565.02656921650953</v>
          </cell>
          <cell r="N196">
            <v>269.98135982676371</v>
          </cell>
          <cell r="O196">
            <v>354.04039646842591</v>
          </cell>
          <cell r="P196">
            <v>1211.6714117526039</v>
          </cell>
          <cell r="Q196">
            <v>1921.1686440084529</v>
          </cell>
          <cell r="R196">
            <v>834.83801786001254</v>
          </cell>
          <cell r="S196">
            <v>313.79271877126615</v>
          </cell>
          <cell r="T196">
            <v>781.50273112914783</v>
          </cell>
          <cell r="U196">
            <v>5470.5191179040348</v>
          </cell>
        </row>
        <row r="197">
          <cell r="B197" t="str">
            <v>FY0</v>
          </cell>
          <cell r="C197">
            <v>1917.1194702536768</v>
          </cell>
          <cell r="D197">
            <v>781.47518758588342</v>
          </cell>
          <cell r="E197">
            <v>1586.9995350025417</v>
          </cell>
          <cell r="F197">
            <v>853.57339587430897</v>
          </cell>
          <cell r="G197">
            <v>17.50706678990792</v>
          </cell>
          <cell r="H197">
            <v>781.03306781757033</v>
          </cell>
          <cell r="I197">
            <v>2201.0009309468269</v>
          </cell>
          <cell r="J197">
            <v>1162.6726648958168</v>
          </cell>
          <cell r="K197">
            <v>8138.7086542707166</v>
          </cell>
          <cell r="M197">
            <v>237.83213091594212</v>
          </cell>
          <cell r="N197">
            <v>403.73291383466682</v>
          </cell>
          <cell r="O197">
            <v>325.08544655232197</v>
          </cell>
          <cell r="P197">
            <v>1042.1427565666907</v>
          </cell>
          <cell r="Q197">
            <v>2237.9224510405411</v>
          </cell>
          <cell r="R197">
            <v>1023.0921257582751</v>
          </cell>
          <cell r="S197">
            <v>351.1769179604114</v>
          </cell>
          <cell r="T197">
            <v>802.99782037554985</v>
          </cell>
          <cell r="U197">
            <v>5620.9847426288488</v>
          </cell>
        </row>
        <row r="198">
          <cell r="B198" t="str">
            <v>FY1</v>
          </cell>
          <cell r="C198">
            <v>2251.8113812011547</v>
          </cell>
          <cell r="D198">
            <v>950.1012154893956</v>
          </cell>
          <cell r="E198">
            <v>1883.6398911998326</v>
          </cell>
          <cell r="F198">
            <v>1089.9505033320954</v>
          </cell>
          <cell r="G198">
            <v>73.509240114675933</v>
          </cell>
          <cell r="H198">
            <v>906.45911066223948</v>
          </cell>
          <cell r="I198">
            <v>2509.6654245613058</v>
          </cell>
          <cell r="J198">
            <v>1380.7338237943857</v>
          </cell>
          <cell r="K198">
            <v>9665.1367665606995</v>
          </cell>
          <cell r="M198">
            <v>349.32531972063566</v>
          </cell>
          <cell r="N198">
            <v>436.51131068441123</v>
          </cell>
          <cell r="O198">
            <v>451.53609929285483</v>
          </cell>
          <cell r="P198">
            <v>1133.0035071318157</v>
          </cell>
          <cell r="Q198">
            <v>2229.3598641723124</v>
          </cell>
          <cell r="R198">
            <v>1190.1195104238896</v>
          </cell>
          <cell r="S198">
            <v>442.80259153562491</v>
          </cell>
          <cell r="T198">
            <v>890.37974328022062</v>
          </cell>
          <cell r="U198">
            <v>6232.6582029615447</v>
          </cell>
        </row>
        <row r="199">
          <cell r="B199" t="str">
            <v>FY2</v>
          </cell>
          <cell r="C199">
            <v>2531.3005039312252</v>
          </cell>
          <cell r="D199">
            <v>1018.6683833273149</v>
          </cell>
          <cell r="E199">
            <v>1947.6346240361752</v>
          </cell>
          <cell r="F199">
            <v>1181.9016384231893</v>
          </cell>
          <cell r="G199">
            <v>122.76616566210181</v>
          </cell>
          <cell r="H199">
            <v>980.82856053693729</v>
          </cell>
          <cell r="I199">
            <v>2623.3346912949105</v>
          </cell>
          <cell r="J199">
            <v>1486.6335096016935</v>
          </cell>
          <cell r="K199">
            <v>10406.434567211854</v>
          </cell>
          <cell r="M199">
            <v>443.37392089506665</v>
          </cell>
          <cell r="N199">
            <v>431.7260319132667</v>
          </cell>
          <cell r="O199">
            <v>538.59539119682017</v>
          </cell>
          <cell r="P199">
            <v>1211.6901871378634</v>
          </cell>
          <cell r="Q199">
            <v>2165.2817026002863</v>
          </cell>
          <cell r="R199">
            <v>1262.8606520739111</v>
          </cell>
          <cell r="S199">
            <v>521.64599501463044</v>
          </cell>
          <cell r="T199">
            <v>939.31055440454918</v>
          </cell>
          <cell r="U199">
            <v>6575.1738808318441</v>
          </cell>
        </row>
        <row r="200">
          <cell r="B200" t="str">
            <v>FQ(3)</v>
          </cell>
          <cell r="C200">
            <v>250.99999999999989</v>
          </cell>
          <cell r="D200">
            <v>106.00000000000014</v>
          </cell>
          <cell r="E200">
            <v>23.999999999999979</v>
          </cell>
          <cell r="F200">
            <v>146.00000000000006</v>
          </cell>
          <cell r="G200">
            <v>2.3769999999999976</v>
          </cell>
          <cell r="H200">
            <v>150.86000000000007</v>
          </cell>
          <cell r="I200">
            <v>345.8210000000002</v>
          </cell>
          <cell r="J200">
            <v>146.57971428571432</v>
          </cell>
          <cell r="K200">
            <v>1026.0580000000002</v>
          </cell>
          <cell r="M200">
            <v>-33.879000000000005</v>
          </cell>
          <cell r="N200">
            <v>56.14400000000019</v>
          </cell>
          <cell r="O200">
            <v>27.352999999999973</v>
          </cell>
          <cell r="P200">
            <v>198.7420000000003</v>
          </cell>
          <cell r="Q200">
            <v>352.99999999999955</v>
          </cell>
          <cell r="R200">
            <v>65.212000000000018</v>
          </cell>
          <cell r="S200">
            <v>46.119999999999983</v>
          </cell>
          <cell r="T200">
            <v>101.81314285714286</v>
          </cell>
          <cell r="U200">
            <v>712.69200000000001</v>
          </cell>
        </row>
        <row r="201">
          <cell r="B201" t="str">
            <v>FQ(2)</v>
          </cell>
          <cell r="C201">
            <v>399</v>
          </cell>
          <cell r="D201">
            <v>67.000000000000114</v>
          </cell>
          <cell r="E201">
            <v>282.00000000000017</v>
          </cell>
          <cell r="F201">
            <v>205.99999999999991</v>
          </cell>
          <cell r="G201">
            <v>-67.604999999999734</v>
          </cell>
          <cell r="H201">
            <v>171.34199999999998</v>
          </cell>
          <cell r="I201">
            <v>422.35000000000019</v>
          </cell>
          <cell r="J201">
            <v>211.44100000000009</v>
          </cell>
          <cell r="K201">
            <v>1480.0870000000007</v>
          </cell>
          <cell r="M201">
            <v>8.8859999999999726</v>
          </cell>
          <cell r="N201">
            <v>65.00999999999992</v>
          </cell>
          <cell r="O201">
            <v>46.316999999999979</v>
          </cell>
          <cell r="P201">
            <v>219.68699999999981</v>
          </cell>
          <cell r="Q201">
            <v>375.00000000000028</v>
          </cell>
          <cell r="R201">
            <v>148.643</v>
          </cell>
          <cell r="S201">
            <v>78.440999999999988</v>
          </cell>
          <cell r="T201">
            <v>134.56914285714285</v>
          </cell>
          <cell r="U201">
            <v>941.98400000000004</v>
          </cell>
        </row>
        <row r="202">
          <cell r="B202" t="str">
            <v>FQ(1)</v>
          </cell>
          <cell r="C202">
            <v>338.99999999999983</v>
          </cell>
          <cell r="D202">
            <v>106.99999999999997</v>
          </cell>
          <cell r="E202">
            <v>88.000000000000256</v>
          </cell>
          <cell r="F202">
            <v>171.99999999999989</v>
          </cell>
          <cell r="G202">
            <v>15.793999999999976</v>
          </cell>
          <cell r="H202">
            <v>172.77600000000004</v>
          </cell>
          <cell r="I202">
            <v>578.6699999999995</v>
          </cell>
          <cell r="J202">
            <v>210.46285714285705</v>
          </cell>
          <cell r="K202">
            <v>1473.2399999999993</v>
          </cell>
          <cell r="M202">
            <v>45.396999999999963</v>
          </cell>
          <cell r="N202">
            <v>105.68100000000014</v>
          </cell>
          <cell r="O202">
            <v>70.301999999999992</v>
          </cell>
          <cell r="P202">
            <v>223.24699999999987</v>
          </cell>
          <cell r="Q202">
            <v>499.99999999999989</v>
          </cell>
          <cell r="R202">
            <v>58.885000000000019</v>
          </cell>
          <cell r="S202">
            <v>95.76100000000018</v>
          </cell>
          <cell r="T202">
            <v>157.03899999999999</v>
          </cell>
          <cell r="U202">
            <v>1099.2729999999999</v>
          </cell>
        </row>
        <row r="203">
          <cell r="B203" t="str">
            <v>Last Reported Q</v>
          </cell>
          <cell r="C203">
            <v>1917.1194702536768</v>
          </cell>
          <cell r="D203">
            <v>781.47518758588342</v>
          </cell>
          <cell r="E203">
            <v>1586.9995350025417</v>
          </cell>
          <cell r="F203">
            <v>853.57339587430897</v>
          </cell>
          <cell r="G203">
            <v>17.50706678990792</v>
          </cell>
          <cell r="H203">
            <v>781.03306781757033</v>
          </cell>
          <cell r="I203">
            <v>2201.0009309468269</v>
          </cell>
          <cell r="J203">
            <v>1162.6726648958168</v>
          </cell>
          <cell r="K203">
            <v>8138.7086542707166</v>
          </cell>
          <cell r="M203">
            <v>237.83213091594212</v>
          </cell>
          <cell r="N203">
            <v>403.73291383466682</v>
          </cell>
          <cell r="O203">
            <v>325.08544655232197</v>
          </cell>
          <cell r="P203">
            <v>380.83699999999959</v>
          </cell>
          <cell r="Q203">
            <v>2237.9224510405411</v>
          </cell>
          <cell r="R203">
            <v>1023.0921257582751</v>
          </cell>
          <cell r="S203">
            <v>351.1769179604114</v>
          </cell>
          <cell r="T203">
            <v>708.52556943745117</v>
          </cell>
          <cell r="U203">
            <v>4959.6789860621584</v>
          </cell>
        </row>
        <row r="204">
          <cell r="B204" t="str">
            <v>LTM</v>
          </cell>
          <cell r="C204">
            <v>3643.2917986624552</v>
          </cell>
          <cell r="D204">
            <v>2040.2485263565161</v>
          </cell>
          <cell r="E204">
            <v>5284.3343101031896</v>
          </cell>
          <cell r="F204">
            <v>1706.526191413946</v>
          </cell>
          <cell r="G204">
            <v>160.88197181609078</v>
          </cell>
          <cell r="H204">
            <v>1446.3537456975037</v>
          </cell>
          <cell r="I204">
            <v>3755.293062116757</v>
          </cell>
          <cell r="J204">
            <v>2576.7042294523512</v>
          </cell>
          <cell r="K204">
            <v>18036.929606166457</v>
          </cell>
          <cell r="M204">
            <v>676.34837726324224</v>
          </cell>
          <cell r="N204">
            <v>726.79863290245214</v>
          </cell>
          <cell r="O204">
            <v>579.50627913168728</v>
          </cell>
          <cell r="P204">
            <v>1195.8315056032586</v>
          </cell>
          <cell r="Q204">
            <v>3324.8616619452255</v>
          </cell>
          <cell r="R204">
            <v>2730.3149800887913</v>
          </cell>
          <cell r="S204">
            <v>662.80864971036158</v>
          </cell>
          <cell r="T204">
            <v>1413.7814409492883</v>
          </cell>
          <cell r="U204">
            <v>9896.4700866450185</v>
          </cell>
        </row>
        <row r="205">
          <cell r="B205" t="str">
            <v>FQ(1)</v>
          </cell>
          <cell r="C205">
            <v>0.104834471886495</v>
          </cell>
          <cell r="D205">
            <v>1.6993645456715101E-2</v>
          </cell>
          <cell r="E205">
            <v>5.4608830364058898E-2</v>
          </cell>
          <cell r="F205">
            <v>9.6037296037295994E-2</v>
          </cell>
          <cell r="G205">
            <v>-0.120358699367629</v>
          </cell>
          <cell r="H205">
            <v>9.6878046132726006E-2</v>
          </cell>
          <cell r="I205">
            <v>8.8962087216757899E-2</v>
          </cell>
          <cell r="J205">
            <v>4.8279382532345698E-2</v>
          </cell>
          <cell r="K205">
            <v>6.6864824225143879E-2</v>
          </cell>
          <cell r="M205">
            <v>4.4197088790501804E-3</v>
          </cell>
          <cell r="N205">
            <v>0.14350359807513999</v>
          </cell>
          <cell r="O205">
            <v>7.0433822590161704E-2</v>
          </cell>
          <cell r="P205">
            <v>0.26859241099604197</v>
          </cell>
          <cell r="Q205">
            <v>0.115562403697997</v>
          </cell>
          <cell r="R205">
            <v>7.1926004422701903E-2</v>
          </cell>
          <cell r="S205">
            <v>0.17103478651450199</v>
          </cell>
          <cell r="T205">
            <v>0.12078181931079925</v>
          </cell>
          <cell r="U205">
            <v>0.11065320313208579</v>
          </cell>
        </row>
        <row r="206">
          <cell r="B206" t="str">
            <v>Operating Margin</v>
          </cell>
          <cell r="C206">
            <v>8.3683041224388993E-2</v>
          </cell>
          <cell r="D206">
            <v>2.5601796602830601E-2</v>
          </cell>
          <cell r="E206">
            <v>1.6676141747204901E-2</v>
          </cell>
          <cell r="F206">
            <v>9.2077087794432494E-2</v>
          </cell>
          <cell r="G206">
            <v>2.50129071288527E-2</v>
          </cell>
          <cell r="H206">
            <v>9.9060912002999796E-2</v>
          </cell>
          <cell r="I206">
            <v>0.110329067258271</v>
          </cell>
          <cell r="J206">
            <v>6.4634421965568636E-2</v>
          </cell>
          <cell r="K206">
            <v>6.4065296636237681E-2</v>
          </cell>
          <cell r="M206">
            <v>5.2842888890921202E-2</v>
          </cell>
          <cell r="N206">
            <v>0.18611117959699799</v>
          </cell>
          <cell r="O206">
            <v>9.3865910420021306E-2</v>
          </cell>
          <cell r="P206">
            <v>0.32259807451016098</v>
          </cell>
          <cell r="Q206">
            <v>0.139314572304263</v>
          </cell>
          <cell r="R206">
            <v>3.3131912386811499E-2</v>
          </cell>
          <cell r="S206">
            <v>0.18928839691638699</v>
          </cell>
          <cell r="T206">
            <v>0.145307562146509</v>
          </cell>
          <cell r="U206">
            <v>0.17105426560082906</v>
          </cell>
        </row>
        <row r="207">
          <cell r="B207" t="str">
            <v>FY(10)</v>
          </cell>
          <cell r="C207">
            <v>0.10654125948116</v>
          </cell>
          <cell r="D207">
            <v>4.1285515537297798E-2</v>
          </cell>
          <cell r="E207">
            <v>0.107496389425249</v>
          </cell>
          <cell r="F207">
            <v>7.5295932389064305E-2</v>
          </cell>
          <cell r="G207" t="str">
            <v>NA</v>
          </cell>
          <cell r="H207">
            <v>0.11628038475819399</v>
          </cell>
          <cell r="I207">
            <v>0.11088291171594</v>
          </cell>
          <cell r="J207">
            <v>9.2963732217817521E-2</v>
          </cell>
          <cell r="K207">
            <v>5.049133925846503E-2</v>
          </cell>
          <cell r="M207">
            <v>0.24596643615836999</v>
          </cell>
          <cell r="N207" t="str">
            <v>NA</v>
          </cell>
          <cell r="O207">
            <v>0.210576485056506</v>
          </cell>
          <cell r="P207">
            <v>5.21366494610866E-2</v>
          </cell>
          <cell r="Q207" t="str">
            <v>NA</v>
          </cell>
          <cell r="R207">
            <v>0.117169916953809</v>
          </cell>
          <cell r="S207">
            <v>0.141444450374341</v>
          </cell>
          <cell r="T207">
            <v>0.15345878760082252</v>
          </cell>
          <cell r="U207">
            <v>6.7493365584078646E-2</v>
          </cell>
        </row>
        <row r="208">
          <cell r="B208" t="str">
            <v>FY(9)</v>
          </cell>
          <cell r="C208">
            <v>0.11279212932310199</v>
          </cell>
          <cell r="D208">
            <v>2.3743356300318898E-2</v>
          </cell>
          <cell r="E208">
            <v>0.10981540118866499</v>
          </cell>
          <cell r="F208">
            <v>4.8166922190552901E-2</v>
          </cell>
          <cell r="G208" t="str">
            <v>NA</v>
          </cell>
          <cell r="H208">
            <v>0.107708140232083</v>
          </cell>
          <cell r="I208">
            <v>0.105288786242118</v>
          </cell>
          <cell r="J208">
            <v>8.4585789246139964E-2</v>
          </cell>
          <cell r="K208">
            <v>6.6854567253156583E-2</v>
          </cell>
          <cell r="M208">
            <v>0.217006150246222</v>
          </cell>
          <cell r="N208" t="str">
            <v>NA</v>
          </cell>
          <cell r="O208">
            <v>0.15761843759838001</v>
          </cell>
          <cell r="P208">
            <v>0.109057511178796</v>
          </cell>
          <cell r="Q208">
            <v>0.119617483966938</v>
          </cell>
          <cell r="R208">
            <v>0.123628817429827</v>
          </cell>
          <cell r="S208">
            <v>8.2591350307093706E-2</v>
          </cell>
          <cell r="T208">
            <v>0.1349199584545428</v>
          </cell>
          <cell r="U208">
            <v>6.2671835934588374E-2</v>
          </cell>
        </row>
        <row r="209">
          <cell r="B209" t="str">
            <v>FY(8)</v>
          </cell>
          <cell r="C209">
            <v>0.121895261387256</v>
          </cell>
          <cell r="D209">
            <v>4.4840864445951298E-2</v>
          </cell>
          <cell r="E209">
            <v>9.0778166596210699E-2</v>
          </cell>
          <cell r="F209">
            <v>5.1583078684107803E-2</v>
          </cell>
          <cell r="G209" t="str">
            <v>NA</v>
          </cell>
          <cell r="H209">
            <v>0.101016719112437</v>
          </cell>
          <cell r="I209">
            <v>9.7420980097599405E-2</v>
          </cell>
          <cell r="J209">
            <v>8.4589178387260364E-2</v>
          </cell>
          <cell r="K209">
            <v>7.9104256172474144E-2</v>
          </cell>
          <cell r="M209">
            <v>0.21229194801138199</v>
          </cell>
          <cell r="N209" t="str">
            <v>NA</v>
          </cell>
          <cell r="O209">
            <v>0.125354912836943</v>
          </cell>
          <cell r="P209">
            <v>0.18950491213689699</v>
          </cell>
          <cell r="Q209">
            <v>4.3341725905182898E-2</v>
          </cell>
          <cell r="R209">
            <v>0.11469908311959499</v>
          </cell>
          <cell r="S209">
            <v>0.104911281424867</v>
          </cell>
          <cell r="T209">
            <v>0.13168397723914449</v>
          </cell>
          <cell r="U209">
            <v>8.2446112098941496E-2</v>
          </cell>
        </row>
        <row r="210">
          <cell r="B210" t="str">
            <v>FY(7)</v>
          </cell>
          <cell r="C210">
            <v>0.126810245320187</v>
          </cell>
          <cell r="D210">
            <v>5.4764210144329098E-2</v>
          </cell>
          <cell r="E210">
            <v>9.4986444537434697E-2</v>
          </cell>
          <cell r="F210">
            <v>6.1563338351046402E-2</v>
          </cell>
          <cell r="G210" t="str">
            <v>NA</v>
          </cell>
          <cell r="H210">
            <v>0.106063638704699</v>
          </cell>
          <cell r="I210">
            <v>9.5732300713944604E-2</v>
          </cell>
          <cell r="J210">
            <v>8.9986696295273463E-2</v>
          </cell>
          <cell r="K210">
            <v>8.6178097504502726E-2</v>
          </cell>
          <cell r="M210">
            <v>0.21801293290269699</v>
          </cell>
          <cell r="N210">
            <v>0.11287410012405499</v>
          </cell>
          <cell r="O210">
            <v>0.122291365147881</v>
          </cell>
          <cell r="P210">
            <v>0.18437789477477601</v>
          </cell>
          <cell r="Q210">
            <v>8.7338806887471199E-2</v>
          </cell>
          <cell r="R210">
            <v>0.12687120223199699</v>
          </cell>
          <cell r="S210">
            <v>0.13950150466586</v>
          </cell>
          <cell r="T210">
            <v>0.14160968667639101</v>
          </cell>
          <cell r="U210">
            <v>0.11034969363981655</v>
          </cell>
        </row>
        <row r="211">
          <cell r="B211" t="str">
            <v>FY(6)</v>
          </cell>
          <cell r="C211">
            <v>0.108047954277254</v>
          </cell>
          <cell r="D211">
            <v>5.0703380664547999E-2</v>
          </cell>
          <cell r="E211">
            <v>9.5768146292003697E-2</v>
          </cell>
          <cell r="F211">
            <v>8.2535377465315002E-2</v>
          </cell>
          <cell r="G211">
            <v>1.9157145659343199E-2</v>
          </cell>
          <cell r="H211">
            <v>0.107398523189671</v>
          </cell>
          <cell r="I211">
            <v>9.1469523537726499E-2</v>
          </cell>
          <cell r="J211">
            <v>7.929715015512305E-2</v>
          </cell>
          <cell r="K211">
            <v>8.1436451313366839E-2</v>
          </cell>
          <cell r="M211">
            <v>0.216222561525163</v>
          </cell>
          <cell r="N211">
            <v>0.13234334049889099</v>
          </cell>
          <cell r="O211">
            <v>0.110612853320826</v>
          </cell>
          <cell r="P211">
            <v>0.240935051303657</v>
          </cell>
          <cell r="Q211">
            <v>0.13334704983153001</v>
          </cell>
          <cell r="R211">
            <v>0.13269152851048399</v>
          </cell>
          <cell r="S211">
            <v>0.17248405496012101</v>
          </cell>
          <cell r="T211">
            <v>0.16266234856438172</v>
          </cell>
          <cell r="U211">
            <v>0.14076028169944199</v>
          </cell>
        </row>
        <row r="212">
          <cell r="A212">
            <v>2000</v>
          </cell>
          <cell r="B212" t="str">
            <v>FY(5)</v>
          </cell>
          <cell r="C212">
            <v>0.113436039411941</v>
          </cell>
          <cell r="D212">
            <v>7.5338323067859606E-2</v>
          </cell>
          <cell r="E212">
            <v>9.7238331901303696E-2</v>
          </cell>
          <cell r="F212">
            <v>0.109355106748422</v>
          </cell>
          <cell r="G212">
            <v>2.0287941822930301E-2</v>
          </cell>
          <cell r="H212">
            <v>7.93352332713676E-2</v>
          </cell>
          <cell r="I212">
            <v>8.7280861632871007E-2</v>
          </cell>
          <cell r="J212">
            <v>8.3181691122385035E-2</v>
          </cell>
          <cell r="K212">
            <v>8.9764950782320344E-2</v>
          </cell>
          <cell r="M212">
            <v>0.21242279879459999</v>
          </cell>
          <cell r="N212">
            <v>0.157604196782929</v>
          </cell>
          <cell r="O212">
            <v>0.21516424576365001</v>
          </cell>
          <cell r="P212">
            <v>0.31275101536816402</v>
          </cell>
          <cell r="Q212">
            <v>0.14017275860425901</v>
          </cell>
          <cell r="R212">
            <v>0.130761541438074</v>
          </cell>
          <cell r="S212">
            <v>0.19996045509637</v>
          </cell>
          <cell r="T212">
            <v>0.19554814454972089</v>
          </cell>
          <cell r="U212">
            <v>0.1550136456617576</v>
          </cell>
        </row>
        <row r="213">
          <cell r="A213">
            <v>2001</v>
          </cell>
          <cell r="B213" t="str">
            <v>FY(4)</v>
          </cell>
          <cell r="C213">
            <v>0.11680454107743</v>
          </cell>
          <cell r="D213">
            <v>9.2580669964256401E-2</v>
          </cell>
          <cell r="E213">
            <v>9.8942955410141198E-2</v>
          </cell>
          <cell r="F213">
            <v>0.124428348678587</v>
          </cell>
          <cell r="G213">
            <v>-9.4592348837632401E-3</v>
          </cell>
          <cell r="H213">
            <v>7.4757144563204897E-2</v>
          </cell>
          <cell r="I213">
            <v>8.2794827188631001E-2</v>
          </cell>
          <cell r="J213">
            <v>8.2978464571212468E-2</v>
          </cell>
          <cell r="K213">
            <v>9.473580456857901E-2</v>
          </cell>
          <cell r="M213">
            <v>0.233039181555631</v>
          </cell>
          <cell r="N213">
            <v>0.12361319562772401</v>
          </cell>
          <cell r="O213">
            <v>0.21547722725271901</v>
          </cell>
          <cell r="P213">
            <v>0.34780410902167203</v>
          </cell>
          <cell r="Q213">
            <v>0.117230758230149</v>
          </cell>
          <cell r="R213">
            <v>0.110869032060765</v>
          </cell>
          <cell r="S213">
            <v>0.20075437737826199</v>
          </cell>
          <cell r="T213">
            <v>0.19268398301813172</v>
          </cell>
          <cell r="U213">
            <v>0.14507144530249649</v>
          </cell>
        </row>
        <row r="214">
          <cell r="A214">
            <v>2002</v>
          </cell>
          <cell r="B214" t="str">
            <v>FY(3)</v>
          </cell>
          <cell r="C214">
            <v>0.12748457342528999</v>
          </cell>
          <cell r="D214">
            <v>0.10128323800949</v>
          </cell>
          <cell r="E214">
            <v>8.8825981202501902E-2</v>
          </cell>
          <cell r="F214">
            <v>0.13791227926454799</v>
          </cell>
          <cell r="G214">
            <v>3.6049113618738297E-2</v>
          </cell>
          <cell r="H214">
            <v>7.69283673526137E-2</v>
          </cell>
          <cell r="I214">
            <v>8.8027676105148195E-2</v>
          </cell>
          <cell r="J214">
            <v>9.3787318425475719E-2</v>
          </cell>
          <cell r="K214">
            <v>9.9506720199405665E-2</v>
          </cell>
          <cell r="M214">
            <v>0.22874091659773901</v>
          </cell>
          <cell r="N214">
            <v>0.123373610873832</v>
          </cell>
          <cell r="O214">
            <v>0.22342683138276001</v>
          </cell>
          <cell r="P214">
            <v>0.366717574168407</v>
          </cell>
          <cell r="Q214">
            <v>9.1135756537482807E-2</v>
          </cell>
          <cell r="R214">
            <v>0.119039877708797</v>
          </cell>
          <cell r="S214">
            <v>0.148900082034472</v>
          </cell>
          <cell r="T214">
            <v>0.18590494990049855</v>
          </cell>
          <cell r="U214">
            <v>0.13924057343994925</v>
          </cell>
        </row>
        <row r="215">
          <cell r="B215" t="str">
            <v>FY(2)</v>
          </cell>
          <cell r="C215">
            <v>0.120229101082013</v>
          </cell>
          <cell r="D215">
            <v>9.9917945317377396E-2</v>
          </cell>
          <cell r="E215">
            <v>8.3712371899757707E-2</v>
          </cell>
          <cell r="F215">
            <v>0.141168769910963</v>
          </cell>
          <cell r="G215">
            <v>5.3241220488638302E-2</v>
          </cell>
          <cell r="H215">
            <v>8.0680084886619E-2</v>
          </cell>
          <cell r="I215">
            <v>9.1177143561056995E-2</v>
          </cell>
          <cell r="J215">
            <v>9.5732376735203628E-2</v>
          </cell>
          <cell r="K215">
            <v>9.8350353610200822E-2</v>
          </cell>
          <cell r="M215">
            <v>0.22387977475239201</v>
          </cell>
          <cell r="N215">
            <v>0.13601620812028201</v>
          </cell>
          <cell r="O215">
            <v>0.20548696511230499</v>
          </cell>
          <cell r="P215">
            <v>0.39231026600996199</v>
          </cell>
          <cell r="Q215">
            <v>0.104332844583176</v>
          </cell>
          <cell r="R215">
            <v>0.10592190179769</v>
          </cell>
          <cell r="S215">
            <v>0.16927882985729301</v>
          </cell>
          <cell r="T215">
            <v>0.19103239860472856</v>
          </cell>
          <cell r="U215">
            <v>0.14786943414630094</v>
          </cell>
        </row>
        <row r="216">
          <cell r="B216" t="str">
            <v>FY(1)</v>
          </cell>
          <cell r="C216">
            <v>0.10404515414710699</v>
          </cell>
          <cell r="D216">
            <v>6.6687112181850305E-2</v>
          </cell>
          <cell r="E216">
            <v>6.2422589015533297E-2</v>
          </cell>
          <cell r="F216">
            <v>9.6331183538582305E-2</v>
          </cell>
          <cell r="G216">
            <v>-2.5775567746272501E-2</v>
          </cell>
          <cell r="H216">
            <v>8.4987217699881004E-2</v>
          </cell>
          <cell r="I216">
            <v>8.8731668016932094E-2</v>
          </cell>
          <cell r="J216">
            <v>6.8204193836230512E-2</v>
          </cell>
          <cell r="K216">
            <v>7.7130352208892403E-2</v>
          </cell>
          <cell r="M216">
            <v>0.162174892436177</v>
          </cell>
          <cell r="N216">
            <v>0.143185850472235</v>
          </cell>
          <cell r="O216">
            <v>0.11845502634267201</v>
          </cell>
          <cell r="P216">
            <v>0.380938063408366</v>
          </cell>
          <cell r="Q216">
            <v>0.13225723833184999</v>
          </cell>
          <cell r="R216">
            <v>9.2321754071047202E-2</v>
          </cell>
          <cell r="S216">
            <v>0.17103981252296999</v>
          </cell>
          <cell r="T216">
            <v>0.17148180536933103</v>
          </cell>
          <cell r="U216">
            <v>0.14808207163736606</v>
          </cell>
        </row>
        <row r="217">
          <cell r="B217" t="str">
            <v>FY0</v>
          </cell>
          <cell r="C217">
            <v>0.11160967981915799</v>
          </cell>
          <cell r="D217">
            <v>4.4509531460659599E-2</v>
          </cell>
          <cell r="E217">
            <v>6.7563520584211403E-2</v>
          </cell>
          <cell r="F217">
            <v>0.10336321093174</v>
          </cell>
          <cell r="G217">
            <v>6.6675553621336403E-3</v>
          </cell>
          <cell r="H217">
            <v>0.108715188123956</v>
          </cell>
          <cell r="I217">
            <v>0.10848544772318799</v>
          </cell>
          <cell r="J217">
            <v>7.8702019143578092E-2</v>
          </cell>
          <cell r="K217">
            <v>8.426922330633202E-2</v>
          </cell>
          <cell r="M217">
            <v>8.1209485992895E-2</v>
          </cell>
          <cell r="N217">
            <v>0.18103762550851499</v>
          </cell>
          <cell r="O217">
            <v>0.108703943060901</v>
          </cell>
          <cell r="P217">
            <v>0.32259807451016098</v>
          </cell>
          <cell r="Q217">
            <v>0.15763347545541601</v>
          </cell>
          <cell r="R217">
            <v>0.11851581812115999</v>
          </cell>
          <cell r="S217">
            <v>0.181223139443348</v>
          </cell>
          <cell r="T217">
            <v>0.16441736601319942</v>
          </cell>
          <cell r="U217">
            <v>0.15550303001779184</v>
          </cell>
        </row>
        <row r="218">
          <cell r="B218" t="str">
            <v>FY1</v>
          </cell>
          <cell r="C218">
            <v>0.12173197357092</v>
          </cell>
          <cell r="D218">
            <v>5.3357941063620601E-2</v>
          </cell>
          <cell r="E218">
            <v>7.6743634084078194E-2</v>
          </cell>
          <cell r="F218">
            <v>0.122034884477426</v>
          </cell>
          <cell r="G218">
            <v>2.6852759782130899E-2</v>
          </cell>
          <cell r="H218">
            <v>0.11615520703313</v>
          </cell>
          <cell r="I218">
            <v>0.11378526708237</v>
          </cell>
          <cell r="J218">
            <v>9.0094523870525106E-2</v>
          </cell>
          <cell r="K218">
            <v>9.4406529570118233E-2</v>
          </cell>
          <cell r="M218">
            <v>0.110449951715234</v>
          </cell>
          <cell r="N218">
            <v>0.17961474625858101</v>
          </cell>
          <cell r="O218">
            <v>0.151070371712476</v>
          </cell>
          <cell r="P218">
            <v>0.32594096856426003</v>
          </cell>
          <cell r="Q218">
            <v>0.15858628173175399</v>
          </cell>
          <cell r="R218">
            <v>0.13062810165174399</v>
          </cell>
          <cell r="S218">
            <v>0.195799470399631</v>
          </cell>
          <cell r="T218">
            <v>0.17886998457624004</v>
          </cell>
          <cell r="U218">
            <v>0.16625746057347451</v>
          </cell>
        </row>
        <row r="219">
          <cell r="B219" t="str">
            <v>FY2</v>
          </cell>
          <cell r="C219">
            <v>0.12631522029067799</v>
          </cell>
          <cell r="D219">
            <v>5.5975618834963901E-2</v>
          </cell>
          <cell r="E219">
            <v>7.8689982782334703E-2</v>
          </cell>
          <cell r="F219">
            <v>0.12637649445693799</v>
          </cell>
          <cell r="G219">
            <v>4.1867140413833298E-2</v>
          </cell>
          <cell r="H219">
            <v>0.12018114538755401</v>
          </cell>
          <cell r="I219">
            <v>0.111585418352566</v>
          </cell>
          <cell r="J219">
            <v>9.442728864555254E-2</v>
          </cell>
          <cell r="K219">
            <v>9.7307209378827392E-2</v>
          </cell>
          <cell r="M219">
            <v>0.12975727102665899</v>
          </cell>
          <cell r="N219">
            <v>0.156953262694106</v>
          </cell>
          <cell r="O219">
            <v>0.162948127561127</v>
          </cell>
          <cell r="P219">
            <v>0.32595194677751899</v>
          </cell>
          <cell r="Q219">
            <v>0.16028707682665699</v>
          </cell>
          <cell r="R219">
            <v>0.13357706976761999</v>
          </cell>
          <cell r="S219">
            <v>0.202178908336487</v>
          </cell>
          <cell r="T219">
            <v>0.18166480899859641</v>
          </cell>
          <cell r="U219">
            <v>0.16975468068720617</v>
          </cell>
        </row>
        <row r="220">
          <cell r="B220" t="str">
            <v>FQ(3)</v>
          </cell>
          <cell r="C220">
            <v>6.8993952721275398E-2</v>
          </cell>
          <cell r="D220">
            <v>2.72883950195312E-2</v>
          </cell>
          <cell r="E220">
            <v>4.6162723600692403E-3</v>
          </cell>
          <cell r="F220">
            <v>8.5580304806565102E-2</v>
          </cell>
          <cell r="G220">
            <v>3.82605840332482E-3</v>
          </cell>
          <cell r="H220">
            <v>8.9181892398848703E-2</v>
          </cell>
          <cell r="I220">
            <v>7.9421958998893996E-2</v>
          </cell>
          <cell r="J220">
            <v>5.1272690672644061E-2</v>
          </cell>
          <cell r="K220">
            <v>4.864096455229492E-2</v>
          </cell>
          <cell r="M220">
            <v>-5.6302754229894197E-2</v>
          </cell>
          <cell r="N220">
            <v>0.137599749034371</v>
          </cell>
          <cell r="O220">
            <v>4.4694444444444398E-2</v>
          </cell>
          <cell r="P220">
            <v>0.26859241099604197</v>
          </cell>
          <cell r="Q220">
            <v>0.11288775183882301</v>
          </cell>
          <cell r="R220">
            <v>3.7798864735685597E-2</v>
          </cell>
          <cell r="S220">
            <v>0.119855715755881</v>
          </cell>
          <cell r="T220">
            <v>9.5018026082193244E-2</v>
          </cell>
          <cell r="U220">
            <v>9.3790997831873113E-2</v>
          </cell>
        </row>
        <row r="221">
          <cell r="B221" t="str">
            <v>FQ(2)</v>
          </cell>
          <cell r="C221">
            <v>0.104834471886495</v>
          </cell>
          <cell r="D221">
            <v>1.6993645456715101E-2</v>
          </cell>
          <cell r="E221">
            <v>5.4608830364058898E-2</v>
          </cell>
          <cell r="F221">
            <v>9.6037296037295994E-2</v>
          </cell>
          <cell r="G221">
            <v>-0.120358699367629</v>
          </cell>
          <cell r="H221">
            <v>9.6878046132726006E-2</v>
          </cell>
          <cell r="I221">
            <v>8.8962087216757899E-2</v>
          </cell>
          <cell r="J221">
            <v>4.8279382532345698E-2</v>
          </cell>
          <cell r="K221">
            <v>6.6864824225143879E-2</v>
          </cell>
          <cell r="M221">
            <v>1.39449264854736E-2</v>
          </cell>
          <cell r="N221">
            <v>0.14350359807513999</v>
          </cell>
          <cell r="O221">
            <v>7.0433822590161704E-2</v>
          </cell>
          <cell r="P221">
            <v>0.28246698142319299</v>
          </cell>
          <cell r="Q221">
            <v>0.115562403697997</v>
          </cell>
          <cell r="R221">
            <v>7.1926004422701903E-2</v>
          </cell>
          <cell r="S221">
            <v>0.17103478651450199</v>
          </cell>
          <cell r="T221">
            <v>0.12412464617273845</v>
          </cell>
          <cell r="U221">
            <v>0.1135492742908866</v>
          </cell>
        </row>
        <row r="222">
          <cell r="B222" t="str">
            <v>FQ(1)</v>
          </cell>
          <cell r="C222">
            <v>8.3683041224388993E-2</v>
          </cell>
          <cell r="D222">
            <v>2.5595672348649401E-2</v>
          </cell>
          <cell r="E222">
            <v>1.6676141747204901E-2</v>
          </cell>
          <cell r="F222">
            <v>9.2077087794432494E-2</v>
          </cell>
          <cell r="G222">
            <v>2.50129071288527E-2</v>
          </cell>
          <cell r="H222">
            <v>9.9060912002999796E-2</v>
          </cell>
          <cell r="I222">
            <v>0.110329067258271</v>
          </cell>
          <cell r="J222">
            <v>6.4633547072114189E-2</v>
          </cell>
          <cell r="K222">
            <v>6.4062510814675261E-2</v>
          </cell>
          <cell r="M222">
            <v>6.0233466545661002E-2</v>
          </cell>
          <cell r="N222">
            <v>0.18611117959699799</v>
          </cell>
          <cell r="O222">
            <v>9.3865910420021306E-2</v>
          </cell>
          <cell r="P222">
            <v>0.29319168887248698</v>
          </cell>
          <cell r="Q222">
            <v>0.139314572304263</v>
          </cell>
          <cell r="R222">
            <v>3.3131912386811499E-2</v>
          </cell>
          <cell r="S222">
            <v>0.18928839691638699</v>
          </cell>
          <cell r="T222">
            <v>0.14216244672037553</v>
          </cell>
          <cell r="U222">
            <v>0.1262935483183491</v>
          </cell>
        </row>
        <row r="223">
          <cell r="B223" t="str">
            <v>Last Reported Q</v>
          </cell>
          <cell r="C223">
            <v>0.11160967981915799</v>
          </cell>
          <cell r="D223">
            <v>4.4509531460659599E-2</v>
          </cell>
          <cell r="E223">
            <v>6.7563520584211403E-2</v>
          </cell>
          <cell r="F223">
            <v>0.10336321093174</v>
          </cell>
          <cell r="G223">
            <v>6.6675553621336403E-3</v>
          </cell>
          <cell r="H223">
            <v>0.108715188123956</v>
          </cell>
          <cell r="I223">
            <v>0.10848544772318799</v>
          </cell>
          <cell r="J223">
            <v>7.8702019143578092E-2</v>
          </cell>
          <cell r="K223">
            <v>8.426922330633202E-2</v>
          </cell>
          <cell r="M223">
            <v>8.1209485992895E-2</v>
          </cell>
          <cell r="N223">
            <v>0.18103762550851499</v>
          </cell>
          <cell r="O223">
            <v>0.108703943060901</v>
          </cell>
          <cell r="P223">
            <v>0.35759174839554703</v>
          </cell>
          <cell r="Q223">
            <v>0.15763347545541601</v>
          </cell>
          <cell r="R223">
            <v>0.11851581812115999</v>
          </cell>
          <cell r="S223">
            <v>0.181223139443348</v>
          </cell>
          <cell r="T223">
            <v>0.16941646228254031</v>
          </cell>
          <cell r="U223">
            <v>0.14595170595884957</v>
          </cell>
        </row>
        <row r="224">
          <cell r="A224" t="str">
            <v>mscalc:ebitdaAsif</v>
          </cell>
          <cell r="B224" t="str">
            <v>LTM</v>
          </cell>
          <cell r="C224">
            <v>0.127067933826118</v>
          </cell>
          <cell r="D224">
            <v>6.9009009009008998E-2</v>
          </cell>
          <cell r="E224">
            <v>0.135049050834501</v>
          </cell>
          <cell r="F224">
            <v>0.12209531311540001</v>
          </cell>
          <cell r="G224">
            <v>3.6233813295468799E-2</v>
          </cell>
          <cell r="H224">
            <v>0.116748887156986</v>
          </cell>
          <cell r="I224">
            <v>0.108424358765925</v>
          </cell>
          <cell r="J224">
            <v>0.1020897665719154</v>
          </cell>
          <cell r="K224">
            <v>0.1107873274572532</v>
          </cell>
          <cell r="M224">
            <v>0.13743401378859399</v>
          </cell>
          <cell r="N224">
            <v>0.198633838519364</v>
          </cell>
          <cell r="O224">
            <v>0.115690329218107</v>
          </cell>
          <cell r="P224">
            <v>0.35759174839554703</v>
          </cell>
          <cell r="Q224">
            <v>0.137629839471199</v>
          </cell>
          <cell r="R224">
            <v>0.192253052164262</v>
          </cell>
          <cell r="S224">
            <v>0.20163706280278601</v>
          </cell>
          <cell r="T224">
            <v>0.19155284062283701</v>
          </cell>
          <cell r="U224">
            <v>0.16893854407472564</v>
          </cell>
        </row>
        <row r="225">
          <cell r="B225" t="str">
            <v>FY(2)</v>
          </cell>
          <cell r="C225">
            <v>2202.471</v>
          </cell>
          <cell r="D225">
            <v>2295</v>
          </cell>
          <cell r="E225">
            <v>3489</v>
          </cell>
          <cell r="F225">
            <v>1432.931</v>
          </cell>
          <cell r="G225">
            <v>194.42413565663199</v>
          </cell>
          <cell r="H225">
            <v>497.78500000000003</v>
          </cell>
          <cell r="I225">
            <v>1627.4839999999999</v>
          </cell>
          <cell r="J225">
            <v>1677.0135908080904</v>
          </cell>
          <cell r="K225">
            <v>11739.095135656633</v>
          </cell>
          <cell r="M225">
            <v>804.245</v>
          </cell>
          <cell r="N225">
            <v>188.31</v>
          </cell>
          <cell r="O225">
            <v>674.822</v>
          </cell>
          <cell r="P225">
            <v>1074.2840000000001</v>
          </cell>
          <cell r="Q225">
            <v>1710</v>
          </cell>
          <cell r="R225">
            <v>1492.085</v>
          </cell>
          <cell r="S225">
            <v>219.702</v>
          </cell>
          <cell r="T225">
            <v>880.49257142857152</v>
          </cell>
          <cell r="U225">
            <v>6163.4480000000003</v>
          </cell>
        </row>
        <row r="226">
          <cell r="B226" t="str">
            <v>Operating Margin Y/Y bps</v>
          </cell>
          <cell r="C226">
            <v>2256.6999999999998</v>
          </cell>
          <cell r="D226">
            <v>2308</v>
          </cell>
          <cell r="E226">
            <v>3355</v>
          </cell>
          <cell r="F226">
            <v>1481.8019999999999</v>
          </cell>
          <cell r="G226">
            <v>270.53497730279503</v>
          </cell>
          <cell r="H226">
            <v>541.79</v>
          </cell>
          <cell r="I226">
            <v>1827.10628618338</v>
          </cell>
          <cell r="J226">
            <v>1720.1333233551682</v>
          </cell>
          <cell r="K226">
            <v>12040.933263486177</v>
          </cell>
          <cell r="M226">
            <v>924.21299999999997</v>
          </cell>
          <cell r="N226">
            <v>236.45400000000001</v>
          </cell>
          <cell r="O226">
            <v>707.95799999999997</v>
          </cell>
          <cell r="P226">
            <v>1279.933</v>
          </cell>
          <cell r="Q226">
            <v>1896</v>
          </cell>
          <cell r="R226">
            <v>1213.1210000000001</v>
          </cell>
          <cell r="S226">
            <v>294.96199999999999</v>
          </cell>
          <cell r="T226">
            <v>936.09157142857134</v>
          </cell>
          <cell r="U226">
            <v>6552.6409999999996</v>
          </cell>
        </row>
        <row r="227">
          <cell r="B227" t="str">
            <v>FY(10)</v>
          </cell>
          <cell r="C227">
            <v>2077.9659999999999</v>
          </cell>
          <cell r="D227">
            <v>1597.80967741935</v>
          </cell>
          <cell r="E227">
            <v>2676</v>
          </cell>
          <cell r="F227">
            <v>1081.5509999999999</v>
          </cell>
          <cell r="G227">
            <v>20.883918009447999</v>
          </cell>
          <cell r="H227">
            <v>632.69015938101995</v>
          </cell>
          <cell r="I227">
            <v>1836.4380000000001</v>
          </cell>
          <cell r="J227">
            <v>1417.6198221156883</v>
          </cell>
          <cell r="K227">
            <v>9923.3387548098181</v>
          </cell>
          <cell r="M227">
            <v>696.773345376066</v>
          </cell>
          <cell r="N227">
            <v>294.072</v>
          </cell>
          <cell r="O227">
            <v>440.01</v>
          </cell>
          <cell r="P227">
            <v>1123.2919999999999</v>
          </cell>
          <cell r="Q227">
            <v>2116</v>
          </cell>
          <cell r="R227">
            <v>1060.547</v>
          </cell>
          <cell r="S227">
            <v>381.38400000000001</v>
          </cell>
          <cell r="T227">
            <v>873.15404933943807</v>
          </cell>
          <cell r="U227">
            <v>6112.0783453760669</v>
          </cell>
        </row>
        <row r="228">
          <cell r="B228" t="str">
            <v>FY(9)</v>
          </cell>
          <cell r="C228">
            <v>62.508698419419943</v>
          </cell>
          <cell r="D228">
            <v>1147.6229306386499</v>
          </cell>
          <cell r="E228">
            <v>23.190117634159929</v>
          </cell>
          <cell r="F228">
            <v>1067.8591081142599</v>
          </cell>
          <cell r="G228">
            <v>80.279486002775201</v>
          </cell>
          <cell r="H228">
            <v>-85.722445261109954</v>
          </cell>
          <cell r="I228">
            <v>-55.94125473822001</v>
          </cell>
          <cell r="J228">
            <v>-13.991220986437522</v>
          </cell>
          <cell r="K228">
            <v>163.63227994691553</v>
          </cell>
          <cell r="M228">
            <v>-289.60285912147998</v>
          </cell>
          <cell r="N228">
            <v>413.98299847029898</v>
          </cell>
          <cell r="O228">
            <v>-529.58047458125986</v>
          </cell>
          <cell r="P228">
            <v>569.20861717709397</v>
          </cell>
          <cell r="Q228">
            <v>2316.3087515114398</v>
          </cell>
          <cell r="R228">
            <v>64.589004760179918</v>
          </cell>
          <cell r="S228">
            <v>-588.53100067247294</v>
          </cell>
          <cell r="T228">
            <v>-154.78334248758779</v>
          </cell>
          <cell r="U228">
            <v>-48.215296494902724</v>
          </cell>
        </row>
        <row r="229">
          <cell r="A229">
            <v>2000</v>
          </cell>
          <cell r="B229" t="str">
            <v>FY(8)</v>
          </cell>
          <cell r="C229">
            <v>91.03132064154002</v>
          </cell>
          <cell r="D229">
            <v>210.97508145632401</v>
          </cell>
          <cell r="E229">
            <v>-190.37234592454294</v>
          </cell>
          <cell r="F229">
            <v>34.161564935549016</v>
          </cell>
          <cell r="G229">
            <v>120.232444262407</v>
          </cell>
          <cell r="H229">
            <v>-66.914211196460045</v>
          </cell>
          <cell r="I229">
            <v>-78.678061445185961</v>
          </cell>
          <cell r="J229">
            <v>3.3891411204012435E-2</v>
          </cell>
          <cell r="K229">
            <v>122.49688919317562</v>
          </cell>
          <cell r="M229">
            <v>-47.14202234840009</v>
          </cell>
          <cell r="N229">
            <v>424.20883851481801</v>
          </cell>
          <cell r="O229">
            <v>-322.63524761437014</v>
          </cell>
          <cell r="P229">
            <v>804.47400958100991</v>
          </cell>
          <cell r="Q229">
            <v>2331.5571745024199</v>
          </cell>
          <cell r="R229">
            <v>-89.297343102320013</v>
          </cell>
          <cell r="S229">
            <v>223.19931117773291</v>
          </cell>
          <cell r="T229">
            <v>113.71974153873052</v>
          </cell>
          <cell r="U229">
            <v>197.74276164353122</v>
          </cell>
        </row>
        <row r="230">
          <cell r="A230">
            <v>2001</v>
          </cell>
          <cell r="B230" t="str">
            <v>FY(7)</v>
          </cell>
          <cell r="C230">
            <v>49.149839329310083</v>
          </cell>
          <cell r="D230">
            <v>99.233456983777998</v>
          </cell>
          <cell r="E230">
            <v>42.082779412239979</v>
          </cell>
          <cell r="F230">
            <v>99.802596669385991</v>
          </cell>
          <cell r="G230">
            <v>-65.959999999999994</v>
          </cell>
          <cell r="H230">
            <v>50.469195922620003</v>
          </cell>
          <cell r="I230">
            <v>-16.886793836548009</v>
          </cell>
          <cell r="J230">
            <v>53.975179080130999</v>
          </cell>
          <cell r="K230">
            <v>70.738413320285829</v>
          </cell>
          <cell r="M230">
            <v>57.209848913150061</v>
          </cell>
          <cell r="N230">
            <v>128.65899999999999</v>
          </cell>
          <cell r="O230">
            <v>-30.635476890620016</v>
          </cell>
          <cell r="P230">
            <v>-51.270173621209835</v>
          </cell>
          <cell r="Q230">
            <v>439.97080982288298</v>
          </cell>
          <cell r="R230">
            <v>121.72119112402</v>
          </cell>
          <cell r="S230">
            <v>345.90223240993009</v>
          </cell>
          <cell r="T230">
            <v>147.14973862635887</v>
          </cell>
          <cell r="U230">
            <v>279.03581540875052</v>
          </cell>
        </row>
        <row r="231">
          <cell r="A231">
            <v>2002</v>
          </cell>
          <cell r="B231" t="str">
            <v>FY(6)</v>
          </cell>
          <cell r="C231">
            <v>-187.62291042933003</v>
          </cell>
          <cell r="D231">
            <v>-40.608294797810984</v>
          </cell>
          <cell r="E231">
            <v>7.8170175456900024</v>
          </cell>
          <cell r="F231">
            <v>209.720391142686</v>
          </cell>
          <cell r="G231">
            <v>35.716999999999999</v>
          </cell>
          <cell r="H231">
            <v>13.348844849720015</v>
          </cell>
          <cell r="I231">
            <v>-42.627771762181048</v>
          </cell>
          <cell r="J231">
            <v>-6.6621205752043409</v>
          </cell>
          <cell r="K231">
            <v>-47.416461911358873</v>
          </cell>
          <cell r="M231">
            <v>-17.903713775339892</v>
          </cell>
          <cell r="N231">
            <v>67.896000000000001</v>
          </cell>
          <cell r="O231">
            <v>-116.78511827054996</v>
          </cell>
          <cell r="P231">
            <v>565.57156528880989</v>
          </cell>
          <cell r="Q231">
            <v>460.0824294405881</v>
          </cell>
          <cell r="R231">
            <v>58.203262784869978</v>
          </cell>
          <cell r="S231">
            <v>329.82550294261006</v>
          </cell>
          <cell r="T231">
            <v>213.16565473516471</v>
          </cell>
          <cell r="U231">
            <v>304.10588059625445</v>
          </cell>
        </row>
        <row r="232">
          <cell r="B232" t="str">
            <v>FY(5)</v>
          </cell>
          <cell r="C232">
            <v>53.880851346869981</v>
          </cell>
          <cell r="D232">
            <v>246.34942403311607</v>
          </cell>
          <cell r="E232">
            <v>14.701856092999982</v>
          </cell>
          <cell r="F232">
            <v>268.19729283106994</v>
          </cell>
          <cell r="G232">
            <v>-31.690999999999999</v>
          </cell>
          <cell r="H232">
            <v>-280.63289918303394</v>
          </cell>
          <cell r="I232">
            <v>-41.886619048554927</v>
          </cell>
          <cell r="J232">
            <v>43.434984345411188</v>
          </cell>
          <cell r="K232">
            <v>83.28499468953504</v>
          </cell>
          <cell r="M232">
            <v>-37.997627305630111</v>
          </cell>
          <cell r="N232">
            <v>252.60856284038013</v>
          </cell>
          <cell r="O232">
            <v>1045.51392442824</v>
          </cell>
          <cell r="P232">
            <v>718.15964064507023</v>
          </cell>
          <cell r="Q232">
            <v>68.257087727290056</v>
          </cell>
          <cell r="R232">
            <v>-19.29987072409989</v>
          </cell>
          <cell r="S232">
            <v>274.76400136248998</v>
          </cell>
          <cell r="T232">
            <v>328.85795985339149</v>
          </cell>
          <cell r="U232">
            <v>142.53363962315606</v>
          </cell>
        </row>
        <row r="233">
          <cell r="B233" t="str">
            <v>FY(4)</v>
          </cell>
          <cell r="C233">
            <v>33.68501665489007</v>
          </cell>
          <cell r="D233">
            <v>172.42346896396796</v>
          </cell>
          <cell r="E233">
            <v>17.046235088375024</v>
          </cell>
          <cell r="F233">
            <v>150.73241930165003</v>
          </cell>
          <cell r="G233">
            <v>-297.4717670669354</v>
          </cell>
          <cell r="H233">
            <v>-45.780887081627029</v>
          </cell>
          <cell r="I233">
            <v>-44.860344442400056</v>
          </cell>
          <cell r="J233">
            <v>-2.0322655117256292</v>
          </cell>
          <cell r="K233">
            <v>49.708537862586667</v>
          </cell>
          <cell r="M233">
            <v>206.16382761031005</v>
          </cell>
          <cell r="N233">
            <v>-339.91001155204992</v>
          </cell>
          <cell r="O233">
            <v>3.1298148906899748</v>
          </cell>
          <cell r="P233">
            <v>350.53093653508006</v>
          </cell>
          <cell r="Q233">
            <v>-229.42000374110012</v>
          </cell>
          <cell r="R233">
            <v>-198.92509377309005</v>
          </cell>
          <cell r="S233">
            <v>7.9392228189198448</v>
          </cell>
          <cell r="T233">
            <v>-28.64161531589145</v>
          </cell>
          <cell r="U233">
            <v>-99.422003592611048</v>
          </cell>
        </row>
        <row r="234">
          <cell r="B234" t="str">
            <v>FY(3)</v>
          </cell>
          <cell r="C234">
            <v>106.80032347859984</v>
          </cell>
          <cell r="D234">
            <v>87.025680452336019</v>
          </cell>
          <cell r="E234">
            <v>-101.16974207639295</v>
          </cell>
          <cell r="F234">
            <v>134.83930585960994</v>
          </cell>
          <cell r="G234">
            <v>455.08348502501536</v>
          </cell>
          <cell r="H234">
            <v>21.712227894088027</v>
          </cell>
          <cell r="I234">
            <v>52.328489165171938</v>
          </cell>
          <cell r="J234">
            <v>108.08853854263261</v>
          </cell>
          <cell r="K234">
            <v>47.709156308266557</v>
          </cell>
          <cell r="M234">
            <v>-42.98264957891984</v>
          </cell>
          <cell r="N234">
            <v>-2.3958475389200542</v>
          </cell>
          <cell r="O234">
            <v>79.496041300410042</v>
          </cell>
          <cell r="P234">
            <v>189.13465146734976</v>
          </cell>
          <cell r="Q234">
            <v>-260.95001692666193</v>
          </cell>
          <cell r="R234">
            <v>81.708456480319995</v>
          </cell>
          <cell r="S234">
            <v>-518.54295343789988</v>
          </cell>
          <cell r="T234">
            <v>-67.790331176331705</v>
          </cell>
          <cell r="U234">
            <v>-58.30871862547243</v>
          </cell>
        </row>
        <row r="235">
          <cell r="B235" t="str">
            <v>FY(2)</v>
          </cell>
          <cell r="C235">
            <v>-72.55472343276989</v>
          </cell>
          <cell r="D235">
            <v>-13.652926921126074</v>
          </cell>
          <cell r="E235">
            <v>-51.136093027441959</v>
          </cell>
          <cell r="F235">
            <v>32.564906464150056</v>
          </cell>
          <cell r="G235">
            <v>171.92106869900005</v>
          </cell>
          <cell r="H235">
            <v>37.517175340053001</v>
          </cell>
          <cell r="I235">
            <v>31.494674559087997</v>
          </cell>
          <cell r="J235">
            <v>19.450583097279029</v>
          </cell>
          <cell r="K235">
            <v>-11.563665892048435</v>
          </cell>
          <cell r="M235">
            <v>-48.611418453470002</v>
          </cell>
          <cell r="N235">
            <v>126.42597246450005</v>
          </cell>
          <cell r="O235">
            <v>-179.39866270455019</v>
          </cell>
          <cell r="P235">
            <v>255.92691841554992</v>
          </cell>
          <cell r="Q235">
            <v>131.97088045693195</v>
          </cell>
          <cell r="R235">
            <v>-131.17975911106998</v>
          </cell>
          <cell r="S235">
            <v>203.78747822821009</v>
          </cell>
          <cell r="T235">
            <v>51.274487042300265</v>
          </cell>
          <cell r="U235">
            <v>86.288607063516878</v>
          </cell>
        </row>
        <row r="236">
          <cell r="B236" t="str">
            <v>FY(1)</v>
          </cell>
          <cell r="C236">
            <v>-161.83946934906004</v>
          </cell>
          <cell r="D236">
            <v>-332.30833135527092</v>
          </cell>
          <cell r="E236">
            <v>-212.89782884224408</v>
          </cell>
          <cell r="F236">
            <v>-448.37586372380696</v>
          </cell>
          <cell r="G236">
            <v>-790.16788234910803</v>
          </cell>
          <cell r="H236">
            <v>43.071328132620046</v>
          </cell>
          <cell r="I236">
            <v>-24.454755441249006</v>
          </cell>
          <cell r="J236">
            <v>-275.28182898973131</v>
          </cell>
          <cell r="K236">
            <v>-212.2000140130842</v>
          </cell>
          <cell r="M236">
            <v>-617.04882316215014</v>
          </cell>
          <cell r="N236">
            <v>71.696423519529986</v>
          </cell>
          <cell r="O236">
            <v>-870.31938769632984</v>
          </cell>
          <cell r="P236">
            <v>-113.72202601595993</v>
          </cell>
          <cell r="Q236">
            <v>279.24393748673992</v>
          </cell>
          <cell r="R236">
            <v>-136.00147726642794</v>
          </cell>
          <cell r="S236">
            <v>17.609826656769801</v>
          </cell>
          <cell r="T236">
            <v>-195.50593235397542</v>
          </cell>
          <cell r="U236">
            <v>2.1263749106512075</v>
          </cell>
        </row>
        <row r="237">
          <cell r="B237" t="str">
            <v>FY0</v>
          </cell>
          <cell r="C237">
            <v>75.645256720510005</v>
          </cell>
          <cell r="D237">
            <v>-221.77580721190708</v>
          </cell>
          <cell r="E237">
            <v>51.409315686781056</v>
          </cell>
          <cell r="F237">
            <v>70.320273931576978</v>
          </cell>
          <cell r="G237">
            <v>324.43123108406144</v>
          </cell>
          <cell r="H237">
            <v>237.27970424074999</v>
          </cell>
          <cell r="I237">
            <v>197.53779706255901</v>
          </cell>
          <cell r="J237">
            <v>104.97825307347591</v>
          </cell>
          <cell r="K237">
            <v>71.388710974396176</v>
          </cell>
          <cell r="M237">
            <v>-809.65406443281995</v>
          </cell>
          <cell r="N237">
            <v>378.51775036279986</v>
          </cell>
          <cell r="O237">
            <v>-97.510832817710025</v>
          </cell>
          <cell r="P237">
            <v>-583.39988898205024</v>
          </cell>
          <cell r="Q237">
            <v>253.76237123566014</v>
          </cell>
          <cell r="R237">
            <v>261.94064050112792</v>
          </cell>
          <cell r="S237">
            <v>101.83326920378016</v>
          </cell>
          <cell r="T237">
            <v>-70.644393561316008</v>
          </cell>
          <cell r="U237">
            <v>74.20958380425779</v>
          </cell>
        </row>
        <row r="238">
          <cell r="B238" t="str">
            <v>FY1</v>
          </cell>
          <cell r="C238">
            <v>101.22293751762004</v>
          </cell>
          <cell r="D238">
            <v>88.484096029610015</v>
          </cell>
          <cell r="E238">
            <v>91.801134998667905</v>
          </cell>
          <cell r="F238">
            <v>186.71673545685996</v>
          </cell>
          <cell r="G238">
            <v>201.85204419997257</v>
          </cell>
          <cell r="H238">
            <v>74.400189091739932</v>
          </cell>
          <cell r="I238">
            <v>52.998193591820012</v>
          </cell>
          <cell r="J238">
            <v>113.92504726947006</v>
          </cell>
          <cell r="K238">
            <v>101.37306263786213</v>
          </cell>
          <cell r="M238">
            <v>292.40465722339002</v>
          </cell>
          <cell r="N238">
            <v>-14.228792499339782</v>
          </cell>
          <cell r="O238">
            <v>423.66428651575001</v>
          </cell>
          <cell r="P238">
            <v>33.428940540990439</v>
          </cell>
          <cell r="Q238">
            <v>9.5280627633798076</v>
          </cell>
          <cell r="R238">
            <v>121.12283530583994</v>
          </cell>
          <cell r="S238">
            <v>145.76330956282996</v>
          </cell>
          <cell r="T238">
            <v>144.52618563040576</v>
          </cell>
          <cell r="U238">
            <v>107.54430555682676</v>
          </cell>
        </row>
        <row r="239">
          <cell r="B239" t="str">
            <v>FY2</v>
          </cell>
          <cell r="C239">
            <v>45.832467197579888</v>
          </cell>
          <cell r="D239">
            <v>26.176777713433005</v>
          </cell>
          <cell r="E239">
            <v>19.463486982565087</v>
          </cell>
          <cell r="F239">
            <v>43.416099795119955</v>
          </cell>
          <cell r="G239">
            <v>150.143806317024</v>
          </cell>
          <cell r="H239">
            <v>40.259383544240109</v>
          </cell>
          <cell r="I239">
            <v>-21.998487298039993</v>
          </cell>
          <cell r="J239">
            <v>43.327647750274579</v>
          </cell>
          <cell r="K239">
            <v>29.006798087091585</v>
          </cell>
          <cell r="M239">
            <v>193.07319311424988</v>
          </cell>
          <cell r="N239">
            <v>-226.61483564475006</v>
          </cell>
          <cell r="O239">
            <v>118.77755848651</v>
          </cell>
          <cell r="P239">
            <v>0.10978213258960867</v>
          </cell>
          <cell r="Q239">
            <v>17.007950949030072</v>
          </cell>
          <cell r="R239">
            <v>29.489681158759996</v>
          </cell>
          <cell r="S239">
            <v>63.794379368559973</v>
          </cell>
          <cell r="T239">
            <v>27.948244223564213</v>
          </cell>
          <cell r="U239">
            <v>34.972201137316581</v>
          </cell>
        </row>
        <row r="240">
          <cell r="B240" t="str">
            <v>FY1</v>
          </cell>
          <cell r="C240">
            <v>0.13117500179456759</v>
          </cell>
          <cell r="D240">
            <v>6.5535084047614267E-2</v>
          </cell>
          <cell r="E240">
            <v>0.10804999268238555</v>
          </cell>
          <cell r="F240">
            <v>0.13221807124923712</v>
          </cell>
          <cell r="G240">
            <v>3.1162078748501736E-2</v>
          </cell>
          <cell r="H240">
            <v>0.12228683052740648</v>
          </cell>
          <cell r="I240">
            <v>0.1153049316705531</v>
          </cell>
          <cell r="J240">
            <v>0.10081885581718085</v>
          </cell>
          <cell r="K240">
            <v>0.10694626695883833</v>
          </cell>
          <cell r="M240">
            <v>0.12962426004451924</v>
          </cell>
          <cell r="N240">
            <v>0.18973740063040617</v>
          </cell>
          <cell r="O240">
            <v>0.13377350142150843</v>
          </cell>
          <cell r="P240">
            <v>0.35011759997554609</v>
          </cell>
          <cell r="Q240">
            <v>0.16236654871799841</v>
          </cell>
          <cell r="R240">
            <v>0.13396830763081341</v>
          </cell>
          <cell r="S240">
            <v>0.21679103616775808</v>
          </cell>
          <cell r="T240">
            <v>0.18805409351264998</v>
          </cell>
          <cell r="U240">
            <v>0.1733366804761057</v>
          </cell>
        </row>
        <row r="241">
          <cell r="A241" t="str">
            <v>mscalc:ebitdaAsif</v>
          </cell>
          <cell r="B241" t="str">
            <v>EBITDA</v>
          </cell>
          <cell r="C241">
            <v>0.13801265994185535</v>
          </cell>
          <cell r="D241">
            <v>7.4867910171283802E-2</v>
          </cell>
          <cell r="E241">
            <v>0.1136629993270056</v>
          </cell>
          <cell r="F241">
            <v>0.14093185001476541</v>
          </cell>
          <cell r="G241">
            <v>4.5921397918058639E-2</v>
          </cell>
          <cell r="H241">
            <v>0.1175957634752702</v>
          </cell>
          <cell r="I241">
            <v>0.11813013251826068</v>
          </cell>
          <cell r="J241">
            <v>0.10701753048092852</v>
          </cell>
          <cell r="K241">
            <v>0.11299195340745029</v>
          </cell>
          <cell r="M241">
            <v>0.14313028905740297</v>
          </cell>
          <cell r="N241">
            <v>0.17561141951556042</v>
          </cell>
          <cell r="O241">
            <v>0.15127350142150642</v>
          </cell>
          <cell r="P241">
            <v>0.35199628077742695</v>
          </cell>
          <cell r="Q241">
            <v>0.16530301615151075</v>
          </cell>
          <cell r="R241">
            <v>0.14404459148537194</v>
          </cell>
          <cell r="S241">
            <v>0.22707900481134527</v>
          </cell>
          <cell r="T241">
            <v>0.19406258617430353</v>
          </cell>
          <cell r="U241">
            <v>0.18029940089007807</v>
          </cell>
        </row>
        <row r="242">
          <cell r="B242" t="str">
            <v>FY(2)</v>
          </cell>
          <cell r="C242">
            <v>2256.6999999999998</v>
          </cell>
          <cell r="D242">
            <v>2308</v>
          </cell>
          <cell r="E242">
            <v>3355</v>
          </cell>
          <cell r="F242">
            <v>1481.8019999999999</v>
          </cell>
          <cell r="G242">
            <v>270.53497730279503</v>
          </cell>
          <cell r="H242">
            <v>541.79</v>
          </cell>
          <cell r="I242">
            <v>1827.10628618338</v>
          </cell>
          <cell r="J242">
            <v>1720.1333233551682</v>
          </cell>
          <cell r="K242">
            <v>12040.933263486177</v>
          </cell>
          <cell r="M242">
            <v>962.62599999999998</v>
          </cell>
          <cell r="N242">
            <v>236.45400000000001</v>
          </cell>
          <cell r="O242">
            <v>707.95799999999997</v>
          </cell>
          <cell r="P242">
            <v>1074.2840000000001</v>
          </cell>
          <cell r="Q242">
            <v>1896</v>
          </cell>
          <cell r="R242">
            <v>1213.1210000000001</v>
          </cell>
          <cell r="S242">
            <v>294.96199999999999</v>
          </cell>
          <cell r="T242">
            <v>912.20071428571441</v>
          </cell>
          <cell r="U242">
            <v>6385.4050000000007</v>
          </cell>
        </row>
        <row r="243">
          <cell r="B243" t="str">
            <v>FY(1)</v>
          </cell>
          <cell r="C243">
            <v>2077.9659999999999</v>
          </cell>
          <cell r="D243">
            <v>1597.80967741935</v>
          </cell>
          <cell r="E243">
            <v>2676</v>
          </cell>
          <cell r="F243">
            <v>1081.5509999999999</v>
          </cell>
          <cell r="G243">
            <v>24.9609180094481</v>
          </cell>
          <cell r="H243">
            <v>632.69015938101995</v>
          </cell>
          <cell r="I243">
            <v>1836.4380000000001</v>
          </cell>
          <cell r="J243">
            <v>1418.2022506871167</v>
          </cell>
          <cell r="K243">
            <v>9927.4157548098174</v>
          </cell>
          <cell r="M243">
            <v>725.05174913631095</v>
          </cell>
          <cell r="N243">
            <v>294.072</v>
          </cell>
          <cell r="O243">
            <v>440.01</v>
          </cell>
          <cell r="P243">
            <v>1279.933</v>
          </cell>
          <cell r="Q243">
            <v>2116</v>
          </cell>
          <cell r="R243">
            <v>1060.547</v>
          </cell>
          <cell r="S243">
            <v>381.38400000000001</v>
          </cell>
          <cell r="T243">
            <v>899.57110701947306</v>
          </cell>
          <cell r="U243">
            <v>6296.9977491363115</v>
          </cell>
        </row>
        <row r="244">
          <cell r="B244" t="str">
            <v>FY0</v>
          </cell>
          <cell r="C244">
            <v>2301</v>
          </cell>
          <cell r="D244">
            <v>1158</v>
          </cell>
          <cell r="E244">
            <v>2664</v>
          </cell>
          <cell r="F244">
            <v>1147</v>
          </cell>
          <cell r="G244">
            <v>115.125</v>
          </cell>
          <cell r="H244">
            <v>885.16499999999996</v>
          </cell>
          <cell r="I244">
            <v>2426.2710000000002</v>
          </cell>
          <cell r="J244">
            <v>1528.0801428571431</v>
          </cell>
          <cell r="K244">
            <v>10696.561000000002</v>
          </cell>
          <cell r="M244">
            <v>387.79300000000001</v>
          </cell>
          <cell r="N244">
            <v>438.83600000000001</v>
          </cell>
          <cell r="O244">
            <v>401.83100000000002</v>
          </cell>
          <cell r="P244">
            <v>1123.2919999999999</v>
          </cell>
          <cell r="Q244">
            <v>2384</v>
          </cell>
          <cell r="R244">
            <v>1218.6880000000001</v>
          </cell>
          <cell r="S244">
            <v>430.70760552622602</v>
          </cell>
          <cell r="T244">
            <v>912.1639436466038</v>
          </cell>
          <cell r="U244">
            <v>6385.1476055262265</v>
          </cell>
        </row>
        <row r="245">
          <cell r="B245" t="str">
            <v>FY1</v>
          </cell>
          <cell r="C245">
            <v>2686.84181622079</v>
          </cell>
          <cell r="D245">
            <v>1347.8740241831399</v>
          </cell>
          <cell r="E245">
            <v>2960.5821133261602</v>
          </cell>
          <cell r="F245">
            <v>1374.02006461376</v>
          </cell>
          <cell r="G245">
            <v>161.96668774929</v>
          </cell>
          <cell r="H245">
            <v>1041.9889630135999</v>
          </cell>
          <cell r="I245">
            <v>2767.47676537285</v>
          </cell>
          <cell r="J245">
            <v>1762.9643477827988</v>
          </cell>
          <cell r="K245">
            <v>12340.750434479591</v>
          </cell>
          <cell r="M245">
            <v>506.856434846556</v>
          </cell>
          <cell r="N245">
            <v>482.94581708179197</v>
          </cell>
          <cell r="O245">
            <v>538.32960467117198</v>
          </cell>
          <cell r="P245">
            <v>1229.7363768574801</v>
          </cell>
          <cell r="Q245">
            <v>2324.7604263346402</v>
          </cell>
          <cell r="R245">
            <v>1405.9915882274099</v>
          </cell>
          <cell r="S245">
            <v>533.82068847242601</v>
          </cell>
          <cell r="T245">
            <v>1003.2058480702109</v>
          </cell>
          <cell r="U245">
            <v>7022.4409364914764</v>
          </cell>
        </row>
        <row r="246">
          <cell r="B246" t="str">
            <v>FY2</v>
          </cell>
          <cell r="C246">
            <v>3008.6000665880301</v>
          </cell>
          <cell r="D246">
            <v>1441.20570650286</v>
          </cell>
          <cell r="E246">
            <v>3034.9502716429602</v>
          </cell>
          <cell r="F246">
            <v>1490.9045633425301</v>
          </cell>
          <cell r="G246">
            <v>234.34480855729399</v>
          </cell>
          <cell r="H246">
            <v>1101.5944246275301</v>
          </cell>
          <cell r="I246">
            <v>2899.7095667612998</v>
          </cell>
          <cell r="J246">
            <v>1887.3299154317865</v>
          </cell>
          <cell r="K246">
            <v>13211.309408022506</v>
          </cell>
          <cell r="M246">
            <v>606.38347910348796</v>
          </cell>
          <cell r="N246">
            <v>494.18589722787698</v>
          </cell>
          <cell r="O246">
            <v>636.55593877707702</v>
          </cell>
          <cell r="P246">
            <v>1322.4822084172999</v>
          </cell>
          <cell r="Q246">
            <v>2344.0587649516701</v>
          </cell>
          <cell r="R246">
            <v>1533.4490512956399</v>
          </cell>
          <cell r="S246">
            <v>628.90968806985495</v>
          </cell>
          <cell r="T246">
            <v>1080.8607182632725</v>
          </cell>
          <cell r="U246">
            <v>7566.0250278429075</v>
          </cell>
        </row>
        <row r="247">
          <cell r="B247" t="str">
            <v>FQ(3)</v>
          </cell>
          <cell r="C247">
            <v>392</v>
          </cell>
          <cell r="D247">
            <v>226</v>
          </cell>
          <cell r="E247">
            <v>327</v>
          </cell>
          <cell r="F247">
            <v>223</v>
          </cell>
          <cell r="G247">
            <v>35.716999999999999</v>
          </cell>
          <cell r="H247">
            <v>188.416</v>
          </cell>
          <cell r="I247">
            <v>449.96800000000002</v>
          </cell>
          <cell r="J247">
            <v>263.15728571428571</v>
          </cell>
          <cell r="K247">
            <v>1842.1010000000001</v>
          </cell>
          <cell r="M247">
            <v>25.797000000000001</v>
          </cell>
          <cell r="N247">
            <v>67.896000000000001</v>
          </cell>
          <cell r="O247">
            <v>62.247</v>
          </cell>
          <cell r="P247">
            <v>229.47300000000001</v>
          </cell>
          <cell r="Q247">
            <v>496</v>
          </cell>
          <cell r="R247">
            <v>150.21199999999999</v>
          </cell>
          <cell r="S247">
            <v>68.209999999999994</v>
          </cell>
          <cell r="T247">
            <v>157.11928571428572</v>
          </cell>
          <cell r="U247">
            <v>1099.835</v>
          </cell>
        </row>
        <row r="248">
          <cell r="B248" t="str">
            <v>FQ(2)</v>
          </cell>
          <cell r="C248">
            <v>543</v>
          </cell>
          <cell r="D248">
            <v>188</v>
          </cell>
          <cell r="E248">
            <v>583</v>
          </cell>
          <cell r="F248">
            <v>284</v>
          </cell>
          <cell r="G248">
            <v>-31.690999999999999</v>
          </cell>
          <cell r="H248">
            <v>209.28800000000001</v>
          </cell>
          <cell r="I248">
            <v>527.60299999999995</v>
          </cell>
          <cell r="J248">
            <v>329.02857142857141</v>
          </cell>
          <cell r="K248">
            <v>2303.1999999999998</v>
          </cell>
          <cell r="M248">
            <v>67.600999999999999</v>
          </cell>
          <cell r="N248">
            <v>77.688999999999993</v>
          </cell>
          <cell r="O248">
            <v>81.658000000000001</v>
          </cell>
          <cell r="P248">
            <v>250.87799999999999</v>
          </cell>
          <cell r="Q248">
            <v>516</v>
          </cell>
          <cell r="R248">
            <v>236.643</v>
          </cell>
          <cell r="S248">
            <v>101.444</v>
          </cell>
          <cell r="T248">
            <v>190.27328571428572</v>
          </cell>
          <cell r="U248">
            <v>1331.913</v>
          </cell>
        </row>
        <row r="249">
          <cell r="B249" t="str">
            <v>FQ(1)</v>
          </cell>
          <cell r="C249">
            <v>489</v>
          </cell>
          <cell r="D249">
            <v>230</v>
          </cell>
          <cell r="E249">
            <v>389</v>
          </cell>
          <cell r="F249">
            <v>251</v>
          </cell>
          <cell r="G249">
            <v>48.911000000000001</v>
          </cell>
          <cell r="H249">
            <v>212.46199999999999</v>
          </cell>
          <cell r="I249">
            <v>688.21</v>
          </cell>
          <cell r="J249">
            <v>329.79757142857142</v>
          </cell>
          <cell r="K249">
            <v>2308.5830000000001</v>
          </cell>
          <cell r="M249">
            <v>105.699</v>
          </cell>
          <cell r="N249">
            <v>118.661</v>
          </cell>
          <cell r="O249">
            <v>106.85899999999999</v>
          </cell>
          <cell r="P249">
            <v>256.62700000000001</v>
          </cell>
          <cell r="Q249">
            <v>647</v>
          </cell>
          <cell r="R249">
            <v>147.88499999999999</v>
          </cell>
          <cell r="S249">
            <v>119.389</v>
          </cell>
          <cell r="T249">
            <v>214.58857142857141</v>
          </cell>
          <cell r="U249">
            <v>1502.12</v>
          </cell>
        </row>
        <row r="250">
          <cell r="B250" t="str">
            <v>Last Reported Q</v>
          </cell>
          <cell r="C250">
            <v>2301</v>
          </cell>
          <cell r="D250">
            <v>1158</v>
          </cell>
          <cell r="E250">
            <v>2664</v>
          </cell>
          <cell r="F250">
            <v>1147</v>
          </cell>
          <cell r="G250">
            <v>115.125</v>
          </cell>
          <cell r="H250">
            <v>885.16499999999996</v>
          </cell>
          <cell r="I250">
            <v>2426.2710000000002</v>
          </cell>
          <cell r="J250">
            <v>1528.0801428571431</v>
          </cell>
          <cell r="K250">
            <v>10696.561000000002</v>
          </cell>
          <cell r="M250">
            <v>387.79300000000001</v>
          </cell>
          <cell r="N250">
            <v>438.83600000000001</v>
          </cell>
          <cell r="O250">
            <v>401.83100000000002</v>
          </cell>
          <cell r="P250">
            <v>408.89</v>
          </cell>
          <cell r="Q250">
            <v>2384</v>
          </cell>
          <cell r="R250">
            <v>1218.6880000000001</v>
          </cell>
          <cell r="S250">
            <v>430.70760552622602</v>
          </cell>
          <cell r="T250">
            <v>810.10651507517525</v>
          </cell>
          <cell r="U250">
            <v>5670.7456055262264</v>
          </cell>
        </row>
        <row r="251">
          <cell r="B251" t="str">
            <v>LTM</v>
          </cell>
          <cell r="C251">
            <v>3725</v>
          </cell>
          <cell r="D251">
            <v>1802</v>
          </cell>
          <cell r="E251">
            <v>3963</v>
          </cell>
          <cell r="F251">
            <v>1905</v>
          </cell>
          <cell r="G251">
            <v>168.06200000000001</v>
          </cell>
          <cell r="H251">
            <v>1495.3309999999999</v>
          </cell>
          <cell r="I251">
            <v>4092.0520000000001</v>
          </cell>
          <cell r="J251">
            <v>2450.0635714285713</v>
          </cell>
          <cell r="K251">
            <v>17150.445</v>
          </cell>
          <cell r="M251">
            <v>586.89</v>
          </cell>
          <cell r="N251">
            <v>703.08199999999999</v>
          </cell>
          <cell r="O251">
            <v>652.59500000000003</v>
          </cell>
          <cell r="P251">
            <v>1145.8679999999999</v>
          </cell>
          <cell r="Q251">
            <v>4043</v>
          </cell>
          <cell r="R251">
            <v>1753.4280000000001</v>
          </cell>
          <cell r="S251">
            <v>719.75060552622608</v>
          </cell>
          <cell r="T251">
            <v>1372.0876579323178</v>
          </cell>
          <cell r="U251">
            <v>9604.613605526225</v>
          </cell>
        </row>
        <row r="252">
          <cell r="B252" t="str">
            <v>FY1</v>
          </cell>
          <cell r="C252">
            <v>7.9293440159680317E-2</v>
          </cell>
          <cell r="D252">
            <v>-0.28175242217070839</v>
          </cell>
          <cell r="E252">
            <v>-5.8706764560482072E-2</v>
          </cell>
          <cell r="F252">
            <v>-1.2659497227352157E-2</v>
          </cell>
          <cell r="G252">
            <v>2.8440816501221811</v>
          </cell>
          <cell r="H252">
            <v>0.37739008200740787</v>
          </cell>
          <cell r="I252">
            <v>0.25447263704823664</v>
          </cell>
          <cell r="J252">
            <v>3.1167021448063714E-2</v>
          </cell>
          <cell r="K252">
            <v>3.1167021448063714E-2</v>
          </cell>
          <cell r="M252">
            <v>-0.44755096954652773</v>
          </cell>
          <cell r="N252">
            <v>0.40776067925643722</v>
          </cell>
          <cell r="O252">
            <v>-0.10256876684475125</v>
          </cell>
          <cell r="P252">
            <v>8.7859867401067548E-2</v>
          </cell>
          <cell r="Q252">
            <v>9.4663871224688112E-2</v>
          </cell>
          <cell r="R252">
            <v>7.1548102236515865E-2</v>
          </cell>
          <cell r="S252">
            <v>0.10220319930856303</v>
          </cell>
          <cell r="T252">
            <v>2.8925996516275365E-2</v>
          </cell>
          <cell r="U252">
            <v>2.8925996516275365E-2</v>
          </cell>
        </row>
        <row r="253">
          <cell r="B253" t="str">
            <v>EBITDA Margin</v>
          </cell>
          <cell r="C253">
            <v>0.11823966128147112</v>
          </cell>
          <cell r="D253">
            <v>0.13978431130046953</v>
          </cell>
          <cell r="E253">
            <v>3.3430400435524144E-2</v>
          </cell>
          <cell r="F253">
            <v>7.7024231074919403E-2</v>
          </cell>
          <cell r="G253">
            <v>0.49767331916214141</v>
          </cell>
          <cell r="H253">
            <v>2.8087481082974541E-3</v>
          </cell>
          <cell r="I253">
            <v>9.2016676363640526E-2</v>
          </cell>
          <cell r="J253">
            <v>8.2720158998771387E-2</v>
          </cell>
          <cell r="K253">
            <v>8.2720158998771609E-2</v>
          </cell>
          <cell r="M253">
            <v>0.22592980450213873</v>
          </cell>
          <cell r="N253">
            <v>2.4701111113993424E-2</v>
          </cell>
          <cell r="O253">
            <v>0.21193428107274648</v>
          </cell>
          <cell r="P253">
            <v>7.6209113790322691E-2</v>
          </cell>
          <cell r="Q253">
            <v>6.5830701459941299E-3</v>
          </cell>
          <cell r="R253">
            <v>8.3458125413556905E-2</v>
          </cell>
          <cell r="S253">
            <v>0.21981119502112567</v>
          </cell>
          <cell r="T253">
            <v>7.5768860916895386E-2</v>
          </cell>
          <cell r="U253">
            <v>7.5768860916895386E-2</v>
          </cell>
        </row>
        <row r="254">
          <cell r="B254" t="str">
            <v>FY(2)</v>
          </cell>
          <cell r="C254">
            <v>0.13698804761528982</v>
          </cell>
          <cell r="D254">
            <v>0.11620805269441058</v>
          </cell>
          <cell r="E254">
            <v>0.12750351537262949</v>
          </cell>
          <cell r="F254">
            <v>0.16785605133955017</v>
          </cell>
          <cell r="G254">
            <v>8.2868419605755084E-2</v>
          </cell>
          <cell r="H254">
            <v>9.0672933445708689E-2</v>
          </cell>
          <cell r="I254">
            <v>9.9641903695533218E-2</v>
          </cell>
          <cell r="J254">
            <v>0.11739127482412529</v>
          </cell>
          <cell r="K254">
            <v>0.12156171950147786</v>
          </cell>
          <cell r="M254">
            <v>0.26019338014128879</v>
          </cell>
          <cell r="N254">
            <v>0.14935354914750854</v>
          </cell>
          <cell r="O254">
            <v>0.23170570059294651</v>
          </cell>
          <cell r="P254">
            <v>0.41121611234792088</v>
          </cell>
          <cell r="Q254">
            <v>0.12028167227050689</v>
          </cell>
          <cell r="R254">
            <v>0.12027421769325956</v>
          </cell>
          <cell r="S254">
            <v>0.19563394891903294</v>
          </cell>
          <cell r="T254">
            <v>0.21266551158749486</v>
          </cell>
          <cell r="U254">
            <v>0.16668711075578976</v>
          </cell>
        </row>
        <row r="255">
          <cell r="A255" t="str">
            <v>mscalc:netIncomeBeforeOperatingLeaseAdjustment</v>
          </cell>
          <cell r="B255" t="str">
            <v>FY(1)</v>
          </cell>
          <cell r="C255">
            <v>0.1267910598026713</v>
          </cell>
          <cell r="D255">
            <v>8.6431288394483163E-2</v>
          </cell>
          <cell r="E255">
            <v>0.10750441909047083</v>
          </cell>
          <cell r="F255">
            <v>0.13044879990350983</v>
          </cell>
          <cell r="G255">
            <v>8.2192422010453139E-3</v>
          </cell>
          <cell r="H255">
            <v>9.7544958469286569E-2</v>
          </cell>
          <cell r="I255">
            <v>9.6657149752059329E-2</v>
          </cell>
          <cell r="J255">
            <v>9.3370988230503743E-2</v>
          </cell>
          <cell r="K255">
            <v>0.10278859736299435</v>
          </cell>
          <cell r="M255">
            <v>0.20810559331730538</v>
          </cell>
          <cell r="N255">
            <v>0.15596243180303057</v>
          </cell>
          <cell r="O255">
            <v>0.14721878254841297</v>
          </cell>
          <cell r="P255">
            <v>0.40239886291219351</v>
          </cell>
          <cell r="Q255">
            <v>0.1456698334021754</v>
          </cell>
          <cell r="R255">
            <v>0.11728210409699492</v>
          </cell>
          <cell r="S255">
            <v>0.20788196779929119</v>
          </cell>
          <cell r="T255">
            <v>0.19778851083991483</v>
          </cell>
          <cell r="U255">
            <v>0.17045411078742415</v>
          </cell>
        </row>
        <row r="256">
          <cell r="B256" t="str">
            <v>FY0</v>
          </cell>
          <cell r="C256">
            <v>0.13395819991849567</v>
          </cell>
          <cell r="D256">
            <v>6.5954797094283174E-2</v>
          </cell>
          <cell r="E256">
            <v>0.1134147899016561</v>
          </cell>
          <cell r="F256">
            <v>0.1388956163720029</v>
          </cell>
          <cell r="G256">
            <v>4.3845283751823318E-2</v>
          </cell>
          <cell r="H256">
            <v>0.12320973779591446</v>
          </cell>
          <cell r="I256">
            <v>0.1195888161753558</v>
          </cell>
          <cell r="J256">
            <v>0.10555246300136163</v>
          </cell>
          <cell r="K256">
            <v>0.1107535514305215</v>
          </cell>
          <cell r="M256">
            <v>0.13241469973110248</v>
          </cell>
          <cell r="N256">
            <v>0.19677817860594007</v>
          </cell>
          <cell r="O256">
            <v>0.13436656302937447</v>
          </cell>
          <cell r="P256">
            <v>0.34771803961531267</v>
          </cell>
          <cell r="Q256">
            <v>0.1679228005916743</v>
          </cell>
          <cell r="R256">
            <v>0.14117380216116088</v>
          </cell>
          <cell r="S256">
            <v>0.22226456371027473</v>
          </cell>
          <cell r="T256">
            <v>0.19180552106354851</v>
          </cell>
          <cell r="U256">
            <v>0.17664338994555029</v>
          </cell>
        </row>
        <row r="257">
          <cell r="B257" t="str">
            <v>FY1</v>
          </cell>
          <cell r="C257">
            <v>0.14524953541489105</v>
          </cell>
          <cell r="D257">
            <v>7.5696969513404266E-2</v>
          </cell>
          <cell r="E257">
            <v>0.12062063000600672</v>
          </cell>
          <cell r="F257">
            <v>0.15384036187165825</v>
          </cell>
          <cell r="G257">
            <v>5.9166066089843448E-2</v>
          </cell>
          <cell r="H257">
            <v>0.13352223205816469</v>
          </cell>
          <cell r="I257">
            <v>0.1254741288661009</v>
          </cell>
          <cell r="J257">
            <v>0.11622427483143848</v>
          </cell>
          <cell r="K257">
            <v>0.12054122450092597</v>
          </cell>
          <cell r="M257">
            <v>0.16025826241318036</v>
          </cell>
          <cell r="N257">
            <v>0.19872151824836315</v>
          </cell>
          <cell r="O257">
            <v>0.18010886307621324</v>
          </cell>
          <cell r="P257">
            <v>0.35376895413704895</v>
          </cell>
          <cell r="Q257">
            <v>0.16537263357722404</v>
          </cell>
          <cell r="R257">
            <v>0.1543223268754341</v>
          </cell>
          <cell r="S257">
            <v>0.23604606226171623</v>
          </cell>
          <cell r="T257">
            <v>0.20694266008416859</v>
          </cell>
          <cell r="U257">
            <v>0.18732508010362472</v>
          </cell>
        </row>
        <row r="258">
          <cell r="B258" t="str">
            <v>FY2</v>
          </cell>
          <cell r="C258">
            <v>0.15013309545326939</v>
          </cell>
          <cell r="D258">
            <v>7.9193958122540042E-2</v>
          </cell>
          <cell r="E258">
            <v>0.12262063000600606</v>
          </cell>
          <cell r="F258">
            <v>0.15941706666592947</v>
          </cell>
          <cell r="G258">
            <v>7.9918982174010306E-2</v>
          </cell>
          <cell r="H258">
            <v>0.13497861403200276</v>
          </cell>
          <cell r="I258">
            <v>0.12334122145439311</v>
          </cell>
          <cell r="J258">
            <v>0.121371938272593</v>
          </cell>
          <cell r="K258">
            <v>0.1235346883153805</v>
          </cell>
          <cell r="M258">
            <v>0.17746344955354632</v>
          </cell>
          <cell r="N258">
            <v>0.17966044021851338</v>
          </cell>
          <cell r="O258">
            <v>0.19258538043028928</v>
          </cell>
          <cell r="P258">
            <v>0.35575566674388343</v>
          </cell>
          <cell r="Q258">
            <v>0.17352122215451327</v>
          </cell>
          <cell r="R258">
            <v>0.16219812579766729</v>
          </cell>
          <cell r="S258">
            <v>0.24375203757221914</v>
          </cell>
          <cell r="T258">
            <v>0.21213376035294743</v>
          </cell>
          <cell r="U258">
            <v>0.19533599961776127</v>
          </cell>
        </row>
        <row r="259">
          <cell r="B259" t="str">
            <v>FQ(3)</v>
          </cell>
          <cell r="C259">
            <v>0.10775151181968114</v>
          </cell>
          <cell r="D259">
            <v>5.8180917683151347E-2</v>
          </cell>
          <cell r="E259">
            <v>6.2896710905943454E-2</v>
          </cell>
          <cell r="F259">
            <v>0.13071512309495897</v>
          </cell>
          <cell r="G259">
            <v>5.7490672272424374E-2</v>
          </cell>
          <cell r="H259">
            <v>0.11138337159102128</v>
          </cell>
          <cell r="I259">
            <v>0.10334057228107695</v>
          </cell>
          <cell r="J259">
            <v>9.0251268521179637E-2</v>
          </cell>
          <cell r="K259">
            <v>8.7326027810072149E-2</v>
          </cell>
          <cell r="M259">
            <v>4.2871458746379182E-2</v>
          </cell>
          <cell r="N259">
            <v>0.1664019763543321</v>
          </cell>
          <cell r="O259">
            <v>0.10171078431372549</v>
          </cell>
          <cell r="P259">
            <v>0.3101242129418777</v>
          </cell>
          <cell r="Q259">
            <v>0.15861848417013111</v>
          </cell>
          <cell r="R259">
            <v>8.7067457978237187E-2</v>
          </cell>
          <cell r="S259">
            <v>0.17726275740912067</v>
          </cell>
          <cell r="T259">
            <v>0.14915101884482906</v>
          </cell>
          <cell r="U259">
            <v>0.14473941352003131</v>
          </cell>
        </row>
        <row r="260">
          <cell r="B260" t="str">
            <v>FQ(2)</v>
          </cell>
          <cell r="C260">
            <v>0.14266946925906462</v>
          </cell>
          <cell r="D260">
            <v>4.7683661878543789E-2</v>
          </cell>
          <cell r="E260">
            <v>0.11289697908597986</v>
          </cell>
          <cell r="F260">
            <v>0.1324009324009324</v>
          </cell>
          <cell r="G260">
            <v>-5.6420198826411437E-2</v>
          </cell>
          <cell r="H260">
            <v>0.11833299785823652</v>
          </cell>
          <cell r="I260">
            <v>0.11113215130063475</v>
          </cell>
          <cell r="J260">
            <v>8.69565704224258E-2</v>
          </cell>
          <cell r="K260">
            <v>0.1040500073004839</v>
          </cell>
          <cell r="M260">
            <v>0.10608721307050457</v>
          </cell>
          <cell r="N260">
            <v>0.17149132488631846</v>
          </cell>
          <cell r="O260">
            <v>0.12417654608604675</v>
          </cell>
          <cell r="P260">
            <v>0.32257143738813798</v>
          </cell>
          <cell r="Q260">
            <v>0.15901386748844376</v>
          </cell>
          <cell r="R260">
            <v>0.11450781714982507</v>
          </cell>
          <cell r="S260">
            <v>0.22119112305015418</v>
          </cell>
          <cell r="T260">
            <v>0.17414847558849011</v>
          </cell>
          <cell r="U260">
            <v>0.16055236030399414</v>
          </cell>
        </row>
        <row r="261">
          <cell r="B261" t="str">
            <v>FQ(1)</v>
          </cell>
          <cell r="C261">
            <v>0.12071093557146384</v>
          </cell>
          <cell r="D261">
            <v>5.5018734955040782E-2</v>
          </cell>
          <cell r="E261">
            <v>7.3716126587075992E-2</v>
          </cell>
          <cell r="F261">
            <v>0.13436830835117772</v>
          </cell>
          <cell r="G261">
            <v>7.7460193781139441E-2</v>
          </cell>
          <cell r="H261">
            <v>0.12181483241874644</v>
          </cell>
          <cell r="I261">
            <v>0.1312139343283992</v>
          </cell>
          <cell r="J261">
            <v>0.10204329514186336</v>
          </cell>
          <cell r="K261">
            <v>0.10038664671341772</v>
          </cell>
          <cell r="M261">
            <v>0.14024312576623624</v>
          </cell>
          <cell r="N261">
            <v>0.208969811812524</v>
          </cell>
          <cell r="O261">
            <v>0.14267613043118341</v>
          </cell>
          <cell r="P261">
            <v>0.33702985276523206</v>
          </cell>
          <cell r="Q261">
            <v>0.18027305656171635</v>
          </cell>
          <cell r="R261">
            <v>8.3208166142882178E-2</v>
          </cell>
          <cell r="S261">
            <v>0.23599327930421032</v>
          </cell>
          <cell r="T261">
            <v>0.18977048896914067</v>
          </cell>
          <cell r="U261">
            <v>0.17257593409458666</v>
          </cell>
        </row>
        <row r="262">
          <cell r="B262" t="str">
            <v>Last Reported Q</v>
          </cell>
          <cell r="C262">
            <v>0.13395819991849567</v>
          </cell>
          <cell r="D262">
            <v>6.5954797094283174E-2</v>
          </cell>
          <cell r="E262">
            <v>0.1134147899016561</v>
          </cell>
          <cell r="F262">
            <v>0.1388956163720029</v>
          </cell>
          <cell r="G262">
            <v>4.3845283751823318E-2</v>
          </cell>
          <cell r="H262">
            <v>0.12320973779591446</v>
          </cell>
          <cell r="I262">
            <v>0.1195888161753558</v>
          </cell>
          <cell r="J262">
            <v>0.10555246300136163</v>
          </cell>
          <cell r="K262">
            <v>0.1107535514305215</v>
          </cell>
          <cell r="M262">
            <v>0.13241469973110248</v>
          </cell>
          <cell r="N262">
            <v>0.19677817860594007</v>
          </cell>
          <cell r="O262">
            <v>0.13436656302937447</v>
          </cell>
          <cell r="P262">
            <v>0.38393246980061119</v>
          </cell>
          <cell r="Q262">
            <v>0.1679228005916743</v>
          </cell>
          <cell r="R262">
            <v>0.14117380216116088</v>
          </cell>
          <cell r="S262">
            <v>0.22226456371027473</v>
          </cell>
          <cell r="T262">
            <v>0.19697901109001972</v>
          </cell>
          <cell r="U262">
            <v>0.16687672680250146</v>
          </cell>
        </row>
        <row r="263">
          <cell r="B263" t="str">
            <v>LTM</v>
          </cell>
          <cell r="C263">
            <v>0.12991768973214285</v>
          </cell>
          <cell r="D263">
            <v>6.0950532559043924E-2</v>
          </cell>
          <cell r="E263">
            <v>0.10128038028061029</v>
          </cell>
          <cell r="F263">
            <v>0.13629534234814339</v>
          </cell>
          <cell r="G263">
            <v>3.7850898154233259E-2</v>
          </cell>
          <cell r="H263">
            <v>0.1207023044678138</v>
          </cell>
          <cell r="I263">
            <v>0.1181474006949358</v>
          </cell>
          <cell r="J263">
            <v>0.10073493546241762</v>
          </cell>
          <cell r="K263">
            <v>0.10534231755292885</v>
          </cell>
          <cell r="M263">
            <v>0.11925606841663891</v>
          </cell>
          <cell r="N263">
            <v>0.19215209018233734</v>
          </cell>
          <cell r="O263">
            <v>0.13028147082239661</v>
          </cell>
          <cell r="P263">
            <v>0.34265106717003696</v>
          </cell>
          <cell r="Q263">
            <v>0.16735656925242157</v>
          </cell>
          <cell r="R263">
            <v>0.12346629865368679</v>
          </cell>
          <cell r="S263">
            <v>0.2189597225568104</v>
          </cell>
          <cell r="T263">
            <v>0.18487475529347552</v>
          </cell>
          <cell r="U263">
            <v>0.16395638290338857</v>
          </cell>
        </row>
        <row r="264">
          <cell r="B264" t="str">
            <v>Last Reported Q</v>
          </cell>
          <cell r="C264">
            <v>193</v>
          </cell>
          <cell r="D264">
            <v>27</v>
          </cell>
          <cell r="E264">
            <v>-2</v>
          </cell>
          <cell r="F264">
            <v>83</v>
          </cell>
          <cell r="G264">
            <v>2.2584630489110999</v>
          </cell>
          <cell r="H264">
            <v>105.08</v>
          </cell>
          <cell r="I264">
            <v>347.79899999999998</v>
          </cell>
          <cell r="J264">
            <v>108.01963757841587</v>
          </cell>
          <cell r="K264">
            <v>756.13746304891106</v>
          </cell>
          <cell r="M264">
            <v>26.331</v>
          </cell>
          <cell r="N264">
            <v>62.628999999999998</v>
          </cell>
          <cell r="O264">
            <v>44.501489999999997</v>
          </cell>
          <cell r="P264">
            <v>622.12800000000004</v>
          </cell>
          <cell r="Q264">
            <v>307</v>
          </cell>
          <cell r="R264">
            <v>6.0990000000000002</v>
          </cell>
          <cell r="S264">
            <v>62.392000000000003</v>
          </cell>
          <cell r="T264">
            <v>161.58292714285716</v>
          </cell>
          <cell r="U264">
            <v>1131.0804900000001</v>
          </cell>
        </row>
        <row r="265">
          <cell r="B265" t="str">
            <v>EBITDA Growth, Y/Y</v>
          </cell>
          <cell r="C265">
            <v>895</v>
          </cell>
          <cell r="D265">
            <v>259.38200000000001</v>
          </cell>
          <cell r="E265">
            <v>917</v>
          </cell>
          <cell r="F265">
            <v>324</v>
          </cell>
          <cell r="G265">
            <v>-129.12349297410259</v>
          </cell>
          <cell r="H265">
            <v>397.26099999999997</v>
          </cell>
          <cell r="I265">
            <v>1054.4956247570569</v>
          </cell>
          <cell r="J265">
            <v>531.14501882613627</v>
          </cell>
          <cell r="K265">
            <v>3718.0151317829541</v>
          </cell>
          <cell r="M265">
            <v>99.525280000000024</v>
          </cell>
          <cell r="N265">
            <v>202.98999999999998</v>
          </cell>
          <cell r="O265">
            <v>127.42749000000001</v>
          </cell>
          <cell r="P265">
            <v>1107.99</v>
          </cell>
          <cell r="Q265">
            <v>993</v>
          </cell>
          <cell r="R265">
            <v>287.89599999999996</v>
          </cell>
          <cell r="S265">
            <v>182.76300000000001</v>
          </cell>
          <cell r="T265">
            <v>428.79882428571426</v>
          </cell>
          <cell r="U265">
            <v>3001.59177</v>
          </cell>
        </row>
        <row r="266">
          <cell r="B266" t="str">
            <v>FY(2)</v>
          </cell>
        </row>
        <row r="267">
          <cell r="A267" t="str">
            <v>mstag:adjEpsForConsensus</v>
          </cell>
          <cell r="B267" t="str">
            <v>FY(1)</v>
          </cell>
          <cell r="C267">
            <v>-7.9201488899720784E-2</v>
          </cell>
          <cell r="D267">
            <v>-0.30770811203667681</v>
          </cell>
          <cell r="E267">
            <v>-0.20238450074515646</v>
          </cell>
          <cell r="F267">
            <v>-0.2701109864880733</v>
          </cell>
          <cell r="G267">
            <v>-0.90773496921431085</v>
          </cell>
          <cell r="H267">
            <v>0.16777747721630143</v>
          </cell>
          <cell r="I267">
            <v>5.1073732749904455E-3</v>
          </cell>
          <cell r="J267">
            <v>-0.17552771553726221</v>
          </cell>
          <cell r="K267">
            <v>-0.17552771553726221</v>
          </cell>
          <cell r="M267">
            <v>-0.24679808239512446</v>
          </cell>
          <cell r="N267">
            <v>0.24367530259585379</v>
          </cell>
          <cell r="O267">
            <v>-0.37848007932673966</v>
          </cell>
          <cell r="P267">
            <v>0.19142889589717416</v>
          </cell>
          <cell r="Q267">
            <v>0.11603375527426163</v>
          </cell>
          <cell r="R267">
            <v>-0.12576981191488734</v>
          </cell>
          <cell r="S267">
            <v>0.29299367376136587</v>
          </cell>
          <cell r="T267">
            <v>-1.3845206508230845E-2</v>
          </cell>
          <cell r="U267">
            <v>-1.3845206508230734E-2</v>
          </cell>
        </row>
        <row r="268">
          <cell r="B268" t="str">
            <v>FY0</v>
          </cell>
          <cell r="C268">
            <v>0.10733284375201535</v>
          </cell>
          <cell r="D268">
            <v>-0.27525786308272593</v>
          </cell>
          <cell r="E268">
            <v>-4.484304932735439E-3</v>
          </cell>
          <cell r="F268">
            <v>6.0514021067892276E-2</v>
          </cell>
          <cell r="G268">
            <v>3.6122101741780241</v>
          </cell>
          <cell r="H268">
            <v>0.39904973528588439</v>
          </cell>
          <cell r="I268">
            <v>0.32118318178996508</v>
          </cell>
          <cell r="J268">
            <v>7.747688463813307E-2</v>
          </cell>
          <cell r="K268">
            <v>7.747688463813307E-2</v>
          </cell>
          <cell r="M268">
            <v>-0.4651512799438895</v>
          </cell>
          <cell r="N268">
            <v>0.49227400092494356</v>
          </cell>
          <cell r="O268">
            <v>-8.6768482534487767E-2</v>
          </cell>
          <cell r="P268">
            <v>-0.12238218719261096</v>
          </cell>
          <cell r="Q268">
            <v>0.12665406427221182</v>
          </cell>
          <cell r="R268">
            <v>0.14911267487438096</v>
          </cell>
          <cell r="S268">
            <v>0.12932793595490644</v>
          </cell>
          <cell r="T268">
            <v>1.3998711751485926E-2</v>
          </cell>
          <cell r="U268">
            <v>1.3998711751485926E-2</v>
          </cell>
        </row>
        <row r="269">
          <cell r="B269" t="str">
            <v>FY1</v>
          </cell>
          <cell r="C269">
            <v>0.16768440513724037</v>
          </cell>
          <cell r="D269">
            <v>0.16396720568492218</v>
          </cell>
          <cell r="E269">
            <v>0.11132962211942954</v>
          </cell>
          <cell r="F269">
            <v>0.1979250781288231</v>
          </cell>
          <cell r="G269">
            <v>0.40687676655192195</v>
          </cell>
          <cell r="H269">
            <v>0.17716918655120795</v>
          </cell>
          <cell r="I269">
            <v>0.14062970104034123</v>
          </cell>
          <cell r="J269">
            <v>0.15371196728365222</v>
          </cell>
          <cell r="K269">
            <v>0.153711967283652</v>
          </cell>
          <cell r="M269">
            <v>0.30702832399387292</v>
          </cell>
          <cell r="N269">
            <v>0.10051549344582478</v>
          </cell>
          <cell r="O269">
            <v>0.3396915735002326</v>
          </cell>
          <cell r="P269">
            <v>9.4761092269401104E-2</v>
          </cell>
          <cell r="Q269">
            <v>-2.48488144569462E-2</v>
          </cell>
          <cell r="R269">
            <v>0.1536928140979561</v>
          </cell>
          <cell r="S269">
            <v>0.23940390562692615</v>
          </cell>
          <cell r="T269">
            <v>9.9808707697482735E-2</v>
          </cell>
          <cell r="U269">
            <v>9.9808707697482957E-2</v>
          </cell>
        </row>
        <row r="270">
          <cell r="B270" t="str">
            <v>FY2</v>
          </cell>
          <cell r="C270">
            <v>0.11975332839646402</v>
          </cell>
          <cell r="D270">
            <v>6.9243624140826077E-2</v>
          </cell>
          <cell r="E270">
            <v>2.5119437823411195E-2</v>
          </cell>
          <cell r="F270">
            <v>8.5067534120490729E-2</v>
          </cell>
          <cell r="G270">
            <v>0.4468704139954931</v>
          </cell>
          <cell r="H270">
            <v>5.720354411580475E-2</v>
          </cell>
          <cell r="I270">
            <v>4.7780997854424578E-2</v>
          </cell>
          <cell r="J270">
            <v>7.0543438842309403E-2</v>
          </cell>
          <cell r="K270">
            <v>7.0543438842309403E-2</v>
          </cell>
          <cell r="M270">
            <v>0.19636141008461783</v>
          </cell>
          <cell r="N270">
            <v>2.3273998342098423E-2</v>
          </cell>
          <cell r="O270">
            <v>0.18246504233387761</v>
          </cell>
          <cell r="P270">
            <v>7.5419279534387984E-2</v>
          </cell>
          <cell r="Q270">
            <v>8.3012160730286944E-3</v>
          </cell>
          <cell r="R270">
            <v>9.0653076544306099E-2</v>
          </cell>
          <cell r="S270">
            <v>0.17812910149573691</v>
          </cell>
          <cell r="T270">
            <v>7.7406716021881428E-2</v>
          </cell>
          <cell r="U270">
            <v>7.7406716021881428E-2</v>
          </cell>
        </row>
        <row r="271">
          <cell r="B271" t="str">
            <v>FY1</v>
          </cell>
          <cell r="C271">
            <v>3.11</v>
          </cell>
          <cell r="D271">
            <v>1.03510445527076</v>
          </cell>
          <cell r="E271">
            <v>1.14784510187135</v>
          </cell>
          <cell r="F271">
            <v>1.8136411490884501</v>
          </cell>
          <cell r="G271">
            <v>-0.472295447628726</v>
          </cell>
          <cell r="H271">
            <v>3.3862868587624302</v>
          </cell>
          <cell r="I271">
            <v>2.6945205236563301</v>
          </cell>
          <cell r="M271">
            <v>1.0080029976226801</v>
          </cell>
          <cell r="N271">
            <v>3.19697659901902</v>
          </cell>
          <cell r="O271">
            <v>0.73983220363332802</v>
          </cell>
          <cell r="P271">
            <v>2.1342367427798301</v>
          </cell>
          <cell r="Q271">
            <v>1.5442144348621401</v>
          </cell>
          <cell r="R271">
            <v>1.1090965137337101</v>
          </cell>
          <cell r="S271">
            <v>1.24056550686542</v>
          </cell>
        </row>
        <row r="272">
          <cell r="A272" t="str">
            <v>mscalc:netIncomeBeforeOperatingLeaseAdjustment</v>
          </cell>
          <cell r="B272" t="str">
            <v>Net Income</v>
          </cell>
          <cell r="C272">
            <v>3.6141121475309599</v>
          </cell>
          <cell r="D272">
            <v>1.5303898670656499</v>
          </cell>
          <cell r="E272">
            <v>1.3294495544969001</v>
          </cell>
          <cell r="F272">
            <v>2.03885624205917</v>
          </cell>
          <cell r="G272">
            <v>-0.23101098907579101</v>
          </cell>
          <cell r="H272">
            <v>3.5442519215475099</v>
          </cell>
          <cell r="I272">
            <v>3.1175626704531201</v>
          </cell>
          <cell r="M272">
            <v>1.5590303512307999</v>
          </cell>
          <cell r="N272">
            <v>3.4587188109684202</v>
          </cell>
          <cell r="O272">
            <v>0.93491756401208104</v>
          </cell>
          <cell r="P272">
            <v>2.3560769521099698</v>
          </cell>
          <cell r="Q272">
            <v>1.64332942576824</v>
          </cell>
          <cell r="R272">
            <v>1.2755329709446399</v>
          </cell>
          <cell r="S272">
            <v>1.5606882755392599</v>
          </cell>
        </row>
        <row r="273">
          <cell r="B273" t="str">
            <v>FY(10)</v>
          </cell>
          <cell r="C273">
            <v>264.01</v>
          </cell>
          <cell r="D273">
            <v>384.12799999999999</v>
          </cell>
          <cell r="E273">
            <v>825</v>
          </cell>
          <cell r="F273">
            <v>202.291</v>
          </cell>
          <cell r="G273" t="str">
            <v>NA</v>
          </cell>
          <cell r="H273">
            <v>159.10599999999999</v>
          </cell>
          <cell r="I273">
            <v>526.822</v>
          </cell>
          <cell r="J273">
            <v>393.55950000000001</v>
          </cell>
          <cell r="K273">
            <v>2361.357</v>
          </cell>
          <cell r="M273">
            <v>149.60400000000001</v>
          </cell>
          <cell r="N273" t="str">
            <v>NA</v>
          </cell>
          <cell r="O273">
            <v>90.66</v>
          </cell>
          <cell r="P273">
            <v>21.001124000000001</v>
          </cell>
          <cell r="Q273" t="str">
            <v>NA</v>
          </cell>
          <cell r="R273">
            <v>446.56</v>
          </cell>
          <cell r="S273">
            <v>18.68</v>
          </cell>
          <cell r="T273">
            <v>145.30102479999999</v>
          </cell>
          <cell r="U273">
            <v>726.50512399999991</v>
          </cell>
        </row>
        <row r="274">
          <cell r="B274" t="str">
            <v>FY(9)</v>
          </cell>
          <cell r="C274">
            <v>368.71199999999999</v>
          </cell>
          <cell r="D274">
            <v>-88.56</v>
          </cell>
          <cell r="E274">
            <v>901</v>
          </cell>
          <cell r="F274">
            <v>134.77500000000001</v>
          </cell>
          <cell r="G274" t="str">
            <v>NA</v>
          </cell>
          <cell r="H274">
            <v>150.28800000000001</v>
          </cell>
          <cell r="I274">
            <v>538.06600000000003</v>
          </cell>
          <cell r="J274">
            <v>334.04683333333338</v>
          </cell>
          <cell r="K274">
            <v>2004.2810000000002</v>
          </cell>
          <cell r="M274">
            <v>156.85300000000001</v>
          </cell>
          <cell r="N274" t="str">
            <v>NA</v>
          </cell>
          <cell r="O274">
            <v>91.152000000000001</v>
          </cell>
          <cell r="P274">
            <v>38.685000000000002</v>
          </cell>
          <cell r="Q274">
            <v>877.41700000000003</v>
          </cell>
          <cell r="R274">
            <v>412.46089999999998</v>
          </cell>
          <cell r="S274">
            <v>10.494999999999999</v>
          </cell>
          <cell r="T274">
            <v>264.5104833333333</v>
          </cell>
          <cell r="U274">
            <v>1587.0628999999999</v>
          </cell>
        </row>
        <row r="275">
          <cell r="B275" t="str">
            <v>FY(8)</v>
          </cell>
          <cell r="C275">
            <v>491.98899999999998</v>
          </cell>
          <cell r="D275">
            <v>183</v>
          </cell>
          <cell r="E275">
            <v>746</v>
          </cell>
          <cell r="F275">
            <v>124.688</v>
          </cell>
          <cell r="G275" t="str">
            <v>NA</v>
          </cell>
          <cell r="H275">
            <v>155.04499999999999</v>
          </cell>
          <cell r="I275">
            <v>540.39700000000005</v>
          </cell>
          <cell r="J275">
            <v>373.51983333333334</v>
          </cell>
          <cell r="K275">
            <v>2241.1190000000001</v>
          </cell>
          <cell r="M275">
            <v>166.6</v>
          </cell>
          <cell r="N275" t="str">
            <v>NA</v>
          </cell>
          <cell r="O275">
            <v>101.666</v>
          </cell>
          <cell r="P275">
            <v>70.602440000000001</v>
          </cell>
          <cell r="Q275">
            <v>-7.7640000000000002</v>
          </cell>
          <cell r="R275">
            <v>405.77499999999998</v>
          </cell>
          <cell r="S275">
            <v>15.007</v>
          </cell>
          <cell r="T275">
            <v>125.31440666666664</v>
          </cell>
          <cell r="U275">
            <v>751.88643999999988</v>
          </cell>
        </row>
        <row r="276">
          <cell r="B276" t="str">
            <v>FY(7)</v>
          </cell>
          <cell r="C276">
            <v>635.47</v>
          </cell>
          <cell r="D276">
            <v>283</v>
          </cell>
          <cell r="E276">
            <v>706</v>
          </cell>
          <cell r="F276">
            <v>106.34099999999999</v>
          </cell>
          <cell r="G276" t="str">
            <v>NA</v>
          </cell>
          <cell r="H276">
            <v>200.07599999999999</v>
          </cell>
          <cell r="I276">
            <v>578.38800000000003</v>
          </cell>
          <cell r="J276">
            <v>418.21250000000003</v>
          </cell>
          <cell r="K276">
            <v>2509.2750000000001</v>
          </cell>
          <cell r="M276">
            <v>194.75399999999999</v>
          </cell>
          <cell r="N276">
            <v>33.71546</v>
          </cell>
          <cell r="O276">
            <v>99.644000000000005</v>
          </cell>
          <cell r="P276">
            <v>78.97</v>
          </cell>
          <cell r="Q276">
            <v>477.72370245564099</v>
          </cell>
          <cell r="R276">
            <v>517.41099999999994</v>
          </cell>
          <cell r="S276">
            <v>27.413</v>
          </cell>
          <cell r="T276">
            <v>204.23302320794872</v>
          </cell>
          <cell r="U276">
            <v>1429.6311624556411</v>
          </cell>
        </row>
        <row r="277">
          <cell r="B277" t="str">
            <v>FY(6)</v>
          </cell>
          <cell r="C277">
            <v>580.86199999999997</v>
          </cell>
          <cell r="D277">
            <v>360</v>
          </cell>
          <cell r="E277">
            <v>714</v>
          </cell>
          <cell r="F277">
            <v>242.88900000000001</v>
          </cell>
          <cell r="G277">
            <v>-69.899950647510195</v>
          </cell>
          <cell r="H277">
            <v>227.57400000000001</v>
          </cell>
          <cell r="I277">
            <v>609.41200000000003</v>
          </cell>
          <cell r="J277">
            <v>380.69100705035572</v>
          </cell>
          <cell r="K277">
            <v>2664.8370493524899</v>
          </cell>
          <cell r="M277">
            <v>204.83</v>
          </cell>
          <cell r="N277">
            <v>54.253999999999998</v>
          </cell>
          <cell r="O277">
            <v>83.108000000000004</v>
          </cell>
          <cell r="P277">
            <v>122.383</v>
          </cell>
          <cell r="Q277">
            <v>1042.69954791705</v>
          </cell>
          <cell r="R277">
            <v>583.65</v>
          </cell>
          <cell r="S277">
            <v>48.375999999999998</v>
          </cell>
          <cell r="T277">
            <v>305.61436398815005</v>
          </cell>
          <cell r="U277">
            <v>2139.3005479170502</v>
          </cell>
        </row>
        <row r="278">
          <cell r="B278" t="str">
            <v>FY(5)</v>
          </cell>
          <cell r="C278">
            <v>703.51288799999998</v>
          </cell>
          <cell r="D278">
            <v>657.37</v>
          </cell>
          <cell r="E278">
            <v>786.546594982079</v>
          </cell>
          <cell r="F278">
            <v>393.47500000000002</v>
          </cell>
          <cell r="G278">
            <v>-69.191530595781302</v>
          </cell>
          <cell r="H278">
            <v>185.72</v>
          </cell>
          <cell r="I278">
            <v>628.96199999999999</v>
          </cell>
          <cell r="J278">
            <v>469.4849931980425</v>
          </cell>
          <cell r="K278">
            <v>3286.3949523862975</v>
          </cell>
          <cell r="M278">
            <v>241.95355390734301</v>
          </cell>
          <cell r="N278">
            <v>86.960999999999999</v>
          </cell>
          <cell r="O278">
            <v>224.232</v>
          </cell>
          <cell r="P278">
            <v>220.239</v>
          </cell>
          <cell r="Q278">
            <v>1214.12078310316</v>
          </cell>
          <cell r="R278">
            <v>674.27200000000005</v>
          </cell>
          <cell r="S278">
            <v>90.489000000000004</v>
          </cell>
          <cell r="T278">
            <v>393.18104814435759</v>
          </cell>
          <cell r="U278">
            <v>2752.2673370105031</v>
          </cell>
        </row>
        <row r="279">
          <cell r="B279" t="str">
            <v>FY(4)</v>
          </cell>
          <cell r="C279">
            <v>831.621966099166</v>
          </cell>
          <cell r="D279">
            <v>928.03159479553904</v>
          </cell>
          <cell r="E279">
            <v>1089.0546208098101</v>
          </cell>
          <cell r="F279">
            <v>551.18021775831903</v>
          </cell>
          <cell r="G279">
            <v>-113.296092527064</v>
          </cell>
          <cell r="H279">
            <v>199.63200000000001</v>
          </cell>
          <cell r="I279">
            <v>642.13399999999695</v>
          </cell>
          <cell r="J279">
            <v>589.76547241939534</v>
          </cell>
          <cell r="K279">
            <v>4128.3583069357674</v>
          </cell>
          <cell r="M279">
            <v>363.59381999999999</v>
          </cell>
          <cell r="N279">
            <v>83.953999999999994</v>
          </cell>
          <cell r="O279">
            <v>293.71100000000001</v>
          </cell>
          <cell r="P279">
            <v>336.64699999999999</v>
          </cell>
          <cell r="Q279">
            <v>1076.3882618510199</v>
          </cell>
          <cell r="R279">
            <v>546.83600000000001</v>
          </cell>
          <cell r="S279">
            <v>129.832005188067</v>
          </cell>
          <cell r="T279">
            <v>404.42315529129809</v>
          </cell>
          <cell r="U279">
            <v>2830.9620870390868</v>
          </cell>
        </row>
        <row r="280">
          <cell r="B280" t="str">
            <v>FY(3)</v>
          </cell>
          <cell r="C280">
            <v>1108.5977755399999</v>
          </cell>
          <cell r="D280">
            <v>1134</v>
          </cell>
          <cell r="E280">
            <v>1137.6065454545501</v>
          </cell>
          <cell r="F280">
            <v>677.99900000000002</v>
          </cell>
          <cell r="G280">
            <v>29.8422306591854</v>
          </cell>
          <cell r="H280">
            <v>241.63399999999999</v>
          </cell>
          <cell r="I280">
            <v>784.33473025389503</v>
          </cell>
          <cell r="J280">
            <v>730.57346884394724</v>
          </cell>
          <cell r="K280">
            <v>5114.0142819076309</v>
          </cell>
          <cell r="M280">
            <v>446.524</v>
          </cell>
          <cell r="N280">
            <v>100.86799999999999</v>
          </cell>
          <cell r="O280">
            <v>387.35899999999998</v>
          </cell>
          <cell r="P280">
            <v>464.00954749822699</v>
          </cell>
          <cell r="Q280">
            <v>780.95348837209303</v>
          </cell>
          <cell r="R280">
            <v>675.04899999999998</v>
          </cell>
          <cell r="S280">
            <v>108.90600000000001</v>
          </cell>
          <cell r="T280">
            <v>423.38129083861713</v>
          </cell>
          <cell r="U280">
            <v>2963.6690358703199</v>
          </cell>
        </row>
        <row r="281">
          <cell r="B281" t="str">
            <v>FY(2)</v>
          </cell>
          <cell r="C281">
            <v>1083.8209999999999</v>
          </cell>
          <cell r="D281">
            <v>1073</v>
          </cell>
          <cell r="E281">
            <v>968.870454545455</v>
          </cell>
          <cell r="F281">
            <v>694.02599999999995</v>
          </cell>
          <cell r="G281">
            <v>63.374305710902703</v>
          </cell>
          <cell r="H281">
            <v>261.05099999999999</v>
          </cell>
          <cell r="I281">
            <v>902.52825069543098</v>
          </cell>
          <cell r="J281">
            <v>720.95300156454118</v>
          </cell>
          <cell r="K281">
            <v>5046.671010951788</v>
          </cell>
          <cell r="M281">
            <v>499.12700000000001</v>
          </cell>
          <cell r="N281">
            <v>125.371</v>
          </cell>
          <cell r="O281">
            <v>400.01900000000001</v>
          </cell>
          <cell r="P281">
            <v>636.529</v>
          </cell>
          <cell r="Q281">
            <v>888.19060546964795</v>
          </cell>
          <cell r="R281">
            <v>461.45582675721101</v>
          </cell>
          <cell r="S281">
            <v>152.53</v>
          </cell>
          <cell r="T281">
            <v>451.88891888955135</v>
          </cell>
          <cell r="U281">
            <v>3163.2224322268594</v>
          </cell>
        </row>
        <row r="282">
          <cell r="B282" t="str">
            <v>FY(1)</v>
          </cell>
          <cell r="C282">
            <v>885.62900000000002</v>
          </cell>
          <cell r="D282">
            <v>562.53838064516106</v>
          </cell>
          <cell r="E282">
            <v>545</v>
          </cell>
          <cell r="F282">
            <v>394.55099999999999</v>
          </cell>
          <cell r="G282">
            <v>-109.755122537465</v>
          </cell>
          <cell r="H282">
            <v>302.774720000005</v>
          </cell>
          <cell r="I282">
            <v>883.85870191995605</v>
          </cell>
          <cell r="J282">
            <v>494.9423828610939</v>
          </cell>
          <cell r="K282">
            <v>3464.5966800276574</v>
          </cell>
          <cell r="M282">
            <v>318.97024840902799</v>
          </cell>
          <cell r="N282">
            <v>149.422</v>
          </cell>
          <cell r="O282">
            <v>204.88800000000001</v>
          </cell>
          <cell r="P282">
            <v>742.00199999999995</v>
          </cell>
          <cell r="Q282">
            <v>967</v>
          </cell>
          <cell r="R282">
            <v>353.38200000000001</v>
          </cell>
          <cell r="S282">
            <v>199.364</v>
          </cell>
          <cell r="T282">
            <v>419.28974977271827</v>
          </cell>
          <cell r="U282">
            <v>2935.028248409028</v>
          </cell>
        </row>
        <row r="283">
          <cell r="B283" t="str">
            <v>FY0</v>
          </cell>
          <cell r="C283">
            <v>990.1</v>
          </cell>
          <cell r="D283">
            <v>249.58199999999999</v>
          </cell>
          <cell r="E283">
            <v>576</v>
          </cell>
          <cell r="F283">
            <v>427.8</v>
          </cell>
          <cell r="G283">
            <v>-47.731873116743998</v>
          </cell>
          <cell r="H283">
            <v>442.75700000000001</v>
          </cell>
          <cell r="I283">
            <v>1213.5719999999999</v>
          </cell>
          <cell r="J283">
            <v>550.29701812617952</v>
          </cell>
          <cell r="K283">
            <v>3852.0791268832563</v>
          </cell>
          <cell r="M283">
            <v>95.928809999999999</v>
          </cell>
          <cell r="N283">
            <v>231.32900000000001</v>
          </cell>
          <cell r="O283">
            <v>159.06599</v>
          </cell>
          <cell r="P283">
            <v>622.12800000000004</v>
          </cell>
          <cell r="Q283">
            <v>1099.8</v>
          </cell>
          <cell r="R283">
            <v>405.17</v>
          </cell>
          <cell r="S283">
            <v>219.893</v>
          </cell>
          <cell r="T283">
            <v>404.75925714285717</v>
          </cell>
          <cell r="U283">
            <v>2833.3148000000001</v>
          </cell>
        </row>
        <row r="284">
          <cell r="B284" t="str">
            <v>FY1</v>
          </cell>
          <cell r="C284">
            <v>1190.2064623122999</v>
          </cell>
          <cell r="D284">
            <v>371.94239455885997</v>
          </cell>
          <cell r="E284">
            <v>780.85661388894903</v>
          </cell>
          <cell r="F284">
            <v>574.20119639689005</v>
          </cell>
          <cell r="G284">
            <v>-14.812477877415599</v>
          </cell>
          <cell r="H284">
            <v>520.84207533519498</v>
          </cell>
          <cell r="I284">
            <v>1413.51496786962</v>
          </cell>
          <cell r="J284">
            <v>690.96446178348549</v>
          </cell>
          <cell r="K284">
            <v>4836.7512324843983</v>
          </cell>
          <cell r="M284">
            <v>155.41382199654501</v>
          </cell>
          <cell r="N284">
            <v>257.42391448394397</v>
          </cell>
          <cell r="O284">
            <v>248.62981426116701</v>
          </cell>
          <cell r="P284">
            <v>691.98393385513396</v>
          </cell>
          <cell r="Q284">
            <v>1083.8921535054101</v>
          </cell>
          <cell r="R284">
            <v>546.01826939091302</v>
          </cell>
          <cell r="S284">
            <v>279.22350732756701</v>
          </cell>
          <cell r="T284">
            <v>466.08363068866856</v>
          </cell>
          <cell r="U284">
            <v>3262.5854148206799</v>
          </cell>
        </row>
        <row r="285">
          <cell r="B285" t="str">
            <v>FY2</v>
          </cell>
          <cell r="C285">
            <v>1377.4147410483899</v>
          </cell>
          <cell r="D285">
            <v>461.162423782784</v>
          </cell>
          <cell r="E285">
            <v>888.32831729053999</v>
          </cell>
          <cell r="F285">
            <v>631.87045905384298</v>
          </cell>
          <cell r="G285">
            <v>21.642644285581799</v>
          </cell>
          <cell r="H285">
            <v>560.83917130142299</v>
          </cell>
          <cell r="I285">
            <v>1528.2089011232599</v>
          </cell>
          <cell r="J285">
            <v>781.35237969797447</v>
          </cell>
          <cell r="K285">
            <v>5469.4666578858214</v>
          </cell>
          <cell r="M285">
            <v>204.14473111967499</v>
          </cell>
          <cell r="N285">
            <v>256.17082013345799</v>
          </cell>
          <cell r="O285">
            <v>305.99673004238099</v>
          </cell>
          <cell r="P285">
            <v>736.84328923360295</v>
          </cell>
          <cell r="Q285">
            <v>1074.52887673393</v>
          </cell>
          <cell r="R285">
            <v>630.31680483250398</v>
          </cell>
          <cell r="S285">
            <v>334.56420596740901</v>
          </cell>
          <cell r="T285">
            <v>506.08077972327999</v>
          </cell>
          <cell r="U285">
            <v>3542.5654580629598</v>
          </cell>
        </row>
        <row r="286">
          <cell r="B286" t="str">
            <v>FQ(3)</v>
          </cell>
          <cell r="C286">
            <v>137</v>
          </cell>
          <cell r="D286">
            <v>25</v>
          </cell>
          <cell r="E286">
            <v>-68</v>
          </cell>
          <cell r="F286">
            <v>68</v>
          </cell>
          <cell r="G286">
            <v>-4.7939999999999996</v>
          </cell>
          <cell r="H286">
            <v>91.387</v>
          </cell>
          <cell r="I286">
            <v>209.214</v>
          </cell>
          <cell r="J286">
            <v>65.400999999999996</v>
          </cell>
          <cell r="K286">
            <v>457.80700000000002</v>
          </cell>
          <cell r="M286">
            <v>-23.105</v>
          </cell>
          <cell r="N286">
            <v>33.174999999999997</v>
          </cell>
          <cell r="O286">
            <v>15.680999999999999</v>
          </cell>
          <cell r="P286">
            <v>123.145</v>
          </cell>
          <cell r="Q286">
            <v>215</v>
          </cell>
          <cell r="R286">
            <v>2.601</v>
          </cell>
          <cell r="S286">
            <v>30.805</v>
          </cell>
          <cell r="T286">
            <v>56.757428571428569</v>
          </cell>
          <cell r="U286">
            <v>397.30199999999996</v>
          </cell>
        </row>
        <row r="287">
          <cell r="B287" t="str">
            <v>FQ(2)</v>
          </cell>
          <cell r="C287">
            <v>229.1</v>
          </cell>
          <cell r="D287">
            <v>-0.61799999999999999</v>
          </cell>
          <cell r="E287">
            <v>84</v>
          </cell>
          <cell r="F287">
            <v>105</v>
          </cell>
          <cell r="G287">
            <v>-54.902999999999999</v>
          </cell>
          <cell r="H287">
            <v>103.407</v>
          </cell>
          <cell r="I287">
            <v>261.56099999999998</v>
          </cell>
          <cell r="J287">
            <v>103.9352857142857</v>
          </cell>
          <cell r="K287">
            <v>727.54699999999991</v>
          </cell>
          <cell r="M287">
            <v>6.8895899999999903</v>
          </cell>
          <cell r="N287">
            <v>38.960999999999999</v>
          </cell>
          <cell r="O287">
            <v>28.571999999999999</v>
          </cell>
          <cell r="P287">
            <v>136.26599999999999</v>
          </cell>
          <cell r="Q287">
            <v>228</v>
          </cell>
          <cell r="R287">
            <v>60.262999999999998</v>
          </cell>
          <cell r="S287">
            <v>49.021000000000001</v>
          </cell>
          <cell r="T287">
            <v>78.281798571428567</v>
          </cell>
          <cell r="U287">
            <v>547.97258999999997</v>
          </cell>
        </row>
        <row r="288">
          <cell r="B288" t="str">
            <v>FQ(1)</v>
          </cell>
          <cell r="C288">
            <v>193</v>
          </cell>
          <cell r="D288">
            <v>27</v>
          </cell>
          <cell r="E288">
            <v>-12</v>
          </cell>
          <cell r="F288">
            <v>83</v>
          </cell>
          <cell r="G288">
            <v>1.8857268832559799</v>
          </cell>
          <cell r="H288">
            <v>105.08</v>
          </cell>
          <cell r="I288">
            <v>347.79899999999998</v>
          </cell>
          <cell r="J288">
            <v>106.53781812617942</v>
          </cell>
          <cell r="K288">
            <v>745.76472688325589</v>
          </cell>
          <cell r="M288">
            <v>30.623000000000001</v>
          </cell>
          <cell r="N288">
            <v>62.628999999999998</v>
          </cell>
          <cell r="O288">
            <v>44.501489999999997</v>
          </cell>
          <cell r="P288">
            <v>140.827</v>
          </cell>
          <cell r="Q288">
            <v>307</v>
          </cell>
          <cell r="R288">
            <v>6.0990000000000002</v>
          </cell>
          <cell r="S288">
            <v>62.392000000000003</v>
          </cell>
          <cell r="T288">
            <v>93.438784285714306</v>
          </cell>
          <cell r="U288">
            <v>654.07149000000015</v>
          </cell>
        </row>
        <row r="289">
          <cell r="B289" t="str">
            <v>Last Reported Q</v>
          </cell>
          <cell r="C289">
            <v>990.1</v>
          </cell>
          <cell r="D289">
            <v>249.58199999999999</v>
          </cell>
          <cell r="E289">
            <v>576</v>
          </cell>
          <cell r="F289">
            <v>427.8</v>
          </cell>
          <cell r="G289">
            <v>-47.731873116743998</v>
          </cell>
          <cell r="H289">
            <v>442.75700000000001</v>
          </cell>
          <cell r="I289">
            <v>1213.5719999999999</v>
          </cell>
          <cell r="J289">
            <v>550.29701812617952</v>
          </cell>
          <cell r="K289">
            <v>3852.0791268832563</v>
          </cell>
          <cell r="M289">
            <v>95.928809999999999</v>
          </cell>
          <cell r="N289">
            <v>231.32900000000001</v>
          </cell>
          <cell r="O289">
            <v>159.06599</v>
          </cell>
          <cell r="P289">
            <v>240.95</v>
          </cell>
          <cell r="Q289">
            <v>1099.8</v>
          </cell>
          <cell r="R289">
            <v>405.17</v>
          </cell>
          <cell r="S289">
            <v>219.893</v>
          </cell>
          <cell r="T289">
            <v>350.3052571428571</v>
          </cell>
          <cell r="U289">
            <v>2452.1367999999998</v>
          </cell>
        </row>
        <row r="290">
          <cell r="B290" t="str">
            <v>LTM</v>
          </cell>
          <cell r="C290">
            <v>1549.2</v>
          </cell>
          <cell r="D290">
            <v>300.964</v>
          </cell>
          <cell r="E290">
            <v>580</v>
          </cell>
          <cell r="F290">
            <v>683.8</v>
          </cell>
          <cell r="G290">
            <v>-105.54314623348802</v>
          </cell>
          <cell r="H290">
            <v>742.63099999999997</v>
          </cell>
          <cell r="I290">
            <v>2032.1459999999997</v>
          </cell>
          <cell r="J290">
            <v>826.17112196664436</v>
          </cell>
          <cell r="K290">
            <v>5783.1978537665109</v>
          </cell>
          <cell r="M290">
            <v>110.3364</v>
          </cell>
          <cell r="N290">
            <v>366.09399999999999</v>
          </cell>
          <cell r="O290">
            <v>247.82048</v>
          </cell>
          <cell r="P290">
            <v>641.18799999999999</v>
          </cell>
          <cell r="Q290">
            <v>1849.8</v>
          </cell>
          <cell r="R290">
            <v>474.13300000000004</v>
          </cell>
          <cell r="S290">
            <v>362.11099999999999</v>
          </cell>
          <cell r="T290">
            <v>578.78326857142849</v>
          </cell>
          <cell r="U290">
            <v>4051.4828799999996</v>
          </cell>
        </row>
        <row r="291">
          <cell r="B291" t="str">
            <v>FQ(3)</v>
          </cell>
          <cell r="C291">
            <v>6.4183381088825209E-2</v>
          </cell>
          <cell r="D291">
            <v>3.6115991111283878E-2</v>
          </cell>
          <cell r="E291">
            <v>0.10436097806906983</v>
          </cell>
          <cell r="F291">
            <v>2.9552368535419381E-2</v>
          </cell>
          <cell r="G291">
            <v>-8.5798356710030096E-2</v>
          </cell>
          <cell r="H291">
            <v>5.6159579081397279E-2</v>
          </cell>
          <cell r="I291">
            <v>4.3851399344251564E-2</v>
          </cell>
          <cell r="J291">
            <v>3.5489334360031009E-2</v>
          </cell>
          <cell r="K291">
            <v>5.8316995678285438E-2</v>
          </cell>
          <cell r="M291">
            <v>9.7305990751085966E-2</v>
          </cell>
          <cell r="N291">
            <v>9.8874375558863026E-2</v>
          </cell>
          <cell r="O291">
            <v>4.2699569393839017E-2</v>
          </cell>
          <cell r="P291">
            <v>0.19376130355109239</v>
          </cell>
          <cell r="Q291">
            <v>5.9529642332190102E-2</v>
          </cell>
          <cell r="R291">
            <v>7.3194762331742616E-2</v>
          </cell>
          <cell r="S291">
            <v>7.9800739256570843E-2</v>
          </cell>
          <cell r="T291">
            <v>9.2166626167912005E-2</v>
          </cell>
          <cell r="U291">
            <v>7.7996182250806484E-2</v>
          </cell>
        </row>
        <row r="292">
          <cell r="A292" t="str">
            <v>mstag:adjEpsForConsensus</v>
          </cell>
          <cell r="B292" t="str">
            <v>EPS</v>
          </cell>
          <cell r="C292">
            <v>3.7658053875755909E-2</v>
          </cell>
          <cell r="D292">
            <v>6.4359422215875383E-3</v>
          </cell>
          <cell r="E292">
            <v>9.6172340834775917E-3</v>
          </cell>
          <cell r="F292">
            <v>3.9859320046893319E-2</v>
          </cell>
          <cell r="G292">
            <v>-7.7165014663606243E-3</v>
          </cell>
          <cell r="H292">
            <v>5.4024032882497568E-2</v>
          </cell>
          <cell r="I292">
            <v>4.8048515648253277E-2</v>
          </cell>
          <cell r="J292">
            <v>2.6846656756014938E-2</v>
          </cell>
          <cell r="K292">
            <v>2.7296515280776795E-2</v>
          </cell>
          <cell r="M292">
            <v>-4.3768051544101315E-2</v>
          </cell>
          <cell r="N292">
            <v>8.1306491774993619E-2</v>
          </cell>
          <cell r="O292">
            <v>2.5622549019607841E-2</v>
          </cell>
          <cell r="P292">
            <v>0.22588351439616103</v>
          </cell>
          <cell r="Q292">
            <v>6.8755996162456035E-2</v>
          </cell>
          <cell r="R292">
            <v>1.507618953222079E-3</v>
          </cell>
          <cell r="S292">
            <v>8.0055405981351163E-2</v>
          </cell>
          <cell r="T292">
            <v>6.2766217820527201E-2</v>
          </cell>
          <cell r="U292">
            <v>6.2249080363126458E-2</v>
          </cell>
        </row>
        <row r="293">
          <cell r="B293" t="str">
            <v>FY(10)</v>
          </cell>
          <cell r="C293">
            <v>0.77521446372088398</v>
          </cell>
          <cell r="D293">
            <v>1.4</v>
          </cell>
          <cell r="E293">
            <v>1.8784153005464499</v>
          </cell>
          <cell r="F293">
            <v>1.4613761964962999</v>
          </cell>
          <cell r="G293" t="str">
            <v>NA</v>
          </cell>
          <cell r="H293">
            <v>1.6372326095779799</v>
          </cell>
          <cell r="I293">
            <v>1.6577637227997</v>
          </cell>
          <cell r="J293">
            <v>1.8959747286601904E-2</v>
          </cell>
          <cell r="K293">
            <v>3.092076908075473E-2</v>
          </cell>
          <cell r="M293">
            <v>1.3898421605150499</v>
          </cell>
          <cell r="N293" t="str">
            <v>NA</v>
          </cell>
          <cell r="O293">
            <v>0.41371261553099398</v>
          </cell>
          <cell r="P293" t="str">
            <v>NA</v>
          </cell>
          <cell r="Q293" t="str">
            <v>NA</v>
          </cell>
          <cell r="R293">
            <v>0.81070495076287297</v>
          </cell>
          <cell r="S293">
            <v>0.13085369962356699</v>
          </cell>
          <cell r="T293">
            <v>7.2375282624266277E-2</v>
          </cell>
          <cell r="U293">
            <v>6.4194610152069412E-2</v>
          </cell>
        </row>
        <row r="294">
          <cell r="B294" t="str">
            <v>FY(9)</v>
          </cell>
          <cell r="C294">
            <v>1.07237890611166</v>
          </cell>
          <cell r="D294">
            <v>-0.44</v>
          </cell>
          <cell r="E294">
            <v>2.10016098088076</v>
          </cell>
          <cell r="F294">
            <v>0.92919013844067999</v>
          </cell>
          <cell r="G294" t="str">
            <v>NA</v>
          </cell>
          <cell r="H294">
            <v>0.90120980436249298</v>
          </cell>
          <cell r="I294">
            <v>0.93027911866000801</v>
          </cell>
          <cell r="J294">
            <v>3.2613120775195285E-2</v>
          </cell>
          <cell r="K294">
            <v>3.28813844777502E-2</v>
          </cell>
          <cell r="M294">
            <v>1.53542621089314</v>
          </cell>
          <cell r="N294" t="str">
            <v>NA</v>
          </cell>
          <cell r="O294">
            <v>0.42122774912660099</v>
          </cell>
          <cell r="P294">
            <v>0.13003536181999101</v>
          </cell>
          <cell r="Q294">
            <v>0.999041521977453</v>
          </cell>
          <cell r="R294">
            <v>0.78378468838372195</v>
          </cell>
          <cell r="S294">
            <v>7.5941413026930193E-2</v>
          </cell>
          <cell r="T294">
            <v>8.699911328383772E-2</v>
          </cell>
          <cell r="U294">
            <v>0.10112604374923474</v>
          </cell>
        </row>
        <row r="295">
          <cell r="B295" t="str">
            <v>FY(8)</v>
          </cell>
          <cell r="C295">
            <v>1.4191983074683301</v>
          </cell>
          <cell r="D295">
            <v>0.56999999999999995</v>
          </cell>
          <cell r="E295">
            <v>1.60143363650378</v>
          </cell>
          <cell r="F295">
            <v>0.46398124546486302</v>
          </cell>
          <cell r="G295" t="str">
            <v>NA</v>
          </cell>
          <cell r="H295">
            <v>0.95576405027709099</v>
          </cell>
          <cell r="I295">
            <v>0.97136844341894002</v>
          </cell>
          <cell r="J295">
            <v>2.9910983539014519E-2</v>
          </cell>
          <cell r="K295">
            <v>3.8970939552062538E-2</v>
          </cell>
          <cell r="M295">
            <v>1.6249853692793901</v>
          </cell>
          <cell r="N295" t="str">
            <v>NA</v>
          </cell>
          <cell r="O295">
            <v>0.45921469255751202</v>
          </cell>
          <cell r="P295">
            <v>0.195661357058865</v>
          </cell>
          <cell r="Q295">
            <v>-8.90735342104753E-3</v>
          </cell>
          <cell r="R295">
            <v>0.78103307517848597</v>
          </cell>
          <cell r="S295">
            <v>0.107571157241721</v>
          </cell>
          <cell r="T295">
            <v>8.142679641502977E-2</v>
          </cell>
          <cell r="U295">
            <v>7.8553207218398979E-2</v>
          </cell>
        </row>
        <row r="296">
          <cell r="B296" t="str">
            <v>FY(7)</v>
          </cell>
          <cell r="C296">
            <v>1.8429396202147099</v>
          </cell>
          <cell r="D296">
            <v>0.94</v>
          </cell>
          <cell r="E296">
            <v>1.70938972591492</v>
          </cell>
          <cell r="F296">
            <v>0.370127283723937</v>
          </cell>
          <cell r="G296" t="str">
            <v>NA</v>
          </cell>
          <cell r="H296">
            <v>1.2544579038447099</v>
          </cell>
          <cell r="I296">
            <v>1.07558342936518</v>
          </cell>
          <cell r="M296">
            <v>1.9353280798163599</v>
          </cell>
          <cell r="N296">
            <v>0.40010402540755902</v>
          </cell>
          <cell r="O296">
            <v>0.45635198695666102</v>
          </cell>
          <cell r="P296">
            <v>0.21405208526080999</v>
          </cell>
          <cell r="Q296">
            <v>0.51707348651642404</v>
          </cell>
          <cell r="R296">
            <v>0.97464618533151604</v>
          </cell>
          <cell r="S296">
            <v>0.176735357727373</v>
          </cell>
        </row>
        <row r="297">
          <cell r="B297" t="str">
            <v>FY(6)</v>
          </cell>
          <cell r="C297">
            <v>1.6897901951429499</v>
          </cell>
          <cell r="D297">
            <v>1.2</v>
          </cell>
          <cell r="E297">
            <v>1.8506172802885601</v>
          </cell>
          <cell r="F297">
            <v>0.88174338254112505</v>
          </cell>
          <cell r="G297">
            <v>-0.499913824862043</v>
          </cell>
          <cell r="H297">
            <v>1.4667904170775601</v>
          </cell>
          <cell r="I297">
            <v>1.1603136408820001</v>
          </cell>
          <cell r="M297">
            <v>2.0569391444065102</v>
          </cell>
          <cell r="N297">
            <v>0.62053859923024501</v>
          </cell>
          <cell r="O297">
            <v>0.383656247547559</v>
          </cell>
          <cell r="P297">
            <v>0.32926625843458401</v>
          </cell>
          <cell r="Q297">
            <v>1.0553914221029499</v>
          </cell>
          <cell r="R297">
            <v>1.1101679803131399</v>
          </cell>
          <cell r="S297">
            <v>0.29924111670925502</v>
          </cell>
        </row>
        <row r="298">
          <cell r="A298" t="str">
            <v>mscalc:totalCashIncludingShorttermInvestmentsForCac</v>
          </cell>
          <cell r="B298" t="str">
            <v>FY(5)</v>
          </cell>
          <cell r="C298">
            <v>2.04119863603426</v>
          </cell>
          <cell r="D298">
            <v>2.2599999999999998</v>
          </cell>
          <cell r="E298">
            <v>2.20692086134141</v>
          </cell>
          <cell r="F298">
            <v>1.3831814139226799</v>
          </cell>
          <cell r="G298">
            <v>-0.49610332398208501</v>
          </cell>
          <cell r="H298">
            <v>1.2040334606671801</v>
          </cell>
          <cell r="I298">
            <v>1.2268856649054201</v>
          </cell>
          <cell r="M298">
            <v>2.5439339071322</v>
          </cell>
          <cell r="N298">
            <v>1.0125578552091501</v>
          </cell>
          <cell r="O298">
            <v>0.99496818508559404</v>
          </cell>
          <cell r="P298">
            <v>0.57122145046919004</v>
          </cell>
          <cell r="Q298">
            <v>1.22494717770251</v>
          </cell>
          <cell r="R298">
            <v>1.4087813785758301</v>
          </cell>
          <cell r="S298">
            <v>0.540867507514041</v>
          </cell>
        </row>
        <row r="299">
          <cell r="B299" t="str">
            <v>FY(4)</v>
          </cell>
          <cell r="C299">
            <v>2.4284486808766101</v>
          </cell>
          <cell r="D299">
            <v>3.6336397603584198</v>
          </cell>
          <cell r="E299">
            <v>2.5058780966631602</v>
          </cell>
          <cell r="F299">
            <v>1.98426148320344</v>
          </cell>
          <cell r="G299">
            <v>-0.81891959260101599</v>
          </cell>
          <cell r="H299">
            <v>1.3624223480615401</v>
          </cell>
          <cell r="I299">
            <v>1.2668460007154301</v>
          </cell>
          <cell r="J299">
            <v>934.86214260037673</v>
          </cell>
          <cell r="K299">
            <v>6544.0349982026373</v>
          </cell>
          <cell r="M299">
            <v>3.9858565461900199</v>
          </cell>
          <cell r="N299">
            <v>1.0005780312375301</v>
          </cell>
          <cell r="O299">
            <v>1.26039453978226</v>
          </cell>
          <cell r="P299">
            <v>0.86277489742203195</v>
          </cell>
          <cell r="Q299">
            <v>1.1929264385604199</v>
          </cell>
          <cell r="R299">
            <v>1.3287632730684</v>
          </cell>
          <cell r="S299">
            <v>0.76400511877328903</v>
          </cell>
          <cell r="T299">
            <v>742.61106636551267</v>
          </cell>
          <cell r="U299">
            <v>5198.2774645585887</v>
          </cell>
        </row>
        <row r="300">
          <cell r="B300" t="str">
            <v>FY(3)</v>
          </cell>
          <cell r="C300">
            <v>3.31</v>
          </cell>
          <cell r="D300">
            <v>4.8837209302325597</v>
          </cell>
          <cell r="E300">
            <v>2.0770614304446702</v>
          </cell>
          <cell r="F300">
            <v>2.55149905494669</v>
          </cell>
          <cell r="G300">
            <v>0.21962195068579499</v>
          </cell>
          <cell r="H300">
            <v>1.7017917007071</v>
          </cell>
          <cell r="I300">
            <v>1.6338775120122</v>
          </cell>
          <cell r="J300">
            <v>747.65958469519319</v>
          </cell>
          <cell r="K300">
            <v>5233.6170928663523</v>
          </cell>
          <cell r="M300">
            <v>4.8529942397565504</v>
          </cell>
          <cell r="N300">
            <v>1.2508897900467499</v>
          </cell>
          <cell r="O300">
            <v>1.6960864158610001</v>
          </cell>
          <cell r="P300">
            <v>1.1943771412713899</v>
          </cell>
          <cell r="Q300">
            <v>0.93175389657940999</v>
          </cell>
          <cell r="R300">
            <v>1.67714662290667</v>
          </cell>
          <cell r="S300">
            <v>0.64679793670709995</v>
          </cell>
          <cell r="T300">
            <v>742.61106636551267</v>
          </cell>
          <cell r="U300">
            <v>5198.2774645585887</v>
          </cell>
        </row>
        <row r="301">
          <cell r="B301" t="str">
            <v>FY(2)</v>
          </cell>
          <cell r="C301">
            <v>3.39</v>
          </cell>
          <cell r="D301">
            <v>4.7651826357277702</v>
          </cell>
          <cell r="E301">
            <v>2.1292197011621501</v>
          </cell>
          <cell r="F301">
            <v>2.7888518417687198</v>
          </cell>
          <cell r="G301">
            <v>0.41278125259495102</v>
          </cell>
          <cell r="H301">
            <v>1.9036822857226201</v>
          </cell>
          <cell r="I301">
            <v>1.92828963541067</v>
          </cell>
          <cell r="J301">
            <v>741.50341404003791</v>
          </cell>
          <cell r="K301">
            <v>5190.5238982802657</v>
          </cell>
          <cell r="M301">
            <v>5.45356904821739</v>
          </cell>
          <cell r="N301">
            <v>1.11670185002093</v>
          </cell>
          <cell r="O301">
            <v>1.8159569638641699</v>
          </cell>
          <cell r="P301">
            <v>1.6868129829656899</v>
          </cell>
          <cell r="Q301">
            <v>1.11882277420426</v>
          </cell>
          <cell r="R301">
            <v>1.2136220796667601</v>
          </cell>
          <cell r="S301">
            <v>0.89916095308231403</v>
          </cell>
          <cell r="T301">
            <v>755.60655281196853</v>
          </cell>
          <cell r="U301">
            <v>5289.2458696837793</v>
          </cell>
        </row>
        <row r="302">
          <cell r="B302" t="str">
            <v>FY(1)</v>
          </cell>
          <cell r="C302">
            <v>2.89</v>
          </cell>
          <cell r="D302">
            <v>2.52400843811626</v>
          </cell>
          <cell r="E302">
            <v>1.29323129857033</v>
          </cell>
          <cell r="F302">
            <v>1.80139710078758</v>
          </cell>
          <cell r="G302">
            <v>-0.79312003221084204</v>
          </cell>
          <cell r="H302">
            <v>2.3067627390142502</v>
          </cell>
          <cell r="I302">
            <v>1.9985273245524799</v>
          </cell>
          <cell r="J302">
            <v>1191.4163447597857</v>
          </cell>
          <cell r="K302">
            <v>8339.9144133185</v>
          </cell>
          <cell r="M302">
            <v>3.5722553046670802</v>
          </cell>
          <cell r="N302">
            <v>1.4741130973521199</v>
          </cell>
          <cell r="O302">
            <v>0.98702199612683195</v>
          </cell>
          <cell r="P302">
            <v>2.0596348737991299</v>
          </cell>
          <cell r="Q302">
            <v>1.34492350486787</v>
          </cell>
          <cell r="R302">
            <v>1.0476755183056099</v>
          </cell>
          <cell r="S302">
            <v>1.16684752728228</v>
          </cell>
          <cell r="T302">
            <v>1087.3847737330791</v>
          </cell>
          <cell r="U302">
            <v>7611.693416131553</v>
          </cell>
        </row>
        <row r="303">
          <cell r="B303" t="str">
            <v>FY0</v>
          </cell>
          <cell r="C303">
            <v>3.2250814332247599</v>
          </cell>
          <cell r="D303">
            <v>1.07185741893923</v>
          </cell>
          <cell r="E303">
            <v>1.3637977980347999</v>
          </cell>
          <cell r="F303">
            <v>1.9476439790575899</v>
          </cell>
          <cell r="G303">
            <v>-0.32505046574263302</v>
          </cell>
          <cell r="H303">
            <v>3.5404627917437099</v>
          </cell>
          <cell r="I303">
            <v>2.83955201617291</v>
          </cell>
          <cell r="J303">
            <v>1563.6266665338462</v>
          </cell>
          <cell r="K303">
            <v>10945.386665736924</v>
          </cell>
          <cell r="M303">
            <v>1.0857232916170301</v>
          </cell>
          <cell r="N303">
            <v>2.2898250181267499</v>
          </cell>
          <cell r="O303">
            <v>0.76073186478937904</v>
          </cell>
          <cell r="P303">
            <v>1.9105951722867101</v>
          </cell>
          <cell r="Q303">
            <v>1.57451682176092</v>
          </cell>
          <cell r="R303">
            <v>1.2399430783590699</v>
          </cell>
          <cell r="S303">
            <v>1.2842313990523899</v>
          </cell>
          <cell r="T303">
            <v>1157.569772525901</v>
          </cell>
          <cell r="U303">
            <v>8102.9884076813069</v>
          </cell>
        </row>
        <row r="304">
          <cell r="B304" t="str">
            <v>FY1</v>
          </cell>
          <cell r="C304">
            <v>3.84</v>
          </cell>
          <cell r="D304">
            <v>1.5673931502691101</v>
          </cell>
          <cell r="E304">
            <v>1.8332979923671699</v>
          </cell>
          <cell r="F304">
            <v>2.5862513892318302</v>
          </cell>
          <cell r="G304">
            <v>-9.7405174087837498E-2</v>
          </cell>
          <cell r="H304">
            <v>4.2896851724700404</v>
          </cell>
          <cell r="I304">
            <v>3.4390463814732599</v>
          </cell>
          <cell r="J304">
            <v>741.43169975432386</v>
          </cell>
          <cell r="K304">
            <v>5190.0218982802671</v>
          </cell>
          <cell r="M304">
            <v>1.7864819853377301</v>
          </cell>
          <cell r="N304">
            <v>2.7325550569536099</v>
          </cell>
          <cell r="O304">
            <v>1.15945960309165</v>
          </cell>
          <cell r="P304">
            <v>2.1782807832683999</v>
          </cell>
          <cell r="Q304">
            <v>1.6516746689870401</v>
          </cell>
          <cell r="R304">
            <v>1.69537580939143</v>
          </cell>
          <cell r="S304">
            <v>1.61941939902598</v>
          </cell>
          <cell r="T304">
            <v>699.77055281196863</v>
          </cell>
          <cell r="U304">
            <v>4898.3938696837804</v>
          </cell>
        </row>
        <row r="305">
          <cell r="B305" t="str">
            <v>FY2</v>
          </cell>
          <cell r="C305">
            <v>4.5728797622460302</v>
          </cell>
          <cell r="D305">
            <v>1.94285457963845</v>
          </cell>
          <cell r="E305">
            <v>2.0856204477039402</v>
          </cell>
          <cell r="F305">
            <v>2.9116860600686101</v>
          </cell>
          <cell r="G305">
            <v>0.13182592432298201</v>
          </cell>
          <cell r="H305">
            <v>4.8723869135682998</v>
          </cell>
          <cell r="I305">
            <v>3.8781326293192002</v>
          </cell>
          <cell r="J305">
            <v>698.08827118289616</v>
          </cell>
          <cell r="K305">
            <v>4886.617898280273</v>
          </cell>
          <cell r="M305">
            <v>2.4574533255178199</v>
          </cell>
          <cell r="N305">
            <v>2.98453685978743</v>
          </cell>
          <cell r="O305">
            <v>1.4121827801328699</v>
          </cell>
          <cell r="P305">
            <v>2.4232914952671898</v>
          </cell>
          <cell r="Q305">
            <v>1.7645736925778299</v>
          </cell>
          <cell r="R305">
            <v>1.98791893284279</v>
          </cell>
          <cell r="S305">
            <v>1.9456738520825001</v>
          </cell>
          <cell r="T305">
            <v>646.65298138339688</v>
          </cell>
          <cell r="U305">
            <v>4526.5708696837783</v>
          </cell>
        </row>
        <row r="306">
          <cell r="B306" t="str">
            <v>FQ(3)</v>
          </cell>
          <cell r="C306">
            <v>0.45</v>
          </cell>
          <cell r="D306">
            <v>0.112258643915582</v>
          </cell>
          <cell r="E306">
            <v>-0.16136687233032701</v>
          </cell>
          <cell r="F306">
            <v>0.31278748850046001</v>
          </cell>
          <cell r="G306">
            <v>-3.4664526345474199E-2</v>
          </cell>
          <cell r="H306">
            <v>0.72206156569008495</v>
          </cell>
          <cell r="I306">
            <v>0.48651822379909199</v>
          </cell>
          <cell r="J306">
            <v>951.39055689718236</v>
          </cell>
          <cell r="K306">
            <v>6659.7338982802767</v>
          </cell>
          <cell r="M306">
            <v>-0.26346397254181902</v>
          </cell>
          <cell r="N306">
            <v>0.32625264296602202</v>
          </cell>
          <cell r="O306">
            <v>7.5649103171463603E-2</v>
          </cell>
          <cell r="P306">
            <v>0.38320548925643</v>
          </cell>
          <cell r="Q306">
            <v>0.30846484935437601</v>
          </cell>
          <cell r="R306">
            <v>8.04553257961238E-3</v>
          </cell>
          <cell r="S306">
            <v>0.18086892567228299</v>
          </cell>
          <cell r="T306">
            <v>817.61028571428574</v>
          </cell>
          <cell r="U306">
            <v>5723.2719999999999</v>
          </cell>
        </row>
        <row r="307">
          <cell r="B307" t="str">
            <v>FQ(2)</v>
          </cell>
          <cell r="C307">
            <v>0.75</v>
          </cell>
          <cell r="D307">
            <v>-2.64328485885372E-3</v>
          </cell>
          <cell r="E307">
            <v>0.19900497512437801</v>
          </cell>
          <cell r="F307">
            <v>0.479890310786106</v>
          </cell>
          <cell r="G307">
            <v>-0.396913067052232</v>
          </cell>
          <cell r="H307">
            <v>0.82292412739340104</v>
          </cell>
          <cell r="I307">
            <v>0.60764125235507704</v>
          </cell>
          <cell r="J307">
            <v>951.70144671342098</v>
          </cell>
          <cell r="K307">
            <v>6661.9101269939465</v>
          </cell>
          <cell r="M307">
            <v>7.8399485650561193E-2</v>
          </cell>
          <cell r="N307">
            <v>0.38030953043325499</v>
          </cell>
          <cell r="O307">
            <v>0.13669832308686</v>
          </cell>
          <cell r="P307">
            <v>0.42515100838658099</v>
          </cell>
          <cell r="Q307">
            <v>0.32571428571428601</v>
          </cell>
          <cell r="R307">
            <v>0.18502780191404899</v>
          </cell>
          <cell r="S307">
            <v>0.28714391088612501</v>
          </cell>
          <cell r="T307">
            <v>844.17771428571439</v>
          </cell>
          <cell r="U307">
            <v>5909.2440000000006</v>
          </cell>
        </row>
        <row r="308">
          <cell r="B308" t="str">
            <v>FQ(1)</v>
          </cell>
          <cell r="C308">
            <v>0.63</v>
          </cell>
          <cell r="D308">
            <v>0.11363636363636399</v>
          </cell>
          <cell r="E308">
            <v>-2.8449502133712699E-2</v>
          </cell>
          <cell r="F308">
            <v>0.37607612143180802</v>
          </cell>
          <cell r="G308">
            <v>1.23689909433279E-2</v>
          </cell>
          <cell r="H308">
            <v>0.843013927219047</v>
          </cell>
          <cell r="I308">
            <v>0.81243984937817104</v>
          </cell>
          <cell r="J308">
            <v>951.70144671342098</v>
          </cell>
          <cell r="K308">
            <v>6661.9101269939465</v>
          </cell>
          <cell r="M308">
            <v>0.34512566212104101</v>
          </cell>
          <cell r="N308">
            <v>0.61409108068224705</v>
          </cell>
          <cell r="O308">
            <v>0.21252615894514101</v>
          </cell>
          <cell r="P308">
            <v>0.43855628046027101</v>
          </cell>
          <cell r="Q308">
            <v>0.43607954545454503</v>
          </cell>
          <cell r="R308">
            <v>1.8579840918299399E-2</v>
          </cell>
          <cell r="S308">
            <v>0.36392078850375198</v>
          </cell>
          <cell r="T308">
            <v>844.17771428571439</v>
          </cell>
          <cell r="U308">
            <v>5909.2440000000006</v>
          </cell>
        </row>
        <row r="309">
          <cell r="B309" t="str">
            <v>Last Reported Q</v>
          </cell>
          <cell r="C309">
            <v>3.2250814332247599</v>
          </cell>
          <cell r="D309">
            <v>1.07185741893923</v>
          </cell>
          <cell r="E309">
            <v>1.3637977980347999</v>
          </cell>
          <cell r="F309">
            <v>1.9476439790575899</v>
          </cell>
          <cell r="G309">
            <v>-0.32505046574263302</v>
          </cell>
          <cell r="H309">
            <v>3.5404627917437099</v>
          </cell>
          <cell r="I309">
            <v>2.83955201617291</v>
          </cell>
          <cell r="M309">
            <v>1.0857232916170301</v>
          </cell>
          <cell r="N309">
            <v>2.2898250181267499</v>
          </cell>
          <cell r="O309">
            <v>0.76073186478937904</v>
          </cell>
          <cell r="P309">
            <v>0.74973318273326695</v>
          </cell>
          <cell r="Q309">
            <v>1.57451682176092</v>
          </cell>
          <cell r="R309">
            <v>1.2399430783590699</v>
          </cell>
          <cell r="S309">
            <v>1.2842313990523899</v>
          </cell>
        </row>
        <row r="310">
          <cell r="A310" t="str">
            <v>mstag:shortTermBorrowings</v>
          </cell>
          <cell r="B310" t="str">
            <v>LTM</v>
          </cell>
          <cell r="C310">
            <v>5.0550814332247604</v>
          </cell>
          <cell r="D310">
            <v>1.2951091416323224</v>
          </cell>
          <cell r="E310">
            <v>1.3729863986951383</v>
          </cell>
          <cell r="F310">
            <v>3.116397899775964</v>
          </cell>
          <cell r="G310">
            <v>-0.74425906819701138</v>
          </cell>
          <cell r="H310">
            <v>5.928462412046243</v>
          </cell>
          <cell r="I310">
            <v>4.7461513417052501</v>
          </cell>
          <cell r="M310">
            <v>1.2457844668468132</v>
          </cell>
          <cell r="N310">
            <v>3.6104782722082742</v>
          </cell>
          <cell r="O310">
            <v>1.1856054499928437</v>
          </cell>
          <cell r="P310">
            <v>1.996645960836549</v>
          </cell>
          <cell r="Q310">
            <v>2.6447755022841273</v>
          </cell>
          <cell r="R310">
            <v>1.4515962537710307</v>
          </cell>
          <cell r="S310">
            <v>2.11616502411455</v>
          </cell>
        </row>
        <row r="311">
          <cell r="B311" t="str">
            <v>FY(2)</v>
          </cell>
          <cell r="C311">
            <v>18.841000000000001</v>
          </cell>
          <cell r="D311">
            <v>434</v>
          </cell>
          <cell r="E311">
            <v>650</v>
          </cell>
          <cell r="F311">
            <v>6.8</v>
          </cell>
          <cell r="G311">
            <v>236.667</v>
          </cell>
          <cell r="H311">
            <v>0</v>
          </cell>
          <cell r="I311">
            <v>1.8540000000000001</v>
          </cell>
          <cell r="J311">
            <v>192.59457142857141</v>
          </cell>
          <cell r="K311">
            <v>1348.1619999999998</v>
          </cell>
          <cell r="M311">
            <v>0</v>
          </cell>
          <cell r="N311">
            <v>0</v>
          </cell>
          <cell r="O311">
            <v>0</v>
          </cell>
          <cell r="P311">
            <v>0.23499999999999999</v>
          </cell>
          <cell r="Q311">
            <v>325</v>
          </cell>
          <cell r="R311">
            <v>18</v>
          </cell>
          <cell r="S311" t="str">
            <v>NA</v>
          </cell>
          <cell r="T311">
            <v>57.205833333333338</v>
          </cell>
          <cell r="U311">
            <v>343.23500000000001</v>
          </cell>
        </row>
        <row r="312">
          <cell r="B312" t="str">
            <v>EPS Y/Y Δ</v>
          </cell>
          <cell r="C312">
            <v>12.701000000000001</v>
          </cell>
          <cell r="D312">
            <v>203</v>
          </cell>
          <cell r="E312">
            <v>666</v>
          </cell>
          <cell r="F312">
            <v>261</v>
          </cell>
          <cell r="G312">
            <v>319.24200000000002</v>
          </cell>
          <cell r="H312">
            <v>0</v>
          </cell>
          <cell r="I312">
            <v>2.008</v>
          </cell>
          <cell r="J312">
            <v>209.13585714285713</v>
          </cell>
          <cell r="K312">
            <v>1463.951</v>
          </cell>
          <cell r="M312">
            <v>0</v>
          </cell>
          <cell r="N312">
            <v>0</v>
          </cell>
          <cell r="O312">
            <v>0</v>
          </cell>
          <cell r="P312">
            <v>0.28499999999999998</v>
          </cell>
          <cell r="Q312">
            <v>138</v>
          </cell>
          <cell r="R312">
            <v>0</v>
          </cell>
          <cell r="S312" t="str">
            <v>NA</v>
          </cell>
          <cell r="T312">
            <v>23.047499999999999</v>
          </cell>
          <cell r="U312">
            <v>138.285</v>
          </cell>
        </row>
        <row r="313">
          <cell r="B313" t="str">
            <v>FY(10)</v>
          </cell>
          <cell r="C313">
            <v>17</v>
          </cell>
          <cell r="D313">
            <v>0</v>
          </cell>
          <cell r="E313">
            <v>966</v>
          </cell>
          <cell r="F313">
            <v>299</v>
          </cell>
          <cell r="G313">
            <v>4.673</v>
          </cell>
          <cell r="H313">
            <v>0</v>
          </cell>
          <cell r="I313">
            <v>395.02699999999999</v>
          </cell>
          <cell r="J313">
            <v>240.24285714285716</v>
          </cell>
          <cell r="K313">
            <v>1681.7</v>
          </cell>
          <cell r="M313">
            <v>0</v>
          </cell>
          <cell r="N313">
            <v>0</v>
          </cell>
          <cell r="O313">
            <v>75</v>
          </cell>
          <cell r="P313">
            <v>8.0039999999999996</v>
          </cell>
          <cell r="Q313">
            <v>50</v>
          </cell>
          <cell r="R313">
            <v>0</v>
          </cell>
          <cell r="S313" t="str">
            <v>NA</v>
          </cell>
          <cell r="T313">
            <v>22.167333333333335</v>
          </cell>
          <cell r="U313">
            <v>133.00400000000002</v>
          </cell>
        </row>
        <row r="314">
          <cell r="B314" t="str">
            <v>FY(9)</v>
          </cell>
          <cell r="C314">
            <v>0.38333191174535419</v>
          </cell>
          <cell r="D314">
            <v>-1.3142857142857143</v>
          </cell>
          <cell r="E314">
            <v>0.11804933673070162</v>
          </cell>
          <cell r="F314">
            <v>-0.36416773403833624</v>
          </cell>
          <cell r="G314">
            <v>4.8470000000000004</v>
          </cell>
          <cell r="H314">
            <v>-0.44955298404739652</v>
          </cell>
          <cell r="I314">
            <v>-0.43883491605853564</v>
          </cell>
          <cell r="J314">
            <v>-0.34424334999232115</v>
          </cell>
          <cell r="K314">
            <v>799.84699999999998</v>
          </cell>
          <cell r="M314">
            <v>0.10474862147233988</v>
          </cell>
          <cell r="N314">
            <v>0</v>
          </cell>
          <cell r="O314">
            <v>1.8165106195665359E-2</v>
          </cell>
          <cell r="P314">
            <v>0.70399999999999996</v>
          </cell>
          <cell r="Q314">
            <v>0</v>
          </cell>
          <cell r="R314">
            <v>-3.3205992332745793E-2</v>
          </cell>
          <cell r="S314">
            <v>-0.41964642004471842</v>
          </cell>
          <cell r="T314">
            <v>-8.2484671177364743E-2</v>
          </cell>
          <cell r="U314">
            <v>50.704000000000001</v>
          </cell>
        </row>
        <row r="315">
          <cell r="B315" t="str">
            <v>FY(8)</v>
          </cell>
          <cell r="C315">
            <v>0.32341124893457951</v>
          </cell>
          <cell r="D315">
            <v>-2.2954545454545454</v>
          </cell>
          <cell r="E315">
            <v>-0.23747100765952955</v>
          </cell>
          <cell r="F315">
            <v>-0.50066060080717933</v>
          </cell>
          <cell r="G315">
            <v>4.8470000000000004</v>
          </cell>
          <cell r="H315">
            <v>6.0534456738616127E-2</v>
          </cell>
          <cell r="I315">
            <v>4.4168813353693048E-2</v>
          </cell>
          <cell r="J315">
            <v>-0.43424527248239436</v>
          </cell>
          <cell r="K315">
            <v>786.84699999999998</v>
          </cell>
          <cell r="M315">
            <v>5.832853298378593E-2</v>
          </cell>
          <cell r="N315">
            <v>0</v>
          </cell>
          <cell r="O315">
            <v>9.0181483792735495E-2</v>
          </cell>
          <cell r="P315">
            <v>0.50467806849125085</v>
          </cell>
          <cell r="Q315">
            <v>-1.0089158991143998</v>
          </cell>
          <cell r="R315">
            <v>-3.5106748651982933E-3</v>
          </cell>
          <cell r="S315">
            <v>0.41650191844039486</v>
          </cell>
          <cell r="T315">
            <v>9.5439049547615031E-3</v>
          </cell>
          <cell r="U315">
            <v>50</v>
          </cell>
        </row>
        <row r="316">
          <cell r="B316" t="str">
            <v>FY(7)</v>
          </cell>
          <cell r="C316">
            <v>0.29857794398182502</v>
          </cell>
          <cell r="D316">
            <v>0.64912280701754388</v>
          </cell>
          <cell r="E316">
            <v>6.7412153054826396E-2</v>
          </cell>
          <cell r="F316">
            <v>-0.20227964526215647</v>
          </cell>
          <cell r="G316">
            <v>4.673</v>
          </cell>
          <cell r="H316">
            <v>0.31251840188069724</v>
          </cell>
          <cell r="I316">
            <v>0.10728677326538727</v>
          </cell>
          <cell r="J316">
            <v>0.20543973898968723</v>
          </cell>
          <cell r="K316">
            <v>1681.7</v>
          </cell>
          <cell r="M316">
            <v>0.19098184907018156</v>
          </cell>
          <cell r="N316">
            <v>0</v>
          </cell>
          <cell r="O316">
            <v>-6.2339155241477595E-3</v>
          </cell>
          <cell r="P316">
            <v>9.3992643608273196E-2</v>
          </cell>
          <cell r="Q316">
            <v>-59.050181919874326</v>
          </cell>
          <cell r="R316">
            <v>0.24789361207114635</v>
          </cell>
          <cell r="S316">
            <v>0.64296231684330118</v>
          </cell>
          <cell r="T316">
            <v>-9.6467642356342616</v>
          </cell>
          <cell r="U316">
            <v>125.33499999999999</v>
          </cell>
        </row>
        <row r="317">
          <cell r="B317" t="str">
            <v>FY(6)</v>
          </cell>
          <cell r="C317">
            <v>-8.3100620005075121E-2</v>
          </cell>
          <cell r="D317">
            <v>0.27659574468085113</v>
          </cell>
          <cell r="E317">
            <v>8.2618698493727383E-2</v>
          </cell>
          <cell r="F317">
            <v>1.3822706979871873</v>
          </cell>
          <cell r="G317">
            <v>4.6859999999999999</v>
          </cell>
          <cell r="H317">
            <v>0.16926236630347291</v>
          </cell>
          <cell r="I317">
            <v>7.8776047681237138E-2</v>
          </cell>
          <cell r="J317">
            <v>0.3177371558569001</v>
          </cell>
          <cell r="K317">
            <v>1907.1309999999999</v>
          </cell>
          <cell r="M317">
            <v>6.2837441288863927E-2</v>
          </cell>
          <cell r="N317">
            <v>0.55094315434128438</v>
          </cell>
          <cell r="O317">
            <v>-0.15929751921077051</v>
          </cell>
          <cell r="P317">
            <v>0.53825298190107462</v>
          </cell>
          <cell r="Q317">
            <v>1.0410859377324253</v>
          </cell>
          <cell r="R317">
            <v>0.13904717119015597</v>
          </cell>
          <cell r="S317">
            <v>0.69315931207639814</v>
          </cell>
          <cell r="T317">
            <v>0.40943263990277595</v>
          </cell>
          <cell r="U317">
            <v>77.399000000000001</v>
          </cell>
        </row>
        <row r="318">
          <cell r="B318" t="str">
            <v>FY(5)</v>
          </cell>
          <cell r="C318">
            <v>0.20795980583943563</v>
          </cell>
          <cell r="D318">
            <v>0.8833333333333333</v>
          </cell>
          <cell r="E318">
            <v>0.19253228900861274</v>
          </cell>
          <cell r="F318">
            <v>0.56868930497266024</v>
          </cell>
          <cell r="G318">
            <v>-7.6223154680900018E-3</v>
          </cell>
          <cell r="H318">
            <v>-0.17913735551524679</v>
          </cell>
          <cell r="I318">
            <v>5.7374163051996829E-2</v>
          </cell>
          <cell r="J318">
            <v>0.2461613178889574</v>
          </cell>
          <cell r="K318">
            <v>1301.9349999999999</v>
          </cell>
          <cell r="M318">
            <v>0.2367570105561887</v>
          </cell>
          <cell r="N318">
            <v>0.63174032439753192</v>
          </cell>
          <cell r="O318">
            <v>1.5933845504816269</v>
          </cell>
          <cell r="P318">
            <v>0.73483141936535756</v>
          </cell>
          <cell r="Q318">
            <v>0.1606567497599205</v>
          </cell>
          <cell r="R318">
            <v>0.2689803737434957</v>
          </cell>
          <cell r="S318">
            <v>0.80746387215080495</v>
          </cell>
          <cell r="T318">
            <v>0.6334020429221322</v>
          </cell>
          <cell r="U318">
            <v>77.489999999999995</v>
          </cell>
        </row>
        <row r="319">
          <cell r="B319" t="str">
            <v>FY(4)</v>
          </cell>
          <cell r="C319">
            <v>0.18971698197619724</v>
          </cell>
          <cell r="D319">
            <v>0.60780520369841606</v>
          </cell>
          <cell r="E319">
            <v>0.13546350508465355</v>
          </cell>
          <cell r="F319">
            <v>0.43456343703759504</v>
          </cell>
          <cell r="G319">
            <v>0.65070370024488766</v>
          </cell>
          <cell r="H319">
            <v>0.13154857615551108</v>
          </cell>
          <cell r="I319">
            <v>3.2570545856928312E-2</v>
          </cell>
          <cell r="J319">
            <v>0.3117674214363127</v>
          </cell>
          <cell r="K319">
            <v>1063.2470000000001</v>
          </cell>
          <cell r="M319">
            <v>0.5668082158169403</v>
          </cell>
          <cell r="N319">
            <v>-1.1831248861474242E-2</v>
          </cell>
          <cell r="O319">
            <v>0.26676868534628784</v>
          </cell>
          <cell r="P319">
            <v>0.51040353388929227</v>
          </cell>
          <cell r="Q319">
            <v>-2.6140506076472336E-2</v>
          </cell>
          <cell r="R319">
            <v>-5.6799519587859892E-2</v>
          </cell>
          <cell r="S319">
            <v>0.41255503087039358</v>
          </cell>
          <cell r="T319">
            <v>0.23739488448530108</v>
          </cell>
          <cell r="U319">
            <v>58.003999999999998</v>
          </cell>
        </row>
        <row r="320">
          <cell r="B320" t="str">
            <v>FY(3)</v>
          </cell>
          <cell r="C320">
            <v>0.3630100673180261</v>
          </cell>
          <cell r="D320">
            <v>0.34403002287459361</v>
          </cell>
          <cell r="E320">
            <v>-0.17112431238754366</v>
          </cell>
          <cell r="F320">
            <v>0.28586835784741838</v>
          </cell>
          <cell r="G320">
            <v>-1.2681849996875048</v>
          </cell>
          <cell r="H320">
            <v>0.24909262030853796</v>
          </cell>
          <cell r="I320">
            <v>0.2897207009293119</v>
          </cell>
          <cell r="J320">
            <v>1.3201779600405647E-2</v>
          </cell>
          <cell r="K320">
            <v>1063.2470000000001</v>
          </cell>
          <cell r="M320">
            <v>0.21755366343914351</v>
          </cell>
          <cell r="N320">
            <v>0.25016715437938464</v>
          </cell>
          <cell r="O320">
            <v>0.34567896188602032</v>
          </cell>
          <cell r="P320">
            <v>0.38434387096817968</v>
          </cell>
          <cell r="Q320">
            <v>-0.21893432280382974</v>
          </cell>
          <cell r="R320">
            <v>0.26218616731765776</v>
          </cell>
          <cell r="S320">
            <v>-0.15341151411967069</v>
          </cell>
          <cell r="T320">
            <v>0.15536914015241221</v>
          </cell>
          <cell r="U320">
            <v>58.003999999999998</v>
          </cell>
        </row>
        <row r="321">
          <cell r="B321" t="str">
            <v>FY(2)</v>
          </cell>
          <cell r="C321">
            <v>2.4169184290030232E-2</v>
          </cell>
          <cell r="D321">
            <v>-2.427212697002834E-2</v>
          </cell>
          <cell r="E321">
            <v>2.51115686579928E-2</v>
          </cell>
          <cell r="F321">
            <v>9.3024838226714035E-2</v>
          </cell>
          <cell r="G321">
            <v>0.87950817896842159</v>
          </cell>
          <cell r="H321">
            <v>0.11863413420786695</v>
          </cell>
          <cell r="I321">
            <v>0.18019228567255752</v>
          </cell>
          <cell r="J321">
            <v>0.18519543757907925</v>
          </cell>
          <cell r="M321">
            <v>0.12375345586459363</v>
          </cell>
          <cell r="N321">
            <v>-0.10727399095711287</v>
          </cell>
          <cell r="O321">
            <v>7.0674788078129103E-2</v>
          </cell>
          <cell r="P321">
            <v>0.41229509899202532</v>
          </cell>
          <cell r="Q321">
            <v>0.20077069525719637</v>
          </cell>
          <cell r="R321">
            <v>-0.27637687540793165</v>
          </cell>
          <cell r="S321">
            <v>0.39017288406950468</v>
          </cell>
          <cell r="T321">
            <v>0.11628800798520066</v>
          </cell>
        </row>
        <row r="322">
          <cell r="A322" t="str">
            <v>mstag:longTermDebt</v>
          </cell>
          <cell r="B322" t="str">
            <v>FY(1)</v>
          </cell>
          <cell r="C322">
            <v>-0.14749262536873153</v>
          </cell>
          <cell r="D322">
            <v>-0.47032283312877121</v>
          </cell>
          <cell r="E322">
            <v>-0.39262665197749624</v>
          </cell>
          <cell r="F322">
            <v>-0.3540721404385847</v>
          </cell>
          <cell r="G322">
            <v>-2.9214051685363369</v>
          </cell>
          <cell r="H322">
            <v>0.21173725065084814</v>
          </cell>
          <cell r="I322">
            <v>3.6424864736075424E-2</v>
          </cell>
          <cell r="J322">
            <v>-0.57682247200899972</v>
          </cell>
          <cell r="M322">
            <v>-0.34496927185056092</v>
          </cell>
          <cell r="N322">
            <v>0.32005968945470187</v>
          </cell>
          <cell r="O322">
            <v>-0.45647280427474968</v>
          </cell>
          <cell r="P322">
            <v>0.22102147339295364</v>
          </cell>
          <cell r="Q322">
            <v>0.20208806602495155</v>
          </cell>
          <cell r="R322">
            <v>-0.13673660371004148</v>
          </cell>
          <cell r="S322">
            <v>0.29770707155636522</v>
          </cell>
          <cell r="T322">
            <v>1.4671088656231457E-2</v>
          </cell>
        </row>
        <row r="323">
          <cell r="B323" t="str">
            <v>FY0</v>
          </cell>
          <cell r="C323">
            <v>0.11594513260372308</v>
          </cell>
          <cell r="D323">
            <v>-0.57533524739751352</v>
          </cell>
          <cell r="E323">
            <v>5.4566031260209424E-2</v>
          </cell>
          <cell r="F323">
            <v>8.1185252383314088E-2</v>
          </cell>
          <cell r="G323">
            <v>-0.59016233036436283</v>
          </cell>
          <cell r="H323">
            <v>0.53481878819347384</v>
          </cell>
          <cell r="I323">
            <v>0.42082221308070245</v>
          </cell>
          <cell r="J323">
            <v>5.9771199656495034E-3</v>
          </cell>
          <cell r="K323">
            <v>13906.364000000001</v>
          </cell>
          <cell r="M323">
            <v>-0.69606783417787799</v>
          </cell>
          <cell r="N323">
            <v>0.55335775948253563</v>
          </cell>
          <cell r="O323">
            <v>-0.22926554040886304</v>
          </cell>
          <cell r="P323">
            <v>-7.2362195556296083E-2</v>
          </cell>
          <cell r="Q323">
            <v>0.17071105982016865</v>
          </cell>
          <cell r="R323">
            <v>0.18351823316861648</v>
          </cell>
          <cell r="S323">
            <v>0.10059915201046898</v>
          </cell>
          <cell r="T323">
            <v>1.4986620483932336E-3</v>
          </cell>
          <cell r="U323">
            <v>1855.865</v>
          </cell>
        </row>
        <row r="324">
          <cell r="B324" t="str">
            <v>FY1</v>
          </cell>
          <cell r="C324">
            <v>0.19066760933238913</v>
          </cell>
          <cell r="D324">
            <v>0.46231497079181483</v>
          </cell>
          <cell r="E324">
            <v>0.34425938728520356</v>
          </cell>
          <cell r="F324">
            <v>0.32788713801956981</v>
          </cell>
          <cell r="G324">
            <v>-0.70033830326838997</v>
          </cell>
          <cell r="H324">
            <v>0.21161707516698169</v>
          </cell>
          <cell r="I324">
            <v>0.21112286793334967</v>
          </cell>
          <cell r="J324">
            <v>0.1496472493229884</v>
          </cell>
          <cell r="K324">
            <v>18116.307000000001</v>
          </cell>
          <cell r="M324">
            <v>0.64543028516687695</v>
          </cell>
          <cell r="N324">
            <v>0.19334666855419669</v>
          </cell>
          <cell r="O324">
            <v>0.52413702745666524</v>
          </cell>
          <cell r="P324">
            <v>0.14010587635962057</v>
          </cell>
          <cell r="Q324">
            <v>4.9004142832737463E-2</v>
          </cell>
          <cell r="R324">
            <v>0.36730132131152016</v>
          </cell>
          <cell r="S324">
            <v>0.2610028069870578</v>
          </cell>
          <cell r="T324">
            <v>0.31147544695266788</v>
          </cell>
          <cell r="U324">
            <v>2957.2190000000001</v>
          </cell>
        </row>
        <row r="325">
          <cell r="B325" t="str">
            <v>FY2</v>
          </cell>
          <cell r="C325">
            <v>0.19085410475157039</v>
          </cell>
          <cell r="D325">
            <v>0.23954515132650411</v>
          </cell>
          <cell r="E325">
            <v>0.13763308332158775</v>
          </cell>
          <cell r="F325">
            <v>0.1258325745872062</v>
          </cell>
          <cell r="G325">
            <v>-2.353377020856251</v>
          </cell>
          <cell r="H325">
            <v>0.13583788032694577</v>
          </cell>
          <cell r="I325">
            <v>0.12767674498703308</v>
          </cell>
          <cell r="J325">
            <v>-0.19942821165077196</v>
          </cell>
          <cell r="K325">
            <v>17655.983</v>
          </cell>
          <cell r="M325">
            <v>0.37558248316354792</v>
          </cell>
          <cell r="N325">
            <v>9.221472123410468E-2</v>
          </cell>
          <cell r="O325">
            <v>0.21796634946775573</v>
          </cell>
          <cell r="P325">
            <v>0.11247893929962682</v>
          </cell>
          <cell r="Q325">
            <v>6.8354274428650053E-2</v>
          </cell>
          <cell r="R325">
            <v>0.17255355528304417</v>
          </cell>
          <cell r="S325">
            <v>0.20146384145623419</v>
          </cell>
          <cell r="T325">
            <v>0.17723059490470908</v>
          </cell>
          <cell r="U325">
            <v>3022.1860000000001</v>
          </cell>
        </row>
        <row r="326">
          <cell r="B326" t="str">
            <v>FY1</v>
          </cell>
          <cell r="C326">
            <v>2054</v>
          </cell>
          <cell r="D326">
            <v>2999</v>
          </cell>
          <cell r="E326">
            <v>8618.2000000000007</v>
          </cell>
          <cell r="F326">
            <v>2259</v>
          </cell>
          <cell r="G326">
            <v>499.60599999999999</v>
          </cell>
          <cell r="H326">
            <v>150</v>
          </cell>
          <cell r="I326">
            <v>774.7</v>
          </cell>
          <cell r="J326">
            <v>2479.2151428571428</v>
          </cell>
          <cell r="K326">
            <v>17354.506000000001</v>
          </cell>
          <cell r="M326">
            <v>50.582000000000001</v>
          </cell>
          <cell r="N326" t="str">
            <v>NA</v>
          </cell>
          <cell r="O326">
            <v>0</v>
          </cell>
          <cell r="P326">
            <v>24.428999999999998</v>
          </cell>
          <cell r="Q326">
            <v>0</v>
          </cell>
          <cell r="R326">
            <v>2880.2820000000002</v>
          </cell>
          <cell r="S326">
            <v>0</v>
          </cell>
          <cell r="T326">
            <v>492.54883333333333</v>
          </cell>
          <cell r="U326">
            <v>2955.2930000000001</v>
          </cell>
        </row>
        <row r="327">
          <cell r="B327" t="str">
            <v>Net Income Margin</v>
          </cell>
          <cell r="C327">
            <v>2037</v>
          </cell>
          <cell r="D327">
            <v>2597</v>
          </cell>
          <cell r="E327">
            <v>8355.4</v>
          </cell>
          <cell r="F327">
            <v>1909</v>
          </cell>
          <cell r="G327">
            <v>476.60599999999999</v>
          </cell>
          <cell r="H327">
            <v>150</v>
          </cell>
          <cell r="I327">
            <v>774.7</v>
          </cell>
          <cell r="J327">
            <v>2328.5294285714285</v>
          </cell>
          <cell r="K327">
            <v>16299.706</v>
          </cell>
          <cell r="M327">
            <v>50.582000000000001</v>
          </cell>
          <cell r="N327" t="str">
            <v>NA</v>
          </cell>
          <cell r="O327">
            <v>0</v>
          </cell>
          <cell r="P327">
            <v>25.132999999999999</v>
          </cell>
          <cell r="Q327">
            <v>0</v>
          </cell>
          <cell r="R327">
            <v>2878.2820000000002</v>
          </cell>
          <cell r="S327">
            <v>0</v>
          </cell>
          <cell r="T327">
            <v>492.33283333333338</v>
          </cell>
          <cell r="U327">
            <v>2953.9970000000003</v>
          </cell>
        </row>
        <row r="328">
          <cell r="B328" t="str">
            <v>FY(10)</v>
          </cell>
          <cell r="C328">
            <v>5.7935299255208496E-2</v>
          </cell>
          <cell r="D328">
            <v>1.2101187663421857E-2</v>
          </cell>
          <cell r="E328">
            <v>5.1469212053153662E-2</v>
          </cell>
          <cell r="F328">
            <v>3.92874344532919E-2</v>
          </cell>
          <cell r="G328">
            <v>635.4</v>
          </cell>
          <cell r="H328">
            <v>6.4450923950777714E-2</v>
          </cell>
          <cell r="I328">
            <v>5.9897807329261712E-2</v>
          </cell>
          <cell r="J328">
            <v>4.752364411751922E-2</v>
          </cell>
          <cell r="K328">
            <v>3.4351025607138229E-2</v>
          </cell>
          <cell r="M328">
            <v>0.14512571081565068</v>
          </cell>
          <cell r="N328" t="str">
            <v>NA</v>
          </cell>
          <cell r="O328">
            <v>0.10895272706296327</v>
          </cell>
          <cell r="P328">
            <v>4.1358625076558596E-2</v>
          </cell>
          <cell r="Q328">
            <v>0</v>
          </cell>
          <cell r="R328">
            <v>4.572598812205611E-2</v>
          </cell>
          <cell r="S328">
            <v>6.7166942933268137E-2</v>
          </cell>
          <cell r="T328">
            <v>8.1665998802099363E-2</v>
          </cell>
          <cell r="U328">
            <v>2.9919546644090092E-2</v>
          </cell>
        </row>
        <row r="329">
          <cell r="B329" t="str">
            <v>FY(9)</v>
          </cell>
          <cell r="C329">
            <v>5.9931731738239978E-2</v>
          </cell>
          <cell r="D329">
            <v>-2.7808829994347799E-3</v>
          </cell>
          <cell r="E329">
            <v>5.4153143406659457E-2</v>
          </cell>
          <cell r="F329">
            <v>2.4378058788428116E-2</v>
          </cell>
          <cell r="G329">
            <v>631.94000000000005</v>
          </cell>
          <cell r="H329">
            <v>5.5476499230908083E-2</v>
          </cell>
          <cell r="I329">
            <v>5.6171381456489332E-2</v>
          </cell>
          <cell r="J329">
            <v>4.1221655270215034E-2</v>
          </cell>
          <cell r="K329">
            <v>2.7663271784373999E-2</v>
          </cell>
          <cell r="M329">
            <v>0.12673924777230844</v>
          </cell>
          <cell r="N329" t="str">
            <v>NA</v>
          </cell>
          <cell r="O329">
            <v>8.6118055201265253E-2</v>
          </cell>
          <cell r="P329">
            <v>7.0464480874316948E-2</v>
          </cell>
          <cell r="Q329">
            <v>6.4169722482663394E-2</v>
          </cell>
          <cell r="R329">
            <v>4.5425209251101321E-2</v>
          </cell>
          <cell r="S329">
            <v>3.5536157490019732E-2</v>
          </cell>
          <cell r="T329">
            <v>7.1408812178612516E-2</v>
          </cell>
          <cell r="U329">
            <v>6.0567113597635745E-2</v>
          </cell>
        </row>
        <row r="330">
          <cell r="B330" t="str">
            <v>FY(8)</v>
          </cell>
          <cell r="C330">
            <v>6.5697991332478528E-2</v>
          </cell>
          <cell r="D330">
            <v>1.0257847533632286E-2</v>
          </cell>
          <cell r="E330">
            <v>4.7260057016154579E-2</v>
          </cell>
          <cell r="F330">
            <v>2.2130834751771789E-2</v>
          </cell>
          <cell r="G330">
            <v>598.07899999999995</v>
          </cell>
          <cell r="H330">
            <v>5.1913616706109562E-2</v>
          </cell>
          <cell r="I330">
            <v>5.0461957318509172E-2</v>
          </cell>
          <cell r="J330">
            <v>4.1287050776442652E-2</v>
          </cell>
          <cell r="K330">
            <v>3.7077995485691816E-2</v>
          </cell>
          <cell r="M330">
            <v>0.1220644274511614</v>
          </cell>
          <cell r="N330" t="str">
            <v>NA</v>
          </cell>
          <cell r="O330">
            <v>7.9973380489094179E-2</v>
          </cell>
          <cell r="P330">
            <v>0.11757451818595117</v>
          </cell>
          <cell r="Q330">
            <v>-5.6066372070281121E-4</v>
          </cell>
          <cell r="R330">
            <v>4.8174640864300129E-2</v>
          </cell>
          <cell r="S330">
            <v>4.3005175407928746E-2</v>
          </cell>
          <cell r="T330">
            <v>6.8371913112955471E-2</v>
          </cell>
          <cell r="U330">
            <v>2.8622122577042136E-2</v>
          </cell>
        </row>
        <row r="331">
          <cell r="B331" t="str">
            <v>FY(7)</v>
          </cell>
          <cell r="C331">
            <v>6.9676535398502257E-2</v>
          </cell>
          <cell r="D331">
            <v>1.6279337321675105E-2</v>
          </cell>
          <cell r="E331">
            <v>4.5340697450388545E-2</v>
          </cell>
          <cell r="F331">
            <v>1.7888503556807996E-2</v>
          </cell>
          <cell r="G331">
            <v>514.60599999999999</v>
          </cell>
          <cell r="H331">
            <v>5.6657101861073485E-2</v>
          </cell>
          <cell r="I331">
            <v>4.8274602049693326E-2</v>
          </cell>
          <cell r="J331">
            <v>4.2352796273023442E-2</v>
          </cell>
          <cell r="K331">
            <v>3.9495927902977658E-2</v>
          </cell>
          <cell r="M331">
            <v>0.12204489781338887</v>
          </cell>
          <cell r="N331">
            <v>6.1200245414809118E-2</v>
          </cell>
          <cell r="O331">
            <v>7.2053180111980211E-2</v>
          </cell>
          <cell r="P331">
            <v>0.10977203224909647</v>
          </cell>
          <cell r="Q331">
            <v>3.3048788124032377E-2</v>
          </cell>
          <cell r="R331">
            <v>6.1270950868468239E-2</v>
          </cell>
          <cell r="S331">
            <v>6.4843857184083406E-2</v>
          </cell>
          <cell r="T331">
            <v>7.489056453797982E-2</v>
          </cell>
          <cell r="U331">
            <v>5.1851808847542182E-2</v>
          </cell>
        </row>
        <row r="332">
          <cell r="B332" t="str">
            <v>FY(6)</v>
          </cell>
          <cell r="C332">
            <v>5.6492578262754653E-2</v>
          </cell>
          <cell r="D332">
            <v>2.0556158282418774E-2</v>
          </cell>
          <cell r="E332">
            <v>4.632753698416818E-2</v>
          </cell>
          <cell r="F332">
            <v>3.7665548279526076E-2</v>
          </cell>
          <cell r="G332">
            <v>-2.8624187351994703E-2</v>
          </cell>
          <cell r="H332">
            <v>5.8045958981100515E-2</v>
          </cell>
          <cell r="I332">
            <v>4.5724402379422838E-2</v>
          </cell>
          <cell r="J332">
            <v>3.3741142259628043E-2</v>
          </cell>
          <cell r="K332">
            <v>3.842803169640515E-2</v>
          </cell>
          <cell r="M332">
            <v>0.11993729978001054</v>
          </cell>
          <cell r="N332">
            <v>7.382822493291312E-2</v>
          </cell>
          <cell r="O332">
            <v>5.7897391454582448E-2</v>
          </cell>
          <cell r="P332">
            <v>0.13210514612383772</v>
          </cell>
          <cell r="Q332">
            <v>6.5769812615373971E-2</v>
          </cell>
          <cell r="R332">
            <v>6.5329277355102813E-2</v>
          </cell>
          <cell r="S332">
            <v>8.8219257022290054E-2</v>
          </cell>
          <cell r="T332">
            <v>8.6155201326301528E-2</v>
          </cell>
          <cell r="U332">
            <v>7.0977314468242264E-2</v>
          </cell>
        </row>
        <row r="333">
          <cell r="B333" t="str">
            <v>FY(5)</v>
          </cell>
          <cell r="C333">
            <v>6.0125709402001584E-2</v>
          </cell>
          <cell r="D333">
            <v>3.632681255526083E-2</v>
          </cell>
          <cell r="E333">
            <v>4.9857162460831578E-2</v>
          </cell>
          <cell r="F333">
            <v>5.5174900121476633E-2</v>
          </cell>
          <cell r="G333">
            <v>-2.5006182052030538E-2</v>
          </cell>
          <cell r="H333">
            <v>4.3801990099033253E-2</v>
          </cell>
          <cell r="I333">
            <v>4.2174051494208296E-2</v>
          </cell>
          <cell r="J333">
            <v>3.749349201154023E-2</v>
          </cell>
          <cell r="K333">
            <v>4.4039051222133092E-2</v>
          </cell>
          <cell r="M333">
            <v>0.11970467536853013</v>
          </cell>
          <cell r="N333">
            <v>9.0188672200719341E-2</v>
          </cell>
          <cell r="O333">
            <v>0.11919365992980166</v>
          </cell>
          <cell r="P333">
            <v>0.17310304173543978</v>
          </cell>
          <cell r="Q333">
            <v>7.4637043284143362E-2</v>
          </cell>
          <cell r="R333">
            <v>7.1667691292550684E-2</v>
          </cell>
          <cell r="S333">
            <v>0.10931923890063426</v>
          </cell>
          <cell r="T333">
            <v>0.10825914610168845</v>
          </cell>
          <cell r="U333">
            <v>8.4316571263007345E-2</v>
          </cell>
        </row>
        <row r="334">
          <cell r="B334" t="str">
            <v>FY(4)</v>
          </cell>
          <cell r="C334">
            <v>6.2051153250896565E-2</v>
          </cell>
          <cell r="D334">
            <v>4.9413321697222672E-2</v>
          </cell>
          <cell r="E334">
            <v>4.8640224243403758E-2</v>
          </cell>
          <cell r="F334">
            <v>7.137225303541328E-2</v>
          </cell>
          <cell r="G334">
            <v>-4.0778442514653214E-2</v>
          </cell>
          <cell r="H334">
            <v>4.0377178900683007E-2</v>
          </cell>
          <cell r="I334">
            <v>4.0244189892129661E-2</v>
          </cell>
          <cell r="J334">
            <v>3.8759982643585107E-2</v>
          </cell>
          <cell r="K334">
            <v>4.8018534510282804E-2</v>
          </cell>
          <cell r="M334">
            <v>0.1313483666430168</v>
          </cell>
          <cell r="N334">
            <v>6.9709145287861388E-2</v>
          </cell>
          <cell r="O334">
            <v>0.12649259548605879</v>
          </cell>
          <cell r="P334">
            <v>0.20381799644488358</v>
          </cell>
          <cell r="Q334">
            <v>6.7177698424203958E-2</v>
          </cell>
          <cell r="R334">
            <v>5.6552665598014376E-2</v>
          </cell>
          <cell r="S334">
            <v>0.11888212893797678</v>
          </cell>
          <cell r="T334">
            <v>0.11056865668885939</v>
          </cell>
          <cell r="U334">
            <v>8.1511609039378055E-2</v>
          </cell>
        </row>
        <row r="335">
          <cell r="B335" t="str">
            <v>FY(3)</v>
          </cell>
          <cell r="C335">
            <v>7.1130982682978017E-2</v>
          </cell>
          <cell r="D335">
            <v>5.6976083309283464E-2</v>
          </cell>
          <cell r="E335">
            <v>4.2180442916371901E-2</v>
          </cell>
          <cell r="F335">
            <v>7.9199032602248087E-2</v>
          </cell>
          <cell r="G335">
            <v>1.0150408234000237E-2</v>
          </cell>
          <cell r="H335">
            <v>4.3379693045684092E-2</v>
          </cell>
          <cell r="I335">
            <v>4.5064699151949855E-2</v>
          </cell>
          <cell r="J335">
            <v>4.9725905991787958E-2</v>
          </cell>
          <cell r="K335">
            <v>5.275772799682768E-2</v>
          </cell>
          <cell r="M335">
            <v>0.1359622626801974</v>
          </cell>
          <cell r="N335">
            <v>7.1375197423167711E-2</v>
          </cell>
          <cell r="O335">
            <v>0.13861929302403478</v>
          </cell>
          <cell r="P335">
            <v>0.22800499610494254</v>
          </cell>
          <cell r="Q335">
            <v>4.9045625094020787E-2</v>
          </cell>
          <cell r="R335">
            <v>6.3262207407757273E-2</v>
          </cell>
          <cell r="S335">
            <v>8.8923400263081182E-2</v>
          </cell>
          <cell r="T335">
            <v>0.11074185457102881</v>
          </cell>
          <cell r="U335">
            <v>7.9358667406064287E-2</v>
          </cell>
        </row>
        <row r="336">
          <cell r="B336" t="str">
            <v>FY(2)</v>
          </cell>
          <cell r="C336">
            <v>6.5790988059755848E-2</v>
          </cell>
          <cell r="D336">
            <v>5.4025667478813932E-2</v>
          </cell>
          <cell r="E336">
            <v>3.6820980296638731E-2</v>
          </cell>
          <cell r="F336">
            <v>7.8618104096891933E-2</v>
          </cell>
          <cell r="G336">
            <v>1.9412382865364255E-2</v>
          </cell>
          <cell r="H336">
            <v>4.3688993796370736E-2</v>
          </cell>
          <cell r="I336">
            <v>4.9219705344096379E-2</v>
          </cell>
          <cell r="J336">
            <v>4.965383170541883E-2</v>
          </cell>
          <cell r="K336">
            <v>5.0949705676878843E-2</v>
          </cell>
          <cell r="M336">
            <v>0.13491173233403322</v>
          </cell>
          <cell r="N336">
            <v>7.9189203016960127E-2</v>
          </cell>
          <cell r="O336">
            <v>0.13092116007657215</v>
          </cell>
          <cell r="P336">
            <v>0.24365156772018359</v>
          </cell>
          <cell r="Q336">
            <v>5.6346546055297084E-2</v>
          </cell>
          <cell r="R336">
            <v>4.5750785423069804E-2</v>
          </cell>
          <cell r="S336">
            <v>0.10116573059790784</v>
          </cell>
          <cell r="T336">
            <v>0.11313381788914624</v>
          </cell>
          <cell r="U336">
            <v>8.2573996153070497E-2</v>
          </cell>
          <cell r="W336">
            <v>1.9679625000000001</v>
          </cell>
        </row>
        <row r="337">
          <cell r="B337" t="str">
            <v>FY(1)</v>
          </cell>
          <cell r="C337">
            <v>5.4038343024852185E-2</v>
          </cell>
          <cell r="D337">
            <v>3.0429729959475491E-2</v>
          </cell>
          <cell r="E337">
            <v>2.1894584605495742E-2</v>
          </cell>
          <cell r="F337">
            <v>4.7587866361114457E-2</v>
          </cell>
          <cell r="G337">
            <v>-3.6140655347666757E-2</v>
          </cell>
          <cell r="H337">
            <v>4.6680270034300066E-2</v>
          </cell>
          <cell r="I337">
            <v>4.6520091019211077E-2</v>
          </cell>
          <cell r="J337">
            <v>3.0144318522397469E-2</v>
          </cell>
          <cell r="K337">
            <v>3.5872481012592806E-2</v>
          </cell>
          <cell r="M337">
            <v>9.1551386331804568E-2</v>
          </cell>
          <cell r="N337">
            <v>7.9246641927393405E-2</v>
          </cell>
          <cell r="O337">
            <v>6.8551537280469158E-2</v>
          </cell>
          <cell r="P337">
            <v>0.23327843026046943</v>
          </cell>
          <cell r="Q337">
            <v>6.6570287759878832E-2</v>
          </cell>
          <cell r="R337">
            <v>3.9079252979834236E-2</v>
          </cell>
          <cell r="S337">
            <v>0.10866785347140387</v>
          </cell>
          <cell r="T337">
            <v>9.8135055715893357E-2</v>
          </cell>
          <cell r="U337">
            <v>7.944859600547749E-2</v>
          </cell>
          <cell r="W337">
            <v>0.15743700000000002</v>
          </cell>
          <cell r="X337">
            <v>2.3615550000000005</v>
          </cell>
        </row>
        <row r="338">
          <cell r="B338" t="str">
            <v>FY0</v>
          </cell>
          <cell r="C338">
            <v>5.7641031612039359E-2</v>
          </cell>
          <cell r="D338">
            <v>1.421513831466786E-2</v>
          </cell>
          <cell r="E338">
            <v>2.4522116735493208E-2</v>
          </cell>
          <cell r="F338">
            <v>5.1804310971179462E-2</v>
          </cell>
          <cell r="G338">
            <v>-1.8178653818107862E-2</v>
          </cell>
          <cell r="H338">
            <v>6.1629158266883234E-2</v>
          </cell>
          <cell r="I338">
            <v>5.9815922798219512E-2</v>
          </cell>
          <cell r="J338">
            <v>3.5921289268624972E-2</v>
          </cell>
          <cell r="K338">
            <v>3.9884916628223133E-2</v>
          </cell>
          <cell r="M338">
            <v>3.27555798369542E-2</v>
          </cell>
          <cell r="N338">
            <v>0.10373009342609429</v>
          </cell>
          <cell r="O338">
            <v>5.3189401442807663E-2</v>
          </cell>
          <cell r="P338">
            <v>0.19258138449289702</v>
          </cell>
          <cell r="Q338">
            <v>7.7467070507853772E-2</v>
          </cell>
          <cell r="R338">
            <v>4.6935220024844376E-2</v>
          </cell>
          <cell r="S338">
            <v>0.1134747124983551</v>
          </cell>
          <cell r="T338">
            <v>8.8590494604258052E-2</v>
          </cell>
          <cell r="U338">
            <v>7.8382891355829779E-2</v>
          </cell>
          <cell r="X338">
            <v>1.5527607462809245</v>
          </cell>
        </row>
        <row r="339">
          <cell r="B339" t="str">
            <v>FY1</v>
          </cell>
          <cell r="C339">
            <v>6.4342059385477615E-2</v>
          </cell>
          <cell r="D339">
            <v>2.0888385410296403E-2</v>
          </cell>
          <cell r="E339">
            <v>3.1813816711141418E-2</v>
          </cell>
          <cell r="F339">
            <v>6.4289686967320903E-2</v>
          </cell>
          <cell r="G339">
            <v>-5.4109647929955719E-3</v>
          </cell>
          <cell r="H339">
            <v>6.6741586443900089E-2</v>
          </cell>
          <cell r="I339">
            <v>6.408709964679335E-2</v>
          </cell>
          <cell r="J339">
            <v>4.3821667110276318E-2</v>
          </cell>
          <cell r="K339">
            <v>4.7244121762731239E-2</v>
          </cell>
          <cell r="M339">
            <v>4.9138863306919793E-2</v>
          </cell>
          <cell r="N339">
            <v>0.10592424514367912</v>
          </cell>
          <cell r="O339">
            <v>8.3184043353480633E-2</v>
          </cell>
          <cell r="P339">
            <v>0.19906903395437484</v>
          </cell>
          <cell r="Q339">
            <v>7.7103041633192648E-2</v>
          </cell>
          <cell r="R339">
            <v>5.9931233269422908E-2</v>
          </cell>
          <cell r="S339">
            <v>0.12346769396327388</v>
          </cell>
          <cell r="T339">
            <v>9.9688307803477691E-2</v>
          </cell>
          <cell r="U339">
            <v>8.7030148021657691E-2</v>
          </cell>
          <cell r="X339">
            <v>1.1645705597106935</v>
          </cell>
        </row>
        <row r="340">
          <cell r="B340" t="str">
            <v>FY2</v>
          </cell>
          <cell r="C340">
            <v>6.8734804965646143E-2</v>
          </cell>
          <cell r="D340">
            <v>2.5340780647728017E-2</v>
          </cell>
          <cell r="E340">
            <v>3.5890992658464148E-2</v>
          </cell>
          <cell r="F340">
            <v>6.7563637252128633E-2</v>
          </cell>
          <cell r="G340">
            <v>7.3808253466599869E-3</v>
          </cell>
          <cell r="H340">
            <v>6.8719750522266018E-2</v>
          </cell>
          <cell r="I340">
            <v>6.5003459195586075E-2</v>
          </cell>
          <cell r="J340">
            <v>4.8376321512639861E-2</v>
          </cell>
          <cell r="K340">
            <v>5.1143216615833258E-2</v>
          </cell>
          <cell r="M340">
            <v>5.9744748069720834E-2</v>
          </cell>
          <cell r="N340">
            <v>9.3130464819987338E-2</v>
          </cell>
          <cell r="O340">
            <v>9.2577090363576101E-2</v>
          </cell>
          <cell r="P340">
            <v>0.19821527577355608</v>
          </cell>
          <cell r="Q340">
            <v>7.9543041633187123E-2</v>
          </cell>
          <cell r="R340">
            <v>6.6670753955747591E-2</v>
          </cell>
          <cell r="S340">
            <v>0.12966998036485877</v>
          </cell>
          <cell r="T340">
            <v>0.10279305071151912</v>
          </cell>
          <cell r="U340">
            <v>9.1460253226173738E-2</v>
          </cell>
        </row>
        <row r="341">
          <cell r="B341" t="str">
            <v>FQ(3)</v>
          </cell>
          <cell r="C341">
            <v>3.7658053875755909E-2</v>
          </cell>
          <cell r="D341">
            <v>6.4359422215875383E-3</v>
          </cell>
          <cell r="E341">
            <v>-1.3079438353529526E-2</v>
          </cell>
          <cell r="F341">
            <v>3.9859320046893319E-2</v>
          </cell>
          <cell r="G341">
            <v>-7.7165014663606243E-3</v>
          </cell>
          <cell r="H341">
            <v>5.4024032882497568E-2</v>
          </cell>
          <cell r="I341">
            <v>4.8048515648253277E-2</v>
          </cell>
          <cell r="J341">
            <v>2.3604274979299639E-2</v>
          </cell>
          <cell r="K341">
            <v>2.1702646496389557E-2</v>
          </cell>
          <cell r="M341">
            <v>-3.8397684007252429E-2</v>
          </cell>
          <cell r="N341">
            <v>8.1306491774993619E-2</v>
          </cell>
          <cell r="O341">
            <v>2.5622549019607841E-2</v>
          </cell>
          <cell r="P341">
            <v>0.16642588105235703</v>
          </cell>
          <cell r="Q341">
            <v>6.8755996162456035E-2</v>
          </cell>
          <cell r="R341">
            <v>1.507618953222079E-3</v>
          </cell>
          <cell r="S341">
            <v>8.0055405981351163E-2</v>
          </cell>
          <cell r="T341">
            <v>5.5039465562390762E-2</v>
          </cell>
          <cell r="U341">
            <v>5.2285350502880412E-2</v>
          </cell>
        </row>
        <row r="342">
          <cell r="B342" t="str">
            <v>FQ(2)</v>
          </cell>
          <cell r="C342">
            <v>6.0194429847609039E-2</v>
          </cell>
          <cell r="D342">
            <v>-1.5674735660074499E-4</v>
          </cell>
          <cell r="E342">
            <v>1.6266460108443067E-2</v>
          </cell>
          <cell r="F342">
            <v>4.8951048951048952E-2</v>
          </cell>
          <cell r="G342">
            <v>-9.774504358229362E-2</v>
          </cell>
          <cell r="H342">
            <v>5.846708989300229E-2</v>
          </cell>
          <cell r="I342">
            <v>5.5094145837581147E-2</v>
          </cell>
          <cell r="J342">
            <v>2.0153054814112874E-2</v>
          </cell>
          <cell r="K342">
            <v>3.2867866733868163E-2</v>
          </cell>
          <cell r="M342">
            <v>1.08119318101569E-2</v>
          </cell>
          <cell r="N342">
            <v>8.6002825482318662E-2</v>
          </cell>
          <cell r="O342">
            <v>4.3449169398840623E-2</v>
          </cell>
          <cell r="P342">
            <v>0.17520675183607973</v>
          </cell>
          <cell r="Q342">
            <v>7.0261941448382131E-2</v>
          </cell>
          <cell r="R342">
            <v>2.9160315686075262E-2</v>
          </cell>
          <cell r="S342">
            <v>0.10688665710186514</v>
          </cell>
          <cell r="T342">
            <v>7.4539941823388342E-2</v>
          </cell>
          <cell r="U342">
            <v>6.6054083642394706E-2</v>
          </cell>
        </row>
        <row r="343">
          <cell r="B343" t="str">
            <v>FQ(1)</v>
          </cell>
          <cell r="C343">
            <v>4.7642557393236237E-2</v>
          </cell>
          <cell r="D343">
            <v>6.4587210599395695E-3</v>
          </cell>
          <cell r="E343">
            <v>-2.2740193291642978E-3</v>
          </cell>
          <cell r="F343">
            <v>4.4432548179871523E-2</v>
          </cell>
          <cell r="G343">
            <v>2.9864196151236392E-3</v>
          </cell>
          <cell r="H343">
            <v>6.024749174234393E-2</v>
          </cell>
          <cell r="I343">
            <v>6.6311264215112978E-2</v>
          </cell>
          <cell r="J343">
            <v>3.2257854696637653E-2</v>
          </cell>
          <cell r="K343">
            <v>3.2428905596618297E-2</v>
          </cell>
          <cell r="M343">
            <v>4.0631086768459994E-2</v>
          </cell>
          <cell r="N343">
            <v>0.11029378097274223</v>
          </cell>
          <cell r="O343">
            <v>5.9417553894590108E-2</v>
          </cell>
          <cell r="P343">
            <v>0.18494898461724343</v>
          </cell>
          <cell r="Q343">
            <v>8.5539147394817494E-2</v>
          </cell>
          <cell r="R343">
            <v>3.4316300186323051E-3</v>
          </cell>
          <cell r="S343">
            <v>0.12332872109112474</v>
          </cell>
          <cell r="T343">
            <v>8.67987006796586E-2</v>
          </cell>
          <cell r="U343">
            <v>7.5145127121260702E-2</v>
          </cell>
        </row>
        <row r="344">
          <cell r="B344" t="str">
            <v>Last Reported Q</v>
          </cell>
          <cell r="C344">
            <v>5.7641031612039359E-2</v>
          </cell>
          <cell r="D344">
            <v>1.421513831466786E-2</v>
          </cell>
          <cell r="E344">
            <v>2.4522116735493208E-2</v>
          </cell>
          <cell r="F344">
            <v>5.1804310971179462E-2</v>
          </cell>
          <cell r="G344">
            <v>-1.8178653818107862E-2</v>
          </cell>
          <cell r="H344">
            <v>6.1629158266883234E-2</v>
          </cell>
          <cell r="I344">
            <v>5.9815922798219512E-2</v>
          </cell>
          <cell r="J344">
            <v>3.5921289268624972E-2</v>
          </cell>
          <cell r="K344">
            <v>3.9884916628223133E-2</v>
          </cell>
          <cell r="M344">
            <v>3.27555798369542E-2</v>
          </cell>
          <cell r="N344">
            <v>0.10373009342609429</v>
          </cell>
          <cell r="O344">
            <v>5.3189401442807663E-2</v>
          </cell>
          <cell r="P344">
            <v>0.22624306928136484</v>
          </cell>
          <cell r="Q344">
            <v>7.7467070507853772E-2</v>
          </cell>
          <cell r="R344">
            <v>4.6935220024844376E-2</v>
          </cell>
          <cell r="S344">
            <v>0.1134747124983551</v>
          </cell>
          <cell r="T344">
            <v>9.3399306716896321E-2</v>
          </cell>
          <cell r="U344">
            <v>7.2160627776563305E-2</v>
          </cell>
        </row>
        <row r="345">
          <cell r="B345" t="str">
            <v>LTM</v>
          </cell>
          <cell r="C345">
            <v>5.4031808035714286E-2</v>
          </cell>
          <cell r="D345">
            <v>1.0179753652108822E-2</v>
          </cell>
          <cell r="E345">
            <v>1.4822765723632088E-2</v>
          </cell>
          <cell r="F345">
            <v>4.8923231022393932E-2</v>
          </cell>
          <cell r="G345">
            <v>-2.3770411389612774E-2</v>
          </cell>
          <cell r="H345">
            <v>5.9944770133995101E-2</v>
          </cell>
          <cell r="I345">
            <v>5.8672951304775935E-2</v>
          </cell>
          <cell r="J345">
            <v>3.1829266926143913E-2</v>
          </cell>
          <cell r="K345">
            <v>3.5521845921950616E-2</v>
          </cell>
          <cell r="M345">
            <v>2.2420360318365685E-2</v>
          </cell>
          <cell r="N345">
            <v>0.10005337542877304</v>
          </cell>
          <cell r="O345">
            <v>4.9473895194281789E-2</v>
          </cell>
          <cell r="P345">
            <v>0.19173565581430119</v>
          </cell>
          <cell r="Q345">
            <v>7.6570908187763881E-2</v>
          </cell>
          <cell r="R345">
            <v>3.3385714485891907E-2</v>
          </cell>
          <cell r="S345">
            <v>0.11015999637374407</v>
          </cell>
          <cell r="T345">
            <v>8.3399986543303078E-2</v>
          </cell>
          <cell r="U345">
            <v>6.9161187079676278E-2</v>
          </cell>
        </row>
        <row r="346">
          <cell r="B346" t="str">
            <v>Unadjusted Net Debt</v>
          </cell>
        </row>
        <row r="347">
          <cell r="B347" t="str">
            <v>FY(2)</v>
          </cell>
          <cell r="C347">
            <v>438.44063685600293</v>
          </cell>
          <cell r="D347">
            <v>640.86940520445978</v>
          </cell>
          <cell r="E347">
            <v>7286.125</v>
          </cell>
          <cell r="F347">
            <v>228.000703241682</v>
          </cell>
          <cell r="G347">
            <v>408.79410000000001</v>
          </cell>
          <cell r="H347">
            <v>-222.63499999999999</v>
          </cell>
          <cell r="I347">
            <v>-69.103843504782958</v>
          </cell>
          <cell r="J347">
            <v>1244.3558573996229</v>
          </cell>
          <cell r="K347">
            <v>8710.4910017973598</v>
          </cell>
          <cell r="M347">
            <v>-648.52</v>
          </cell>
          <cell r="N347">
            <v>-111.926</v>
          </cell>
          <cell r="O347">
            <v>-619.93899999999906</v>
          </cell>
          <cell r="P347">
            <v>-695.80499999999995</v>
          </cell>
          <cell r="Q347">
            <v>-1387.99470245564</v>
          </cell>
          <cell r="R347">
            <v>664.67723789704996</v>
          </cell>
          <cell r="S347">
            <v>-199.67</v>
          </cell>
          <cell r="T347">
            <v>-428.45392350836988</v>
          </cell>
          <cell r="U347">
            <v>-2999.1774645585892</v>
          </cell>
        </row>
        <row r="348">
          <cell r="A348" t="str">
            <v>mscalc:totalCashIncludingShorttermInvestmentsForCac</v>
          </cell>
          <cell r="B348" t="str">
            <v>Cash &amp; ST Inv. (Unadjusted Cash on Hand)</v>
          </cell>
          <cell r="C348">
            <v>1400.9176368560052</v>
          </cell>
          <cell r="D348">
            <v>1175.8694052044598</v>
          </cell>
          <cell r="E348">
            <v>9170.1249999999964</v>
          </cell>
          <cell r="F348">
            <v>2139.5977032416822</v>
          </cell>
          <cell r="G348">
            <v>471.42610004233597</v>
          </cell>
          <cell r="H348">
            <v>-113.678</v>
          </cell>
          <cell r="I348">
            <v>102.38306178916901</v>
          </cell>
          <cell r="J348">
            <v>2049.5201295905213</v>
          </cell>
          <cell r="K348">
            <v>14346.640907133649</v>
          </cell>
          <cell r="M348">
            <v>-648.52</v>
          </cell>
          <cell r="N348">
            <v>-111.926</v>
          </cell>
          <cell r="O348">
            <v>-619.93899999999906</v>
          </cell>
          <cell r="P348">
            <v>-696.04</v>
          </cell>
          <cell r="Q348">
            <v>-1712.99470245564</v>
          </cell>
          <cell r="R348">
            <v>1886.3162378970501</v>
          </cell>
          <cell r="S348">
            <v>-199.67</v>
          </cell>
          <cell r="T348">
            <v>-300.39620922265561</v>
          </cell>
          <cell r="U348">
            <v>-2102.7734645585892</v>
          </cell>
        </row>
        <row r="349">
          <cell r="B349" t="str">
            <v>FY(2)</v>
          </cell>
          <cell r="C349">
            <v>663.65836314399496</v>
          </cell>
          <cell r="D349">
            <v>2532.1305947955402</v>
          </cell>
          <cell r="E349">
            <v>582.87500000000398</v>
          </cell>
          <cell r="F349">
            <v>357.40229675831802</v>
          </cell>
          <cell r="G349">
            <v>101.16189995766401</v>
          </cell>
          <cell r="H349">
            <v>263.678</v>
          </cell>
          <cell r="I349">
            <v>732.71093821083105</v>
          </cell>
          <cell r="J349">
            <v>747.65958469519319</v>
          </cell>
          <cell r="K349">
            <v>5233.6170928663523</v>
          </cell>
          <cell r="M349">
            <v>522.13461840902801</v>
          </cell>
          <cell r="N349">
            <v>228.53</v>
          </cell>
          <cell r="O349">
            <v>483.85199999999901</v>
          </cell>
          <cell r="P349">
            <v>698.90499999999997</v>
          </cell>
          <cell r="Q349">
            <v>1715</v>
          </cell>
          <cell r="R349">
            <v>1173.3968696837801</v>
          </cell>
          <cell r="S349">
            <v>365.983</v>
          </cell>
          <cell r="T349">
            <v>741.11449829897253</v>
          </cell>
          <cell r="U349">
            <v>5187.8014880928076</v>
          </cell>
        </row>
        <row r="350">
          <cell r="B350" t="str">
            <v>FY(1)</v>
          </cell>
          <cell r="C350">
            <v>676.15936314399596</v>
          </cell>
          <cell r="D350">
            <v>2351.6269754406999</v>
          </cell>
          <cell r="E350">
            <v>1305.875</v>
          </cell>
          <cell r="F350">
            <v>71.919296758318097</v>
          </cell>
          <cell r="G350">
            <v>14.0472478064653</v>
          </cell>
          <cell r="H350">
            <v>322.15537499999999</v>
          </cell>
          <cell r="I350">
            <v>452.817640130786</v>
          </cell>
          <cell r="J350">
            <v>742.08584261146666</v>
          </cell>
          <cell r="K350">
            <v>5194.6008982802668</v>
          </cell>
          <cell r="M350">
            <v>522.13461840902801</v>
          </cell>
          <cell r="N350">
            <v>228.53</v>
          </cell>
          <cell r="O350">
            <v>483.85199999999901</v>
          </cell>
          <cell r="P350">
            <v>698.90499999999997</v>
          </cell>
          <cell r="Q350">
            <v>1715</v>
          </cell>
          <cell r="R350">
            <v>1173.3968696837801</v>
          </cell>
          <cell r="S350">
            <v>365.983</v>
          </cell>
          <cell r="T350">
            <v>741.11449829897253</v>
          </cell>
          <cell r="U350">
            <v>5187.8014880928076</v>
          </cell>
        </row>
        <row r="351">
          <cell r="B351" t="str">
            <v>FY0</v>
          </cell>
          <cell r="C351">
            <v>2265.757363144</v>
          </cell>
          <cell r="D351">
            <v>3007.2089754407002</v>
          </cell>
          <cell r="E351">
            <v>1686.375</v>
          </cell>
          <cell r="F351">
            <v>794.71929675831802</v>
          </cell>
          <cell r="G351">
            <v>164.16725116241</v>
          </cell>
          <cell r="H351">
            <v>770.00937499999998</v>
          </cell>
          <cell r="I351">
            <v>1745.38064013079</v>
          </cell>
          <cell r="J351">
            <v>1490.5168430908884</v>
          </cell>
          <cell r="K351">
            <v>10433.617901636218</v>
          </cell>
          <cell r="M351">
            <v>727.57220840902801</v>
          </cell>
          <cell r="N351">
            <v>346.87931378455897</v>
          </cell>
          <cell r="O351">
            <v>698.63491999999906</v>
          </cell>
          <cell r="P351">
            <v>800.36199999999997</v>
          </cell>
          <cell r="Q351">
            <v>2574.8000000000002</v>
          </cell>
          <cell r="R351">
            <v>1804.384</v>
          </cell>
          <cell r="S351">
            <v>501.53600000000102</v>
          </cell>
          <cell r="T351">
            <v>1064.8812060276553</v>
          </cell>
          <cell r="U351">
            <v>7454.168442193587</v>
          </cell>
        </row>
        <row r="352">
          <cell r="B352" t="str">
            <v>FY1</v>
          </cell>
          <cell r="C352">
            <v>2856.51614066414</v>
          </cell>
          <cell r="D352">
            <v>2894.3353540059602</v>
          </cell>
          <cell r="E352">
            <v>2642.7166360280198</v>
          </cell>
          <cell r="F352">
            <v>803.77325799983203</v>
          </cell>
          <cell r="G352">
            <v>168.64782983552701</v>
          </cell>
          <cell r="H352">
            <v>877.70577551911504</v>
          </cell>
          <cell r="I352">
            <v>2246.3475460263999</v>
          </cell>
          <cell r="J352">
            <v>1784.2917914398563</v>
          </cell>
          <cell r="K352">
            <v>12490.042540078994</v>
          </cell>
          <cell r="M352">
            <v>655.20583485722204</v>
          </cell>
          <cell r="N352">
            <v>418.99402043374801</v>
          </cell>
          <cell r="O352">
            <v>788.63650584369498</v>
          </cell>
          <cell r="P352">
            <v>954.40471939409099</v>
          </cell>
          <cell r="Q352">
            <v>2478.3974420773002</v>
          </cell>
          <cell r="R352">
            <v>1753.2076471989801</v>
          </cell>
          <cell r="S352">
            <v>727.98320368492102</v>
          </cell>
          <cell r="T352">
            <v>1110.9756247842795</v>
          </cell>
          <cell r="U352">
            <v>7776.8293734899571</v>
          </cell>
        </row>
        <row r="353">
          <cell r="B353" t="str">
            <v>FY2</v>
          </cell>
          <cell r="C353">
            <v>2958.2194660018799</v>
          </cell>
          <cell r="D353">
            <v>2984.7676295696201</v>
          </cell>
          <cell r="E353">
            <v>3421.2931870386501</v>
          </cell>
          <cell r="F353">
            <v>776.76218468146806</v>
          </cell>
          <cell r="G353">
            <v>155.83245585719601</v>
          </cell>
          <cell r="H353">
            <v>1014.8548907238001</v>
          </cell>
          <cell r="I353">
            <v>2770.0936741191899</v>
          </cell>
          <cell r="J353">
            <v>2011.689069713115</v>
          </cell>
          <cell r="K353">
            <v>14081.823487991805</v>
          </cell>
          <cell r="M353">
            <v>545.06647740002302</v>
          </cell>
          <cell r="N353">
            <v>465.93234996454299</v>
          </cell>
          <cell r="O353">
            <v>950.79550408930095</v>
          </cell>
          <cell r="P353">
            <v>1107.9918350544999</v>
          </cell>
          <cell r="Q353">
            <v>2368.83194985604</v>
          </cell>
          <cell r="R353">
            <v>2087.7913938627498</v>
          </cell>
          <cell r="S353">
            <v>921.75489727911997</v>
          </cell>
          <cell r="T353">
            <v>1206.8806296437538</v>
          </cell>
          <cell r="U353">
            <v>8448.1644075062759</v>
          </cell>
        </row>
        <row r="354">
          <cell r="B354" t="str">
            <v>FQ(3)</v>
          </cell>
          <cell r="C354">
            <v>893.65736314399498</v>
          </cell>
          <cell r="D354">
            <v>2137.6269754406999</v>
          </cell>
          <cell r="E354">
            <v>294.87500000000398</v>
          </cell>
          <cell r="F354">
            <v>77.619296758318498</v>
          </cell>
          <cell r="G354">
            <v>13.828247806465299</v>
          </cell>
          <cell r="H354">
            <v>460.35537499999998</v>
          </cell>
          <cell r="I354">
            <v>1012.23464013079</v>
          </cell>
          <cell r="J354">
            <v>698.59955689718186</v>
          </cell>
          <cell r="K354">
            <v>4890.1968982802728</v>
          </cell>
          <cell r="M354">
            <v>463.72861840902902</v>
          </cell>
          <cell r="N354">
            <v>247.74700000000001</v>
          </cell>
          <cell r="O354">
            <v>449.33199999999999</v>
          </cell>
          <cell r="P354">
            <v>551.26700000000005</v>
          </cell>
          <cell r="Q354">
            <v>1708</v>
          </cell>
          <cell r="R354">
            <v>935.99786968377805</v>
          </cell>
          <cell r="S354">
            <v>297.625</v>
          </cell>
          <cell r="T354">
            <v>664.81392687040102</v>
          </cell>
          <cell r="U354">
            <v>4653.6974880928074</v>
          </cell>
        </row>
        <row r="355">
          <cell r="B355" t="str">
            <v>FQ(2)</v>
          </cell>
          <cell r="C355">
            <v>1353.757363144</v>
          </cell>
          <cell r="D355">
            <v>2312.0089754406999</v>
          </cell>
          <cell r="E355">
            <v>514.87500000000398</v>
          </cell>
          <cell r="F355">
            <v>518.619296758318</v>
          </cell>
          <cell r="G355">
            <v>16.548247806465302</v>
          </cell>
          <cell r="H355">
            <v>521.561375</v>
          </cell>
          <cell r="I355">
            <v>1426.59264013079</v>
          </cell>
          <cell r="J355">
            <v>951.99469975432532</v>
          </cell>
          <cell r="K355">
            <v>6663.9628982802769</v>
          </cell>
          <cell r="M355">
            <v>441.27420840902897</v>
          </cell>
          <cell r="N355">
            <v>245.45400000000001</v>
          </cell>
          <cell r="O355">
            <v>529.78800000000001</v>
          </cell>
          <cell r="P355">
            <v>800.36199999999997</v>
          </cell>
          <cell r="Q355">
            <v>2131</v>
          </cell>
          <cell r="R355">
            <v>1550.31486968378</v>
          </cell>
          <cell r="S355">
            <v>288.76</v>
          </cell>
          <cell r="T355">
            <v>855.27901115611553</v>
          </cell>
          <cell r="U355">
            <v>5986.9530780928089</v>
          </cell>
        </row>
        <row r="356">
          <cell r="B356" t="str">
            <v>FQ(1)</v>
          </cell>
          <cell r="C356">
            <v>1530.757363144</v>
          </cell>
          <cell r="D356">
            <v>2129.0089754406999</v>
          </cell>
          <cell r="E356">
            <v>488.87500000000398</v>
          </cell>
          <cell r="F356">
            <v>483.619296758318</v>
          </cell>
          <cell r="G356">
            <v>11.527851162409601</v>
          </cell>
          <cell r="H356">
            <v>577.14337499999999</v>
          </cell>
          <cell r="I356">
            <v>1445.3386401307901</v>
          </cell>
          <cell r="J356">
            <v>952.32435737660296</v>
          </cell>
          <cell r="K356">
            <v>6666.2705016362206</v>
          </cell>
          <cell r="M356">
            <v>526.36420840902895</v>
          </cell>
          <cell r="N356">
            <v>285.53031378455898</v>
          </cell>
          <cell r="O356">
            <v>515.90300000000002</v>
          </cell>
          <cell r="P356">
            <v>994.68</v>
          </cell>
          <cell r="Q356">
            <v>2398</v>
          </cell>
          <cell r="R356">
            <v>968.16886968377798</v>
          </cell>
          <cell r="S356">
            <v>418.39499999999998</v>
          </cell>
          <cell r="T356">
            <v>872.43448455390956</v>
          </cell>
          <cell r="U356">
            <v>6107.0413918773666</v>
          </cell>
        </row>
        <row r="357">
          <cell r="B357" t="str">
            <v>Last Reported Q</v>
          </cell>
          <cell r="C357">
            <v>2265.757363144</v>
          </cell>
          <cell r="D357">
            <v>3007.2089754407002</v>
          </cell>
          <cell r="E357">
            <v>1686.375</v>
          </cell>
          <cell r="F357">
            <v>794.71929675831802</v>
          </cell>
          <cell r="G357">
            <v>164.16725116241</v>
          </cell>
          <cell r="H357">
            <v>770.00937499999998</v>
          </cell>
          <cell r="I357">
            <v>1745.38064013079</v>
          </cell>
          <cell r="J357">
            <v>1490.5168430908884</v>
          </cell>
          <cell r="K357">
            <v>10433.617901636218</v>
          </cell>
          <cell r="M357">
            <v>727.57220840902801</v>
          </cell>
          <cell r="N357">
            <v>346.87931378455897</v>
          </cell>
          <cell r="O357">
            <v>698.63491999999906</v>
          </cell>
          <cell r="P357">
            <v>1103.1769999999999</v>
          </cell>
          <cell r="Q357">
            <v>2574.8000000000002</v>
          </cell>
          <cell r="R357">
            <v>1804.384</v>
          </cell>
          <cell r="S357">
            <v>501.53600000000102</v>
          </cell>
          <cell r="T357">
            <v>1108.1404917419411</v>
          </cell>
          <cell r="U357">
            <v>7756.9834421935875</v>
          </cell>
        </row>
        <row r="358">
          <cell r="A358" t="str">
            <v>mscalc:shareholdersEquityExcludingAdjustments2</v>
          </cell>
          <cell r="B358" t="str">
            <v>LTM</v>
          </cell>
          <cell r="C358">
            <v>2265.757363144</v>
          </cell>
          <cell r="D358">
            <v>3007.2089754407002</v>
          </cell>
          <cell r="E358">
            <v>1686.375</v>
          </cell>
          <cell r="F358">
            <v>794.71929675831802</v>
          </cell>
          <cell r="G358">
            <v>164.16725116241</v>
          </cell>
          <cell r="H358">
            <v>770.00937499999998</v>
          </cell>
          <cell r="I358">
            <v>1745.38064013079</v>
          </cell>
          <cell r="J358">
            <v>1490.5168430908884</v>
          </cell>
          <cell r="K358">
            <v>10433.617901636218</v>
          </cell>
          <cell r="M358">
            <v>727.57220840902801</v>
          </cell>
          <cell r="N358">
            <v>346.87931378455897</v>
          </cell>
          <cell r="O358">
            <v>698.63491999999906</v>
          </cell>
          <cell r="P358">
            <v>1103.1769999999999</v>
          </cell>
          <cell r="Q358">
            <v>2574.8000000000002</v>
          </cell>
          <cell r="R358">
            <v>1804.384</v>
          </cell>
          <cell r="S358">
            <v>501.53600000000102</v>
          </cell>
          <cell r="T358">
            <v>1108.1404917419411</v>
          </cell>
          <cell r="U358">
            <v>7756.9834421935875</v>
          </cell>
        </row>
        <row r="359">
          <cell r="B359" t="str">
            <v>FY(2)</v>
          </cell>
          <cell r="C359">
            <v>5603.3950000000004</v>
          </cell>
          <cell r="D359">
            <v>4288</v>
          </cell>
          <cell r="E359">
            <v>12254</v>
          </cell>
          <cell r="F359">
            <v>2168.5210000000002</v>
          </cell>
          <cell r="G359">
            <v>1096.1389999999999</v>
          </cell>
          <cell r="H359">
            <v>909.83</v>
          </cell>
          <cell r="I359">
            <v>2290.1210000000001</v>
          </cell>
          <cell r="J359">
            <v>4087.1437142857144</v>
          </cell>
          <cell r="K359">
            <v>28610.006000000001</v>
          </cell>
          <cell r="M359">
            <v>1405.297</v>
          </cell>
          <cell r="N359">
            <v>312.11599999999999</v>
          </cell>
          <cell r="O359">
            <v>1417.3119999999999</v>
          </cell>
          <cell r="P359">
            <v>1910.354</v>
          </cell>
          <cell r="Q359">
            <v>5174</v>
          </cell>
          <cell r="R359">
            <v>2955</v>
          </cell>
          <cell r="S359">
            <v>675.28300000000002</v>
          </cell>
          <cell r="T359">
            <v>1978.4802857142856</v>
          </cell>
          <cell r="U359">
            <v>13849.361999999999</v>
          </cell>
        </row>
        <row r="360">
          <cell r="A360" t="str">
            <v>mstag:shortTermBorrowings</v>
          </cell>
          <cell r="B360" t="str">
            <v>ST. Debt</v>
          </cell>
          <cell r="C360">
            <v>6101.6030000000001</v>
          </cell>
          <cell r="D360">
            <v>5312</v>
          </cell>
          <cell r="E360">
            <v>9907</v>
          </cell>
          <cell r="F360">
            <v>1115</v>
          </cell>
          <cell r="G360">
            <v>1175.3088999576601</v>
          </cell>
          <cell r="H360">
            <v>970.649</v>
          </cell>
          <cell r="I360">
            <v>2131.2449999999999</v>
          </cell>
          <cell r="J360">
            <v>3816.11512856538</v>
          </cell>
          <cell r="K360">
            <v>26712.805899957661</v>
          </cell>
          <cell r="M360">
            <v>1618.3130000000001</v>
          </cell>
          <cell r="N360">
            <v>197.27600000000001</v>
          </cell>
          <cell r="O360">
            <v>1340.4639999999999</v>
          </cell>
          <cell r="P360">
            <v>1490.375</v>
          </cell>
          <cell r="Q360">
            <v>4274</v>
          </cell>
          <cell r="R360">
            <v>2219.23776210295</v>
          </cell>
          <cell r="S360">
            <v>853.43100000000004</v>
          </cell>
          <cell r="T360">
            <v>1713.2995374432787</v>
          </cell>
          <cell r="U360">
            <v>11993.09676210295</v>
          </cell>
        </row>
        <row r="361">
          <cell r="B361" t="str">
            <v>FY(2)</v>
          </cell>
          <cell r="C361">
            <v>12.701000000000001</v>
          </cell>
          <cell r="D361">
            <v>203</v>
          </cell>
          <cell r="E361">
            <v>666</v>
          </cell>
          <cell r="F361">
            <v>261</v>
          </cell>
          <cell r="G361">
            <v>319.24200000000002</v>
          </cell>
          <cell r="H361">
            <v>0</v>
          </cell>
          <cell r="I361">
            <v>2.008</v>
          </cell>
          <cell r="J361">
            <v>209.13585714285713</v>
          </cell>
          <cell r="K361">
            <v>1463.951</v>
          </cell>
          <cell r="M361">
            <v>0</v>
          </cell>
          <cell r="N361">
            <v>0</v>
          </cell>
          <cell r="O361">
            <v>0</v>
          </cell>
          <cell r="P361">
            <v>0.23499999999999999</v>
          </cell>
          <cell r="Q361">
            <v>138</v>
          </cell>
          <cell r="R361">
            <v>0</v>
          </cell>
          <cell r="S361" t="str">
            <v>NA</v>
          </cell>
          <cell r="T361">
            <v>23.03916666666667</v>
          </cell>
          <cell r="U361">
            <v>138.23500000000001</v>
          </cell>
        </row>
        <row r="362">
          <cell r="B362" t="str">
            <v>FY(1)</v>
          </cell>
          <cell r="C362">
            <v>17</v>
          </cell>
          <cell r="D362">
            <v>0</v>
          </cell>
          <cell r="E362">
            <v>966</v>
          </cell>
          <cell r="F362">
            <v>299</v>
          </cell>
          <cell r="G362">
            <v>4.673</v>
          </cell>
          <cell r="H362">
            <v>0</v>
          </cell>
          <cell r="I362">
            <v>395.02699999999999</v>
          </cell>
          <cell r="J362">
            <v>240.24285714285716</v>
          </cell>
          <cell r="K362">
            <v>1681.7</v>
          </cell>
          <cell r="M362">
            <v>0</v>
          </cell>
          <cell r="N362">
            <v>0</v>
          </cell>
          <cell r="O362">
            <v>75</v>
          </cell>
          <cell r="P362">
            <v>0.28499999999999998</v>
          </cell>
          <cell r="Q362">
            <v>50</v>
          </cell>
          <cell r="R362">
            <v>0</v>
          </cell>
          <cell r="S362" t="str">
            <v>NA</v>
          </cell>
          <cell r="T362">
            <v>20.880833333333332</v>
          </cell>
          <cell r="U362">
            <v>125.285</v>
          </cell>
        </row>
        <row r="363">
          <cell r="B363" t="str">
            <v>FY0</v>
          </cell>
          <cell r="C363">
            <v>16</v>
          </cell>
          <cell r="D363">
            <v>393</v>
          </cell>
          <cell r="E363">
            <v>242</v>
          </cell>
          <cell r="F363">
            <v>356</v>
          </cell>
          <cell r="G363">
            <v>27.856999999999999</v>
          </cell>
          <cell r="H363">
            <v>0</v>
          </cell>
          <cell r="I363">
            <v>0</v>
          </cell>
          <cell r="J363">
            <v>147.83671428571429</v>
          </cell>
          <cell r="K363">
            <v>1034.857</v>
          </cell>
          <cell r="M363">
            <v>11.61</v>
          </cell>
          <cell r="N363">
            <v>0</v>
          </cell>
          <cell r="O363">
            <v>30</v>
          </cell>
          <cell r="P363">
            <v>8.0039999999999996</v>
          </cell>
          <cell r="Q363">
            <v>0</v>
          </cell>
          <cell r="R363">
            <v>0</v>
          </cell>
          <cell r="S363" t="str">
            <v>NA</v>
          </cell>
          <cell r="T363">
            <v>8.2690000000000001</v>
          </cell>
          <cell r="U363">
            <v>49.613999999999997</v>
          </cell>
        </row>
        <row r="364">
          <cell r="B364" t="str">
            <v>FY1</v>
          </cell>
          <cell r="C364">
            <v>16</v>
          </cell>
          <cell r="D364">
            <v>393</v>
          </cell>
          <cell r="E364">
            <v>242</v>
          </cell>
          <cell r="F364">
            <v>6</v>
          </cell>
          <cell r="G364">
            <v>27.856999999999999</v>
          </cell>
          <cell r="H364">
            <v>0</v>
          </cell>
          <cell r="I364">
            <v>0</v>
          </cell>
          <cell r="J364">
            <v>97.83671428571428</v>
          </cell>
          <cell r="K364">
            <v>684.85699999999997</v>
          </cell>
          <cell r="M364">
            <v>11.61</v>
          </cell>
          <cell r="N364">
            <v>0</v>
          </cell>
          <cell r="O364">
            <v>30</v>
          </cell>
          <cell r="P364">
            <v>0.73699999999999999</v>
          </cell>
          <cell r="Q364">
            <v>0</v>
          </cell>
          <cell r="R364">
            <v>0</v>
          </cell>
          <cell r="S364" t="str">
            <v>NA</v>
          </cell>
          <cell r="T364">
            <v>7.0578333333333338</v>
          </cell>
          <cell r="U364">
            <v>42.347000000000001</v>
          </cell>
        </row>
        <row r="365">
          <cell r="B365" t="str">
            <v>FY2</v>
          </cell>
          <cell r="C365">
            <v>16</v>
          </cell>
          <cell r="D365">
            <v>393</v>
          </cell>
          <cell r="E365">
            <v>242</v>
          </cell>
          <cell r="F365">
            <v>6</v>
          </cell>
          <cell r="G365">
            <v>27.856999999999999</v>
          </cell>
          <cell r="H365">
            <v>0</v>
          </cell>
          <cell r="I365">
            <v>0</v>
          </cell>
          <cell r="J365">
            <v>97.83671428571428</v>
          </cell>
          <cell r="K365">
            <v>684.85699999999997</v>
          </cell>
          <cell r="M365">
            <v>11.61</v>
          </cell>
          <cell r="N365">
            <v>0</v>
          </cell>
          <cell r="O365">
            <v>30</v>
          </cell>
          <cell r="P365">
            <v>0</v>
          </cell>
          <cell r="Q365">
            <v>0</v>
          </cell>
          <cell r="R365">
            <v>0</v>
          </cell>
          <cell r="S365" t="str">
            <v>NA</v>
          </cell>
          <cell r="T365">
            <v>6.9349999999999996</v>
          </cell>
          <cell r="U365">
            <v>41.61</v>
          </cell>
        </row>
        <row r="366">
          <cell r="B366" t="str">
            <v>FQ(3)</v>
          </cell>
          <cell r="C366">
            <v>17</v>
          </cell>
          <cell r="D366">
            <v>506</v>
          </cell>
          <cell r="E366">
            <v>135</v>
          </cell>
          <cell r="F366">
            <v>500</v>
          </cell>
          <cell r="G366">
            <v>4.6859999999999999</v>
          </cell>
          <cell r="H366">
            <v>0</v>
          </cell>
          <cell r="I366">
            <v>744.44500000000005</v>
          </cell>
          <cell r="J366">
            <v>272.44728571428567</v>
          </cell>
          <cell r="K366">
            <v>1907.1309999999999</v>
          </cell>
          <cell r="M366">
            <v>0</v>
          </cell>
          <cell r="N366">
            <v>0</v>
          </cell>
          <cell r="O366">
            <v>75</v>
          </cell>
          <cell r="P366">
            <v>2.4900000000000002</v>
          </cell>
          <cell r="Q366">
            <v>0</v>
          </cell>
          <cell r="R366">
            <v>0</v>
          </cell>
          <cell r="S366" t="str">
            <v>NA</v>
          </cell>
          <cell r="T366">
            <v>12.914999999999999</v>
          </cell>
          <cell r="U366">
            <v>77.489999999999995</v>
          </cell>
        </row>
        <row r="367">
          <cell r="B367" t="str">
            <v>FQ(2)</v>
          </cell>
          <cell r="C367">
            <v>16</v>
          </cell>
          <cell r="D367">
            <v>393</v>
          </cell>
          <cell r="E367">
            <v>92</v>
          </cell>
          <cell r="F367">
            <v>375</v>
          </cell>
          <cell r="G367">
            <v>4.7290000000000001</v>
          </cell>
          <cell r="H367">
            <v>0</v>
          </cell>
          <cell r="I367">
            <v>421.20600000000002</v>
          </cell>
          <cell r="J367">
            <v>185.99071428571429</v>
          </cell>
          <cell r="K367">
            <v>1301.9349999999999</v>
          </cell>
          <cell r="M367">
            <v>0</v>
          </cell>
          <cell r="N367">
            <v>0</v>
          </cell>
          <cell r="O367">
            <v>75</v>
          </cell>
          <cell r="P367">
            <v>8.0039999999999996</v>
          </cell>
          <cell r="Q367">
            <v>0</v>
          </cell>
          <cell r="R367">
            <v>0</v>
          </cell>
          <cell r="S367" t="str">
            <v>NA</v>
          </cell>
          <cell r="T367">
            <v>13.834000000000001</v>
          </cell>
          <cell r="U367">
            <v>83.004000000000005</v>
          </cell>
        </row>
        <row r="368">
          <cell r="B368" t="str">
            <v>FQ(1)</v>
          </cell>
          <cell r="C368">
            <v>17</v>
          </cell>
          <cell r="D368">
            <v>393</v>
          </cell>
          <cell r="E368">
            <v>92</v>
          </cell>
          <cell r="F368">
            <v>356</v>
          </cell>
          <cell r="G368">
            <v>4.8470000000000004</v>
          </cell>
          <cell r="H368">
            <v>0</v>
          </cell>
          <cell r="I368">
            <v>202.667</v>
          </cell>
          <cell r="J368">
            <v>152.2162857142857</v>
          </cell>
          <cell r="K368">
            <v>1065.5139999999999</v>
          </cell>
          <cell r="M368">
            <v>0</v>
          </cell>
          <cell r="N368">
            <v>0</v>
          </cell>
          <cell r="O368">
            <v>50</v>
          </cell>
          <cell r="P368">
            <v>0.70399999999999996</v>
          </cell>
          <cell r="Q368">
            <v>0</v>
          </cell>
          <cell r="R368">
            <v>0</v>
          </cell>
          <cell r="S368" t="str">
            <v>NA</v>
          </cell>
          <cell r="T368">
            <v>8.4506666666666668</v>
          </cell>
          <cell r="U368">
            <v>50.704000000000001</v>
          </cell>
        </row>
        <row r="369">
          <cell r="B369" t="str">
            <v>Last Reported Q</v>
          </cell>
          <cell r="C369">
            <v>16</v>
          </cell>
          <cell r="D369">
            <v>393</v>
          </cell>
          <cell r="E369">
            <v>242</v>
          </cell>
          <cell r="F369">
            <v>356</v>
          </cell>
          <cell r="G369">
            <v>27.856999999999999</v>
          </cell>
          <cell r="H369">
            <v>0</v>
          </cell>
          <cell r="I369">
            <v>0</v>
          </cell>
          <cell r="J369">
            <v>147.83671428571429</v>
          </cell>
          <cell r="K369">
            <v>1034.857</v>
          </cell>
          <cell r="M369">
            <v>11.61</v>
          </cell>
          <cell r="N369">
            <v>0</v>
          </cell>
          <cell r="O369">
            <v>30</v>
          </cell>
          <cell r="P369">
            <v>0.73699999999999999</v>
          </cell>
          <cell r="Q369">
            <v>0</v>
          </cell>
          <cell r="R369">
            <v>0</v>
          </cell>
          <cell r="S369" t="str">
            <v>NA</v>
          </cell>
          <cell r="T369">
            <v>7.0578333333333338</v>
          </cell>
          <cell r="U369">
            <v>42.347000000000001</v>
          </cell>
        </row>
        <row r="370">
          <cell r="B370" t="str">
            <v>LTM</v>
          </cell>
          <cell r="C370">
            <v>16</v>
          </cell>
          <cell r="D370">
            <v>393</v>
          </cell>
          <cell r="E370">
            <v>242</v>
          </cell>
          <cell r="F370">
            <v>356</v>
          </cell>
          <cell r="G370">
            <v>27.856999999999999</v>
          </cell>
          <cell r="H370">
            <v>0</v>
          </cell>
          <cell r="I370">
            <v>0</v>
          </cell>
          <cell r="J370">
            <v>147.83671428571429</v>
          </cell>
          <cell r="K370">
            <v>1034.857</v>
          </cell>
          <cell r="M370">
            <v>11.61</v>
          </cell>
          <cell r="N370">
            <v>0</v>
          </cell>
          <cell r="O370">
            <v>30</v>
          </cell>
          <cell r="P370">
            <v>0.73699999999999999</v>
          </cell>
          <cell r="Q370">
            <v>0</v>
          </cell>
          <cell r="R370">
            <v>0</v>
          </cell>
          <cell r="S370" t="str">
            <v>NA</v>
          </cell>
          <cell r="T370">
            <v>7.0578333333333338</v>
          </cell>
          <cell r="U370">
            <v>42.347000000000001</v>
          </cell>
        </row>
        <row r="371">
          <cell r="B371" t="str">
            <v>FY(2)</v>
          </cell>
          <cell r="C371">
            <v>6662.2930000000006</v>
          </cell>
          <cell r="D371">
            <v>7732</v>
          </cell>
          <cell r="E371">
            <v>20751</v>
          </cell>
          <cell r="F371">
            <v>2798.973</v>
          </cell>
          <cell r="G371">
            <v>1782.8159999999998</v>
          </cell>
          <cell r="H371">
            <v>1059.83</v>
          </cell>
          <cell r="I371">
            <v>3077.62</v>
          </cell>
          <cell r="J371">
            <v>6266.3617142857156</v>
          </cell>
          <cell r="K371">
            <v>43864.532000000007</v>
          </cell>
          <cell r="M371">
            <v>1405.297</v>
          </cell>
          <cell r="N371">
            <v>312.11599999999999</v>
          </cell>
          <cell r="O371">
            <v>1417.3119999999999</v>
          </cell>
          <cell r="P371">
            <v>1913.454</v>
          </cell>
          <cell r="Q371">
            <v>5687</v>
          </cell>
          <cell r="R371">
            <v>4638</v>
          </cell>
          <cell r="S371">
            <v>675.28300000000002</v>
          </cell>
          <cell r="T371">
            <v>2292.6374285714287</v>
          </cell>
          <cell r="U371">
            <v>16048.462</v>
          </cell>
        </row>
        <row r="372">
          <cell r="A372" t="str">
            <v>mstag:longTermDebt</v>
          </cell>
          <cell r="B372" t="str">
            <v>LT. Debt</v>
          </cell>
          <cell r="C372">
            <v>8166.1790000000001</v>
          </cell>
          <cell r="D372">
            <v>9020</v>
          </cell>
          <cell r="E372">
            <v>19660</v>
          </cell>
          <cell r="F372">
            <v>3612</v>
          </cell>
          <cell r="G372">
            <v>1747.89689995766</v>
          </cell>
          <cell r="H372">
            <v>1120.6489999999999</v>
          </cell>
          <cell r="I372">
            <v>2966.3389999999999</v>
          </cell>
          <cell r="J372">
            <v>6613.2948428510945</v>
          </cell>
          <cell r="K372">
            <v>46293.063899957662</v>
          </cell>
          <cell r="M372">
            <v>1618.3130000000001</v>
          </cell>
          <cell r="N372">
            <v>197.27600000000001</v>
          </cell>
          <cell r="O372">
            <v>1340.4639999999999</v>
          </cell>
          <cell r="P372">
            <v>1493.24</v>
          </cell>
          <cell r="Q372">
            <v>4462</v>
          </cell>
          <cell r="R372">
            <v>5123.8767621029501</v>
          </cell>
          <cell r="S372">
            <v>853.43100000000004</v>
          </cell>
          <cell r="T372">
            <v>2155.5143945861355</v>
          </cell>
          <cell r="U372">
            <v>15088.600762102949</v>
          </cell>
        </row>
        <row r="373">
          <cell r="B373" t="str">
            <v>FY(2)</v>
          </cell>
          <cell r="C373">
            <v>2051.875</v>
          </cell>
          <cell r="D373">
            <v>3505</v>
          </cell>
          <cell r="E373">
            <v>9087</v>
          </cell>
          <cell r="F373">
            <v>2236</v>
          </cell>
          <cell r="G373">
            <v>253.346</v>
          </cell>
          <cell r="H373">
            <v>150</v>
          </cell>
          <cell r="I373">
            <v>833.08600000000001</v>
          </cell>
          <cell r="J373">
            <v>2588.0438571428572</v>
          </cell>
          <cell r="K373">
            <v>18116.307000000001</v>
          </cell>
          <cell r="M373">
            <v>0</v>
          </cell>
          <cell r="N373" t="str">
            <v>NA</v>
          </cell>
          <cell r="O373">
            <v>0</v>
          </cell>
          <cell r="P373">
            <v>2.8650000000000002</v>
          </cell>
          <cell r="Q373">
            <v>50</v>
          </cell>
          <cell r="R373">
            <v>2904.6390000000001</v>
          </cell>
          <cell r="S373">
            <v>0</v>
          </cell>
          <cell r="T373">
            <v>492.91733333333332</v>
          </cell>
          <cell r="U373">
            <v>2957.5039999999999</v>
          </cell>
        </row>
        <row r="374">
          <cell r="B374" t="str">
            <v>FY(1)</v>
          </cell>
          <cell r="C374">
            <v>2053</v>
          </cell>
          <cell r="D374">
            <v>3505</v>
          </cell>
          <cell r="E374">
            <v>8733</v>
          </cell>
          <cell r="F374">
            <v>2214</v>
          </cell>
          <cell r="G374">
            <v>635.4</v>
          </cell>
          <cell r="H374">
            <v>150</v>
          </cell>
          <cell r="I374">
            <v>383.78199999999998</v>
          </cell>
          <cell r="J374">
            <v>2524.883142857143</v>
          </cell>
          <cell r="K374">
            <v>17674.182000000001</v>
          </cell>
          <cell r="M374">
            <v>100</v>
          </cell>
          <cell r="N374" t="str">
            <v>NA</v>
          </cell>
          <cell r="O374">
            <v>0</v>
          </cell>
          <cell r="P374">
            <v>2.58</v>
          </cell>
          <cell r="Q374">
            <v>0</v>
          </cell>
          <cell r="R374">
            <v>2897.114</v>
          </cell>
          <cell r="S374">
            <v>0</v>
          </cell>
          <cell r="T374">
            <v>499.94900000000001</v>
          </cell>
          <cell r="U374">
            <v>2999.694</v>
          </cell>
        </row>
        <row r="375">
          <cell r="B375" t="str">
            <v>FY0</v>
          </cell>
          <cell r="C375">
            <v>2052</v>
          </cell>
          <cell r="D375">
            <v>2999</v>
          </cell>
          <cell r="E375">
            <v>8456</v>
          </cell>
          <cell r="F375">
            <v>2257</v>
          </cell>
          <cell r="G375">
            <v>493.33</v>
          </cell>
          <cell r="H375">
            <v>150</v>
          </cell>
          <cell r="I375">
            <v>774.3</v>
          </cell>
          <cell r="J375">
            <v>2454.5185714285717</v>
          </cell>
          <cell r="K375">
            <v>17181.63</v>
          </cell>
          <cell r="M375">
            <v>71.212999999999994</v>
          </cell>
          <cell r="N375" t="str">
            <v>NA</v>
          </cell>
          <cell r="O375">
            <v>0</v>
          </cell>
          <cell r="P375">
            <v>25.071999999999999</v>
          </cell>
          <cell r="Q375">
            <v>0</v>
          </cell>
          <cell r="R375">
            <v>2722.8130000000001</v>
          </cell>
          <cell r="S375">
            <v>0</v>
          </cell>
          <cell r="T375">
            <v>469.84966666666668</v>
          </cell>
          <cell r="U375">
            <v>2819.098</v>
          </cell>
        </row>
        <row r="376">
          <cell r="B376" t="str">
            <v>FY1</v>
          </cell>
          <cell r="C376">
            <v>2052</v>
          </cell>
          <cell r="D376">
            <v>2606</v>
          </cell>
          <cell r="E376">
            <v>8218</v>
          </cell>
          <cell r="F376">
            <v>2382</v>
          </cell>
          <cell r="G376">
            <v>470.33</v>
          </cell>
          <cell r="H376">
            <v>150</v>
          </cell>
          <cell r="I376">
            <v>774.3</v>
          </cell>
          <cell r="J376">
            <v>2378.9471428571428</v>
          </cell>
          <cell r="K376">
            <v>16652.63</v>
          </cell>
          <cell r="M376">
            <v>71.212999999999994</v>
          </cell>
          <cell r="N376" t="str">
            <v>NA</v>
          </cell>
          <cell r="O376">
            <v>0</v>
          </cell>
          <cell r="P376">
            <v>24.338999999999999</v>
          </cell>
          <cell r="Q376">
            <v>0</v>
          </cell>
          <cell r="R376">
            <v>2722.8130000000001</v>
          </cell>
          <cell r="S376">
            <v>0</v>
          </cell>
          <cell r="T376">
            <v>469.72750000000002</v>
          </cell>
          <cell r="U376">
            <v>2818.3650000000002</v>
          </cell>
        </row>
        <row r="377">
          <cell r="B377" t="str">
            <v>FY2</v>
          </cell>
          <cell r="C377">
            <v>1636</v>
          </cell>
          <cell r="D377">
            <v>2606</v>
          </cell>
          <cell r="E377">
            <v>7556</v>
          </cell>
          <cell r="F377">
            <v>2382</v>
          </cell>
          <cell r="G377">
            <v>378.33</v>
          </cell>
          <cell r="H377">
            <v>150</v>
          </cell>
          <cell r="I377">
            <v>774.3</v>
          </cell>
          <cell r="J377">
            <v>2211.8042857142855</v>
          </cell>
          <cell r="K377">
            <v>15482.63</v>
          </cell>
          <cell r="M377">
            <v>71.212999999999994</v>
          </cell>
          <cell r="N377" t="str">
            <v>NA</v>
          </cell>
          <cell r="O377">
            <v>0</v>
          </cell>
          <cell r="P377">
            <v>25.076000000000001</v>
          </cell>
          <cell r="Q377">
            <v>0</v>
          </cell>
          <cell r="R377">
            <v>2722.8130000000001</v>
          </cell>
          <cell r="S377">
            <v>0</v>
          </cell>
          <cell r="T377">
            <v>469.85033333333331</v>
          </cell>
          <cell r="U377">
            <v>2819.1019999999999</v>
          </cell>
        </row>
        <row r="378">
          <cell r="B378" t="str">
            <v>FQ(3)</v>
          </cell>
          <cell r="C378">
            <v>2056</v>
          </cell>
          <cell r="D378">
            <v>2999</v>
          </cell>
          <cell r="E378">
            <v>8719</v>
          </cell>
          <cell r="F378">
            <v>2002</v>
          </cell>
          <cell r="G378">
            <v>631.94000000000005</v>
          </cell>
          <cell r="H378">
            <v>150</v>
          </cell>
          <cell r="I378">
            <v>391.93099999999998</v>
          </cell>
          <cell r="J378">
            <v>2421.4101428571425</v>
          </cell>
          <cell r="K378">
            <v>16949.870999999999</v>
          </cell>
          <cell r="M378">
            <v>100</v>
          </cell>
          <cell r="N378" t="str">
            <v>NA</v>
          </cell>
          <cell r="O378">
            <v>0</v>
          </cell>
          <cell r="P378">
            <v>24.986000000000001</v>
          </cell>
          <cell r="Q378">
            <v>0</v>
          </cell>
          <cell r="R378">
            <v>2897.297</v>
          </cell>
          <cell r="S378">
            <v>0</v>
          </cell>
          <cell r="T378">
            <v>503.7138333333333</v>
          </cell>
          <cell r="U378">
            <v>3022.2829999999999</v>
          </cell>
        </row>
        <row r="379">
          <cell r="B379" t="str">
            <v>FQ(2)</v>
          </cell>
          <cell r="C379">
            <v>2053</v>
          </cell>
          <cell r="D379">
            <v>2999</v>
          </cell>
          <cell r="E379">
            <v>8632</v>
          </cell>
          <cell r="F379">
            <v>2260</v>
          </cell>
          <cell r="G379">
            <v>598.07899999999995</v>
          </cell>
          <cell r="H379">
            <v>150</v>
          </cell>
          <cell r="I379">
            <v>791.33199999999999</v>
          </cell>
          <cell r="J379">
            <v>2497.6301428571428</v>
          </cell>
          <cell r="K379">
            <v>17483.411</v>
          </cell>
          <cell r="M379">
            <v>36.729999999999997</v>
          </cell>
          <cell r="N379" t="str">
            <v>NA</v>
          </cell>
          <cell r="O379">
            <v>0</v>
          </cell>
          <cell r="P379">
            <v>25.071999999999999</v>
          </cell>
          <cell r="Q379">
            <v>0</v>
          </cell>
          <cell r="R379">
            <v>3251</v>
          </cell>
          <cell r="S379">
            <v>0</v>
          </cell>
          <cell r="T379">
            <v>552.13366666666673</v>
          </cell>
          <cell r="U379">
            <v>3312.8020000000001</v>
          </cell>
        </row>
        <row r="380">
          <cell r="B380" t="str">
            <v>FQ(1)</v>
          </cell>
          <cell r="C380">
            <v>2054</v>
          </cell>
          <cell r="D380">
            <v>2999</v>
          </cell>
          <cell r="E380">
            <v>8618</v>
          </cell>
          <cell r="F380">
            <v>2259</v>
          </cell>
          <cell r="G380">
            <v>514.60599999999999</v>
          </cell>
          <cell r="H380">
            <v>150</v>
          </cell>
          <cell r="I380">
            <v>790.75699999999995</v>
          </cell>
          <cell r="J380">
            <v>2483.6232857142859</v>
          </cell>
          <cell r="K380">
            <v>17385.363000000001</v>
          </cell>
          <cell r="M380">
            <v>50.582000000000001</v>
          </cell>
          <cell r="N380" t="str">
            <v>NA</v>
          </cell>
          <cell r="O380">
            <v>0</v>
          </cell>
          <cell r="P380">
            <v>24.428999999999998</v>
          </cell>
          <cell r="Q380">
            <v>0</v>
          </cell>
          <cell r="R380">
            <v>2880.2820000000002</v>
          </cell>
          <cell r="S380">
            <v>0</v>
          </cell>
          <cell r="T380">
            <v>492.54883333333333</v>
          </cell>
          <cell r="U380">
            <v>2955.2930000000001</v>
          </cell>
        </row>
        <row r="381">
          <cell r="B381" t="str">
            <v>Last Reported Q</v>
          </cell>
          <cell r="C381">
            <v>2052</v>
          </cell>
          <cell r="D381">
            <v>2999</v>
          </cell>
          <cell r="E381">
            <v>8456</v>
          </cell>
          <cell r="F381">
            <v>2257</v>
          </cell>
          <cell r="G381">
            <v>493.33</v>
          </cell>
          <cell r="H381">
            <v>150</v>
          </cell>
          <cell r="I381">
            <v>774.3</v>
          </cell>
          <cell r="J381">
            <v>2454.5185714285717</v>
          </cell>
          <cell r="K381">
            <v>17181.63</v>
          </cell>
          <cell r="M381">
            <v>71.212999999999994</v>
          </cell>
          <cell r="N381" t="str">
            <v>NA</v>
          </cell>
          <cell r="O381">
            <v>0</v>
          </cell>
          <cell r="P381">
            <v>24.338999999999999</v>
          </cell>
          <cell r="Q381">
            <v>0</v>
          </cell>
          <cell r="R381">
            <v>2722.8130000000001</v>
          </cell>
          <cell r="S381">
            <v>0</v>
          </cell>
          <cell r="T381">
            <v>469.72750000000002</v>
          </cell>
          <cell r="U381">
            <v>2818.3650000000002</v>
          </cell>
        </row>
        <row r="382">
          <cell r="B382" t="str">
            <v>LTM</v>
          </cell>
          <cell r="C382">
            <v>2052</v>
          </cell>
          <cell r="D382">
            <v>2999</v>
          </cell>
          <cell r="E382">
            <v>8456</v>
          </cell>
          <cell r="F382">
            <v>2257</v>
          </cell>
          <cell r="G382">
            <v>493.33</v>
          </cell>
          <cell r="H382">
            <v>150</v>
          </cell>
          <cell r="I382">
            <v>774.3</v>
          </cell>
          <cell r="J382">
            <v>2454.5185714285717</v>
          </cell>
          <cell r="K382">
            <v>17181.63</v>
          </cell>
          <cell r="M382">
            <v>71.212999999999994</v>
          </cell>
          <cell r="N382" t="str">
            <v>NA</v>
          </cell>
          <cell r="O382">
            <v>0</v>
          </cell>
          <cell r="P382">
            <v>24.338999999999999</v>
          </cell>
          <cell r="Q382">
            <v>0</v>
          </cell>
          <cell r="R382">
            <v>2722.8130000000001</v>
          </cell>
          <cell r="S382">
            <v>0</v>
          </cell>
          <cell r="T382">
            <v>469.72750000000002</v>
          </cell>
          <cell r="U382">
            <v>2818.3650000000002</v>
          </cell>
        </row>
        <row r="383">
          <cell r="B383" t="str">
            <v>FY(2)</v>
          </cell>
          <cell r="C383" t="e">
            <v>#VALUE!</v>
          </cell>
          <cell r="D383" t="e">
            <v>#VALUE!</v>
          </cell>
          <cell r="E383" t="e">
            <v>#VALUE!</v>
          </cell>
          <cell r="F383" t="e">
            <v>#VALUE!</v>
          </cell>
          <cell r="G383" t="e">
            <v>#VALUE!</v>
          </cell>
          <cell r="H383" t="e">
            <v>#VALUE!</v>
          </cell>
          <cell r="I383" t="e">
            <v>#VALUE!</v>
          </cell>
          <cell r="J383" t="e">
            <v>#VALUE!</v>
          </cell>
          <cell r="K383" t="e">
            <v>#VALUE!</v>
          </cell>
          <cell r="M383" t="e">
            <v>#VALUE!</v>
          </cell>
          <cell r="N383" t="e">
            <v>#VALUE!</v>
          </cell>
          <cell r="O383" t="e">
            <v>#VALUE!</v>
          </cell>
          <cell r="P383" t="e">
            <v>#VALUE!</v>
          </cell>
          <cell r="Q383" t="e">
            <v>#VALUE!</v>
          </cell>
          <cell r="R383" t="e">
            <v>#VALUE!</v>
          </cell>
          <cell r="S383" t="e">
            <v>#VALUE!</v>
          </cell>
          <cell r="T383" t="e">
            <v>#VALUE!</v>
          </cell>
          <cell r="U383" t="e">
            <v>#VALUE!</v>
          </cell>
        </row>
        <row r="384">
          <cell r="B384" t="str">
            <v>Unadjusted Debt</v>
          </cell>
          <cell r="C384" t="e">
            <v>#VALUE!</v>
          </cell>
          <cell r="D384" t="e">
            <v>#VALUE!</v>
          </cell>
          <cell r="E384" t="e">
            <v>#VALUE!</v>
          </cell>
          <cell r="F384" t="e">
            <v>#VALUE!</v>
          </cell>
          <cell r="G384" t="e">
            <v>#VALUE!</v>
          </cell>
          <cell r="H384" t="e">
            <v>#VALUE!</v>
          </cell>
          <cell r="I384" t="e">
            <v>#VALUE!</v>
          </cell>
          <cell r="J384" t="e">
            <v>#VALUE!</v>
          </cell>
          <cell r="K384" t="e">
            <v>#VALUE!</v>
          </cell>
          <cell r="M384" t="e">
            <v>#VALUE!</v>
          </cell>
          <cell r="N384" t="e">
            <v>#VALUE!</v>
          </cell>
          <cell r="O384" t="e">
            <v>#VALUE!</v>
          </cell>
          <cell r="P384" t="e">
            <v>#VALUE!</v>
          </cell>
          <cell r="Q384" t="e">
            <v>#VALUE!</v>
          </cell>
          <cell r="R384" t="e">
            <v>#VALUE!</v>
          </cell>
          <cell r="S384" t="e">
            <v>#VALUE!</v>
          </cell>
          <cell r="T384" t="e">
            <v>#VALUE!</v>
          </cell>
          <cell r="U384" t="e">
            <v>#VALUE!</v>
          </cell>
        </row>
        <row r="385">
          <cell r="B385" t="str">
            <v>FY(2)</v>
          </cell>
          <cell r="C385">
            <v>2064.576</v>
          </cell>
          <cell r="D385">
            <v>3708</v>
          </cell>
          <cell r="E385">
            <v>9753</v>
          </cell>
          <cell r="F385">
            <v>2497</v>
          </cell>
          <cell r="G385">
            <v>572.58799999999997</v>
          </cell>
          <cell r="H385">
            <v>150</v>
          </cell>
          <cell r="I385">
            <v>835.09400000000005</v>
          </cell>
          <cell r="J385">
            <v>2797.1797142857145</v>
          </cell>
          <cell r="K385">
            <v>19580.258000000002</v>
          </cell>
          <cell r="M385">
            <v>0</v>
          </cell>
          <cell r="N385">
            <v>0</v>
          </cell>
          <cell r="O385">
            <v>0</v>
          </cell>
          <cell r="P385">
            <v>3.1</v>
          </cell>
          <cell r="Q385">
            <v>188</v>
          </cell>
          <cell r="R385">
            <v>2904.6390000000001</v>
          </cell>
          <cell r="S385">
            <v>0</v>
          </cell>
          <cell r="T385">
            <v>442.24842857142858</v>
          </cell>
          <cell r="U385">
            <v>3095.739</v>
          </cell>
        </row>
        <row r="386">
          <cell r="B386" t="str">
            <v>FY(1)</v>
          </cell>
          <cell r="C386">
            <v>2070</v>
          </cell>
          <cell r="D386">
            <v>3505</v>
          </cell>
          <cell r="E386">
            <v>9699</v>
          </cell>
          <cell r="F386">
            <v>2513</v>
          </cell>
          <cell r="G386">
            <v>640.07299999999998</v>
          </cell>
          <cell r="H386">
            <v>150</v>
          </cell>
          <cell r="I386">
            <v>778.80899999999997</v>
          </cell>
          <cell r="J386">
            <v>2765.1260000000002</v>
          </cell>
          <cell r="K386">
            <v>19355.882000000001</v>
          </cell>
          <cell r="M386">
            <v>100</v>
          </cell>
          <cell r="N386">
            <v>0</v>
          </cell>
          <cell r="O386">
            <v>75</v>
          </cell>
          <cell r="P386">
            <v>2.8650000000000002</v>
          </cell>
          <cell r="Q386">
            <v>50</v>
          </cell>
          <cell r="R386">
            <v>2897.114</v>
          </cell>
          <cell r="S386">
            <v>0</v>
          </cell>
          <cell r="T386">
            <v>446.42557142857146</v>
          </cell>
          <cell r="U386">
            <v>3124.9790000000003</v>
          </cell>
        </row>
        <row r="387">
          <cell r="B387" t="str">
            <v>FY0</v>
          </cell>
          <cell r="C387">
            <v>2068</v>
          </cell>
          <cell r="D387">
            <v>3392</v>
          </cell>
          <cell r="E387">
            <v>8698</v>
          </cell>
          <cell r="F387">
            <v>2613</v>
          </cell>
          <cell r="G387">
            <v>521.18700000000001</v>
          </cell>
          <cell r="H387">
            <v>150</v>
          </cell>
          <cell r="I387">
            <v>774.3</v>
          </cell>
          <cell r="J387">
            <v>2602.3552857142859</v>
          </cell>
          <cell r="K387">
            <v>18216.487000000001</v>
          </cell>
          <cell r="M387">
            <v>82.822999999999993</v>
          </cell>
          <cell r="N387">
            <v>0</v>
          </cell>
          <cell r="O387">
            <v>30</v>
          </cell>
          <cell r="P387">
            <v>33.076000000000001</v>
          </cell>
          <cell r="Q387">
            <v>0</v>
          </cell>
          <cell r="R387">
            <v>2722.8130000000001</v>
          </cell>
          <cell r="S387">
            <v>0</v>
          </cell>
          <cell r="T387">
            <v>409.81599999999997</v>
          </cell>
          <cell r="U387">
            <v>2868.712</v>
          </cell>
        </row>
        <row r="388">
          <cell r="B388" t="str">
            <v>FY1</v>
          </cell>
          <cell r="C388">
            <v>2068</v>
          </cell>
          <cell r="D388">
            <v>2999</v>
          </cell>
          <cell r="E388">
            <v>8460</v>
          </cell>
          <cell r="F388">
            <v>2388</v>
          </cell>
          <cell r="G388">
            <v>498.18700000000001</v>
          </cell>
          <cell r="H388">
            <v>150</v>
          </cell>
          <cell r="I388">
            <v>774.3</v>
          </cell>
          <cell r="J388">
            <v>2476.7838571428574</v>
          </cell>
          <cell r="K388">
            <v>17337.487000000001</v>
          </cell>
          <cell r="M388">
            <v>82.822999999999993</v>
          </cell>
          <cell r="N388">
            <v>0</v>
          </cell>
          <cell r="O388">
            <v>30</v>
          </cell>
          <cell r="P388">
            <v>25.075999999999997</v>
          </cell>
          <cell r="Q388">
            <v>0</v>
          </cell>
          <cell r="R388">
            <v>2722.8130000000001</v>
          </cell>
          <cell r="S388">
            <v>0</v>
          </cell>
          <cell r="T388">
            <v>408.67314285714286</v>
          </cell>
          <cell r="U388">
            <v>2860.712</v>
          </cell>
        </row>
        <row r="389">
          <cell r="B389" t="str">
            <v>FY2</v>
          </cell>
          <cell r="C389">
            <v>1652</v>
          </cell>
          <cell r="D389">
            <v>2999</v>
          </cell>
          <cell r="E389">
            <v>7798</v>
          </cell>
          <cell r="F389">
            <v>2388</v>
          </cell>
          <cell r="G389">
            <v>406.18700000000001</v>
          </cell>
          <cell r="H389">
            <v>150</v>
          </cell>
          <cell r="I389">
            <v>774.3</v>
          </cell>
          <cell r="J389">
            <v>2309.6410000000001</v>
          </cell>
          <cell r="K389">
            <v>16167.486999999999</v>
          </cell>
          <cell r="M389">
            <v>82.822999999999993</v>
          </cell>
          <cell r="N389">
            <v>0</v>
          </cell>
          <cell r="O389">
            <v>30</v>
          </cell>
          <cell r="P389">
            <v>25.076000000000001</v>
          </cell>
          <cell r="Q389">
            <v>0</v>
          </cell>
          <cell r="R389">
            <v>2722.8130000000001</v>
          </cell>
          <cell r="S389">
            <v>0</v>
          </cell>
          <cell r="T389">
            <v>408.67314285714286</v>
          </cell>
          <cell r="U389">
            <v>2860.712</v>
          </cell>
        </row>
        <row r="390">
          <cell r="B390" t="str">
            <v>FQ(3)</v>
          </cell>
          <cell r="C390">
            <v>2073</v>
          </cell>
          <cell r="D390">
            <v>3505</v>
          </cell>
          <cell r="E390">
            <v>8854</v>
          </cell>
          <cell r="F390">
            <v>2502</v>
          </cell>
          <cell r="G390">
            <v>636.62600000000009</v>
          </cell>
          <cell r="H390">
            <v>150</v>
          </cell>
          <cell r="I390">
            <v>1136.376</v>
          </cell>
          <cell r="J390">
            <v>2693.8574285714285</v>
          </cell>
          <cell r="K390">
            <v>18857.002</v>
          </cell>
          <cell r="M390">
            <v>100</v>
          </cell>
          <cell r="N390">
            <v>0</v>
          </cell>
          <cell r="O390">
            <v>75</v>
          </cell>
          <cell r="P390">
            <v>27.475999999999999</v>
          </cell>
          <cell r="Q390">
            <v>0</v>
          </cell>
          <cell r="R390">
            <v>2897.297</v>
          </cell>
          <cell r="S390">
            <v>0</v>
          </cell>
          <cell r="T390">
            <v>442.82471428571432</v>
          </cell>
          <cell r="U390">
            <v>3099.7730000000001</v>
          </cell>
        </row>
        <row r="391">
          <cell r="B391" t="str">
            <v>FQ(2)</v>
          </cell>
          <cell r="C391">
            <v>2069</v>
          </cell>
          <cell r="D391">
            <v>3392</v>
          </cell>
          <cell r="E391">
            <v>8724</v>
          </cell>
          <cell r="F391">
            <v>2635</v>
          </cell>
          <cell r="G391">
            <v>602.80799999999999</v>
          </cell>
          <cell r="H391">
            <v>150</v>
          </cell>
          <cell r="I391">
            <v>1212.538</v>
          </cell>
          <cell r="J391">
            <v>2683.6208571428574</v>
          </cell>
          <cell r="K391">
            <v>18785.346000000001</v>
          </cell>
          <cell r="M391">
            <v>36.729999999999997</v>
          </cell>
          <cell r="N391">
            <v>0</v>
          </cell>
          <cell r="O391">
            <v>75</v>
          </cell>
          <cell r="P391">
            <v>33.076000000000001</v>
          </cell>
          <cell r="Q391">
            <v>0</v>
          </cell>
          <cell r="R391">
            <v>3251</v>
          </cell>
          <cell r="S391">
            <v>0</v>
          </cell>
          <cell r="T391">
            <v>485.11514285714287</v>
          </cell>
          <cell r="U391">
            <v>3395.806</v>
          </cell>
        </row>
        <row r="392">
          <cell r="B392" t="str">
            <v>FQ(1)</v>
          </cell>
          <cell r="C392">
            <v>2071</v>
          </cell>
          <cell r="D392">
            <v>3392</v>
          </cell>
          <cell r="E392">
            <v>8710</v>
          </cell>
          <cell r="F392">
            <v>2615</v>
          </cell>
          <cell r="G392">
            <v>519.45299999999997</v>
          </cell>
          <cell r="H392">
            <v>150</v>
          </cell>
          <cell r="I392">
            <v>993.42399999999998</v>
          </cell>
          <cell r="J392">
            <v>2635.8395714285716</v>
          </cell>
          <cell r="K392">
            <v>18450.877</v>
          </cell>
          <cell r="M392">
            <v>50.582000000000001</v>
          </cell>
          <cell r="N392">
            <v>0</v>
          </cell>
          <cell r="O392">
            <v>50</v>
          </cell>
          <cell r="P392">
            <v>25.132999999999999</v>
          </cell>
          <cell r="Q392">
            <v>0</v>
          </cell>
          <cell r="R392">
            <v>2880.2820000000002</v>
          </cell>
          <cell r="S392">
            <v>0</v>
          </cell>
          <cell r="T392">
            <v>429.42814285714292</v>
          </cell>
          <cell r="U392">
            <v>3005.9970000000003</v>
          </cell>
        </row>
        <row r="393">
          <cell r="B393" t="str">
            <v>Last Reported Q</v>
          </cell>
          <cell r="C393">
            <v>2068</v>
          </cell>
          <cell r="D393">
            <v>3392</v>
          </cell>
          <cell r="E393">
            <v>8698</v>
          </cell>
          <cell r="F393">
            <v>2613</v>
          </cell>
          <cell r="G393">
            <v>521.18700000000001</v>
          </cell>
          <cell r="H393">
            <v>150</v>
          </cell>
          <cell r="I393">
            <v>774.3</v>
          </cell>
          <cell r="J393">
            <v>2602.3552857142859</v>
          </cell>
          <cell r="K393">
            <v>18216.487000000001</v>
          </cell>
          <cell r="M393">
            <v>82.822999999999993</v>
          </cell>
          <cell r="N393">
            <v>0</v>
          </cell>
          <cell r="O393">
            <v>30</v>
          </cell>
          <cell r="P393">
            <v>25.075999999999997</v>
          </cell>
          <cell r="Q393">
            <v>0</v>
          </cell>
          <cell r="R393">
            <v>2722.8130000000001</v>
          </cell>
          <cell r="S393">
            <v>0</v>
          </cell>
          <cell r="T393">
            <v>408.67314285714286</v>
          </cell>
          <cell r="U393">
            <v>2860.712</v>
          </cell>
        </row>
        <row r="394">
          <cell r="B394" t="str">
            <v>LTM</v>
          </cell>
          <cell r="C394">
            <v>2068</v>
          </cell>
          <cell r="D394">
            <v>3392</v>
          </cell>
          <cell r="E394">
            <v>8698</v>
          </cell>
          <cell r="F394">
            <v>2613</v>
          </cell>
          <cell r="G394">
            <v>521.18700000000001</v>
          </cell>
          <cell r="H394">
            <v>150</v>
          </cell>
          <cell r="I394">
            <v>774.3</v>
          </cell>
          <cell r="J394">
            <v>2602.3552857142859</v>
          </cell>
          <cell r="K394">
            <v>18216.487000000001</v>
          </cell>
          <cell r="M394">
            <v>82.822999999999993</v>
          </cell>
          <cell r="N394">
            <v>0</v>
          </cell>
          <cell r="O394">
            <v>30</v>
          </cell>
          <cell r="P394">
            <v>25.075999999999997</v>
          </cell>
          <cell r="Q394">
            <v>0</v>
          </cell>
          <cell r="R394">
            <v>2722.8130000000001</v>
          </cell>
          <cell r="S394">
            <v>0</v>
          </cell>
          <cell r="T394">
            <v>408.67314285714286</v>
          </cell>
          <cell r="U394">
            <v>2860.712</v>
          </cell>
        </row>
        <row r="396">
          <cell r="B396" t="str">
            <v>Unadjusted Net Debt</v>
          </cell>
        </row>
        <row r="397">
          <cell r="B397" t="str">
            <v>FY(2)</v>
          </cell>
          <cell r="C397">
            <v>1400.9176368560052</v>
          </cell>
          <cell r="D397">
            <v>1175.8694052044598</v>
          </cell>
          <cell r="E397">
            <v>9170.1249999999964</v>
          </cell>
          <cell r="F397">
            <v>2139.5977032416822</v>
          </cell>
          <cell r="G397">
            <v>471.42610004233597</v>
          </cell>
          <cell r="H397">
            <v>-113.678</v>
          </cell>
          <cell r="I397">
            <v>102.38306178916901</v>
          </cell>
          <cell r="J397">
            <v>2049.5201295905213</v>
          </cell>
          <cell r="K397">
            <v>14346.640907133649</v>
          </cell>
          <cell r="M397">
            <v>-522.13461840902801</v>
          </cell>
          <cell r="N397">
            <v>-228.53</v>
          </cell>
          <cell r="O397">
            <v>-483.85199999999901</v>
          </cell>
          <cell r="P397">
            <v>-695.80499999999995</v>
          </cell>
          <cell r="Q397">
            <v>-1527</v>
          </cell>
          <cell r="R397">
            <v>1731.24213031622</v>
          </cell>
          <cell r="S397">
            <v>-365.983</v>
          </cell>
          <cell r="T397">
            <v>-298.8660697275439</v>
          </cell>
          <cell r="U397">
            <v>-2092.0624880928071</v>
          </cell>
        </row>
        <row r="398">
          <cell r="B398" t="str">
            <v>FY(1)</v>
          </cell>
          <cell r="C398">
            <v>1393.840636856004</v>
          </cell>
          <cell r="D398">
            <v>1153.3730245593001</v>
          </cell>
          <cell r="E398">
            <v>8393.125</v>
          </cell>
          <cell r="F398">
            <v>2441.0807032416819</v>
          </cell>
          <cell r="G398">
            <v>626.02575219353469</v>
          </cell>
          <cell r="H398">
            <v>-172.15537499999999</v>
          </cell>
          <cell r="I398">
            <v>325.99135986921397</v>
          </cell>
          <cell r="J398">
            <v>2023.0401573885335</v>
          </cell>
          <cell r="K398">
            <v>14161.281101719735</v>
          </cell>
          <cell r="M398">
            <v>-422.13461840902801</v>
          </cell>
          <cell r="N398">
            <v>-228.53</v>
          </cell>
          <cell r="O398">
            <v>-408.85199999999901</v>
          </cell>
          <cell r="P398">
            <v>-696.04</v>
          </cell>
          <cell r="Q398">
            <v>-1665</v>
          </cell>
          <cell r="R398">
            <v>1723.7171303162199</v>
          </cell>
          <cell r="S398">
            <v>-365.983</v>
          </cell>
          <cell r="T398">
            <v>-294.68892687040096</v>
          </cell>
          <cell r="U398">
            <v>-2062.8224880928069</v>
          </cell>
        </row>
        <row r="399">
          <cell r="B399" t="str">
            <v>FY0</v>
          </cell>
          <cell r="C399">
            <v>-197.75736314400001</v>
          </cell>
          <cell r="D399">
            <v>384.79102455929979</v>
          </cell>
          <cell r="E399">
            <v>7011.625</v>
          </cell>
          <cell r="F399">
            <v>1818.280703241682</v>
          </cell>
          <cell r="G399">
            <v>357.01974883758999</v>
          </cell>
          <cell r="H399">
            <v>-620.00937499999998</v>
          </cell>
          <cell r="I399">
            <v>-971.08064013079002</v>
          </cell>
          <cell r="J399">
            <v>1111.8384426233977</v>
          </cell>
          <cell r="K399">
            <v>7782.8690983637835</v>
          </cell>
          <cell r="M399">
            <v>-644.74920840902803</v>
          </cell>
          <cell r="N399">
            <v>-346.87931378455897</v>
          </cell>
          <cell r="O399">
            <v>-668.63491999999906</v>
          </cell>
          <cell r="P399">
            <v>-767.28599999999994</v>
          </cell>
          <cell r="Q399">
            <v>-2574.8000000000002</v>
          </cell>
          <cell r="R399">
            <v>918.42900000000009</v>
          </cell>
          <cell r="S399">
            <v>-501.53600000000102</v>
          </cell>
          <cell r="T399">
            <v>-655.06520602765534</v>
          </cell>
          <cell r="U399">
            <v>-4585.4564421935875</v>
          </cell>
        </row>
        <row r="400">
          <cell r="B400" t="str">
            <v>FY1</v>
          </cell>
          <cell r="C400">
            <v>-788.51614066414004</v>
          </cell>
          <cell r="D400">
            <v>104.6646459940398</v>
          </cell>
          <cell r="E400">
            <v>5817.2833639719802</v>
          </cell>
          <cell r="F400">
            <v>1584.2267420001681</v>
          </cell>
          <cell r="G400">
            <v>329.53917016447303</v>
          </cell>
          <cell r="H400">
            <v>-727.70577551911504</v>
          </cell>
          <cell r="I400">
            <v>-1472.0475460263999</v>
          </cell>
          <cell r="J400">
            <v>692.49206570300078</v>
          </cell>
          <cell r="K400">
            <v>4847.4444599210055</v>
          </cell>
          <cell r="M400">
            <v>-572.38283485722206</v>
          </cell>
          <cell r="N400">
            <v>-418.99402043374801</v>
          </cell>
          <cell r="O400">
            <v>-758.63650584369498</v>
          </cell>
          <cell r="P400">
            <v>-929.32871939409097</v>
          </cell>
          <cell r="Q400">
            <v>-2478.3974420773002</v>
          </cell>
          <cell r="R400">
            <v>969.60535280101999</v>
          </cell>
          <cell r="S400">
            <v>-727.98320368492102</v>
          </cell>
          <cell r="T400">
            <v>-702.3024819271368</v>
          </cell>
          <cell r="U400">
            <v>-4916.1173734899576</v>
          </cell>
        </row>
        <row r="401">
          <cell r="B401" t="str">
            <v>FY2</v>
          </cell>
          <cell r="C401">
            <v>-1306.2194660018799</v>
          </cell>
          <cell r="D401">
            <v>14.232370430379888</v>
          </cell>
          <cell r="E401">
            <v>4376.7068129613499</v>
          </cell>
          <cell r="F401">
            <v>1611.2378153185318</v>
          </cell>
          <cell r="G401">
            <v>250.354544142804</v>
          </cell>
          <cell r="H401">
            <v>-864.85489072380005</v>
          </cell>
          <cell r="I401">
            <v>-1995.79367411919</v>
          </cell>
          <cell r="J401">
            <v>297.95193028688522</v>
          </cell>
          <cell r="K401">
            <v>2085.6635120081964</v>
          </cell>
          <cell r="M401">
            <v>-462.24347740002304</v>
          </cell>
          <cell r="N401">
            <v>-465.93234996454299</v>
          </cell>
          <cell r="O401">
            <v>-920.79550408930095</v>
          </cell>
          <cell r="P401">
            <v>-1082.9158350544999</v>
          </cell>
          <cell r="Q401">
            <v>-2368.83194985604</v>
          </cell>
          <cell r="R401">
            <v>635.02160613725027</v>
          </cell>
          <cell r="S401">
            <v>-921.75489727911997</v>
          </cell>
          <cell r="T401">
            <v>-798.20748678661107</v>
          </cell>
          <cell r="U401">
            <v>-5587.4524075062773</v>
          </cell>
        </row>
        <row r="402">
          <cell r="B402" t="str">
            <v>FQ(3)</v>
          </cell>
          <cell r="C402">
            <v>1179.3426368560049</v>
          </cell>
          <cell r="D402">
            <v>1367.3730245593001</v>
          </cell>
          <cell r="E402">
            <v>8559.1249999999964</v>
          </cell>
          <cell r="F402">
            <v>2424.3807032416817</v>
          </cell>
          <cell r="G402">
            <v>622.79775219353473</v>
          </cell>
          <cell r="H402">
            <v>-310.35537499999998</v>
          </cell>
          <cell r="I402">
            <v>124.14135986920996</v>
          </cell>
          <cell r="J402">
            <v>1995.2578716742471</v>
          </cell>
          <cell r="K402">
            <v>13966.80510171973</v>
          </cell>
          <cell r="M402">
            <v>-363.72861840902902</v>
          </cell>
          <cell r="N402">
            <v>-247.74700000000001</v>
          </cell>
          <cell r="O402">
            <v>-374.33199999999999</v>
          </cell>
          <cell r="P402">
            <v>-523.79100000000005</v>
          </cell>
          <cell r="Q402">
            <v>-1708</v>
          </cell>
          <cell r="R402">
            <v>1961.2991303162221</v>
          </cell>
          <cell r="S402">
            <v>-297.625</v>
          </cell>
          <cell r="T402">
            <v>-221.98921258468667</v>
          </cell>
          <cell r="U402">
            <v>-1553.9244880928068</v>
          </cell>
        </row>
        <row r="403">
          <cell r="B403" t="str">
            <v>FQ(2)</v>
          </cell>
          <cell r="C403">
            <v>715.24263685599999</v>
          </cell>
          <cell r="D403">
            <v>1079.9910245593001</v>
          </cell>
          <cell r="E403">
            <v>8209.1249999999964</v>
          </cell>
          <cell r="F403">
            <v>2116.3807032416821</v>
          </cell>
          <cell r="G403">
            <v>586.25975219353472</v>
          </cell>
          <cell r="H403">
            <v>-371.561375</v>
          </cell>
          <cell r="I403">
            <v>-214.05464013078995</v>
          </cell>
          <cell r="J403">
            <v>1731.626157388532</v>
          </cell>
          <cell r="K403">
            <v>12121.383101719724</v>
          </cell>
          <cell r="M403">
            <v>-404.54420840902895</v>
          </cell>
          <cell r="N403">
            <v>-245.45400000000001</v>
          </cell>
          <cell r="O403">
            <v>-454.78800000000001</v>
          </cell>
          <cell r="P403">
            <v>-767.28599999999994</v>
          </cell>
          <cell r="Q403">
            <v>-2131</v>
          </cell>
          <cell r="R403">
            <v>1700.68513031622</v>
          </cell>
          <cell r="S403">
            <v>-288.76</v>
          </cell>
          <cell r="T403">
            <v>-370.16386829897277</v>
          </cell>
          <cell r="U403">
            <v>-2591.1470780928094</v>
          </cell>
        </row>
        <row r="404">
          <cell r="B404" t="str">
            <v>FQ(1)</v>
          </cell>
          <cell r="C404">
            <v>540.24263685599999</v>
          </cell>
          <cell r="D404">
            <v>1262.9910245593001</v>
          </cell>
          <cell r="E404">
            <v>8221.1249999999964</v>
          </cell>
          <cell r="F404">
            <v>2131.3807032416821</v>
          </cell>
          <cell r="G404">
            <v>507.92514883759037</v>
          </cell>
          <cell r="H404">
            <v>-427.14337499999999</v>
          </cell>
          <cell r="I404">
            <v>-451.91464013079008</v>
          </cell>
          <cell r="J404">
            <v>1683.5152140519683</v>
          </cell>
          <cell r="K404">
            <v>11784.606498363779</v>
          </cell>
          <cell r="M404">
            <v>-475.78220840902895</v>
          </cell>
          <cell r="N404">
            <v>-285.53031378455898</v>
          </cell>
          <cell r="O404">
            <v>-465.90300000000002</v>
          </cell>
          <cell r="P404">
            <v>-969.54699999999991</v>
          </cell>
          <cell r="Q404">
            <v>-2398</v>
          </cell>
          <cell r="R404">
            <v>1912.1131303162222</v>
          </cell>
          <cell r="S404">
            <v>-418.39499999999998</v>
          </cell>
          <cell r="T404">
            <v>-443.00634169676653</v>
          </cell>
          <cell r="U404">
            <v>-3101.0443918773658</v>
          </cell>
        </row>
        <row r="405">
          <cell r="B405" t="str">
            <v>Last Reported Q</v>
          </cell>
          <cell r="C405">
            <v>-197.75736314400001</v>
          </cell>
          <cell r="D405">
            <v>384.79102455929979</v>
          </cell>
          <cell r="E405">
            <v>7011.625</v>
          </cell>
          <cell r="F405">
            <v>1818.280703241682</v>
          </cell>
          <cell r="G405">
            <v>357.01974883758999</v>
          </cell>
          <cell r="H405">
            <v>-620.00937499999998</v>
          </cell>
          <cell r="I405">
            <v>-971.08064013079002</v>
          </cell>
          <cell r="J405">
            <v>1111.8384426233977</v>
          </cell>
          <cell r="K405">
            <v>7782.8690983637835</v>
          </cell>
          <cell r="M405">
            <v>-644.74920840902803</v>
          </cell>
          <cell r="N405">
            <v>-346.87931378455897</v>
          </cell>
          <cell r="O405">
            <v>-668.63491999999906</v>
          </cell>
          <cell r="P405">
            <v>-1078.1009999999999</v>
          </cell>
          <cell r="Q405">
            <v>-2574.8000000000002</v>
          </cell>
          <cell r="R405">
            <v>918.42900000000009</v>
          </cell>
          <cell r="S405">
            <v>-501.53600000000102</v>
          </cell>
          <cell r="T405">
            <v>-699.46734888479818</v>
          </cell>
          <cell r="U405">
            <v>-4896.2714421935871</v>
          </cell>
        </row>
        <row r="406">
          <cell r="B406" t="str">
            <v>LTM</v>
          </cell>
          <cell r="C406">
            <v>-197.75736314400001</v>
          </cell>
          <cell r="D406">
            <v>384.79102455929979</v>
          </cell>
          <cell r="E406">
            <v>7011.625</v>
          </cell>
          <cell r="F406">
            <v>1818.280703241682</v>
          </cell>
          <cell r="G406">
            <v>357.01974883758999</v>
          </cell>
          <cell r="H406">
            <v>-620.00937499999998</v>
          </cell>
          <cell r="I406">
            <v>-971.08064013079002</v>
          </cell>
          <cell r="J406">
            <v>1111.8384426233977</v>
          </cell>
          <cell r="K406">
            <v>7782.8690983637835</v>
          </cell>
          <cell r="M406">
            <v>-644.74920840902803</v>
          </cell>
          <cell r="N406">
            <v>-346.87931378455897</v>
          </cell>
          <cell r="O406">
            <v>-668.63491999999906</v>
          </cell>
          <cell r="P406">
            <v>-1078.1009999999999</v>
          </cell>
          <cell r="Q406">
            <v>-2574.8000000000002</v>
          </cell>
          <cell r="R406">
            <v>918.42900000000009</v>
          </cell>
          <cell r="S406">
            <v>-501.53600000000102</v>
          </cell>
          <cell r="T406">
            <v>-699.46734888479818</v>
          </cell>
          <cell r="U406">
            <v>-4896.2714421935871</v>
          </cell>
        </row>
        <row r="408">
          <cell r="A408" t="str">
            <v>mscalc:shareholdersEquityExcludingAdjustments2</v>
          </cell>
          <cell r="B408" t="str">
            <v>Shareholders' Equity</v>
          </cell>
        </row>
        <row r="409">
          <cell r="B409" t="str">
            <v>FY(2)</v>
          </cell>
          <cell r="C409">
            <v>6101.6030000000001</v>
          </cell>
          <cell r="D409">
            <v>5312</v>
          </cell>
          <cell r="E409">
            <v>9907</v>
          </cell>
          <cell r="F409">
            <v>1115</v>
          </cell>
          <cell r="G409">
            <v>1175.3088999576601</v>
          </cell>
          <cell r="H409">
            <v>970.649</v>
          </cell>
          <cell r="I409">
            <v>2131.2449999999999</v>
          </cell>
          <cell r="J409">
            <v>3816.11512856538</v>
          </cell>
          <cell r="K409">
            <v>26712.805899957661</v>
          </cell>
          <cell r="M409">
            <v>1618.3130000000001</v>
          </cell>
          <cell r="N409">
            <v>197.27600000000001</v>
          </cell>
          <cell r="O409">
            <v>1340.4639999999999</v>
          </cell>
          <cell r="P409">
            <v>1910.354</v>
          </cell>
          <cell r="Q409">
            <v>4274</v>
          </cell>
          <cell r="R409">
            <v>2219.23776210295</v>
          </cell>
          <cell r="S409">
            <v>853.43100000000004</v>
          </cell>
          <cell r="T409">
            <v>1773.2965374432786</v>
          </cell>
          <cell r="U409">
            <v>12413.07576210295</v>
          </cell>
        </row>
        <row r="410">
          <cell r="B410" t="str">
            <v>FY(1)</v>
          </cell>
          <cell r="C410">
            <v>6739</v>
          </cell>
          <cell r="D410">
            <v>4155</v>
          </cell>
          <cell r="E410">
            <v>4646</v>
          </cell>
          <cell r="F410">
            <v>1210</v>
          </cell>
          <cell r="G410">
            <v>969.39424780646596</v>
          </cell>
          <cell r="H410">
            <v>996.36900000000003</v>
          </cell>
          <cell r="I410">
            <v>2134.5569999999998</v>
          </cell>
          <cell r="J410">
            <v>2978.6171782580668</v>
          </cell>
          <cell r="K410">
            <v>20850.320247806467</v>
          </cell>
          <cell r="M410">
            <v>1845.578</v>
          </cell>
          <cell r="N410">
            <v>355.06</v>
          </cell>
          <cell r="O410">
            <v>1409.0309999999999</v>
          </cell>
          <cell r="P410">
            <v>1490.375</v>
          </cell>
          <cell r="Q410">
            <v>4387</v>
          </cell>
          <cell r="R410">
            <v>1874</v>
          </cell>
          <cell r="S410">
            <v>1053.7750000000001</v>
          </cell>
          <cell r="T410">
            <v>1773.5455714285713</v>
          </cell>
          <cell r="U410">
            <v>12414.819</v>
          </cell>
        </row>
        <row r="411">
          <cell r="B411" t="str">
            <v>FY0</v>
          </cell>
          <cell r="C411">
            <v>7853</v>
          </cell>
          <cell r="D411">
            <v>4774</v>
          </cell>
          <cell r="E411">
            <v>4701</v>
          </cell>
          <cell r="F411">
            <v>1572</v>
          </cell>
          <cell r="G411">
            <v>1088.4762511624101</v>
          </cell>
          <cell r="H411">
            <v>1157.2929999999999</v>
          </cell>
          <cell r="I411">
            <v>2889.2759999999998</v>
          </cell>
          <cell r="J411">
            <v>3433.5778930232013</v>
          </cell>
          <cell r="K411">
            <v>24035.04525116241</v>
          </cell>
          <cell r="M411">
            <v>1830.9169999999999</v>
          </cell>
          <cell r="N411">
            <v>434.48899999999998</v>
          </cell>
          <cell r="O411">
            <v>1578.5170000000001</v>
          </cell>
          <cell r="P411">
            <v>1696.0419999999999</v>
          </cell>
          <cell r="Q411">
            <v>4891</v>
          </cell>
          <cell r="R411">
            <v>2184</v>
          </cell>
          <cell r="S411">
            <v>1296.7750000000001</v>
          </cell>
          <cell r="T411">
            <v>1987.3914285714286</v>
          </cell>
          <cell r="U411">
            <v>13911.74</v>
          </cell>
        </row>
        <row r="412">
          <cell r="B412" t="str">
            <v>FY1</v>
          </cell>
          <cell r="C412">
            <v>8743.2064623123206</v>
          </cell>
          <cell r="D412">
            <v>4957.1669827170499</v>
          </cell>
          <cell r="E412">
            <v>5396.9706138889496</v>
          </cell>
          <cell r="F412">
            <v>2006.10798487689</v>
          </cell>
          <cell r="G412">
            <v>1073.6637732849899</v>
          </cell>
          <cell r="H412">
            <v>1220.4279908261001</v>
          </cell>
          <cell r="I412">
            <v>3405.5016296878398</v>
          </cell>
          <cell r="J412">
            <v>3829.0064910848769</v>
          </cell>
          <cell r="K412">
            <v>26803.045437594137</v>
          </cell>
          <cell r="M412">
            <v>1722.9869249752701</v>
          </cell>
          <cell r="N412">
            <v>516.91291448393997</v>
          </cell>
          <cell r="O412">
            <v>1653.0837178745001</v>
          </cell>
          <cell r="P412">
            <v>1912.53454591285</v>
          </cell>
          <cell r="Q412">
            <v>4712.3968391781</v>
          </cell>
          <cell r="R412">
            <v>2011.9392668427699</v>
          </cell>
          <cell r="S412">
            <v>1587.9007739159299</v>
          </cell>
          <cell r="T412">
            <v>2016.8221404547658</v>
          </cell>
          <cell r="U412">
            <v>14117.75498318336</v>
          </cell>
        </row>
        <row r="413">
          <cell r="B413" t="str">
            <v>FY2</v>
          </cell>
          <cell r="C413">
            <v>9520.6212033606007</v>
          </cell>
          <cell r="D413">
            <v>5110.6210396290498</v>
          </cell>
          <cell r="E413">
            <v>6188.3885193436599</v>
          </cell>
          <cell r="F413">
            <v>2284.9148605284499</v>
          </cell>
          <cell r="G413">
            <v>1070.3064175705799</v>
          </cell>
          <cell r="H413">
            <v>1369.67472339298</v>
          </cell>
          <cell r="I413">
            <v>4020.41295026936</v>
          </cell>
          <cell r="J413">
            <v>4223.5628162992407</v>
          </cell>
          <cell r="K413">
            <v>29564.939714094682</v>
          </cell>
          <cell r="M413">
            <v>1671.9507421953499</v>
          </cell>
          <cell r="N413">
            <v>568.14707851062997</v>
          </cell>
          <cell r="O413">
            <v>1772.59744765189</v>
          </cell>
          <cell r="P413">
            <v>2075.2400173670699</v>
          </cell>
          <cell r="Q413">
            <v>4390.0381761579001</v>
          </cell>
          <cell r="R413">
            <v>2201.0343082925201</v>
          </cell>
          <cell r="S413">
            <v>1900.71093984038</v>
          </cell>
          <cell r="T413">
            <v>2082.8169585736773</v>
          </cell>
          <cell r="U413">
            <v>14579.718710015743</v>
          </cell>
        </row>
        <row r="414">
          <cell r="B414" t="str">
            <v>FQ(3)</v>
          </cell>
          <cell r="C414">
            <v>6885</v>
          </cell>
          <cell r="D414">
            <v>4196</v>
          </cell>
          <cell r="E414">
            <v>4555</v>
          </cell>
          <cell r="F414">
            <v>1274</v>
          </cell>
          <cell r="G414">
            <v>991.83624780646505</v>
          </cell>
          <cell r="H414">
            <v>1035.758</v>
          </cell>
          <cell r="I414">
            <v>2335.4740000000002</v>
          </cell>
          <cell r="J414">
            <v>3039.0097496866388</v>
          </cell>
          <cell r="K414">
            <v>21273.06824780647</v>
          </cell>
          <cell r="M414">
            <v>1771.4059999999999</v>
          </cell>
          <cell r="N414">
            <v>397.149</v>
          </cell>
          <cell r="O414">
            <v>1433.47</v>
          </cell>
          <cell r="P414">
            <v>1541.914</v>
          </cell>
          <cell r="Q414">
            <v>4540</v>
          </cell>
          <cell r="R414">
            <v>1839.2148696837801</v>
          </cell>
          <cell r="S414">
            <v>1091.626</v>
          </cell>
          <cell r="T414">
            <v>1802.1114099548254</v>
          </cell>
          <cell r="U414">
            <v>12614.779869683778</v>
          </cell>
        </row>
        <row r="415">
          <cell r="B415" t="str">
            <v>FQ(2)</v>
          </cell>
          <cell r="C415">
            <v>7136</v>
          </cell>
          <cell r="D415">
            <v>4536</v>
          </cell>
          <cell r="E415">
            <v>4549</v>
          </cell>
          <cell r="F415">
            <v>1357</v>
          </cell>
          <cell r="G415">
            <v>962.96024780646496</v>
          </cell>
          <cell r="H415">
            <v>1069.422</v>
          </cell>
          <cell r="I415">
            <v>2831.9119999999998</v>
          </cell>
          <cell r="J415">
            <v>3206.0420354009234</v>
          </cell>
          <cell r="K415">
            <v>22442.294247806465</v>
          </cell>
          <cell r="M415">
            <v>1756.258</v>
          </cell>
          <cell r="N415">
            <v>429.57600000000002</v>
          </cell>
          <cell r="O415">
            <v>1469.857</v>
          </cell>
          <cell r="P415">
            <v>1696.0419999999999</v>
          </cell>
          <cell r="Q415">
            <v>4745</v>
          </cell>
          <cell r="R415">
            <v>1876</v>
          </cell>
          <cell r="S415">
            <v>1148.2149999999999</v>
          </cell>
          <cell r="T415">
            <v>1874.421142857143</v>
          </cell>
          <cell r="U415">
            <v>13120.948</v>
          </cell>
        </row>
        <row r="416">
          <cell r="B416" t="str">
            <v>FQ(1)</v>
          </cell>
          <cell r="C416">
            <v>7395</v>
          </cell>
          <cell r="D416">
            <v>4588</v>
          </cell>
          <cell r="E416">
            <v>4494</v>
          </cell>
          <cell r="F416">
            <v>1430</v>
          </cell>
          <cell r="G416">
            <v>1069.4598511624099</v>
          </cell>
          <cell r="H416">
            <v>1107.193</v>
          </cell>
          <cell r="I416">
            <v>2940.5070000000001</v>
          </cell>
          <cell r="J416">
            <v>3289.1656930232016</v>
          </cell>
          <cell r="K416">
            <v>23024.159851162411</v>
          </cell>
          <cell r="M416">
            <v>1782.376</v>
          </cell>
          <cell r="N416">
            <v>448.44900000000001</v>
          </cell>
          <cell r="O416">
            <v>1523.3050000000001</v>
          </cell>
          <cell r="P416">
            <v>1840.981</v>
          </cell>
          <cell r="Q416">
            <v>4981</v>
          </cell>
          <cell r="R416">
            <v>1865</v>
          </cell>
          <cell r="S416">
            <v>1215.26</v>
          </cell>
          <cell r="T416">
            <v>1950.910142857143</v>
          </cell>
          <cell r="U416">
            <v>13656.371000000001</v>
          </cell>
        </row>
        <row r="417">
          <cell r="B417" t="str">
            <v>Last Reported Q</v>
          </cell>
          <cell r="C417">
            <v>7853</v>
          </cell>
          <cell r="D417">
            <v>4774</v>
          </cell>
          <cell r="E417">
            <v>4701</v>
          </cell>
          <cell r="F417">
            <v>1572</v>
          </cell>
          <cell r="G417">
            <v>1088.4762511624101</v>
          </cell>
          <cell r="H417">
            <v>1157.2929999999999</v>
          </cell>
          <cell r="I417">
            <v>2889.2759999999998</v>
          </cell>
          <cell r="J417">
            <v>3433.5778930232013</v>
          </cell>
          <cell r="K417">
            <v>24035.04525116241</v>
          </cell>
          <cell r="M417">
            <v>1830.9169999999999</v>
          </cell>
          <cell r="N417">
            <v>434.48899999999998</v>
          </cell>
          <cell r="O417">
            <v>1578.5170000000001</v>
          </cell>
          <cell r="P417">
            <v>1865.566</v>
          </cell>
          <cell r="Q417">
            <v>4891</v>
          </cell>
          <cell r="R417">
            <v>2184</v>
          </cell>
          <cell r="S417">
            <v>1296.7750000000001</v>
          </cell>
          <cell r="T417">
            <v>2011.6091428571428</v>
          </cell>
          <cell r="U417">
            <v>14081.263999999999</v>
          </cell>
        </row>
        <row r="418">
          <cell r="B418" t="str">
            <v>LTM</v>
          </cell>
          <cell r="C418">
            <v>7853</v>
          </cell>
          <cell r="D418">
            <v>4774</v>
          </cell>
          <cell r="E418">
            <v>4701</v>
          </cell>
          <cell r="F418">
            <v>1572</v>
          </cell>
          <cell r="G418">
            <v>1088.4762511624101</v>
          </cell>
          <cell r="H418">
            <v>1157.2929999999999</v>
          </cell>
          <cell r="I418">
            <v>2889.2759999999998</v>
          </cell>
          <cell r="J418">
            <v>3433.5778930232013</v>
          </cell>
          <cell r="K418">
            <v>24035.04525116241</v>
          </cell>
          <cell r="M418">
            <v>1830.9169999999999</v>
          </cell>
          <cell r="N418">
            <v>434.48899999999998</v>
          </cell>
          <cell r="O418">
            <v>1578.5170000000001</v>
          </cell>
          <cell r="P418">
            <v>1865.566</v>
          </cell>
          <cell r="Q418">
            <v>4891</v>
          </cell>
          <cell r="R418">
            <v>2184</v>
          </cell>
          <cell r="S418">
            <v>1296.7750000000001</v>
          </cell>
          <cell r="T418">
            <v>2011.6091428571428</v>
          </cell>
          <cell r="U418">
            <v>14081.263999999999</v>
          </cell>
        </row>
        <row r="419">
          <cell r="B419" t="str">
            <v>FY1</v>
          </cell>
          <cell r="C419">
            <v>1.4809307600267818</v>
          </cell>
          <cell r="D419">
            <v>1.6952981091780144</v>
          </cell>
          <cell r="E419">
            <v>3.4410419583047971</v>
          </cell>
          <cell r="F419">
            <v>2.4186860774510537</v>
          </cell>
          <cell r="G419">
            <v>6.3385571555919507</v>
          </cell>
          <cell r="H419">
            <v>1.900098027765555</v>
          </cell>
          <cell r="I419">
            <v>2.2013545974281428</v>
          </cell>
          <cell r="J419">
            <v>2.7822809551066134</v>
          </cell>
          <cell r="K419">
            <v>2.3066225639221698</v>
          </cell>
          <cell r="M419">
            <v>2.6669756192435479</v>
          </cell>
          <cell r="N419">
            <v>0.77306828247647918</v>
          </cell>
          <cell r="O419">
            <v>1.8005922814156723</v>
          </cell>
          <cell r="P419">
            <v>0.13348743351882905</v>
          </cell>
          <cell r="Q419">
            <v>1.5560441034066363</v>
          </cell>
          <cell r="R419">
            <v>3.1519676961742058</v>
          </cell>
          <cell r="S419">
            <v>0.84923530832250471</v>
          </cell>
          <cell r="T419">
            <v>1.5616243892225536</v>
          </cell>
          <cell r="U419">
            <v>1.6332140081940278</v>
          </cell>
        </row>
        <row r="420">
          <cell r="B420" t="str">
            <v>Total Capitalization</v>
          </cell>
          <cell r="C420">
            <v>1.1181009497855385</v>
          </cell>
          <cell r="D420">
            <v>1.1713922360269251</v>
          </cell>
          <cell r="E420">
            <v>2.9385369993289423</v>
          </cell>
          <cell r="F420">
            <v>2.0884778637610841</v>
          </cell>
          <cell r="G420">
            <v>4.7694258543874373</v>
          </cell>
          <cell r="H420">
            <v>1.8604840886408607</v>
          </cell>
          <cell r="I420">
            <v>1.9928163212591523</v>
          </cell>
          <cell r="J420">
            <v>2.2770334733128488</v>
          </cell>
          <cell r="K420">
            <v>1.9437264725656025</v>
          </cell>
          <cell r="M420">
            <v>2.8344898287836364</v>
          </cell>
          <cell r="N420">
            <v>0.78610647369306275</v>
          </cell>
          <cell r="O420">
            <v>1.6718605411603178</v>
          </cell>
          <cell r="P420">
            <v>9.0088846790629187E-2</v>
          </cell>
          <cell r="Q420">
            <v>1.5147230801771487</v>
          </cell>
          <cell r="R420">
            <v>2.9339800205554445</v>
          </cell>
          <cell r="S420">
            <v>0.61862510334400245</v>
          </cell>
          <cell r="T420">
            <v>1.49283912778632</v>
          </cell>
          <cell r="U420">
            <v>1.5665265365502281</v>
          </cell>
        </row>
        <row r="421">
          <cell r="B421" t="str">
            <v>FY(2)</v>
          </cell>
          <cell r="C421">
            <v>8166.1790000000001</v>
          </cell>
          <cell r="D421">
            <v>9020</v>
          </cell>
          <cell r="E421">
            <v>19660</v>
          </cell>
          <cell r="F421">
            <v>3612</v>
          </cell>
          <cell r="G421">
            <v>1747.89689995766</v>
          </cell>
          <cell r="H421">
            <v>1120.6489999999999</v>
          </cell>
          <cell r="I421">
            <v>2966.3389999999999</v>
          </cell>
          <cell r="J421">
            <v>6613.2948428510945</v>
          </cell>
          <cell r="K421">
            <v>46293.063899957662</v>
          </cell>
          <cell r="M421">
            <v>1618.3130000000001</v>
          </cell>
          <cell r="N421">
            <v>197.27600000000001</v>
          </cell>
          <cell r="O421">
            <v>1340.4639999999999</v>
          </cell>
          <cell r="P421">
            <v>1913.454</v>
          </cell>
          <cell r="Q421">
            <v>4462</v>
          </cell>
          <cell r="R421">
            <v>5123.8767621029501</v>
          </cell>
          <cell r="S421">
            <v>853.43100000000004</v>
          </cell>
          <cell r="T421">
            <v>2215.5449660147069</v>
          </cell>
          <cell r="U421">
            <v>15508.814762102949</v>
          </cell>
        </row>
        <row r="422">
          <cell r="B422" t="str">
            <v>FY(1)</v>
          </cell>
          <cell r="C422">
            <v>8809</v>
          </cell>
          <cell r="D422">
            <v>7660</v>
          </cell>
          <cell r="E422">
            <v>14345</v>
          </cell>
          <cell r="F422">
            <v>3723</v>
          </cell>
          <cell r="G422">
            <v>1609.4672478064658</v>
          </cell>
          <cell r="H422">
            <v>1146.3690000000001</v>
          </cell>
          <cell r="I422">
            <v>2913.366</v>
          </cell>
          <cell r="J422">
            <v>5743.743178258067</v>
          </cell>
          <cell r="K422">
            <v>40206.202247806468</v>
          </cell>
          <cell r="M422">
            <v>1945.578</v>
          </cell>
          <cell r="N422">
            <v>355.06</v>
          </cell>
          <cell r="O422">
            <v>1484.0309999999999</v>
          </cell>
          <cell r="P422">
            <v>1493.24</v>
          </cell>
          <cell r="Q422">
            <v>4437</v>
          </cell>
          <cell r="R422">
            <v>4771.1139999999996</v>
          </cell>
          <cell r="S422">
            <v>1053.7750000000001</v>
          </cell>
          <cell r="T422">
            <v>2219.9711428571427</v>
          </cell>
          <cell r="U422">
            <v>15539.797999999999</v>
          </cell>
        </row>
        <row r="423">
          <cell r="B423" t="str">
            <v>FY0</v>
          </cell>
          <cell r="C423">
            <v>9921</v>
          </cell>
          <cell r="D423">
            <v>8166</v>
          </cell>
          <cell r="E423">
            <v>13399</v>
          </cell>
          <cell r="F423">
            <v>4185</v>
          </cell>
          <cell r="G423">
            <v>1609.6632511624102</v>
          </cell>
          <cell r="H423">
            <v>1307.2929999999999</v>
          </cell>
          <cell r="I423">
            <v>3663.576</v>
          </cell>
          <cell r="J423">
            <v>6035.9331787374877</v>
          </cell>
          <cell r="K423">
            <v>42251.532251162411</v>
          </cell>
          <cell r="M423">
            <v>1913.74</v>
          </cell>
          <cell r="N423">
            <v>434.48899999999998</v>
          </cell>
          <cell r="O423">
            <v>1608.5170000000001</v>
          </cell>
          <cell r="P423">
            <v>1729.1179999999999</v>
          </cell>
          <cell r="Q423">
            <v>4891</v>
          </cell>
          <cell r="R423">
            <v>4906.8130000000001</v>
          </cell>
          <cell r="S423">
            <v>1296.7750000000001</v>
          </cell>
          <cell r="T423">
            <v>2397.2074285714289</v>
          </cell>
          <cell r="U423">
            <v>16780.452000000001</v>
          </cell>
        </row>
        <row r="424">
          <cell r="B424" t="str">
            <v>FY1</v>
          </cell>
          <cell r="C424">
            <v>10811.206462312321</v>
          </cell>
          <cell r="D424">
            <v>7956.1669827170499</v>
          </cell>
          <cell r="E424">
            <v>13856.970613888949</v>
          </cell>
          <cell r="F424">
            <v>4394.1079848768895</v>
          </cell>
          <cell r="G424">
            <v>1571.8507732849898</v>
          </cell>
          <cell r="H424">
            <v>1370.4279908261001</v>
          </cell>
          <cell r="I424">
            <v>4179.8016296878395</v>
          </cell>
          <cell r="J424">
            <v>6305.7903482277343</v>
          </cell>
          <cell r="K424">
            <v>44140.532437594142</v>
          </cell>
          <cell r="M424">
            <v>1805.8099249752702</v>
          </cell>
          <cell r="N424">
            <v>516.91291448393997</v>
          </cell>
          <cell r="O424">
            <v>1683.0837178745001</v>
          </cell>
          <cell r="P424">
            <v>1937.6105459128501</v>
          </cell>
          <cell r="Q424">
            <v>4712.3968391781</v>
          </cell>
          <cell r="R424">
            <v>4734.75226684277</v>
          </cell>
          <cell r="S424">
            <v>1587.9007739159299</v>
          </cell>
          <cell r="T424">
            <v>2425.4952833119087</v>
          </cell>
          <cell r="U424">
            <v>16978.46698318336</v>
          </cell>
        </row>
        <row r="425">
          <cell r="B425" t="str">
            <v>FY2</v>
          </cell>
          <cell r="C425">
            <v>11172.621203360601</v>
          </cell>
          <cell r="D425">
            <v>8109.6210396290498</v>
          </cell>
          <cell r="E425">
            <v>13986.38851934366</v>
          </cell>
          <cell r="F425">
            <v>4672.9148605284499</v>
          </cell>
          <cell r="G425">
            <v>1476.4934175705798</v>
          </cell>
          <cell r="H425">
            <v>1519.67472339298</v>
          </cell>
          <cell r="I425">
            <v>4794.7129502693597</v>
          </cell>
          <cell r="J425">
            <v>6533.2038162992394</v>
          </cell>
          <cell r="K425">
            <v>45732.426714094676</v>
          </cell>
          <cell r="M425">
            <v>1754.77374219535</v>
          </cell>
          <cell r="N425">
            <v>568.14707851062997</v>
          </cell>
          <cell r="O425">
            <v>1802.59744765189</v>
          </cell>
          <cell r="P425">
            <v>2100.3160173670699</v>
          </cell>
          <cell r="Q425">
            <v>4390.0381761579001</v>
          </cell>
          <cell r="R425">
            <v>4923.8473082925202</v>
          </cell>
          <cell r="S425">
            <v>1900.71093984038</v>
          </cell>
          <cell r="T425">
            <v>2491.4901014308198</v>
          </cell>
          <cell r="U425">
            <v>17440.430710015738</v>
          </cell>
        </row>
        <row r="426">
          <cell r="B426" t="str">
            <v>FQ(3)</v>
          </cell>
          <cell r="C426">
            <v>8958</v>
          </cell>
          <cell r="D426">
            <v>7701</v>
          </cell>
          <cell r="E426">
            <v>13409</v>
          </cell>
          <cell r="F426">
            <v>3776</v>
          </cell>
          <cell r="G426">
            <v>1628.4622478064653</v>
          </cell>
          <cell r="H426">
            <v>1185.758</v>
          </cell>
          <cell r="I426">
            <v>3471.8500000000004</v>
          </cell>
          <cell r="J426">
            <v>5732.8671782580659</v>
          </cell>
          <cell r="K426">
            <v>40130.070247806463</v>
          </cell>
          <cell r="M426">
            <v>1871.4059999999999</v>
          </cell>
          <cell r="N426">
            <v>397.149</v>
          </cell>
          <cell r="O426">
            <v>1508.47</v>
          </cell>
          <cell r="P426">
            <v>1569.3899999999999</v>
          </cell>
          <cell r="Q426">
            <v>4540</v>
          </cell>
          <cell r="R426">
            <v>4736.5118696837799</v>
          </cell>
          <cell r="S426">
            <v>1091.626</v>
          </cell>
          <cell r="T426">
            <v>2244.9361242405398</v>
          </cell>
          <cell r="U426">
            <v>15714.552869683779</v>
          </cell>
        </row>
        <row r="427">
          <cell r="B427" t="str">
            <v>FQ(2)</v>
          </cell>
          <cell r="C427">
            <v>9205</v>
          </cell>
          <cell r="D427">
            <v>7928</v>
          </cell>
          <cell r="E427">
            <v>13273</v>
          </cell>
          <cell r="F427">
            <v>3992</v>
          </cell>
          <cell r="G427">
            <v>1565.7682478064648</v>
          </cell>
          <cell r="H427">
            <v>1219.422</v>
          </cell>
          <cell r="I427">
            <v>4044.45</v>
          </cell>
          <cell r="J427">
            <v>5889.6628925437808</v>
          </cell>
          <cell r="K427">
            <v>41227.640247806463</v>
          </cell>
          <cell r="M427">
            <v>1792.9880000000001</v>
          </cell>
          <cell r="N427">
            <v>429.57600000000002</v>
          </cell>
          <cell r="O427">
            <v>1544.857</v>
          </cell>
          <cell r="P427">
            <v>1729.1179999999999</v>
          </cell>
          <cell r="Q427">
            <v>4745</v>
          </cell>
          <cell r="R427">
            <v>5127</v>
          </cell>
          <cell r="S427">
            <v>1148.2149999999999</v>
          </cell>
          <cell r="T427">
            <v>2359.5362857142859</v>
          </cell>
          <cell r="U427">
            <v>16516.754000000001</v>
          </cell>
        </row>
        <row r="428">
          <cell r="B428" t="str">
            <v>FQ(1)</v>
          </cell>
          <cell r="C428">
            <v>9466</v>
          </cell>
          <cell r="D428">
            <v>7980</v>
          </cell>
          <cell r="E428">
            <v>13204</v>
          </cell>
          <cell r="F428">
            <v>4045</v>
          </cell>
          <cell r="G428">
            <v>1588.9128511624099</v>
          </cell>
          <cell r="H428">
            <v>1257.193</v>
          </cell>
          <cell r="I428">
            <v>3933.931</v>
          </cell>
          <cell r="J428">
            <v>5925.0052644517718</v>
          </cell>
          <cell r="K428">
            <v>41475.036851162404</v>
          </cell>
          <cell r="M428">
            <v>1832.9580000000001</v>
          </cell>
          <cell r="N428">
            <v>448.44900000000001</v>
          </cell>
          <cell r="O428">
            <v>1573.3050000000001</v>
          </cell>
          <cell r="P428">
            <v>1866.114</v>
          </cell>
          <cell r="Q428">
            <v>4981</v>
          </cell>
          <cell r="R428">
            <v>4745.2820000000002</v>
          </cell>
          <cell r="S428">
            <v>1215.26</v>
          </cell>
          <cell r="T428">
            <v>2380.3382857142856</v>
          </cell>
          <cell r="U428">
            <v>16662.367999999999</v>
          </cell>
        </row>
        <row r="429">
          <cell r="B429" t="str">
            <v>Last Reported Q</v>
          </cell>
          <cell r="C429">
            <v>9921</v>
          </cell>
          <cell r="D429">
            <v>8166</v>
          </cell>
          <cell r="E429">
            <v>13399</v>
          </cell>
          <cell r="F429">
            <v>4185</v>
          </cell>
          <cell r="G429">
            <v>1609.6632511624102</v>
          </cell>
          <cell r="H429">
            <v>1307.2929999999999</v>
          </cell>
          <cell r="I429">
            <v>3663.576</v>
          </cell>
          <cell r="J429">
            <v>6035.9331787374877</v>
          </cell>
          <cell r="K429">
            <v>42251.532251162411</v>
          </cell>
          <cell r="M429">
            <v>1913.74</v>
          </cell>
          <cell r="N429">
            <v>434.48899999999998</v>
          </cell>
          <cell r="O429">
            <v>1608.5170000000001</v>
          </cell>
          <cell r="P429">
            <v>1890.6420000000001</v>
          </cell>
          <cell r="Q429">
            <v>4891</v>
          </cell>
          <cell r="R429">
            <v>4906.8130000000001</v>
          </cell>
          <cell r="S429">
            <v>1296.7750000000001</v>
          </cell>
          <cell r="T429">
            <v>2420.2822857142855</v>
          </cell>
          <cell r="U429">
            <v>16941.975999999999</v>
          </cell>
        </row>
        <row r="430">
          <cell r="B430" t="str">
            <v>LTM</v>
          </cell>
          <cell r="C430">
            <v>9921</v>
          </cell>
          <cell r="D430">
            <v>8166</v>
          </cell>
          <cell r="E430">
            <v>13399</v>
          </cell>
          <cell r="F430">
            <v>4185</v>
          </cell>
          <cell r="G430">
            <v>1609.6632511624102</v>
          </cell>
          <cell r="H430">
            <v>1307.2929999999999</v>
          </cell>
          <cell r="I430">
            <v>3663.576</v>
          </cell>
          <cell r="J430">
            <v>6035.9331787374877</v>
          </cell>
          <cell r="K430">
            <v>42251.532251162411</v>
          </cell>
          <cell r="M430">
            <v>1913.74</v>
          </cell>
          <cell r="N430">
            <v>434.48899999999998</v>
          </cell>
          <cell r="O430">
            <v>1608.5170000000001</v>
          </cell>
          <cell r="P430">
            <v>1890.6420000000001</v>
          </cell>
          <cell r="Q430">
            <v>4891</v>
          </cell>
          <cell r="R430">
            <v>4906.8130000000001</v>
          </cell>
          <cell r="S430">
            <v>1296.7750000000001</v>
          </cell>
          <cell r="T430">
            <v>2420.2822857142855</v>
          </cell>
          <cell r="U430">
            <v>16941.975999999999</v>
          </cell>
        </row>
        <row r="431">
          <cell r="B431" t="str">
            <v>FY(2)</v>
          </cell>
          <cell r="C431">
            <v>6.5809269699786982E-2</v>
          </cell>
          <cell r="D431">
            <v>8.2885334351326931E-2</v>
          </cell>
          <cell r="E431">
            <v>0.35112163269240038</v>
          </cell>
          <cell r="F431">
            <v>8.1458700473953122E-2</v>
          </cell>
          <cell r="G431">
            <v>0.22929685396586078</v>
          </cell>
          <cell r="H431">
            <v>-0.21006670881179057</v>
          </cell>
          <cell r="I431">
            <v>-2.2453663384297919E-2</v>
          </cell>
          <cell r="J431">
            <v>8.2578774141034234E-2</v>
          </cell>
          <cell r="K431">
            <v>0.19857708733327781</v>
          </cell>
          <cell r="M431">
            <v>-0.46148251935356011</v>
          </cell>
          <cell r="N431">
            <v>-0.35860385241384618</v>
          </cell>
          <cell r="O431">
            <v>-0.43740474927186046</v>
          </cell>
          <cell r="P431">
            <v>-0.36363821654453149</v>
          </cell>
          <cell r="Q431">
            <v>-0.24406448082567961</v>
          </cell>
          <cell r="R431">
            <v>0.14331117677814789</v>
          </cell>
          <cell r="S431">
            <v>-0.29568343938763447</v>
          </cell>
          <cell r="T431">
            <v>-0.28822372585985206</v>
          </cell>
          <cell r="U431">
            <v>-0.18688254765837309</v>
          </cell>
        </row>
        <row r="432">
          <cell r="B432" t="str">
            <v>Unadjusted Cash/Market Cap</v>
          </cell>
          <cell r="C432">
            <v>0.17155117918135337</v>
          </cell>
          <cell r="D432">
            <v>0.13036246177433036</v>
          </cell>
          <cell r="E432">
            <v>0.46643565615462851</v>
          </cell>
          <cell r="F432">
            <v>0.59235816811785225</v>
          </cell>
          <cell r="G432">
            <v>0.26971047322857289</v>
          </cell>
          <cell r="H432">
            <v>-0.10143943375668921</v>
          </cell>
          <cell r="I432">
            <v>3.451495658087933E-2</v>
          </cell>
          <cell r="J432">
            <v>0.22335620875441822</v>
          </cell>
          <cell r="K432">
            <v>0.30990908137205347</v>
          </cell>
          <cell r="M432">
            <v>-0.40073829969851316</v>
          </cell>
          <cell r="N432">
            <v>-0.56735740789553724</v>
          </cell>
          <cell r="O432">
            <v>-0.46248090213537929</v>
          </cell>
          <cell r="P432">
            <v>-0.46612734724491706</v>
          </cell>
          <cell r="Q432">
            <v>-0.38390737392551322</v>
          </cell>
          <cell r="R432">
            <v>0.36814239012315064</v>
          </cell>
          <cell r="S432">
            <v>-0.23396150362478041</v>
          </cell>
          <cell r="T432">
            <v>-0.30663292062878422</v>
          </cell>
          <cell r="U432">
            <v>-0.13936172728752871</v>
          </cell>
        </row>
        <row r="433">
          <cell r="B433" t="str">
            <v>FY(2)</v>
          </cell>
          <cell r="C433" t="e">
            <v>#VALUE!</v>
          </cell>
          <cell r="D433" t="e">
            <v>#VALUE!</v>
          </cell>
          <cell r="E433" t="e">
            <v>#VALUE!</v>
          </cell>
          <cell r="F433" t="e">
            <v>#VALUE!</v>
          </cell>
          <cell r="G433" t="e">
            <v>#VALUE!</v>
          </cell>
          <cell r="H433" t="e">
            <v>#VALUE!</v>
          </cell>
          <cell r="I433" t="e">
            <v>#VALUE!</v>
          </cell>
          <cell r="J433" t="e">
            <v>#VALUE!</v>
          </cell>
          <cell r="K433" t="e">
            <v>#VALUE!</v>
          </cell>
          <cell r="M433" t="e">
            <v>#VALUE!</v>
          </cell>
          <cell r="N433" t="e">
            <v>#VALUE!</v>
          </cell>
          <cell r="O433" t="e">
            <v>#VALUE!</v>
          </cell>
          <cell r="P433" t="e">
            <v>#VALUE!</v>
          </cell>
          <cell r="Q433" t="e">
            <v>#VALUE!</v>
          </cell>
          <cell r="R433" t="e">
            <v>#VALUE!</v>
          </cell>
          <cell r="S433" t="e">
            <v>#VALUE!</v>
          </cell>
          <cell r="T433" t="e">
            <v>#VALUE!</v>
          </cell>
          <cell r="U433" t="e">
            <v>#VALUE!</v>
          </cell>
        </row>
        <row r="434">
          <cell r="B434" t="str">
            <v>FY(1)</v>
          </cell>
          <cell r="C434" t="e">
            <v>#VALUE!</v>
          </cell>
          <cell r="D434" t="e">
            <v>#VALUE!</v>
          </cell>
          <cell r="E434" t="e">
            <v>#VALUE!</v>
          </cell>
          <cell r="F434" t="e">
            <v>#VALUE!</v>
          </cell>
          <cell r="G434" t="e">
            <v>#VALUE!</v>
          </cell>
          <cell r="H434" t="e">
            <v>#VALUE!</v>
          </cell>
          <cell r="I434" t="e">
            <v>#VALUE!</v>
          </cell>
          <cell r="J434" t="e">
            <v>#VALUE!</v>
          </cell>
          <cell r="K434" t="e">
            <v>#VALUE!</v>
          </cell>
          <cell r="M434" t="e">
            <v>#VALUE!</v>
          </cell>
          <cell r="N434" t="e">
            <v>#VALUE!</v>
          </cell>
          <cell r="O434" t="e">
            <v>#VALUE!</v>
          </cell>
          <cell r="P434" t="e">
            <v>#VALUE!</v>
          </cell>
          <cell r="Q434" t="e">
            <v>#VALUE!</v>
          </cell>
          <cell r="R434" t="e">
            <v>#VALUE!</v>
          </cell>
          <cell r="S434" t="e">
            <v>#VALUE!</v>
          </cell>
          <cell r="T434" t="e">
            <v>#VALUE!</v>
          </cell>
          <cell r="U434" t="e">
            <v>#VALUE!</v>
          </cell>
        </row>
        <row r="435">
          <cell r="B435" t="str">
            <v>FY0</v>
          </cell>
          <cell r="C435" t="e">
            <v>#VALUE!</v>
          </cell>
          <cell r="D435" t="e">
            <v>#VALUE!</v>
          </cell>
          <cell r="E435" t="e">
            <v>#VALUE!</v>
          </cell>
          <cell r="F435" t="e">
            <v>#VALUE!</v>
          </cell>
          <cell r="G435" t="e">
            <v>#VALUE!</v>
          </cell>
          <cell r="H435" t="e">
            <v>#VALUE!</v>
          </cell>
          <cell r="I435" t="e">
            <v>#VALUE!</v>
          </cell>
          <cell r="J435" t="e">
            <v>#VALUE!</v>
          </cell>
          <cell r="K435" t="e">
            <v>#VALUE!</v>
          </cell>
          <cell r="M435" t="e">
            <v>#VALUE!</v>
          </cell>
          <cell r="N435" t="e">
            <v>#VALUE!</v>
          </cell>
          <cell r="O435" t="e">
            <v>#VALUE!</v>
          </cell>
          <cell r="P435" t="e">
            <v>#VALUE!</v>
          </cell>
          <cell r="Q435" t="e">
            <v>#VALUE!</v>
          </cell>
          <cell r="R435" t="e">
            <v>#VALUE!</v>
          </cell>
          <cell r="S435" t="e">
            <v>#VALUE!</v>
          </cell>
          <cell r="T435" t="e">
            <v>#VALUE!</v>
          </cell>
          <cell r="U435" t="e">
            <v>#VALUE!</v>
          </cell>
        </row>
        <row r="436">
          <cell r="B436" t="str">
            <v>FY1</v>
          </cell>
          <cell r="C436" t="e">
            <v>#VALUE!</v>
          </cell>
          <cell r="D436" t="e">
            <v>#VALUE!</v>
          </cell>
          <cell r="E436" t="e">
            <v>#VALUE!</v>
          </cell>
          <cell r="F436" t="e">
            <v>#VALUE!</v>
          </cell>
          <cell r="G436" t="e">
            <v>#VALUE!</v>
          </cell>
          <cell r="H436" t="e">
            <v>#VALUE!</v>
          </cell>
          <cell r="I436" t="e">
            <v>#VALUE!</v>
          </cell>
          <cell r="J436" t="e">
            <v>#VALUE!</v>
          </cell>
          <cell r="K436" t="e">
            <v>#VALUE!</v>
          </cell>
          <cell r="M436" t="e">
            <v>#VALUE!</v>
          </cell>
          <cell r="N436" t="e">
            <v>#VALUE!</v>
          </cell>
          <cell r="O436" t="e">
            <v>#VALUE!</v>
          </cell>
          <cell r="P436" t="e">
            <v>#VALUE!</v>
          </cell>
          <cell r="Q436" t="e">
            <v>#VALUE!</v>
          </cell>
          <cell r="R436" t="e">
            <v>#VALUE!</v>
          </cell>
          <cell r="S436" t="e">
            <v>#VALUE!</v>
          </cell>
          <cell r="T436" t="e">
            <v>#VALUE!</v>
          </cell>
          <cell r="U436" t="e">
            <v>#VALUE!</v>
          </cell>
        </row>
        <row r="437">
          <cell r="B437" t="str">
            <v>FY2</v>
          </cell>
          <cell r="C437" t="e">
            <v>#VALUE!</v>
          </cell>
          <cell r="D437" t="e">
            <v>#VALUE!</v>
          </cell>
          <cell r="E437" t="e">
            <v>#VALUE!</v>
          </cell>
          <cell r="F437" t="e">
            <v>#VALUE!</v>
          </cell>
          <cell r="G437" t="e">
            <v>#VALUE!</v>
          </cell>
          <cell r="H437" t="e">
            <v>#VALUE!</v>
          </cell>
          <cell r="I437" t="e">
            <v>#VALUE!</v>
          </cell>
          <cell r="J437" t="e">
            <v>#VALUE!</v>
          </cell>
          <cell r="K437" t="e">
            <v>#VALUE!</v>
          </cell>
          <cell r="M437" t="e">
            <v>#VALUE!</v>
          </cell>
          <cell r="N437" t="e">
            <v>#VALUE!</v>
          </cell>
          <cell r="O437" t="e">
            <v>#VALUE!</v>
          </cell>
          <cell r="P437" t="e">
            <v>#VALUE!</v>
          </cell>
          <cell r="Q437" t="e">
            <v>#VALUE!</v>
          </cell>
          <cell r="R437" t="e">
            <v>#VALUE!</v>
          </cell>
          <cell r="S437" t="e">
            <v>#VALUE!</v>
          </cell>
          <cell r="T437" t="e">
            <v>#VALUE!</v>
          </cell>
          <cell r="U437" t="e">
            <v>#VALUE!</v>
          </cell>
        </row>
        <row r="438">
          <cell r="B438" t="str">
            <v>FQ(3)</v>
          </cell>
          <cell r="C438" t="e">
            <v>#VALUE!</v>
          </cell>
          <cell r="D438" t="e">
            <v>#VALUE!</v>
          </cell>
          <cell r="E438" t="e">
            <v>#VALUE!</v>
          </cell>
          <cell r="F438" t="e">
            <v>#VALUE!</v>
          </cell>
          <cell r="G438" t="e">
            <v>#VALUE!</v>
          </cell>
          <cell r="H438" t="e">
            <v>#VALUE!</v>
          </cell>
          <cell r="I438" t="e">
            <v>#VALUE!</v>
          </cell>
          <cell r="J438" t="e">
            <v>#VALUE!</v>
          </cell>
          <cell r="K438" t="e">
            <v>#VALUE!</v>
          </cell>
          <cell r="M438" t="e">
            <v>#VALUE!</v>
          </cell>
          <cell r="N438" t="e">
            <v>#VALUE!</v>
          </cell>
          <cell r="O438" t="e">
            <v>#VALUE!</v>
          </cell>
          <cell r="P438" t="e">
            <v>#VALUE!</v>
          </cell>
          <cell r="Q438" t="e">
            <v>#VALUE!</v>
          </cell>
          <cell r="R438" t="e">
            <v>#VALUE!</v>
          </cell>
          <cell r="S438" t="e">
            <v>#VALUE!</v>
          </cell>
          <cell r="T438" t="e">
            <v>#VALUE!</v>
          </cell>
          <cell r="U438" t="e">
            <v>#VALUE!</v>
          </cell>
        </row>
        <row r="439">
          <cell r="B439" t="str">
            <v>FQ(2)</v>
          </cell>
          <cell r="C439" t="e">
            <v>#VALUE!</v>
          </cell>
          <cell r="D439" t="e">
            <v>#VALUE!</v>
          </cell>
          <cell r="E439" t="e">
            <v>#VALUE!</v>
          </cell>
          <cell r="F439" t="e">
            <v>#VALUE!</v>
          </cell>
          <cell r="G439" t="e">
            <v>#VALUE!</v>
          </cell>
          <cell r="H439" t="e">
            <v>#VALUE!</v>
          </cell>
          <cell r="I439" t="e">
            <v>#VALUE!</v>
          </cell>
          <cell r="J439" t="e">
            <v>#VALUE!</v>
          </cell>
          <cell r="K439" t="e">
            <v>#VALUE!</v>
          </cell>
          <cell r="M439" t="e">
            <v>#VALUE!</v>
          </cell>
          <cell r="N439" t="e">
            <v>#VALUE!</v>
          </cell>
          <cell r="O439" t="e">
            <v>#VALUE!</v>
          </cell>
          <cell r="P439" t="e">
            <v>#VALUE!</v>
          </cell>
          <cell r="Q439" t="e">
            <v>#VALUE!</v>
          </cell>
          <cell r="R439" t="e">
            <v>#VALUE!</v>
          </cell>
          <cell r="S439" t="e">
            <v>#VALUE!</v>
          </cell>
          <cell r="T439" t="e">
            <v>#VALUE!</v>
          </cell>
          <cell r="U439" t="e">
            <v>#VALUE!</v>
          </cell>
        </row>
        <row r="440">
          <cell r="B440" t="str">
            <v>FQ(1)</v>
          </cell>
          <cell r="C440" t="e">
            <v>#VALUE!</v>
          </cell>
          <cell r="D440" t="e">
            <v>#VALUE!</v>
          </cell>
          <cell r="E440" t="e">
            <v>#VALUE!</v>
          </cell>
          <cell r="F440" t="e">
            <v>#VALUE!</v>
          </cell>
          <cell r="G440" t="e">
            <v>#VALUE!</v>
          </cell>
          <cell r="H440" t="e">
            <v>#VALUE!</v>
          </cell>
          <cell r="I440" t="e">
            <v>#VALUE!</v>
          </cell>
          <cell r="J440" t="e">
            <v>#VALUE!</v>
          </cell>
          <cell r="K440" t="e">
            <v>#VALUE!</v>
          </cell>
          <cell r="M440" t="e">
            <v>#VALUE!</v>
          </cell>
          <cell r="N440" t="e">
            <v>#VALUE!</v>
          </cell>
          <cell r="O440" t="e">
            <v>#VALUE!</v>
          </cell>
          <cell r="P440" t="e">
            <v>#VALUE!</v>
          </cell>
          <cell r="Q440" t="e">
            <v>#VALUE!</v>
          </cell>
          <cell r="R440" t="e">
            <v>#VALUE!</v>
          </cell>
          <cell r="S440" t="e">
            <v>#VALUE!</v>
          </cell>
          <cell r="T440" t="e">
            <v>#VALUE!</v>
          </cell>
          <cell r="U440" t="e">
            <v>#VALUE!</v>
          </cell>
        </row>
        <row r="441">
          <cell r="A441" t="str">
            <v>mscalc:bookValuePerShareReported</v>
          </cell>
          <cell r="B441" t="str">
            <v>Last Reported Q</v>
          </cell>
          <cell r="C441" t="e">
            <v>#VALUE!</v>
          </cell>
          <cell r="D441" t="e">
            <v>#VALUE!</v>
          </cell>
          <cell r="E441" t="e">
            <v>#VALUE!</v>
          </cell>
          <cell r="F441" t="e">
            <v>#VALUE!</v>
          </cell>
          <cell r="G441" t="e">
            <v>#VALUE!</v>
          </cell>
          <cell r="H441" t="e">
            <v>#VALUE!</v>
          </cell>
          <cell r="I441" t="e">
            <v>#VALUE!</v>
          </cell>
          <cell r="J441" t="e">
            <v>#VALUE!</v>
          </cell>
          <cell r="K441" t="e">
            <v>#VALUE!</v>
          </cell>
          <cell r="M441" t="e">
            <v>#VALUE!</v>
          </cell>
          <cell r="N441" t="e">
            <v>#VALUE!</v>
          </cell>
          <cell r="O441" t="e">
            <v>#VALUE!</v>
          </cell>
          <cell r="P441" t="e">
            <v>#VALUE!</v>
          </cell>
          <cell r="Q441" t="e">
            <v>#VALUE!</v>
          </cell>
          <cell r="R441" t="e">
            <v>#VALUE!</v>
          </cell>
          <cell r="S441" t="e">
            <v>#VALUE!</v>
          </cell>
          <cell r="T441" t="e">
            <v>#VALUE!</v>
          </cell>
          <cell r="U441" t="e">
            <v>#VALUE!</v>
          </cell>
        </row>
        <row r="442">
          <cell r="B442" t="str">
            <v>LTM</v>
          </cell>
          <cell r="C442" t="e">
            <v>#VALUE!</v>
          </cell>
          <cell r="D442" t="e">
            <v>#VALUE!</v>
          </cell>
          <cell r="E442" t="e">
            <v>#VALUE!</v>
          </cell>
          <cell r="F442" t="e">
            <v>#VALUE!</v>
          </cell>
          <cell r="G442" t="e">
            <v>#VALUE!</v>
          </cell>
          <cell r="H442" t="e">
            <v>#VALUE!</v>
          </cell>
          <cell r="I442" t="e">
            <v>#VALUE!</v>
          </cell>
          <cell r="J442" t="e">
            <v>#VALUE!</v>
          </cell>
          <cell r="K442" t="e">
            <v>#VALUE!</v>
          </cell>
          <cell r="M442" t="e">
            <v>#VALUE!</v>
          </cell>
          <cell r="N442" t="e">
            <v>#VALUE!</v>
          </cell>
          <cell r="O442" t="e">
            <v>#VALUE!</v>
          </cell>
          <cell r="P442" t="e">
            <v>#VALUE!</v>
          </cell>
          <cell r="Q442" t="e">
            <v>#VALUE!</v>
          </cell>
          <cell r="R442" t="e">
            <v>#VALUE!</v>
          </cell>
          <cell r="S442" t="e">
            <v>#VALUE!</v>
          </cell>
          <cell r="T442" t="e">
            <v>#VALUE!</v>
          </cell>
          <cell r="U442" t="e">
            <v>#VALUE!</v>
          </cell>
        </row>
        <row r="443">
          <cell r="B443" t="str">
            <v>LTM Cash to Sales</v>
          </cell>
          <cell r="C443">
            <v>7.9023345533761155E-2</v>
          </cell>
          <cell r="D443">
            <v>0.10171530997194646</v>
          </cell>
          <cell r="E443">
            <v>4.3097830253775969E-2</v>
          </cell>
          <cell r="F443">
            <v>5.6859075392310082E-2</v>
          </cell>
          <cell r="G443">
            <v>3.6973723411650533E-2</v>
          </cell>
          <cell r="H443">
            <v>6.2154737662979645E-2</v>
          </cell>
          <cell r="I443">
            <v>5.039334442834939E-2</v>
          </cell>
          <cell r="J443">
            <v>6.1459623807824756E-2</v>
          </cell>
          <cell r="K443">
            <v>6.408588758018148E-2</v>
          </cell>
          <cell r="M443">
            <v>0.14784269805938441</v>
          </cell>
          <cell r="N443">
            <v>9.4802007709936922E-2</v>
          </cell>
          <cell r="O443">
            <v>0.13947269737814</v>
          </cell>
          <cell r="P443">
            <v>0.32988509699846741</v>
          </cell>
          <cell r="Q443">
            <v>0.10658167066810167</v>
          </cell>
          <cell r="R443">
            <v>0.12705432662757407</v>
          </cell>
          <cell r="S443">
            <v>0.15257532618810868</v>
          </cell>
          <cell r="T443">
            <v>0.15688768908995904</v>
          </cell>
          <cell r="U443">
            <v>0.13241625323602554</v>
          </cell>
        </row>
        <row r="444">
          <cell r="B444" t="str">
            <v>FY2</v>
          </cell>
          <cell r="C444">
            <v>28.941094679444198</v>
          </cell>
          <cell r="D444">
            <v>21.266051315025202</v>
          </cell>
          <cell r="E444">
            <v>13.083380297252999</v>
          </cell>
          <cell r="F444">
            <v>8.1142551074679794</v>
          </cell>
          <cell r="G444">
            <v>6.3740220739144702</v>
          </cell>
          <cell r="H444">
            <v>11.257598977178199</v>
          </cell>
          <cell r="I444">
            <v>9.1456806254300105</v>
          </cell>
          <cell r="M444">
            <v>20.9365909688578</v>
          </cell>
          <cell r="N444">
            <v>8.6045504321921999</v>
          </cell>
          <cell r="O444">
            <v>7.6901666904003703</v>
          </cell>
          <cell r="P444">
            <v>7.6203246194170697</v>
          </cell>
          <cell r="Q444">
            <v>7.6048157398120697</v>
          </cell>
          <cell r="R444">
            <v>6.9148812185110096</v>
          </cell>
          <cell r="S444">
            <v>9.2979721334564491</v>
          </cell>
        </row>
        <row r="446">
          <cell r="A446" t="str">
            <v>Free Cash Flow</v>
          </cell>
          <cell r="B446" t="str">
            <v>Unadjusted Net Debt/EBITDA</v>
          </cell>
        </row>
        <row r="447">
          <cell r="B447" t="str">
            <v>FY(2)</v>
          </cell>
          <cell r="C447">
            <v>0.62078151143528393</v>
          </cell>
          <cell r="D447">
            <v>0.50947547885808486</v>
          </cell>
          <cell r="E447">
            <v>2.7332712369597605</v>
          </cell>
          <cell r="F447">
            <v>1.4439160584488901</v>
          </cell>
          <cell r="G447">
            <v>1.7425698693100762</v>
          </cell>
          <cell r="H447">
            <v>-0.20981930268185092</v>
          </cell>
          <cell r="I447">
            <v>5.6035635454484554E-2</v>
          </cell>
          <cell r="J447">
            <v>0.98517578396924699</v>
          </cell>
          <cell r="K447">
            <v>1.1914891141070827</v>
          </cell>
          <cell r="M447">
            <v>-0.54240651967537545</v>
          </cell>
          <cell r="N447">
            <v>-0.9664881964356703</v>
          </cell>
          <cell r="O447">
            <v>-0.68344732314628698</v>
          </cell>
          <cell r="P447">
            <v>-0.64769185801892226</v>
          </cell>
          <cell r="Q447">
            <v>-0.805379746835443</v>
          </cell>
          <cell r="R447">
            <v>1.427097651690326</v>
          </cell>
          <cell r="S447">
            <v>-1.240780168292865</v>
          </cell>
          <cell r="T447">
            <v>-0.49415659438774812</v>
          </cell>
          <cell r="U447">
            <v>-0.32763191811526549</v>
          </cell>
        </row>
        <row r="448">
          <cell r="A448" t="str">
            <v>mstag:interestExpense</v>
          </cell>
          <cell r="B448" t="str">
            <v>FY(1)</v>
          </cell>
          <cell r="C448">
            <v>0.67077162805166402</v>
          </cell>
          <cell r="D448">
            <v>0.72184631302404723</v>
          </cell>
          <cell r="E448">
            <v>3.1364443198804186</v>
          </cell>
          <cell r="F448">
            <v>2.257018580946883</v>
          </cell>
          <cell r="G448">
            <v>25.080237511960661</v>
          </cell>
          <cell r="H448">
            <v>-0.27210060477062714</v>
          </cell>
          <cell r="I448">
            <v>0.1775128590615169</v>
          </cell>
          <cell r="J448">
            <v>4.5388186583077941</v>
          </cell>
          <cell r="K448">
            <v>1.4264821229894211</v>
          </cell>
          <cell r="M448">
            <v>-0.58221308880625289</v>
          </cell>
          <cell r="N448">
            <v>-0.77712260942898337</v>
          </cell>
          <cell r="O448">
            <v>-0.9291879730006114</v>
          </cell>
          <cell r="P448">
            <v>-0.5438097150397716</v>
          </cell>
          <cell r="Q448">
            <v>-0.78686200378071836</v>
          </cell>
          <cell r="R448">
            <v>1.6253095151051484</v>
          </cell>
          <cell r="S448">
            <v>-0.95961812766135968</v>
          </cell>
          <cell r="T448">
            <v>-0.42192914323036412</v>
          </cell>
          <cell r="U448">
            <v>-0.32758825241373812</v>
          </cell>
        </row>
        <row r="449">
          <cell r="A449">
            <v>0.38</v>
          </cell>
          <cell r="B449" t="str">
            <v>FY0</v>
          </cell>
          <cell r="C449">
            <v>-8.5944095238591922E-2</v>
          </cell>
          <cell r="D449">
            <v>0.33228931309093246</v>
          </cell>
          <cell r="E449">
            <v>2.6319913663663663</v>
          </cell>
          <cell r="F449">
            <v>1.5852490873946661</v>
          </cell>
          <cell r="G449">
            <v>3.1011487412602823</v>
          </cell>
          <cell r="H449">
            <v>-0.70044497353600743</v>
          </cell>
          <cell r="I449">
            <v>-0.40023585169619963</v>
          </cell>
          <cell r="J449">
            <v>0.92343622680592119</v>
          </cell>
          <cell r="K449">
            <v>0.72760479731418182</v>
          </cell>
          <cell r="M449">
            <v>-1.6626117758933967</v>
          </cell>
          <cell r="N449">
            <v>-0.79045318475366411</v>
          </cell>
          <cell r="O449">
            <v>-1.6639704751499984</v>
          </cell>
          <cell r="P449">
            <v>-0.68306905061195133</v>
          </cell>
          <cell r="Q449">
            <v>-1.0800335570469799</v>
          </cell>
          <cell r="R449">
            <v>0.75362110728915033</v>
          </cell>
          <cell r="S449">
            <v>-1.164446584097903</v>
          </cell>
          <cell r="T449">
            <v>-0.89870907432353486</v>
          </cell>
          <cell r="U449">
            <v>-0.71814415664016296</v>
          </cell>
        </row>
        <row r="450">
          <cell r="A450" t="str">
            <v>mstag:otherInterestIncomeExpense</v>
          </cell>
          <cell r="B450" t="str">
            <v>FY1</v>
          </cell>
          <cell r="C450">
            <v>-0.29347322790041919</v>
          </cell>
          <cell r="D450">
            <v>7.7651652985500877E-2</v>
          </cell>
          <cell r="E450">
            <v>1.9649120143593546</v>
          </cell>
          <cell r="F450">
            <v>1.1529866140968601</v>
          </cell>
          <cell r="G450">
            <v>2.0346107878341644</v>
          </cell>
          <cell r="H450">
            <v>-0.69838146213609853</v>
          </cell>
          <cell r="I450">
            <v>-0.53190963134538816</v>
          </cell>
          <cell r="J450">
            <v>0.52948524969913913</v>
          </cell>
          <cell r="K450">
            <v>0.39279981275510029</v>
          </cell>
          <cell r="M450">
            <v>-1.1292800002243304</v>
          </cell>
          <cell r="N450">
            <v>-0.86757976902155665</v>
          </cell>
          <cell r="O450">
            <v>-1.4092416602410212</v>
          </cell>
          <cell r="P450">
            <v>-0.75571377482459823</v>
          </cell>
          <cell r="Q450">
            <v>-1.0660872466694959</v>
          </cell>
          <cell r="R450">
            <v>0.68962386469426917</v>
          </cell>
          <cell r="S450">
            <v>-1.3637223498551692</v>
          </cell>
          <cell r="T450">
            <v>-0.84314299087741451</v>
          </cell>
          <cell r="U450">
            <v>-0.70005820169220656</v>
          </cell>
        </row>
        <row r="451">
          <cell r="B451" t="str">
            <v>FY2</v>
          </cell>
          <cell r="C451">
            <v>-0.43416188163660691</v>
          </cell>
          <cell r="D451">
            <v>9.8753220072346718E-3</v>
          </cell>
          <cell r="E451">
            <v>1.4421016561144622</v>
          </cell>
          <cell r="F451">
            <v>1.0807115726483665</v>
          </cell>
          <cell r="G451">
            <v>1.0683170055444</v>
          </cell>
          <cell r="H451">
            <v>-0.7850937435673967</v>
          </cell>
          <cell r="I451">
            <v>-0.68827364540108127</v>
          </cell>
          <cell r="J451">
            <v>0.24192518367276833</v>
          </cell>
          <cell r="K451">
            <v>0.15786955309226858</v>
          </cell>
          <cell r="M451">
            <v>-0.7622956319381099</v>
          </cell>
          <cell r="N451">
            <v>-0.94282809885546814</v>
          </cell>
          <cell r="O451">
            <v>-1.4465272382161611</v>
          </cell>
          <cell r="P451">
            <v>-0.81885096688786108</v>
          </cell>
          <cell r="Q451">
            <v>-1.0105684999347193</v>
          </cell>
          <cell r="R451">
            <v>0.41411327334332276</v>
          </cell>
          <cell r="S451">
            <v>-1.4656395262537882</v>
          </cell>
          <cell r="T451">
            <v>-0.86179952696325501</v>
          </cell>
          <cell r="U451">
            <v>-0.73849245633532801</v>
          </cell>
        </row>
        <row r="452">
          <cell r="B452" t="str">
            <v>FQ(3)</v>
          </cell>
          <cell r="C452">
            <v>3.0085271348367471</v>
          </cell>
          <cell r="D452">
            <v>6.0503231175190271</v>
          </cell>
          <cell r="E452">
            <v>26.174694189602434</v>
          </cell>
          <cell r="F452">
            <v>10.871662346375254</v>
          </cell>
          <cell r="G452">
            <v>17.437011848518488</v>
          </cell>
          <cell r="H452">
            <v>-1.647181635317595</v>
          </cell>
          <cell r="I452">
            <v>0.27588930739343676</v>
          </cell>
          <cell r="J452">
            <v>8.8815609012753978</v>
          </cell>
          <cell r="K452">
            <v>7.5819974592705446</v>
          </cell>
          <cell r="M452">
            <v>-14.099647959415011</v>
          </cell>
          <cell r="N452">
            <v>-3.6489189348415225</v>
          </cell>
          <cell r="O452">
            <v>-6.013655276559513</v>
          </cell>
          <cell r="P452">
            <v>-2.2825822645801468</v>
          </cell>
          <cell r="Q452">
            <v>-3.443548387096774</v>
          </cell>
          <cell r="R452">
            <v>13.056873820441924</v>
          </cell>
          <cell r="S452">
            <v>-4.36336314323413</v>
          </cell>
          <cell r="T452">
            <v>-2.9706917350407389</v>
          </cell>
          <cell r="U452">
            <v>-1.4128705561223336</v>
          </cell>
        </row>
        <row r="453">
          <cell r="B453" t="str">
            <v>FQ(2)</v>
          </cell>
          <cell r="C453">
            <v>1.3172055927366482</v>
          </cell>
          <cell r="D453">
            <v>5.744633109357979</v>
          </cell>
          <cell r="E453">
            <v>14.080831903945105</v>
          </cell>
          <cell r="F453">
            <v>7.4520447297242329</v>
          </cell>
          <cell r="G453">
            <v>-18.499250645089607</v>
          </cell>
          <cell r="H453">
            <v>-1.7753591940292801</v>
          </cell>
          <cell r="I453">
            <v>-0.40571156746794457</v>
          </cell>
          <cell r="J453">
            <v>1.1306277041681621</v>
          </cell>
          <cell r="K453">
            <v>5.2628443477421527</v>
          </cell>
          <cell r="M453">
            <v>-5.9842932561504849</v>
          </cell>
          <cell r="N453">
            <v>-3.1594434218486533</v>
          </cell>
          <cell r="O453">
            <v>-5.5694236939430306</v>
          </cell>
          <cell r="P453">
            <v>-3.0584028890536437</v>
          </cell>
          <cell r="Q453">
            <v>-4.1298449612403099</v>
          </cell>
          <cell r="R453">
            <v>7.1867121795963538</v>
          </cell>
          <cell r="S453">
            <v>-2.8464965892512124</v>
          </cell>
          <cell r="T453">
            <v>-2.508741804555854</v>
          </cell>
          <cell r="U453">
            <v>-1.9454326807327575</v>
          </cell>
        </row>
        <row r="454">
          <cell r="B454" t="str">
            <v>FQ(1)</v>
          </cell>
          <cell r="C454">
            <v>1.104790668417178</v>
          </cell>
          <cell r="D454">
            <v>5.49126532417087</v>
          </cell>
          <cell r="E454">
            <v>21.133997429305904</v>
          </cell>
          <cell r="F454">
            <v>8.4915565866202467</v>
          </cell>
          <cell r="G454">
            <v>10.384681336255451</v>
          </cell>
          <cell r="H454">
            <v>-2.0104459856350783</v>
          </cell>
          <cell r="I454">
            <v>-0.65665224296477831</v>
          </cell>
          <cell r="J454">
            <v>6.2770275880242554</v>
          </cell>
          <cell r="K454">
            <v>5.1046925747801914</v>
          </cell>
          <cell r="M454">
            <v>-4.5012933746679629</v>
          </cell>
          <cell r="N454">
            <v>-2.4062692357603508</v>
          </cell>
          <cell r="O454">
            <v>-4.3599790377974719</v>
          </cell>
          <cell r="P454">
            <v>-3.778039723022129</v>
          </cell>
          <cell r="Q454">
            <v>-3.7063369397217927</v>
          </cell>
          <cell r="R454">
            <v>12.929730062658297</v>
          </cell>
          <cell r="S454">
            <v>-3.5044685858831217</v>
          </cell>
          <cell r="T454">
            <v>-1.3323795477420757</v>
          </cell>
          <cell r="U454">
            <v>-2.0644451787323024</v>
          </cell>
        </row>
        <row r="455">
          <cell r="B455" t="str">
            <v>Last Reported Q</v>
          </cell>
          <cell r="C455">
            <v>-8.5944095238591922E-2</v>
          </cell>
          <cell r="D455">
            <v>0.33228931309093246</v>
          </cell>
          <cell r="E455">
            <v>2.6319913663663663</v>
          </cell>
          <cell r="F455">
            <v>1.5852490873946661</v>
          </cell>
          <cell r="G455">
            <v>3.1011487412602823</v>
          </cell>
          <cell r="H455">
            <v>-0.70044497353600743</v>
          </cell>
          <cell r="I455">
            <v>-0.40023585169619963</v>
          </cell>
          <cell r="J455">
            <v>0.92343622680592119</v>
          </cell>
          <cell r="K455">
            <v>0.72760479731418182</v>
          </cell>
          <cell r="M455">
            <v>-1.6626117758933967</v>
          </cell>
          <cell r="N455">
            <v>-0.79045318475366411</v>
          </cell>
          <cell r="O455">
            <v>-1.6639704751499984</v>
          </cell>
          <cell r="P455">
            <v>-2.6366528895301915</v>
          </cell>
          <cell r="Q455">
            <v>-1.0800335570469799</v>
          </cell>
          <cell r="R455">
            <v>0.75362110728915033</v>
          </cell>
          <cell r="S455">
            <v>-1.164446584097903</v>
          </cell>
          <cell r="T455">
            <v>-1.1777924798832833</v>
          </cell>
          <cell r="U455">
            <v>-0.86342639624357287</v>
          </cell>
        </row>
        <row r="456">
          <cell r="B456" t="str">
            <v>LTM</v>
          </cell>
          <cell r="C456">
            <v>-5.3089225005100674E-2</v>
          </cell>
          <cell r="D456">
            <v>0.21353552972214196</v>
          </cell>
          <cell r="E456">
            <v>1.7692720161493818</v>
          </cell>
          <cell r="F456">
            <v>0.95447805944445252</v>
          </cell>
          <cell r="G456">
            <v>2.1243335723577608</v>
          </cell>
          <cell r="H456">
            <v>-0.4146301889013202</v>
          </cell>
          <cell r="I456">
            <v>-0.23730896873519447</v>
          </cell>
          <cell r="J456">
            <v>0.62237011357601735</v>
          </cell>
          <cell r="K456">
            <v>0.45379983425291787</v>
          </cell>
          <cell r="M456">
            <v>-1.098586120753511</v>
          </cell>
          <cell r="N456">
            <v>-0.49336964078807161</v>
          </cell>
          <cell r="O456">
            <v>-1.0245786743692473</v>
          </cell>
          <cell r="P456">
            <v>-0.94085968017258526</v>
          </cell>
          <cell r="Q456">
            <v>-0.6368538214197379</v>
          </cell>
          <cell r="R456">
            <v>0.52379054058678198</v>
          </cell>
          <cell r="S456">
            <v>-0.69681914283811763</v>
          </cell>
          <cell r="T456">
            <v>-0.62389664853635551</v>
          </cell>
          <cell r="U456">
            <v>-0.50978328158630037</v>
          </cell>
        </row>
        <row r="457">
          <cell r="B457" t="str">
            <v>FY1</v>
          </cell>
          <cell r="C457">
            <v>3.8862183909618229E-2</v>
          </cell>
          <cell r="D457">
            <v>-2.7339277114496467E-3</v>
          </cell>
          <cell r="E457">
            <v>3.5223782244625912E-2</v>
          </cell>
          <cell r="F457">
            <v>2.6424387208056593E-2</v>
          </cell>
          <cell r="G457">
            <v>-1.8071537178470622E-2</v>
          </cell>
          <cell r="H457">
            <v>5.3285963374375404E-2</v>
          </cell>
          <cell r="I457">
            <v>4.6996767941554794E-2</v>
          </cell>
          <cell r="J457">
            <v>2.5712517112615813E-2</v>
          </cell>
          <cell r="K457">
            <v>3.0552783656178185E-2</v>
          </cell>
          <cell r="M457">
            <v>1.7558553174681878E-2</v>
          </cell>
          <cell r="N457">
            <v>9.4733747506953347E-2</v>
          </cell>
          <cell r="O457">
            <v>3.927450676946953E-2</v>
          </cell>
          <cell r="P457">
            <v>0.18632383464964566</v>
          </cell>
          <cell r="Q457">
            <v>7.601987728838501E-2</v>
          </cell>
          <cell r="R457">
            <v>3.9489732823429061E-2</v>
          </cell>
          <cell r="S457">
            <v>7.0273028870299736E-2</v>
          </cell>
          <cell r="T457">
            <v>7.4810468726123444E-2</v>
          </cell>
          <cell r="U457">
            <v>7.1133632257864343E-2</v>
          </cell>
        </row>
        <row r="458">
          <cell r="A458" t="str">
            <v>mstag:rentalPaymentOnCapitalizedOperatingLeasesLessee</v>
          </cell>
          <cell r="B458" t="str">
            <v>Rent Payments</v>
          </cell>
          <cell r="C458">
            <v>4.0399164926698122E-2</v>
          </cell>
          <cell r="D458">
            <v>1.6931586348310497E-2</v>
          </cell>
          <cell r="E458">
            <v>2.9456136212050146E-2</v>
          </cell>
          <cell r="F458">
            <v>2.0077868758461886E-2</v>
          </cell>
          <cell r="G458">
            <v>2.2569207819594437E-4</v>
          </cell>
          <cell r="H458">
            <v>4.4593896192770086E-2</v>
          </cell>
          <cell r="I458">
            <v>4.9015164653234404E-2</v>
          </cell>
          <cell r="J458">
            <v>2.8671358452817299E-2</v>
          </cell>
          <cell r="K458">
            <v>3.3086860119727286E-2</v>
          </cell>
          <cell r="M458">
            <v>1.3331044461962222E-2</v>
          </cell>
          <cell r="N458">
            <v>8.085394256907405E-2</v>
          </cell>
          <cell r="O458">
            <v>5.1174560505937175E-2</v>
          </cell>
          <cell r="P458">
            <v>0.18148861674681205</v>
          </cell>
          <cell r="Q458">
            <v>7.2415679205012184E-2</v>
          </cell>
          <cell r="R458">
            <v>4.2100436438037216E-2</v>
          </cell>
          <cell r="S458">
            <v>7.2374325816125115E-2</v>
          </cell>
          <cell r="T458">
            <v>7.3391229391851429E-2</v>
          </cell>
          <cell r="U458">
            <v>6.9928491080842994E-2</v>
          </cell>
        </row>
        <row r="459">
          <cell r="B459" t="str">
            <v>FY(2)</v>
          </cell>
          <cell r="C459">
            <v>413.3</v>
          </cell>
          <cell r="D459">
            <v>210</v>
          </cell>
          <cell r="E459">
            <v>221</v>
          </cell>
          <cell r="F459">
            <v>81</v>
          </cell>
          <cell r="G459">
            <v>87.075000000000003</v>
          </cell>
          <cell r="H459">
            <v>301.58199999999999</v>
          </cell>
          <cell r="I459">
            <v>886.9</v>
          </cell>
          <cell r="J459">
            <v>314.40814285714288</v>
          </cell>
          <cell r="K459">
            <v>2200.857</v>
          </cell>
          <cell r="M459">
            <v>231.65299999999999</v>
          </cell>
          <cell r="N459">
            <v>77.64</v>
          </cell>
          <cell r="O459">
            <v>167.05099999999999</v>
          </cell>
          <cell r="P459">
            <v>107.458</v>
          </cell>
          <cell r="Q459">
            <v>970</v>
          </cell>
          <cell r="R459">
            <v>441</v>
          </cell>
          <cell r="S459">
            <v>100.02</v>
          </cell>
          <cell r="T459">
            <v>299.26028571428571</v>
          </cell>
          <cell r="U459">
            <v>2094.8220000000001</v>
          </cell>
        </row>
        <row r="460">
          <cell r="B460" t="str">
            <v>FY(1)</v>
          </cell>
          <cell r="C460">
            <v>445</v>
          </cell>
          <cell r="D460">
            <v>217</v>
          </cell>
          <cell r="E460">
            <v>230</v>
          </cell>
          <cell r="F460">
            <v>76</v>
          </cell>
          <cell r="G460">
            <v>83.682000000000002</v>
          </cell>
          <cell r="H460">
            <v>325.89999999999998</v>
          </cell>
          <cell r="I460">
            <v>928.3</v>
          </cell>
          <cell r="J460">
            <v>329.41171428571425</v>
          </cell>
          <cell r="K460">
            <v>2305.8819999999996</v>
          </cell>
          <cell r="M460">
            <v>280.61399999999998</v>
          </cell>
          <cell r="N460">
            <v>88.031000000000006</v>
          </cell>
          <cell r="O460">
            <v>197.82</v>
          </cell>
          <cell r="P460">
            <v>132.96899999999999</v>
          </cell>
          <cell r="Q460">
            <v>992</v>
          </cell>
          <cell r="R460">
            <v>391</v>
          </cell>
          <cell r="S460">
            <v>112.907</v>
          </cell>
          <cell r="T460">
            <v>313.62014285714292</v>
          </cell>
          <cell r="U460">
            <v>2195.3410000000003</v>
          </cell>
        </row>
        <row r="461">
          <cell r="B461" t="str">
            <v>FY0</v>
          </cell>
          <cell r="C461">
            <v>496</v>
          </cell>
          <cell r="D461">
            <v>231</v>
          </cell>
          <cell r="E461">
            <v>230</v>
          </cell>
          <cell r="F461">
            <v>89</v>
          </cell>
          <cell r="G461">
            <v>88.454999999999998</v>
          </cell>
          <cell r="H461">
            <v>336.5</v>
          </cell>
          <cell r="I461">
            <v>949</v>
          </cell>
          <cell r="J461">
            <v>345.70785714285711</v>
          </cell>
          <cell r="K461">
            <v>2419.9549999999999</v>
          </cell>
          <cell r="M461">
            <v>301.13799999999998</v>
          </cell>
          <cell r="N461">
            <v>97.888999999999996</v>
          </cell>
          <cell r="O461">
            <v>229.428</v>
          </cell>
          <cell r="P461">
            <v>151.267</v>
          </cell>
          <cell r="Q461">
            <v>973</v>
          </cell>
          <cell r="R461">
            <v>407</v>
          </cell>
          <cell r="S461">
            <v>127.434109734499</v>
          </cell>
          <cell r="T461">
            <v>326.73658710492839</v>
          </cell>
          <cell r="U461">
            <v>2287.1561097344988</v>
          </cell>
        </row>
        <row r="462">
          <cell r="B462" t="str">
            <v>FY1</v>
          </cell>
          <cell r="C462">
            <v>518.56303309414204</v>
          </cell>
          <cell r="D462">
            <v>236.036967509025</v>
          </cell>
          <cell r="E462">
            <v>235.41176470588201</v>
          </cell>
          <cell r="F462">
            <v>94.618556360602398</v>
          </cell>
          <cell r="G462">
            <v>90.912720945319705</v>
          </cell>
          <cell r="H462">
            <v>357.93168758199101</v>
          </cell>
          <cell r="I462">
            <v>970.16158569428001</v>
          </cell>
          <cell r="J462">
            <v>357.66233084160604</v>
          </cell>
          <cell r="K462">
            <v>2503.6363158912422</v>
          </cell>
          <cell r="M462">
            <v>318.11697719272098</v>
          </cell>
          <cell r="N462">
            <v>105.26366844444399</v>
          </cell>
          <cell r="O462">
            <v>234.19916455511199</v>
          </cell>
          <cell r="P462">
            <v>166.354913589744</v>
          </cell>
          <cell r="Q462">
            <v>967.79732534490495</v>
          </cell>
          <cell r="R462">
            <v>457.30408312233999</v>
          </cell>
          <cell r="S462">
            <v>146.22090008927199</v>
          </cell>
          <cell r="T462">
            <v>342.17957604836266</v>
          </cell>
          <cell r="U462">
            <v>2395.2570323385385</v>
          </cell>
        </row>
        <row r="463">
          <cell r="B463" t="str">
            <v>FY2</v>
          </cell>
          <cell r="C463">
            <v>552.77130938437199</v>
          </cell>
          <cell r="D463">
            <v>241.82093644258001</v>
          </cell>
          <cell r="E463">
            <v>239.98217166756399</v>
          </cell>
          <cell r="F463">
            <v>100.17534986731199</v>
          </cell>
          <cell r="G463">
            <v>96.459784775814597</v>
          </cell>
          <cell r="H463">
            <v>383.82128500347801</v>
          </cell>
          <cell r="I463">
            <v>986.94424197336195</v>
          </cell>
          <cell r="J463">
            <v>371.7107255877832</v>
          </cell>
          <cell r="K463">
            <v>2601.9750791144825</v>
          </cell>
          <cell r="M463">
            <v>353.83675694878099</v>
          </cell>
          <cell r="N463">
            <v>117.765877715481</v>
          </cell>
          <cell r="O463">
            <v>253.48517768534199</v>
          </cell>
          <cell r="P463">
            <v>179.71223459268501</v>
          </cell>
          <cell r="Q463">
            <v>953.87523311373502</v>
          </cell>
          <cell r="R463">
            <v>472.39043594442302</v>
          </cell>
          <cell r="S463">
            <v>166.065647668351</v>
          </cell>
          <cell r="T463">
            <v>356.73305195268546</v>
          </cell>
          <cell r="U463">
            <v>2497.1313636687983</v>
          </cell>
        </row>
        <row r="464">
          <cell r="B464" t="str">
            <v>FY1</v>
          </cell>
          <cell r="C464">
            <v>2.1678220019136387</v>
          </cell>
          <cell r="D464">
            <v>-0.20556202869745732</v>
          </cell>
          <cell r="E464">
            <v>1.946659427655937</v>
          </cell>
          <cell r="F464">
            <v>0.97354893957990185</v>
          </cell>
          <cell r="G464">
            <v>-0.32022714107024319</v>
          </cell>
          <cell r="H464">
            <v>3.0324798233633263</v>
          </cell>
          <cell r="I464">
            <v>2.1899111206141724</v>
          </cell>
          <cell r="M464">
            <v>0.59076362179338449</v>
          </cell>
          <cell r="N464">
            <v>3.0549856965789917</v>
          </cell>
          <cell r="O464">
            <v>0.55397571895375231</v>
          </cell>
          <cell r="P464">
            <v>2.0205286121042589</v>
          </cell>
          <cell r="Q464">
            <v>1.5531511857589593</v>
          </cell>
          <cell r="R464">
            <v>1.0250297702777731</v>
          </cell>
          <cell r="S464">
            <v>0.79672676486813154</v>
          </cell>
        </row>
        <row r="465">
          <cell r="B465" t="str">
            <v>Adjusted Net Debt/EBITDAR (includes Rent capitalized at 8x)</v>
          </cell>
          <cell r="C465">
            <v>2.4259351333438075</v>
          </cell>
          <cell r="D465">
            <v>1.2413658361277</v>
          </cell>
          <cell r="E465">
            <v>1.6008639174988561</v>
          </cell>
          <cell r="F465">
            <v>0.76128900106267405</v>
          </cell>
          <cell r="G465">
            <v>3.6556641974695874E-3</v>
          </cell>
          <cell r="H465">
            <v>2.7280154257731373</v>
          </cell>
          <cell r="I465">
            <v>2.5010561968072311</v>
          </cell>
          <cell r="M465">
            <v>0.51679513609987526</v>
          </cell>
          <cell r="N465">
            <v>3.0815192419646067</v>
          </cell>
          <cell r="O465">
            <v>0.75955113998499157</v>
          </cell>
          <cell r="P465">
            <v>2.1733260926685545</v>
          </cell>
          <cell r="Q465">
            <v>1.5555110393579679</v>
          </cell>
          <cell r="R465">
            <v>1.119845743374736</v>
          </cell>
          <cell r="S465">
            <v>0.95223954907340669</v>
          </cell>
        </row>
        <row r="466">
          <cell r="B466" t="str">
            <v>FY(2)</v>
          </cell>
          <cell r="C466">
            <v>1.7630403134292154</v>
          </cell>
          <cell r="D466">
            <v>1.1341816541717473</v>
          </cell>
          <cell r="E466">
            <v>3.0587597874720349</v>
          </cell>
          <cell r="F466">
            <v>1.7837177731034912</v>
          </cell>
          <cell r="G466">
            <v>3.2662010966582922</v>
          </cell>
          <cell r="H466">
            <v>2.7259358859435694</v>
          </cell>
          <cell r="I466">
            <v>2.6520141454465453</v>
          </cell>
          <cell r="J466">
            <v>2.3405500937464141</v>
          </cell>
          <cell r="K466">
            <v>2.2436432720862096</v>
          </cell>
          <cell r="M466">
            <v>1.1145547912933007</v>
          </cell>
          <cell r="N466">
            <v>1.2499124465924214</v>
          </cell>
          <cell r="O466">
            <v>0.97433969250602104</v>
          </cell>
          <cell r="P466">
            <v>0.13865886124043997</v>
          </cell>
          <cell r="Q466">
            <v>2.1748080949057922</v>
          </cell>
          <cell r="R466">
            <v>3.1794784845342146</v>
          </cell>
          <cell r="S466">
            <v>1.0992323700826874</v>
          </cell>
          <cell r="T466">
            <v>1.418712105879268</v>
          </cell>
          <cell r="U466">
            <v>1.7294953910912045</v>
          </cell>
        </row>
        <row r="467">
          <cell r="B467" t="str">
            <v>FY(1)</v>
          </cell>
          <cell r="C467">
            <v>1.9634987696449357</v>
          </cell>
          <cell r="D467">
            <v>1.5921080102834659</v>
          </cell>
          <cell r="E467">
            <v>3.5213781830695114</v>
          </cell>
          <cell r="F467">
            <v>2.6340789332320407</v>
          </cell>
          <cell r="G467">
            <v>11.924217205587883</v>
          </cell>
          <cell r="H467">
            <v>2.5402353666684365</v>
          </cell>
          <cell r="I467">
            <v>2.8040238749093813</v>
          </cell>
          <cell r="J467">
            <v>3.8542200490565222</v>
          </cell>
          <cell r="K467">
            <v>2.6655393954503377</v>
          </cell>
          <cell r="M467">
            <v>1.8125081650204506</v>
          </cell>
          <cell r="N467">
            <v>1.2449993849825833</v>
          </cell>
          <cell r="O467">
            <v>1.8401580358402727</v>
          </cell>
          <cell r="P467">
            <v>0.26025301117841149</v>
          </cell>
          <cell r="Q467">
            <v>2.0176962676962678</v>
          </cell>
          <cell r="R467">
            <v>3.3424457701446935</v>
          </cell>
          <cell r="S467">
            <v>1.0869568735825657</v>
          </cell>
          <cell r="T467">
            <v>1.6578596440636062</v>
          </cell>
          <cell r="U467">
            <v>1.8251633583838809</v>
          </cell>
        </row>
        <row r="468">
          <cell r="B468" t="str">
            <v>FY0</v>
          </cell>
          <cell r="C468">
            <v>1.3479594697375761</v>
          </cell>
          <cell r="D468">
            <v>1.6074809392075593</v>
          </cell>
          <cell r="E468">
            <v>3.0586126468555634</v>
          </cell>
          <cell r="F468">
            <v>2.047152672525633</v>
          </cell>
          <cell r="G468">
            <v>5.2296873407878488</v>
          </cell>
          <cell r="H468">
            <v>1.696038296095902</v>
          </cell>
          <cell r="I468">
            <v>1.9615963754819123</v>
          </cell>
          <cell r="J468">
            <v>2.4212182486702849</v>
          </cell>
          <cell r="K468">
            <v>2.0693383134945118</v>
          </cell>
          <cell r="M468">
            <v>2.5610036296682419</v>
          </cell>
          <cell r="N468">
            <v>0.81276759274384647</v>
          </cell>
          <cell r="O468">
            <v>1.8483523878471451</v>
          </cell>
          <cell r="P468">
            <v>0.34745351137138419</v>
          </cell>
          <cell r="Q468">
            <v>1.5517426273458446</v>
          </cell>
          <cell r="R468">
            <v>2.567792220893554</v>
          </cell>
          <cell r="S468">
            <v>0.92796661441807282</v>
          </cell>
          <cell r="T468">
            <v>1.5167255120411556</v>
          </cell>
          <cell r="U468">
            <v>1.5811015026553612</v>
          </cell>
        </row>
        <row r="469">
          <cell r="A469" t="str">
            <v>mstag:capitalExpenditures</v>
          </cell>
          <cell r="B469" t="str">
            <v>FY1</v>
          </cell>
          <cell r="C469">
            <v>1.0482258192150369</v>
          </cell>
          <cell r="D469">
            <v>1.2582527657927727</v>
          </cell>
          <cell r="E469">
            <v>2.4094468811563323</v>
          </cell>
          <cell r="F469">
            <v>1.5941125062690669</v>
          </cell>
          <cell r="G469">
            <v>4.17922891856856</v>
          </cell>
          <cell r="H469">
            <v>1.5256205587282161</v>
          </cell>
          <cell r="I469">
            <v>1.6826788867179201</v>
          </cell>
          <cell r="J469">
            <v>1.9567951909211292</v>
          </cell>
          <cell r="K469">
            <v>1.6758209958676464</v>
          </cell>
          <cell r="M469">
            <v>2.391050370712593</v>
          </cell>
          <cell r="N469">
            <v>0.71932761632238529</v>
          </cell>
          <cell r="O469">
            <v>1.4432560378481065</v>
          </cell>
          <cell r="P469">
            <v>0.28759622817734298</v>
          </cell>
          <cell r="Q469">
            <v>1.5987513531074025</v>
          </cell>
          <cell r="R469">
            <v>2.4837915361158127</v>
          </cell>
          <cell r="S469">
            <v>0.64964261665766232</v>
          </cell>
          <cell r="T469">
            <v>1.3676308227059006</v>
          </cell>
          <cell r="U469">
            <v>1.5126774008222057</v>
          </cell>
        </row>
        <row r="470">
          <cell r="B470" t="str">
            <v>FY2</v>
          </cell>
          <cell r="C470">
            <v>0.87493009858381077</v>
          </cell>
          <cell r="D470">
            <v>1.1579138512985476</v>
          </cell>
          <cell r="E470">
            <v>1.9226546792326706</v>
          </cell>
          <cell r="F470">
            <v>1.5163541404967966</v>
          </cell>
          <cell r="G470">
            <v>3.0895363696481981</v>
          </cell>
          <cell r="H470">
            <v>1.4849145427793713</v>
          </cell>
          <cell r="I470">
            <v>1.5179536310666246</v>
          </cell>
          <cell r="J470">
            <v>1.6520367590151455</v>
          </cell>
          <cell r="K470">
            <v>1.4482420880717608</v>
          </cell>
          <cell r="M470">
            <v>2.4665701567877596</v>
          </cell>
          <cell r="N470">
            <v>0.77815718698320846</v>
          </cell>
          <cell r="O470">
            <v>1.2438592969656144</v>
          </cell>
          <cell r="P470">
            <v>0.23617584483676721</v>
          </cell>
          <cell r="Q470">
            <v>1.5955958846176646</v>
          </cell>
          <cell r="R470">
            <v>2.200647221162388</v>
          </cell>
          <cell r="S470">
            <v>0.51167660904846224</v>
          </cell>
          <cell r="T470">
            <v>1.2903831714859808</v>
          </cell>
          <cell r="U470">
            <v>1.4299289350190132</v>
          </cell>
        </row>
        <row r="471">
          <cell r="B471" t="str">
            <v>FY1</v>
          </cell>
          <cell r="C471">
            <v>647.25003538475005</v>
          </cell>
          <cell r="D471">
            <v>597.63773739153396</v>
          </cell>
          <cell r="E471">
            <v>398.916049323469</v>
          </cell>
          <cell r="F471">
            <v>361</v>
          </cell>
          <cell r="G471">
            <v>66.837014679888597</v>
          </cell>
          <cell r="H471">
            <v>164.974553241579</v>
          </cell>
          <cell r="I471">
            <v>465.40417961601298</v>
          </cell>
          <cell r="J471">
            <v>386.00279566246201</v>
          </cell>
          <cell r="K471">
            <v>2702.0195696372339</v>
          </cell>
          <cell r="M471">
            <v>185.09325427162901</v>
          </cell>
          <cell r="N471">
            <v>49.858069962182</v>
          </cell>
          <cell r="O471">
            <v>129.30167913915301</v>
          </cell>
          <cell r="P471">
            <v>107.320766852448</v>
          </cell>
          <cell r="Q471">
            <v>350.99767742648697</v>
          </cell>
          <cell r="R471">
            <v>225.261</v>
          </cell>
          <cell r="S471">
            <v>119.233752219984</v>
          </cell>
          <cell r="T471">
            <v>166.72374283884042</v>
          </cell>
          <cell r="U471">
            <v>1167.0661998718829</v>
          </cell>
          <cell r="W471">
            <v>3869.0857695091167</v>
          </cell>
        </row>
        <row r="472">
          <cell r="B472" t="str">
            <v>Adjusted Net Debt/Cap (includes Rent capitalized at 8x)</v>
          </cell>
          <cell r="C472">
            <v>746.07111004947603</v>
          </cell>
          <cell r="D472">
            <v>394.57224859306899</v>
          </cell>
          <cell r="E472">
            <v>618.35365471548903</v>
          </cell>
          <cell r="F472">
            <v>465.162968324612</v>
          </cell>
          <cell r="G472">
            <v>45.8188964183229</v>
          </cell>
          <cell r="H472">
            <v>200.649569914437</v>
          </cell>
          <cell r="I472">
            <v>517.37070757901802</v>
          </cell>
          <cell r="J472">
            <v>426.85702222777485</v>
          </cell>
          <cell r="K472">
            <v>2987.9991555944239</v>
          </cell>
          <cell r="M472">
            <v>246.71197020712299</v>
          </cell>
          <cell r="N472">
            <v>67.516321371336403</v>
          </cell>
          <cell r="O472">
            <v>135.41319328435799</v>
          </cell>
          <cell r="P472">
            <v>137.30003618500299</v>
          </cell>
          <cell r="Q472">
            <v>423.142401533449</v>
          </cell>
          <cell r="R472">
            <v>252.161501557756</v>
          </cell>
          <cell r="S472">
            <v>148.570424497277</v>
          </cell>
          <cell r="T472">
            <v>201.5451212337575</v>
          </cell>
          <cell r="U472">
            <v>1410.8158486363025</v>
          </cell>
          <cell r="W472">
            <v>4398.8150042307261</v>
          </cell>
          <cell r="X472">
            <v>0.13691328295077265</v>
          </cell>
        </row>
        <row r="473">
          <cell r="B473" t="str">
            <v>FY(2)</v>
          </cell>
          <cell r="C473">
            <v>0.43550302523316747</v>
          </cell>
          <cell r="D473">
            <v>0.34964680059462472</v>
          </cell>
          <cell r="E473">
            <v>0.52473300112136523</v>
          </cell>
          <cell r="F473">
            <v>0.7142928672679153</v>
          </cell>
          <cell r="G473">
            <v>0.4984460608672418</v>
          </cell>
          <cell r="H473">
            <v>0.70313158045244917</v>
          </cell>
          <cell r="I473">
            <v>0.77154204302150575</v>
          </cell>
          <cell r="J473">
            <v>0.57104219693689562</v>
          </cell>
          <cell r="K473">
            <v>0.54466525719550296</v>
          </cell>
          <cell r="M473">
            <v>0.38342940939156683</v>
          </cell>
          <cell r="N473">
            <v>0.4797066456825303</v>
          </cell>
          <cell r="O473">
            <v>0.31848964014715719</v>
          </cell>
          <cell r="P473">
            <v>5.9088361908869382E-2</v>
          </cell>
          <cell r="Q473">
            <v>0.50998199967272129</v>
          </cell>
          <cell r="R473">
            <v>0.60787298235139131</v>
          </cell>
          <cell r="S473">
            <v>0.26256613636624776</v>
          </cell>
          <cell r="T473">
            <v>0.37444788221721204</v>
          </cell>
          <cell r="U473">
            <v>0.45453050790622207</v>
          </cell>
        </row>
        <row r="474">
          <cell r="B474" t="str">
            <v>FY(1)</v>
          </cell>
          <cell r="C474">
            <v>0.42366442772181695</v>
          </cell>
          <cell r="D474">
            <v>0.41016752157869452</v>
          </cell>
          <cell r="E474">
            <v>0.68775045575596683</v>
          </cell>
          <cell r="F474">
            <v>0.71590113352887597</v>
          </cell>
          <cell r="G474">
            <v>0.57198793761492206</v>
          </cell>
          <cell r="H474">
            <v>0.70963308161370375</v>
          </cell>
          <cell r="I474">
            <v>0.78410355528262954</v>
          </cell>
          <cell r="J474">
            <v>0.61474401615665852</v>
          </cell>
          <cell r="K474">
            <v>0.60997299068920097</v>
          </cell>
          <cell r="M474">
            <v>0.43497953260620403</v>
          </cell>
          <cell r="N474">
            <v>0.44908374146140695</v>
          </cell>
          <cell r="O474">
            <v>0.38274031326642549</v>
          </cell>
          <cell r="P474">
            <v>0.14380647260531124</v>
          </cell>
          <cell r="Q474">
            <v>0.50682938656752607</v>
          </cell>
          <cell r="R474">
            <v>0.61421029375145364</v>
          </cell>
          <cell r="S474">
            <v>0.27453474165713265</v>
          </cell>
          <cell r="T474">
            <v>0.40088349741649426</v>
          </cell>
          <cell r="U474">
            <v>0.46823935768246799</v>
          </cell>
          <cell r="W474">
            <v>0.10583919863895908</v>
          </cell>
        </row>
        <row r="475">
          <cell r="B475" t="str">
            <v>FY0</v>
          </cell>
          <cell r="C475">
            <v>0.32437098274976922</v>
          </cell>
          <cell r="D475">
            <v>0.31866099855600216</v>
          </cell>
          <cell r="E475">
            <v>0.65312992870384889</v>
          </cell>
          <cell r="F475">
            <v>0.61679852898467369</v>
          </cell>
          <cell r="G475">
            <v>0.49446934556739103</v>
          </cell>
          <cell r="H475">
            <v>0.64162547041683271</v>
          </cell>
          <cell r="I475">
            <v>0.69619172996255518</v>
          </cell>
          <cell r="J475">
            <v>0.53503528356301033</v>
          </cell>
          <cell r="K475">
            <v>0.53035963604257441</v>
          </cell>
          <cell r="M475">
            <v>0.40814676439653425</v>
          </cell>
          <cell r="N475">
            <v>0.35827227984819415</v>
          </cell>
          <cell r="O475">
            <v>0.3387947354498817</v>
          </cell>
          <cell r="P475">
            <v>0.1506674822931261</v>
          </cell>
          <cell r="Q475">
            <v>0.41098224852071003</v>
          </cell>
          <cell r="R475">
            <v>0.51139588766764599</v>
          </cell>
          <cell r="S475">
            <v>0.22361029785419212</v>
          </cell>
          <cell r="T475">
            <v>0.34312424229004063</v>
          </cell>
          <cell r="U475">
            <v>0.39089769547383957</v>
          </cell>
        </row>
        <row r="476">
          <cell r="B476" t="str">
            <v>FY1</v>
          </cell>
          <cell r="C476">
            <v>0.27761167517410235</v>
          </cell>
          <cell r="D476">
            <v>0.28675163494379724</v>
          </cell>
          <cell r="E476">
            <v>0.58794038590017261</v>
          </cell>
          <cell r="F476">
            <v>0.53853754106956986</v>
          </cell>
          <cell r="G476">
            <v>0.49605191308167351</v>
          </cell>
          <cell r="H476">
            <v>0.6363634999736747</v>
          </cell>
          <cell r="I476">
            <v>0.64872711884527645</v>
          </cell>
          <cell r="J476">
            <v>0.49599768128403809</v>
          </cell>
          <cell r="K476">
            <v>0.48136100917699715</v>
          </cell>
          <cell r="M476">
            <v>0.45338273009338498</v>
          </cell>
          <cell r="N476">
            <v>0.3113380398102033</v>
          </cell>
          <cell r="O476">
            <v>0.31348272554407308</v>
          </cell>
          <cell r="P476">
            <v>0.12284434737617074</v>
          </cell>
          <cell r="Q476">
            <v>0.42264761699012438</v>
          </cell>
          <cell r="R476">
            <v>0.55140427089044997</v>
          </cell>
          <cell r="S476">
            <v>0.1602020261661532</v>
          </cell>
          <cell r="T476">
            <v>0.33361453669579422</v>
          </cell>
          <cell r="U476">
            <v>0.39418186587584914</v>
          </cell>
        </row>
        <row r="477">
          <cell r="B477" t="str">
            <v>FY2</v>
          </cell>
          <cell r="C477">
            <v>0.24658198099063369</v>
          </cell>
          <cell r="D477">
            <v>0.27605661840184514</v>
          </cell>
          <cell r="E477">
            <v>0.50433224175968594</v>
          </cell>
          <cell r="F477">
            <v>0.5135949170173888</v>
          </cell>
          <cell r="G477">
            <v>0.48846420448934763</v>
          </cell>
          <cell r="H477">
            <v>0.6169160063040503</v>
          </cell>
          <cell r="I477">
            <v>0.59472351294919445</v>
          </cell>
          <cell r="J477">
            <v>0.46295278313030652</v>
          </cell>
          <cell r="K477">
            <v>0.43649769110271114</v>
          </cell>
          <cell r="M477">
            <v>0.51651231294961675</v>
          </cell>
          <cell r="N477">
            <v>0.31530347483637128</v>
          </cell>
          <cell r="O477">
            <v>0.28902023877853833</v>
          </cell>
          <cell r="P477">
            <v>0.10027717592566783</v>
          </cell>
          <cell r="Q477">
            <v>0.43774664231019594</v>
          </cell>
          <cell r="R477">
            <v>0.50719980535825493</v>
          </cell>
          <cell r="S477">
            <v>0.12596486252548919</v>
          </cell>
          <cell r="T477">
            <v>0.32743207324059054</v>
          </cell>
          <cell r="U477">
            <v>0.38456886671914609</v>
          </cell>
        </row>
        <row r="478">
          <cell r="B478" t="str">
            <v>FY1</v>
          </cell>
          <cell r="C478">
            <v>3.7856912119302158E-2</v>
          </cell>
          <cell r="D478">
            <v>3.4128142880679689E-2</v>
          </cell>
          <cell r="E478">
            <v>1.7111780644585135E-2</v>
          </cell>
          <cell r="F478">
            <v>4.46975854382725E-2</v>
          </cell>
          <cell r="G478">
            <v>2.5944116217902227E-2</v>
          </cell>
          <cell r="H478">
            <v>2.3149873315251059E-2</v>
          </cell>
          <cell r="I478">
            <v>2.3293819102922865E-2</v>
          </cell>
          <cell r="J478">
            <v>2.945460424555937E-2</v>
          </cell>
          <cell r="K478">
            <v>2.8240168758070814E-2</v>
          </cell>
          <cell r="M478">
            <v>6.2329427377884772E-2</v>
          </cell>
          <cell r="N478">
            <v>2.2851036467750125E-2</v>
          </cell>
          <cell r="O478">
            <v>4.3803673426332575E-2</v>
          </cell>
          <cell r="P478">
            <v>3.0749077335192904E-2</v>
          </cell>
          <cell r="Q478">
            <v>2.4603922708742794E-2</v>
          </cell>
          <cell r="R478">
            <v>2.6555011119058704E-2</v>
          </cell>
          <cell r="S478">
            <v>6.1491685262025593E-2</v>
          </cell>
          <cell r="T478">
            <v>3.8911976242426781E-2</v>
          </cell>
          <cell r="U478">
            <v>3.2167174429495293E-2</v>
          </cell>
        </row>
        <row r="479">
          <cell r="B479" t="str">
            <v>FY2</v>
          </cell>
          <cell r="C479">
            <v>4.1056912119301993E-2</v>
          </cell>
          <cell r="D479">
            <v>2.2583973489152562E-2</v>
          </cell>
          <cell r="E479">
            <v>2.6999999999999975E-2</v>
          </cell>
          <cell r="F479">
            <v>5.7000000000000009E-2</v>
          </cell>
          <cell r="G479">
            <v>1.749999999999996E-2</v>
          </cell>
          <cell r="H479">
            <v>2.7000000000000017E-2</v>
          </cell>
          <cell r="I479">
            <v>2.4293819102922845E-2</v>
          </cell>
          <cell r="J479">
            <v>3.0919243530196767E-2</v>
          </cell>
          <cell r="K479">
            <v>3.0473682053923909E-2</v>
          </cell>
          <cell r="M479">
            <v>7.4829427377884575E-2</v>
          </cell>
          <cell r="N479">
            <v>2.7949999999999978E-2</v>
          </cell>
          <cell r="O479">
            <v>4.2803673426332609E-2</v>
          </cell>
          <cell r="P479">
            <v>3.6749077335192643E-2</v>
          </cell>
          <cell r="Q479">
            <v>3.0000000000000072E-2</v>
          </cell>
          <cell r="R479">
            <v>2.9499999999999988E-2</v>
          </cell>
          <cell r="S479">
            <v>6.5794955109565761E-2</v>
          </cell>
          <cell r="T479">
            <v>4.3946733321282232E-2</v>
          </cell>
          <cell r="U479">
            <v>3.7598679443819762E-2</v>
          </cell>
        </row>
        <row r="480">
          <cell r="B480" t="str">
            <v>Unadjusted Net Debt/Cap</v>
          </cell>
        </row>
        <row r="481">
          <cell r="A481" t="str">
            <v>mstag:averageDilutedSharesOutstanding</v>
          </cell>
          <cell r="B481" t="str">
            <v>FY(2)</v>
          </cell>
          <cell r="C481">
            <v>0.17155117918135337</v>
          </cell>
          <cell r="D481">
            <v>0.13036246177433036</v>
          </cell>
          <cell r="E481">
            <v>0.46643565615462851</v>
          </cell>
          <cell r="F481">
            <v>0.59235816811785225</v>
          </cell>
          <cell r="G481">
            <v>0.26971047322857289</v>
          </cell>
          <cell r="H481">
            <v>-0.10143943375668921</v>
          </cell>
          <cell r="I481">
            <v>3.451495658087933E-2</v>
          </cell>
          <cell r="J481">
            <v>0.22335620875441822</v>
          </cell>
          <cell r="K481">
            <v>0.30990908137205347</v>
          </cell>
          <cell r="M481">
            <v>-0.32264130511775407</v>
          </cell>
          <cell r="N481">
            <v>-1.1584277864514689</v>
          </cell>
          <cell r="O481">
            <v>-0.36095859344226999</v>
          </cell>
          <cell r="P481">
            <v>-0.36363821654453149</v>
          </cell>
          <cell r="Q481">
            <v>-0.34222321828776331</v>
          </cell>
          <cell r="R481">
            <v>0.33787739453859944</v>
          </cell>
          <cell r="S481">
            <v>-0.42883724636203746</v>
          </cell>
          <cell r="T481">
            <v>-0.37697842452388947</v>
          </cell>
          <cell r="U481">
            <v>-0.13489505937003851</v>
          </cell>
        </row>
        <row r="482">
          <cell r="B482" t="str">
            <v>FY(1)</v>
          </cell>
          <cell r="C482">
            <v>0.15822915618753594</v>
          </cell>
          <cell r="D482">
            <v>0.15057089093463449</v>
          </cell>
          <cell r="E482">
            <v>0.58509062391077027</v>
          </cell>
          <cell r="F482">
            <v>0.6556757193772984</v>
          </cell>
          <cell r="G482">
            <v>0.38896458007874457</v>
          </cell>
          <cell r="H482">
            <v>-0.15017448570224767</v>
          </cell>
          <cell r="I482">
            <v>0.11189509312225583</v>
          </cell>
          <cell r="J482">
            <v>0.27146451112985603</v>
          </cell>
          <cell r="K482">
            <v>0.35221633255581436</v>
          </cell>
          <cell r="M482">
            <v>-0.21697131567535613</v>
          </cell>
          <cell r="N482">
            <v>-0.64363769503745849</v>
          </cell>
          <cell r="O482">
            <v>-0.27550098347002122</v>
          </cell>
          <cell r="P482">
            <v>-0.46612734724491706</v>
          </cell>
          <cell r="Q482">
            <v>-0.37525354969574037</v>
          </cell>
          <cell r="R482">
            <v>0.36128189984901221</v>
          </cell>
          <cell r="S482">
            <v>-0.3473065882185476</v>
          </cell>
          <cell r="T482">
            <v>-0.28050222564186122</v>
          </cell>
          <cell r="U482">
            <v>-0.13274448535899933</v>
          </cell>
        </row>
        <row r="483">
          <cell r="B483" t="str">
            <v>FY0</v>
          </cell>
          <cell r="C483">
            <v>-1.9933208662836408E-2</v>
          </cell>
          <cell r="D483">
            <v>4.7121114935010998E-2</v>
          </cell>
          <cell r="E483">
            <v>0.52329464885439214</v>
          </cell>
          <cell r="F483">
            <v>0.43447567580446406</v>
          </cell>
          <cell r="G483">
            <v>0.22179778818940543</v>
          </cell>
          <cell r="H483">
            <v>-0.47426963580467424</v>
          </cell>
          <cell r="I483">
            <v>-0.26506359909847371</v>
          </cell>
          <cell r="J483">
            <v>6.6774683459612613E-2</v>
          </cell>
          <cell r="K483">
            <v>0.18420323911802425</v>
          </cell>
          <cell r="M483">
            <v>-0.33690533113642818</v>
          </cell>
          <cell r="N483">
            <v>-0.79836155526275465</v>
          </cell>
          <cell r="O483">
            <v>-0.41568408664627049</v>
          </cell>
          <cell r="P483">
            <v>-0.44374415164262937</v>
          </cell>
          <cell r="Q483">
            <v>-0.52643631159272131</v>
          </cell>
          <cell r="R483">
            <v>0.18717424120299675</v>
          </cell>
          <cell r="S483">
            <v>-0.38675637639528909</v>
          </cell>
          <cell r="T483">
            <v>-0.38867336735329949</v>
          </cell>
          <cell r="U483">
            <v>-0.27326179546257678</v>
          </cell>
        </row>
        <row r="484">
          <cell r="B484" t="str">
            <v>FY1</v>
          </cell>
          <cell r="C484">
            <v>-7.2935073750824544E-2</v>
          </cell>
          <cell r="D484">
            <v>1.3155159541196127E-2</v>
          </cell>
          <cell r="E484">
            <v>0.41980917229782333</v>
          </cell>
          <cell r="F484">
            <v>0.36053432174461086</v>
          </cell>
          <cell r="G484">
            <v>0.20965041705312365</v>
          </cell>
          <cell r="H484">
            <v>-0.53100621148321026</v>
          </cell>
          <cell r="I484">
            <v>-0.35218119816282695</v>
          </cell>
          <cell r="J484">
            <v>6.7180838914131912E-3</v>
          </cell>
          <cell r="K484">
            <v>0.10981844106149648</v>
          </cell>
          <cell r="M484">
            <v>-0.31696737676589115</v>
          </cell>
          <cell r="N484">
            <v>-0.81056984395921061</v>
          </cell>
          <cell r="O484">
            <v>-0.45074199089855554</v>
          </cell>
          <cell r="P484">
            <v>-0.47962616706148459</v>
          </cell>
          <cell r="Q484">
            <v>-0.5259313947145341</v>
          </cell>
          <cell r="R484">
            <v>0.20478481199346313</v>
          </cell>
          <cell r="S484">
            <v>-0.4584563567467998</v>
          </cell>
          <cell r="T484">
            <v>-0.40535833116471603</v>
          </cell>
          <cell r="U484">
            <v>-0.2895501330219753</v>
          </cell>
        </row>
        <row r="485">
          <cell r="B485" t="str">
            <v>FY2</v>
          </cell>
          <cell r="C485">
            <v>-0.11691253486773395</v>
          </cell>
          <cell r="D485">
            <v>1.754998212719309E-3</v>
          </cell>
          <cell r="E485">
            <v>0.3129261572355303</v>
          </cell>
          <cell r="F485">
            <v>0.34480358906781372</v>
          </cell>
          <cell r="G485">
            <v>0.16956021690549561</v>
          </cell>
          <cell r="H485">
            <v>-0.56910526799632311</v>
          </cell>
          <cell r="I485">
            <v>-0.41624883383416506</v>
          </cell>
          <cell r="J485">
            <v>-3.9031667896666164E-2</v>
          </cell>
          <cell r="K485">
            <v>4.5605791379651359E-2</v>
          </cell>
          <cell r="M485">
            <v>-0.2634205574684077</v>
          </cell>
          <cell r="N485">
            <v>-0.82009107779971702</v>
          </cell>
          <cell r="O485">
            <v>-0.51081593690746263</v>
          </cell>
          <cell r="P485">
            <v>-0.51559661788992583</v>
          </cell>
          <cell r="Q485">
            <v>-0.5395925627073267</v>
          </cell>
          <cell r="R485">
            <v>0.12896858216293094</v>
          </cell>
          <cell r="S485">
            <v>-0.48495269741359415</v>
          </cell>
          <cell r="T485">
            <v>-0.42935726686050046</v>
          </cell>
          <cell r="U485">
            <v>-0.32037353322343692</v>
          </cell>
        </row>
        <row r="486">
          <cell r="B486" t="str">
            <v>FQ(3)</v>
          </cell>
          <cell r="C486">
            <v>0.13165244885644173</v>
          </cell>
          <cell r="D486">
            <v>0.17755785281902353</v>
          </cell>
          <cell r="E486">
            <v>0.63831195465731949</v>
          </cell>
          <cell r="F486">
            <v>0.64204997437544531</v>
          </cell>
          <cell r="G486">
            <v>0.38244531184707647</v>
          </cell>
          <cell r="H486">
            <v>-0.26173584744947953</v>
          </cell>
          <cell r="I486">
            <v>3.5756544743929017E-2</v>
          </cell>
          <cell r="J486">
            <v>0.24943403426425087</v>
          </cell>
          <cell r="K486">
            <v>0.34803839154712585</v>
          </cell>
          <cell r="M486">
            <v>-0.1943611479331738</v>
          </cell>
          <cell r="N486">
            <v>-0.6238137323775208</v>
          </cell>
          <cell r="O486">
            <v>-0.24815342698230658</v>
          </cell>
          <cell r="P486">
            <v>-0.33375451608586781</v>
          </cell>
          <cell r="Q486">
            <v>-0.37621145374449338</v>
          </cell>
          <cell r="R486">
            <v>0.41408090685248566</v>
          </cell>
          <cell r="S486">
            <v>-0.27264374428604671</v>
          </cell>
          <cell r="T486">
            <v>-0.23355101636527478</v>
          </cell>
          <cell r="U486">
            <v>-9.8884422673623046E-2</v>
          </cell>
        </row>
        <row r="487">
          <cell r="B487" t="str">
            <v>FQ(2)</v>
          </cell>
          <cell r="C487">
            <v>7.7701535780119499E-2</v>
          </cell>
          <cell r="D487">
            <v>0.13622490218961908</v>
          </cell>
          <cell r="E487">
            <v>0.6184830106230691</v>
          </cell>
          <cell r="F487">
            <v>0.53015548678398849</v>
          </cell>
          <cell r="G487">
            <v>0.37442306868519326</v>
          </cell>
          <cell r="H487">
            <v>-0.30470286332377144</v>
          </cell>
          <cell r="I487">
            <v>-5.2925525134638815E-2</v>
          </cell>
          <cell r="J487">
            <v>0.19705137365765421</v>
          </cell>
          <cell r="K487">
            <v>0.29401108161568013</v>
          </cell>
          <cell r="M487">
            <v>-0.22562571997639078</v>
          </cell>
          <cell r="N487">
            <v>-0.57138666964634899</v>
          </cell>
          <cell r="O487">
            <v>-0.29438841264919668</v>
          </cell>
          <cell r="P487">
            <v>-0.44374415164262937</v>
          </cell>
          <cell r="Q487">
            <v>-0.44910432033719705</v>
          </cell>
          <cell r="R487">
            <v>0.33171155262653013</v>
          </cell>
          <cell r="S487">
            <v>-0.25148600218600176</v>
          </cell>
          <cell r="T487">
            <v>-0.27200338911589061</v>
          </cell>
          <cell r="U487">
            <v>-0.15687992193216713</v>
          </cell>
        </row>
        <row r="488">
          <cell r="B488" t="str">
            <v>FQ(1)</v>
          </cell>
          <cell r="C488">
            <v>5.707190332305092E-2</v>
          </cell>
          <cell r="D488">
            <v>0.15826955194978698</v>
          </cell>
          <cell r="E488">
            <v>0.6226238261132987</v>
          </cell>
          <cell r="F488">
            <v>0.52691735556036645</v>
          </cell>
          <cell r="G488">
            <v>0.31966834963038077</v>
          </cell>
          <cell r="H488">
            <v>-0.33975958743009227</v>
          </cell>
          <cell r="I488">
            <v>-0.11487609725000009</v>
          </cell>
          <cell r="J488">
            <v>0.17570218598525592</v>
          </cell>
          <cell r="K488">
            <v>0.28413733640922606</v>
          </cell>
          <cell r="M488">
            <v>-0.25957070942652749</v>
          </cell>
          <cell r="N488">
            <v>-0.6367063228696217</v>
          </cell>
          <cell r="O488">
            <v>-0.29613012098734831</v>
          </cell>
          <cell r="P488">
            <v>-0.51955400366751436</v>
          </cell>
          <cell r="Q488">
            <v>-0.48142943184099579</v>
          </cell>
          <cell r="R488">
            <v>0.40295036845359711</v>
          </cell>
          <cell r="S488">
            <v>-0.34428435067392987</v>
          </cell>
          <cell r="T488">
            <v>-0.30496065300176289</v>
          </cell>
          <cell r="U488">
            <v>-0.18611066517540401</v>
          </cell>
        </row>
        <row r="489">
          <cell r="B489" t="str">
            <v>Last Reported Q</v>
          </cell>
          <cell r="C489">
            <v>-1.9933208662836408E-2</v>
          </cell>
          <cell r="D489">
            <v>4.7121114935010998E-2</v>
          </cell>
          <cell r="E489">
            <v>0.52329464885439214</v>
          </cell>
          <cell r="F489">
            <v>0.43447567580446406</v>
          </cell>
          <cell r="G489">
            <v>0.22179778818940543</v>
          </cell>
          <cell r="H489">
            <v>-0.47426963580467424</v>
          </cell>
          <cell r="I489">
            <v>-0.26506359909847371</v>
          </cell>
          <cell r="J489">
            <v>6.6774683459612613E-2</v>
          </cell>
          <cell r="K489">
            <v>0.18420323911802425</v>
          </cell>
          <cell r="M489">
            <v>-0.33690533113642818</v>
          </cell>
          <cell r="N489">
            <v>-0.79836155526275465</v>
          </cell>
          <cell r="O489">
            <v>-0.41568408664627049</v>
          </cell>
          <cell r="P489">
            <v>-0.57023011231105614</v>
          </cell>
          <cell r="Q489">
            <v>-0.52643631159272131</v>
          </cell>
          <cell r="R489">
            <v>0.18717424120299675</v>
          </cell>
          <cell r="S489">
            <v>-0.38675637639528909</v>
          </cell>
          <cell r="T489">
            <v>-0.40674279030593186</v>
          </cell>
          <cell r="U489">
            <v>-0.28900238332255856</v>
          </cell>
        </row>
        <row r="490">
          <cell r="B490" t="str">
            <v>Last Reported Q</v>
          </cell>
          <cell r="C490">
            <v>308</v>
          </cell>
          <cell r="D490">
            <v>237.6</v>
          </cell>
          <cell r="E490">
            <v>421.8</v>
          </cell>
          <cell r="F490">
            <v>220.7</v>
          </cell>
          <cell r="G490">
            <v>152.45599999999999</v>
          </cell>
          <cell r="H490">
            <v>124.648</v>
          </cell>
          <cell r="I490">
            <v>428.09199999999998</v>
          </cell>
          <cell r="M490">
            <v>88.73</v>
          </cell>
          <cell r="N490">
            <v>67.991</v>
          </cell>
          <cell r="O490">
            <v>209.393</v>
          </cell>
          <cell r="P490">
            <v>325.62</v>
          </cell>
          <cell r="Q490">
            <v>704</v>
          </cell>
          <cell r="R490">
            <v>328.25900000000001</v>
          </cell>
          <cell r="S490">
            <v>171.44390200000001</v>
          </cell>
        </row>
        <row r="491">
          <cell r="A491" t="str">
            <v>mscalc:bookValuePerShareReported</v>
          </cell>
          <cell r="B491" t="str">
            <v>Book Value per Share</v>
          </cell>
          <cell r="C491">
            <v>306.25</v>
          </cell>
          <cell r="D491">
            <v>229.17499999999998</v>
          </cell>
          <cell r="E491">
            <v>421.67500000000001</v>
          </cell>
          <cell r="F491">
            <v>218.42500000000001</v>
          </cell>
          <cell r="G491">
            <v>141.69149999999999</v>
          </cell>
          <cell r="H491">
            <v>126.26124999999999</v>
          </cell>
          <cell r="I491">
            <v>430.21950000000004</v>
          </cell>
          <cell r="M491">
            <v>88.140749999999997</v>
          </cell>
          <cell r="N491">
            <v>67.879500000000007</v>
          </cell>
          <cell r="O491">
            <v>208.06475</v>
          </cell>
          <cell r="P491">
            <v>326.54150000000004</v>
          </cell>
          <cell r="Q491">
            <v>701.75</v>
          </cell>
          <cell r="R491">
            <v>325.17600000000004</v>
          </cell>
          <cell r="S491">
            <v>170.63794924999999</v>
          </cell>
        </row>
        <row r="492">
          <cell r="B492" t="str">
            <v>FY0</v>
          </cell>
          <cell r="C492">
            <v>25.581971111559898</v>
          </cell>
          <cell r="D492">
            <v>20.228813559321999</v>
          </cell>
          <cell r="E492">
            <v>11.1522311579247</v>
          </cell>
          <cell r="F492">
            <v>7.2103264093207899</v>
          </cell>
          <cell r="G492">
            <v>6.7769218044169897</v>
          </cell>
          <cell r="H492">
            <v>9.4449871466029904</v>
          </cell>
          <cell r="I492">
            <v>7.0575837962216603</v>
          </cell>
          <cell r="M492">
            <v>20.809422060578498</v>
          </cell>
          <cell r="N492">
            <v>4.6120452582064999</v>
          </cell>
          <cell r="O492">
            <v>7.5511172122354298</v>
          </cell>
          <cell r="P492">
            <v>5.2874668910592098</v>
          </cell>
          <cell r="Q492">
            <v>7.3282179704913402</v>
          </cell>
          <cell r="R492">
            <v>6.7554028004188202</v>
          </cell>
          <cell r="S492">
            <v>7.6960105991444303</v>
          </cell>
        </row>
        <row r="493">
          <cell r="B493" t="str">
            <v>FY1</v>
          </cell>
          <cell r="C493">
            <v>28.987791150450199</v>
          </cell>
          <cell r="D493">
            <v>21.004944842021398</v>
          </cell>
          <cell r="E493">
            <v>12.80328947854</v>
          </cell>
          <cell r="F493">
            <v>9.2014588952335803</v>
          </cell>
          <cell r="G493">
            <v>6.6846983827321198</v>
          </cell>
          <cell r="H493">
            <v>10.5554386780573</v>
          </cell>
          <cell r="I493">
            <v>8.6548957537455706</v>
          </cell>
          <cell r="M493">
            <v>20.5779707680969</v>
          </cell>
          <cell r="N493">
            <v>5.9700213393204598</v>
          </cell>
          <cell r="O493">
            <v>7.7959405771838099</v>
          </cell>
          <cell r="P493">
            <v>6.2311363676978297</v>
          </cell>
          <cell r="Q493">
            <v>7.5766202395493298</v>
          </cell>
          <cell r="R493">
            <v>6.3691260799745004</v>
          </cell>
          <cell r="S493">
            <v>9.4237637110883892</v>
          </cell>
        </row>
        <row r="494">
          <cell r="B494" t="str">
            <v>FY2</v>
          </cell>
          <cell r="C494">
            <v>32.626001118711997</v>
          </cell>
          <cell r="D494">
            <v>21.959758464535799</v>
          </cell>
          <cell r="E494">
            <v>14.6807784009291</v>
          </cell>
          <cell r="F494">
            <v>10.9850032291769</v>
          </cell>
          <cell r="G494">
            <v>6.7748104299086203</v>
          </cell>
          <cell r="H494">
            <v>12.462182566505399</v>
          </cell>
          <cell r="I494">
            <v>10.707882158953799</v>
          </cell>
          <cell r="J494">
            <v>298.12399999999997</v>
          </cell>
          <cell r="K494">
            <v>1788.7439999999999</v>
          </cell>
          <cell r="M494">
            <v>20.862967341691199</v>
          </cell>
          <cell r="N494">
            <v>7.2792140908088303</v>
          </cell>
          <cell r="O494">
            <v>8.2988766572300605</v>
          </cell>
          <cell r="P494">
            <v>7.06096060554367</v>
          </cell>
          <cell r="Q494">
            <v>7.5439922520262002</v>
          </cell>
          <cell r="R494">
            <v>7.1588926320260802</v>
          </cell>
          <cell r="S494">
            <v>11.3433691405353</v>
          </cell>
          <cell r="T494">
            <v>104.35733333333333</v>
          </cell>
          <cell r="U494">
            <v>626.14400000000001</v>
          </cell>
        </row>
        <row r="495">
          <cell r="A495" t="str">
            <v>mstag:cashDividendsPaid</v>
          </cell>
          <cell r="B495" t="str">
            <v>FY(1)</v>
          </cell>
          <cell r="C495" t="str">
            <v>NA</v>
          </cell>
          <cell r="D495">
            <v>174</v>
          </cell>
          <cell r="E495">
            <v>230</v>
          </cell>
          <cell r="F495">
            <v>134</v>
          </cell>
          <cell r="G495">
            <v>7.43</v>
          </cell>
          <cell r="H495">
            <v>40.637999999999998</v>
          </cell>
          <cell r="I495">
            <v>151.49199999999999</v>
          </cell>
          <cell r="J495">
            <v>122.92666666666666</v>
          </cell>
          <cell r="K495">
            <v>737.56</v>
          </cell>
          <cell r="M495">
            <v>61.33</v>
          </cell>
          <cell r="N495">
            <v>0</v>
          </cell>
          <cell r="O495">
            <v>80.796000000000006</v>
          </cell>
          <cell r="P495">
            <v>0</v>
          </cell>
          <cell r="Q495">
            <v>252</v>
          </cell>
          <cell r="R495">
            <v>227</v>
          </cell>
          <cell r="S495" t="str">
            <v>NA</v>
          </cell>
          <cell r="T495">
            <v>103.521</v>
          </cell>
          <cell r="U495">
            <v>621.12599999999998</v>
          </cell>
        </row>
        <row r="496">
          <cell r="A496" t="str">
            <v>Free Cash Flow</v>
          </cell>
          <cell r="B496" t="str">
            <v>Free Cash Flow (EBITDA less interest, taxes at 38%, and capex)</v>
          </cell>
          <cell r="C496" t="str">
            <v>NA</v>
          </cell>
          <cell r="D496">
            <v>178</v>
          </cell>
          <cell r="E496">
            <v>221</v>
          </cell>
          <cell r="F496">
            <v>138</v>
          </cell>
          <cell r="G496">
            <v>1.1830000000000001</v>
          </cell>
          <cell r="H496">
            <v>49.838000000000001</v>
          </cell>
          <cell r="I496">
            <v>176.749</v>
          </cell>
          <cell r="J496">
            <v>127.46166666666666</v>
          </cell>
          <cell r="K496">
            <v>764.77</v>
          </cell>
          <cell r="M496">
            <v>60.768999999999998</v>
          </cell>
          <cell r="N496">
            <v>0</v>
          </cell>
          <cell r="O496">
            <v>82.394000000000005</v>
          </cell>
          <cell r="P496">
            <v>0</v>
          </cell>
          <cell r="Q496">
            <v>243</v>
          </cell>
          <cell r="R496">
            <v>201</v>
          </cell>
          <cell r="S496" t="str">
            <v>NA</v>
          </cell>
          <cell r="T496">
            <v>97.860500000000002</v>
          </cell>
          <cell r="U496">
            <v>587.16300000000001</v>
          </cell>
        </row>
        <row r="497">
          <cell r="B497" t="str">
            <v>FY(2)</v>
          </cell>
          <cell r="C497">
            <v>1360.4659999999999</v>
          </cell>
          <cell r="D497">
            <v>1336.1</v>
          </cell>
          <cell r="E497">
            <v>1743.44</v>
          </cell>
          <cell r="F497">
            <v>872.57001999999989</v>
          </cell>
          <cell r="G497">
            <v>141.49700592773291</v>
          </cell>
          <cell r="H497">
            <v>333.41181999999998</v>
          </cell>
          <cell r="I497">
            <v>1133.7966574336956</v>
          </cell>
          <cell r="J497">
            <v>988.754500480204</v>
          </cell>
          <cell r="K497">
            <v>6921.2815033614279</v>
          </cell>
          <cell r="M497">
            <v>181.81038000000001</v>
          </cell>
          <cell r="N497">
            <v>60.234480000000005</v>
          </cell>
          <cell r="O497">
            <v>165.19883999999999</v>
          </cell>
          <cell r="P497">
            <v>525.18407999999999</v>
          </cell>
          <cell r="Q497">
            <v>437.09999999999991</v>
          </cell>
          <cell r="R497">
            <v>-78.407379999999989</v>
          </cell>
          <cell r="S497">
            <v>61.648059999999987</v>
          </cell>
          <cell r="T497">
            <v>193.25263714285711</v>
          </cell>
          <cell r="U497">
            <v>1352.7684599999998</v>
          </cell>
        </row>
        <row r="498">
          <cell r="A498" t="str">
            <v>mstag:interestExpense</v>
          </cell>
          <cell r="B498" t="str">
            <v>FY(1)</v>
          </cell>
          <cell r="C498">
            <v>205.23620000000005</v>
          </cell>
          <cell r="D498">
            <v>-117.85800000000302</v>
          </cell>
          <cell r="E498">
            <v>414.92000000000007</v>
          </cell>
          <cell r="F498">
            <v>26.341619999999921</v>
          </cell>
          <cell r="G498">
            <v>-139.16627083414218</v>
          </cell>
          <cell r="H498">
            <v>167.75255881623235</v>
          </cell>
          <cell r="I498">
            <v>546.79914000000008</v>
          </cell>
          <cell r="J498">
            <v>157.71789256886959</v>
          </cell>
          <cell r="K498">
            <v>1104.0252479820872</v>
          </cell>
          <cell r="M498">
            <v>74.873244464512823</v>
          </cell>
          <cell r="N498">
            <v>98.973440000000011</v>
          </cell>
          <cell r="O498">
            <v>-3.5592199999999821</v>
          </cell>
          <cell r="P498">
            <v>618.83845999999994</v>
          </cell>
          <cell r="Q498">
            <v>858.59999999999991</v>
          </cell>
          <cell r="R498">
            <v>73.380319999999983</v>
          </cell>
          <cell r="S498">
            <v>117.67098000000001</v>
          </cell>
          <cell r="T498">
            <v>262.68246063778753</v>
          </cell>
          <cell r="U498">
            <v>1838.7772244645128</v>
          </cell>
        </row>
        <row r="499">
          <cell r="A499">
            <v>0.38</v>
          </cell>
          <cell r="B499" t="str">
            <v>FY0</v>
          </cell>
          <cell r="C499">
            <v>683.11999999999989</v>
          </cell>
          <cell r="D499">
            <v>-43.240000000000009</v>
          </cell>
          <cell r="E499">
            <v>846.96</v>
          </cell>
          <cell r="F499">
            <v>265.58000000000004</v>
          </cell>
          <cell r="G499">
            <v>-33.877099999999992</v>
          </cell>
          <cell r="H499">
            <v>395.02296000000001</v>
          </cell>
          <cell r="I499">
            <v>1050.4924400000002</v>
          </cell>
          <cell r="J499">
            <v>452.00832857142865</v>
          </cell>
          <cell r="K499">
            <v>3164.0583000000006</v>
          </cell>
          <cell r="M499">
            <v>62.684879999999993</v>
          </cell>
          <cell r="N499">
            <v>218.12030000000001</v>
          </cell>
          <cell r="O499">
            <v>120.84016000000001</v>
          </cell>
          <cell r="P499">
            <v>559.41203999999993</v>
          </cell>
          <cell r="Q499">
            <v>1143.46</v>
          </cell>
          <cell r="R499">
            <v>406.55790000000002</v>
          </cell>
          <cell r="S499">
            <v>144.51503698254709</v>
          </cell>
          <cell r="T499">
            <v>379.37004528322097</v>
          </cell>
          <cell r="U499">
            <v>2655.5903169825469</v>
          </cell>
        </row>
        <row r="500">
          <cell r="A500" t="str">
            <v>mstag:otherInterestIncomeExpense</v>
          </cell>
          <cell r="B500" t="str">
            <v>FY1</v>
          </cell>
          <cell r="C500">
            <v>680.79069688994991</v>
          </cell>
          <cell r="D500">
            <v>177.03400258655063</v>
          </cell>
          <cell r="E500">
            <v>935.13459901374267</v>
          </cell>
          <cell r="F500">
            <v>318.122968079369</v>
          </cell>
          <cell r="G500">
            <v>-13.694872436350408</v>
          </cell>
          <cell r="H500">
            <v>433.88313836270947</v>
          </cell>
          <cell r="I500">
            <v>1220.086555265349</v>
          </cell>
          <cell r="J500">
            <v>535.90815539447431</v>
          </cell>
          <cell r="K500">
            <v>3751.3570877613201</v>
          </cell>
          <cell r="M500">
            <v>64.570561609984964</v>
          </cell>
          <cell r="N500">
            <v>220.1304458997646</v>
          </cell>
          <cell r="O500">
            <v>224.03654899880598</v>
          </cell>
          <cell r="P500">
            <v>652.95258730104558</v>
          </cell>
          <cell r="Q500">
            <v>853.00671725937082</v>
          </cell>
          <cell r="R500">
            <v>465.44580975535899</v>
          </cell>
          <cell r="S500">
            <v>178.370021577594</v>
          </cell>
          <cell r="T500">
            <v>379.78752748598924</v>
          </cell>
          <cell r="U500">
            <v>2658.5126924019246</v>
          </cell>
        </row>
        <row r="501">
          <cell r="B501" t="str">
            <v>FY2</v>
          </cell>
          <cell r="C501">
            <v>722.01096722923512</v>
          </cell>
          <cell r="D501">
            <v>253.32779521420207</v>
          </cell>
          <cell r="E501">
            <v>924.7982950086739</v>
          </cell>
          <cell r="F501">
            <v>312.27250743986087</v>
          </cell>
          <cell r="G501">
            <v>79.398365058291446</v>
          </cell>
          <cell r="H501">
            <v>432.05155555638959</v>
          </cell>
          <cell r="I501">
            <v>1284.6515781260714</v>
          </cell>
          <cell r="J501">
            <v>572.64443766181773</v>
          </cell>
          <cell r="K501">
            <v>4008.5110636327245</v>
          </cell>
          <cell r="M501">
            <v>109.05470063555117</v>
          </cell>
          <cell r="N501">
            <v>216.65298271796476</v>
          </cell>
          <cell r="O501">
            <v>279.80100799880029</v>
          </cell>
          <cell r="P501">
            <v>680.55099082875904</v>
          </cell>
          <cell r="Q501">
            <v>939.98306811354939</v>
          </cell>
          <cell r="R501">
            <v>520.64507838295549</v>
          </cell>
          <cell r="S501">
            <v>215.82651155609608</v>
          </cell>
          <cell r="T501">
            <v>423.21633431909657</v>
          </cell>
          <cell r="U501">
            <v>2962.5143402336762</v>
          </cell>
        </row>
        <row r="502">
          <cell r="B502" t="str">
            <v>Last Reported Q</v>
          </cell>
          <cell r="C502" t="str">
            <v>NA</v>
          </cell>
          <cell r="D502">
            <v>47</v>
          </cell>
          <cell r="E502">
            <v>21</v>
          </cell>
          <cell r="F502">
            <v>35</v>
          </cell>
          <cell r="G502">
            <v>0</v>
          </cell>
          <cell r="H502">
            <v>13.734999999999999</v>
          </cell>
          <cell r="I502">
            <v>50.8</v>
          </cell>
          <cell r="J502">
            <v>27.922499999999999</v>
          </cell>
          <cell r="K502">
            <v>167.535</v>
          </cell>
          <cell r="M502">
            <v>16.858699999999999</v>
          </cell>
          <cell r="N502">
            <v>0</v>
          </cell>
          <cell r="O502">
            <v>20.757000000000001</v>
          </cell>
          <cell r="P502">
            <v>0</v>
          </cell>
          <cell r="Q502">
            <v>60</v>
          </cell>
          <cell r="R502">
            <v>49.238849999999999</v>
          </cell>
          <cell r="S502" t="str">
            <v>NA</v>
          </cell>
          <cell r="T502">
            <v>24.475758333333335</v>
          </cell>
          <cell r="U502">
            <v>146.85455000000002</v>
          </cell>
        </row>
        <row r="503">
          <cell r="B503" t="str">
            <v>Free Cash Flow/Sales</v>
          </cell>
          <cell r="C503">
            <v>0</v>
          </cell>
          <cell r="D503">
            <v>180</v>
          </cell>
          <cell r="E503">
            <v>118</v>
          </cell>
          <cell r="F503">
            <v>138</v>
          </cell>
          <cell r="G503">
            <v>0.53700000000000003</v>
          </cell>
          <cell r="H503">
            <v>54.201000000000001</v>
          </cell>
          <cell r="I503">
            <v>193.01299999999998</v>
          </cell>
          <cell r="J503">
            <v>97.678714285714278</v>
          </cell>
          <cell r="K503">
            <v>683.75099999999998</v>
          </cell>
          <cell r="M503">
            <v>62.804699999999997</v>
          </cell>
          <cell r="N503">
            <v>0</v>
          </cell>
          <cell r="O503">
            <v>83.063000000000002</v>
          </cell>
          <cell r="P503">
            <v>0</v>
          </cell>
          <cell r="Q503">
            <v>238</v>
          </cell>
          <cell r="R503">
            <v>193.23885000000001</v>
          </cell>
          <cell r="S503">
            <v>0</v>
          </cell>
          <cell r="T503">
            <v>82.443792857142853</v>
          </cell>
          <cell r="U503">
            <v>577.10654999999997</v>
          </cell>
        </row>
        <row r="504">
          <cell r="B504" t="str">
            <v>FY(2)</v>
          </cell>
          <cell r="C504">
            <v>8.2584118928959477E-2</v>
          </cell>
          <cell r="D504">
            <v>6.7272781284662894E-2</v>
          </cell>
          <cell r="E504">
            <v>6.6257743320792012E-2</v>
          </cell>
          <cell r="F504">
            <v>9.8843271958380621E-2</v>
          </cell>
          <cell r="G504">
            <v>4.3342392828759901E-2</v>
          </cell>
          <cell r="H504">
            <v>5.5799161602969057E-2</v>
          </cell>
          <cell r="I504">
            <v>6.1832011747009565E-2</v>
          </cell>
          <cell r="J504">
            <v>6.7990211667361938E-2</v>
          </cell>
          <cell r="K504">
            <v>6.9875221653607225E-2</v>
          </cell>
          <cell r="M504">
            <v>4.914250946574493E-2</v>
          </cell>
          <cell r="N504">
            <v>3.8046441883218811E-2</v>
          </cell>
          <cell r="O504">
            <v>5.4067491234426439E-2</v>
          </cell>
          <cell r="P504">
            <v>0.20103078482470135</v>
          </cell>
          <cell r="Q504">
            <v>2.7729493116792483E-2</v>
          </cell>
          <cell r="R504">
            <v>-7.7736567835179878E-3</v>
          </cell>
          <cell r="S504">
            <v>4.0888159901944908E-2</v>
          </cell>
          <cell r="T504">
            <v>5.7590174806187271E-2</v>
          </cell>
          <cell r="U504">
            <v>3.5313197223818864E-2</v>
          </cell>
        </row>
        <row r="505">
          <cell r="B505" t="str">
            <v>FY(1)</v>
          </cell>
          <cell r="C505">
            <v>1.2522878289574043E-2</v>
          </cell>
          <cell r="D505">
            <v>-6.3753643074999028E-3</v>
          </cell>
          <cell r="E505">
            <v>1.6668809255985861E-2</v>
          </cell>
          <cell r="F505">
            <v>3.1771342419490917E-3</v>
          </cell>
          <cell r="G505">
            <v>-4.5825289188847984E-2</v>
          </cell>
          <cell r="H505">
            <v>2.5863238332732671E-2</v>
          </cell>
          <cell r="I505">
            <v>2.8779651890930846E-2</v>
          </cell>
          <cell r="J505">
            <v>4.9730083592606613E-3</v>
          </cell>
          <cell r="K505">
            <v>1.1431092390628375E-2</v>
          </cell>
          <cell r="M505">
            <v>2.1490246705066201E-2</v>
          </cell>
          <cell r="N505">
            <v>5.2491017119315468E-2</v>
          </cell>
          <cell r="O505">
            <v>-1.1908457426466667E-3</v>
          </cell>
          <cell r="P505">
            <v>0.19455697495910562</v>
          </cell>
          <cell r="Q505">
            <v>5.9107806691449806E-2</v>
          </cell>
          <cell r="R505">
            <v>8.1148674494490071E-3</v>
          </cell>
          <cell r="S505">
            <v>6.4139226803617985E-2</v>
          </cell>
          <cell r="T505">
            <v>5.6958470569336783E-2</v>
          </cell>
          <cell r="U505">
            <v>4.9774058879925059E-2</v>
          </cell>
        </row>
        <row r="506">
          <cell r="B506" t="str">
            <v>FY0</v>
          </cell>
          <cell r="C506">
            <v>3.9769459160505317E-2</v>
          </cell>
          <cell r="D506">
            <v>-2.4627680711198658E-3</v>
          </cell>
          <cell r="E506">
            <v>3.605772914981481E-2</v>
          </cell>
          <cell r="F506">
            <v>3.2160329377573266E-2</v>
          </cell>
          <cell r="G506">
            <v>-1.2902072201423611E-2</v>
          </cell>
          <cell r="H506">
            <v>5.4984861946604312E-2</v>
          </cell>
          <cell r="I506">
            <v>5.1777871186178707E-2</v>
          </cell>
          <cell r="J506">
            <v>2.8483630078304706E-2</v>
          </cell>
          <cell r="K506">
            <v>3.2761061584019244E-2</v>
          </cell>
          <cell r="M506">
            <v>2.1404201630457975E-2</v>
          </cell>
          <cell r="N506">
            <v>9.7807188450768023E-2</v>
          </cell>
          <cell r="O506">
            <v>4.040722835002699E-2</v>
          </cell>
          <cell r="P506">
            <v>0.1731674915213523</v>
          </cell>
          <cell r="Q506">
            <v>8.0542368105937873E-2</v>
          </cell>
          <cell r="R506">
            <v>4.7095995481745138E-2</v>
          </cell>
          <cell r="S506">
            <v>7.4576281524576432E-2</v>
          </cell>
          <cell r="T506">
            <v>7.6428679294980664E-2</v>
          </cell>
          <cell r="U506">
            <v>7.3466191367664663E-2</v>
          </cell>
        </row>
        <row r="507">
          <cell r="B507" t="str">
            <v>FY1</v>
          </cell>
          <cell r="C507">
            <v>3.6803257951795759E-2</v>
          </cell>
          <cell r="D507">
            <v>9.9422774355722929E-3</v>
          </cell>
          <cell r="E507">
            <v>3.8099441311130286E-2</v>
          </cell>
          <cell r="F507">
            <v>3.5618222607814165E-2</v>
          </cell>
          <cell r="G507">
            <v>-5.0027060435742943E-3</v>
          </cell>
          <cell r="H507">
            <v>5.5598520850968301E-2</v>
          </cell>
          <cell r="I507">
            <v>5.5317283808356203E-2</v>
          </cell>
          <cell r="J507">
            <v>3.2339471131723245E-2</v>
          </cell>
          <cell r="K507">
            <v>3.6642275467751659E-2</v>
          </cell>
          <cell r="M507">
            <v>2.0415970470597081E-2</v>
          </cell>
          <cell r="N507">
            <v>9.0578807962802529E-2</v>
          </cell>
          <cell r="O507">
            <v>7.4955877918586475E-2</v>
          </cell>
          <cell r="P507">
            <v>0.18784054717553669</v>
          </cell>
          <cell r="Q507">
            <v>6.0678926608646197E-2</v>
          </cell>
          <cell r="R507">
            <v>5.1087560549650884E-2</v>
          </cell>
          <cell r="S507">
            <v>7.8872067209330793E-2</v>
          </cell>
          <cell r="T507">
            <v>8.0632822556450101E-2</v>
          </cell>
          <cell r="U507">
            <v>7.0916381862729541E-2</v>
          </cell>
        </row>
        <row r="508">
          <cell r="B508" t="str">
            <v>FY2</v>
          </cell>
          <cell r="C508">
            <v>3.6029295706379805E-2</v>
          </cell>
          <cell r="D508">
            <v>1.3920310414361453E-2</v>
          </cell>
          <cell r="E508">
            <v>3.736448357061728E-2</v>
          </cell>
          <cell r="F508">
            <v>3.3390176917072134E-2</v>
          </cell>
          <cell r="G508">
            <v>2.7077350511000488E-2</v>
          </cell>
          <cell r="H508">
            <v>5.2939374833065829E-2</v>
          </cell>
          <cell r="I508">
            <v>5.4643574172277366E-2</v>
          </cell>
          <cell r="J508">
            <v>3.6480652303539196E-2</v>
          </cell>
          <cell r="K508">
            <v>3.7482292599545136E-2</v>
          </cell>
          <cell r="M508">
            <v>3.1915815703665182E-2</v>
          </cell>
          <cell r="N508">
            <v>7.8763822416031151E-2</v>
          </cell>
          <cell r="O508">
            <v>8.4651764735319185E-2</v>
          </cell>
          <cell r="P508">
            <v>0.18307230899177407</v>
          </cell>
          <cell r="Q508">
            <v>6.9583157735798123E-2</v>
          </cell>
          <cell r="R508">
            <v>5.5070402142244991E-2</v>
          </cell>
          <cell r="S508">
            <v>8.3649771901842876E-2</v>
          </cell>
          <cell r="T508">
            <v>8.3815291946667939E-2</v>
          </cell>
          <cell r="U508">
            <v>7.6484772109785409E-2</v>
          </cell>
        </row>
        <row r="509">
          <cell r="B509" t="str">
            <v>FY1</v>
          </cell>
          <cell r="D509">
            <v>0.78550963147963926</v>
          </cell>
          <cell r="E509">
            <v>0.1993717773958395</v>
          </cell>
          <cell r="F509">
            <v>0.63496384836295683</v>
          </cell>
          <cell r="G509">
            <v>3.7211925699959076E-3</v>
          </cell>
          <cell r="H509">
            <v>0.44083291573044459</v>
          </cell>
          <cell r="I509">
            <v>0.46264560175149388</v>
          </cell>
          <cell r="M509">
            <v>0.73000681957512381</v>
          </cell>
          <cell r="N509">
            <v>0</v>
          </cell>
          <cell r="O509">
            <v>0.39783823264566592</v>
          </cell>
          <cell r="P509">
            <v>0.29736306688131298</v>
          </cell>
          <cell r="Q509">
            <v>0.33916219577575579</v>
          </cell>
          <cell r="R509">
            <v>0.59587734423778893</v>
          </cell>
          <cell r="S509" t="e">
            <v>#VALUE!</v>
          </cell>
        </row>
        <row r="510">
          <cell r="B510" t="str">
            <v>Free Cash Flow/Share</v>
          </cell>
          <cell r="D510">
            <v>0.86406059462760387</v>
          </cell>
          <cell r="E510">
            <v>0.2309150600599611</v>
          </cell>
          <cell r="F510">
            <v>0.63496384836295727</v>
          </cell>
          <cell r="G510">
            <v>0</v>
          </cell>
          <cell r="H510">
            <v>0.47713743550384785</v>
          </cell>
          <cell r="I510">
            <v>0.53528137752412319</v>
          </cell>
          <cell r="M510">
            <v>0.78806017555813523</v>
          </cell>
          <cell r="N510">
            <v>0</v>
          </cell>
          <cell r="O510">
            <v>0.41521422924591944</v>
          </cell>
          <cell r="P510">
            <v>0.3270077479111474</v>
          </cell>
          <cell r="Q510">
            <v>0.38380166486551759</v>
          </cell>
          <cell r="R510">
            <v>0.62236453288448068</v>
          </cell>
          <cell r="S510" t="e">
            <v>#VALUE!</v>
          </cell>
        </row>
        <row r="511">
          <cell r="B511" t="str">
            <v>FY(2)</v>
          </cell>
          <cell r="C511">
            <v>4.2490893744343969</v>
          </cell>
          <cell r="D511">
            <v>5.9336071944043516</v>
          </cell>
          <cell r="E511">
            <v>3.8593027116768126</v>
          </cell>
          <cell r="F511">
            <v>3.5063074111764871</v>
          </cell>
          <cell r="G511">
            <v>0.92162447683014992</v>
          </cell>
          <cell r="H511">
            <v>2.4313646589537625</v>
          </cell>
          <cell r="I511">
            <v>2.4224043308428991</v>
          </cell>
          <cell r="M511">
            <v>1.9864993498901917</v>
          </cell>
          <cell r="N511">
            <v>0.53651925286588464</v>
          </cell>
          <cell r="O511">
            <v>0.74994933720719081</v>
          </cell>
          <cell r="P511">
            <v>1.3917469975301837</v>
          </cell>
          <cell r="Q511">
            <v>0.55059964786060023</v>
          </cell>
          <cell r="R511">
            <v>-0.2062102633864612</v>
          </cell>
          <cell r="S511">
            <v>0.36341394076755845</v>
          </cell>
        </row>
        <row r="512">
          <cell r="B512" t="str">
            <v>FY(1)</v>
          </cell>
          <cell r="C512">
            <v>0.66934487847434565</v>
          </cell>
          <cell r="D512">
            <v>-0.52880762759395628</v>
          </cell>
          <cell r="E512">
            <v>0.98456427596844054</v>
          </cell>
          <cell r="F512">
            <v>0.12026764068028728</v>
          </cell>
          <cell r="G512">
            <v>-1.0056528994258165</v>
          </cell>
          <cell r="H512">
            <v>1.2780636112935091</v>
          </cell>
          <cell r="I512">
            <v>1.23638882545138</v>
          </cell>
          <cell r="M512">
            <v>0.83853069698528215</v>
          </cell>
          <cell r="N512">
            <v>0.97641608460597462</v>
          </cell>
          <cell r="O512">
            <v>-1.71460916649805E-2</v>
          </cell>
          <cell r="P512">
            <v>1.7177598894128945</v>
          </cell>
          <cell r="Q512">
            <v>1.1941585535465924</v>
          </cell>
          <cell r="R512">
            <v>0.21755144514839858</v>
          </cell>
          <cell r="S512">
            <v>0.6887105598096076</v>
          </cell>
        </row>
        <row r="513">
          <cell r="B513" t="str">
            <v>FY0</v>
          </cell>
          <cell r="C513">
            <v>2.22514657980456</v>
          </cell>
          <cell r="D513">
            <v>-0.18569894782048532</v>
          </cell>
          <cell r="E513">
            <v>2.0053510121936782</v>
          </cell>
          <cell r="F513">
            <v>1.209105394946506</v>
          </cell>
          <cell r="G513">
            <v>-0.23070050291294525</v>
          </cell>
          <cell r="H513">
            <v>3.1587622369933528</v>
          </cell>
          <cell r="I513">
            <v>2.4579735903402469</v>
          </cell>
          <cell r="M513">
            <v>0.70946813838531597</v>
          </cell>
          <cell r="N513">
            <v>2.1590778497348424</v>
          </cell>
          <cell r="O513">
            <v>0.57791712897425107</v>
          </cell>
          <cell r="P513">
            <v>1.7179904182789754</v>
          </cell>
          <cell r="Q513">
            <v>1.6370221904080173</v>
          </cell>
          <cell r="R513">
            <v>1.2441904732759017</v>
          </cell>
          <cell r="S513">
            <v>0.84400480291871405</v>
          </cell>
        </row>
        <row r="514">
          <cell r="B514" t="str">
            <v>FY1</v>
          </cell>
          <cell r="C514">
            <v>2.1951450951174922</v>
          </cell>
          <cell r="D514">
            <v>0.74603456631500475</v>
          </cell>
          <cell r="E514">
            <v>2.1955124058266442</v>
          </cell>
          <cell r="F514">
            <v>1.4328531067238148</v>
          </cell>
          <cell r="G514">
            <v>-9.0055927496579119E-2</v>
          </cell>
          <cell r="H514">
            <v>3.5734863855257211</v>
          </cell>
          <cell r="I514">
            <v>2.9684399163408011</v>
          </cell>
          <cell r="M514">
            <v>0.74223864787224936</v>
          </cell>
          <cell r="N514">
            <v>2.3366848582764055</v>
          </cell>
          <cell r="O514">
            <v>1.0447714364107594</v>
          </cell>
          <cell r="P514">
            <v>2.0554148784630577</v>
          </cell>
          <cell r="Q514">
            <v>1.2998429620665346</v>
          </cell>
          <cell r="R514">
            <v>1.4451999331855581</v>
          </cell>
          <cell r="S514">
            <v>1.0344969730953626</v>
          </cell>
        </row>
        <row r="515">
          <cell r="B515" t="str">
            <v>FY2</v>
          </cell>
          <cell r="C515">
            <v>2.3970045054472342</v>
          </cell>
          <cell r="D515">
            <v>1.067257525113209</v>
          </cell>
          <cell r="E515">
            <v>2.1712447937658159</v>
          </cell>
          <cell r="F515">
            <v>1.4389650502363978</v>
          </cell>
          <cell r="G515">
            <v>0.48361756194990174</v>
          </cell>
          <cell r="H515">
            <v>3.7535223162014</v>
          </cell>
          <cell r="I515">
            <v>3.260057704660106</v>
          </cell>
          <cell r="M515">
            <v>1.3127786118715399</v>
          </cell>
          <cell r="N515">
            <v>2.5241314071906578</v>
          </cell>
          <cell r="O515">
            <v>1.291288849083452</v>
          </cell>
          <cell r="P515">
            <v>2.2381603419179101</v>
          </cell>
          <cell r="Q515">
            <v>1.5436247730291666</v>
          </cell>
          <cell r="R515">
            <v>1.6420317539906257</v>
          </cell>
          <cell r="S515">
            <v>1.2551492139054254</v>
          </cell>
        </row>
        <row r="517">
          <cell r="A517" t="str">
            <v>mstag:fundsUsedToRepurchaseCommonStock</v>
          </cell>
          <cell r="B517" t="str">
            <v>Capex</v>
          </cell>
        </row>
        <row r="518">
          <cell r="B518" t="str">
            <v>FY(5)</v>
          </cell>
          <cell r="C518">
            <v>889.59799999999996</v>
          </cell>
          <cell r="D518">
            <v>398</v>
          </cell>
          <cell r="E518">
            <v>548</v>
          </cell>
          <cell r="F518">
            <v>246.851</v>
          </cell>
          <cell r="G518">
            <v>96.013000000000005</v>
          </cell>
          <cell r="H518">
            <v>149.541</v>
          </cell>
          <cell r="I518">
            <v>429.13299999999998</v>
          </cell>
          <cell r="J518">
            <v>393.87657142857142</v>
          </cell>
          <cell r="K518">
            <v>2757.136</v>
          </cell>
          <cell r="M518">
            <v>185.065</v>
          </cell>
          <cell r="N518">
            <v>46.677</v>
          </cell>
          <cell r="O518">
            <v>97.287999999999997</v>
          </cell>
          <cell r="P518">
            <v>67.692999999999998</v>
          </cell>
          <cell r="Q518">
            <v>419</v>
          </cell>
          <cell r="R518">
            <v>431</v>
          </cell>
          <cell r="S518">
            <v>75.141000000000005</v>
          </cell>
          <cell r="T518">
            <v>188.8377142857143</v>
          </cell>
          <cell r="U518">
            <v>1321.864</v>
          </cell>
        </row>
        <row r="519">
          <cell r="B519" t="str">
            <v>FY(4)</v>
          </cell>
          <cell r="C519">
            <v>828.09500000000003</v>
          </cell>
          <cell r="D519">
            <v>535</v>
          </cell>
          <cell r="E519">
            <v>656</v>
          </cell>
          <cell r="F519">
            <v>271.65899999999999</v>
          </cell>
          <cell r="G519">
            <v>130.124</v>
          </cell>
          <cell r="H519">
            <v>175.851</v>
          </cell>
          <cell r="I519">
            <v>495.94799999999998</v>
          </cell>
          <cell r="J519">
            <v>441.81099999999998</v>
          </cell>
          <cell r="K519">
            <v>3092.6769999999997</v>
          </cell>
          <cell r="M519">
            <v>256.42200000000003</v>
          </cell>
          <cell r="N519">
            <v>58.289000000000001</v>
          </cell>
          <cell r="O519">
            <v>81.545000000000002</v>
          </cell>
          <cell r="P519">
            <v>94.591999999999999</v>
          </cell>
          <cell r="Q519">
            <v>600</v>
          </cell>
          <cell r="R519">
            <v>480</v>
          </cell>
          <cell r="S519">
            <v>127.73</v>
          </cell>
          <cell r="T519">
            <v>242.654</v>
          </cell>
          <cell r="U519">
            <v>1698.578</v>
          </cell>
        </row>
        <row r="520">
          <cell r="B520" t="str">
            <v>FY(3)</v>
          </cell>
          <cell r="C520">
            <v>1163.0920000000001</v>
          </cell>
          <cell r="D520">
            <v>772</v>
          </cell>
          <cell r="E520">
            <v>1392</v>
          </cell>
          <cell r="F520">
            <v>264.43700000000001</v>
          </cell>
          <cell r="G520">
            <v>123.679</v>
          </cell>
          <cell r="H520">
            <v>223.95500000000001</v>
          </cell>
          <cell r="I520">
            <v>378.01100000000002</v>
          </cell>
          <cell r="J520">
            <v>616.73914285714284</v>
          </cell>
          <cell r="K520">
            <v>4317.174</v>
          </cell>
          <cell r="M520">
            <v>403.476</v>
          </cell>
          <cell r="N520">
            <v>44.948999999999998</v>
          </cell>
          <cell r="O520">
            <v>225.93899999999999</v>
          </cell>
          <cell r="P520">
            <v>133.876</v>
          </cell>
          <cell r="Q520">
            <v>572</v>
          </cell>
          <cell r="R520">
            <v>548</v>
          </cell>
          <cell r="S520">
            <v>212.029</v>
          </cell>
          <cell r="T520">
            <v>305.75271428571432</v>
          </cell>
          <cell r="U520">
            <v>2140.2690000000002</v>
          </cell>
        </row>
        <row r="521">
          <cell r="B521" t="str">
            <v>FY(2)</v>
          </cell>
          <cell r="C521">
            <v>1541.683</v>
          </cell>
          <cell r="D521">
            <v>1243</v>
          </cell>
          <cell r="E521">
            <v>1105</v>
          </cell>
          <cell r="F521">
            <v>501</v>
          </cell>
          <cell r="G521">
            <v>136.726</v>
          </cell>
          <cell r="H521">
            <v>236.12100000000001</v>
          </cell>
          <cell r="I521">
            <v>526.98699999999997</v>
          </cell>
          <cell r="J521">
            <v>755.78814285714282</v>
          </cell>
          <cell r="K521">
            <v>5290.5169999999998</v>
          </cell>
          <cell r="M521">
            <v>403.34500000000003</v>
          </cell>
          <cell r="N521">
            <v>82.305999999999997</v>
          </cell>
          <cell r="O521">
            <v>250.40700000000001</v>
          </cell>
          <cell r="P521">
            <v>140.87200000000001</v>
          </cell>
          <cell r="Q521">
            <v>682</v>
          </cell>
          <cell r="R521">
            <v>749</v>
          </cell>
          <cell r="S521">
            <v>115.37</v>
          </cell>
          <cell r="T521">
            <v>346.18571428571431</v>
          </cell>
          <cell r="U521">
            <v>2423.3000000000002</v>
          </cell>
        </row>
        <row r="522">
          <cell r="A522" t="str">
            <v>mstag:capitalExpenditures</v>
          </cell>
          <cell r="B522" t="str">
            <v>FY(1)</v>
          </cell>
          <cell r="C522">
            <v>1014</v>
          </cell>
          <cell r="D522">
            <v>969</v>
          </cell>
          <cell r="E522">
            <v>897</v>
          </cell>
          <cell r="F522">
            <v>563</v>
          </cell>
          <cell r="G522">
            <v>127.30500000000001</v>
          </cell>
          <cell r="H522">
            <v>224.41800000000001</v>
          </cell>
          <cell r="I522">
            <v>582.93200000000002</v>
          </cell>
          <cell r="J522">
            <v>625.37928571428563</v>
          </cell>
          <cell r="K522">
            <v>4377.6549999999997</v>
          </cell>
          <cell r="M522">
            <v>367.60199999999998</v>
          </cell>
          <cell r="N522">
            <v>83.034999999999997</v>
          </cell>
          <cell r="O522">
            <v>265.33499999999998</v>
          </cell>
          <cell r="P522">
            <v>174.72</v>
          </cell>
          <cell r="Q522">
            <v>431</v>
          </cell>
          <cell r="R522">
            <v>479</v>
          </cell>
          <cell r="S522">
            <v>112.553</v>
          </cell>
          <cell r="T522">
            <v>273.32071428571425</v>
          </cell>
          <cell r="U522">
            <v>1913.2449999999999</v>
          </cell>
        </row>
        <row r="523">
          <cell r="B523" t="str">
            <v>FY0</v>
          </cell>
          <cell r="C523">
            <v>666</v>
          </cell>
          <cell r="D523">
            <v>600</v>
          </cell>
          <cell r="E523">
            <v>460</v>
          </cell>
          <cell r="F523">
            <v>360</v>
          </cell>
          <cell r="G523">
            <v>74.576999999999998</v>
          </cell>
          <cell r="H523">
            <v>158.48699999999999</v>
          </cell>
          <cell r="I523">
            <v>429.3</v>
          </cell>
          <cell r="J523">
            <v>392.62342857142863</v>
          </cell>
          <cell r="K523">
            <v>2748.3640000000005</v>
          </cell>
          <cell r="M523">
            <v>175.47200000000001</v>
          </cell>
          <cell r="N523">
            <v>53.883000000000003</v>
          </cell>
          <cell r="O523">
            <v>127.419</v>
          </cell>
          <cell r="P523">
            <v>137.029</v>
          </cell>
          <cell r="Q523">
            <v>334</v>
          </cell>
          <cell r="R523">
            <v>202</v>
          </cell>
          <cell r="S523">
            <v>119.162038443713</v>
          </cell>
          <cell r="T523">
            <v>164.13786263481614</v>
          </cell>
          <cell r="U523">
            <v>1148.965038443713</v>
          </cell>
        </row>
        <row r="524">
          <cell r="B524" t="str">
            <v>FY1</v>
          </cell>
          <cell r="C524">
            <v>907.58838587964101</v>
          </cell>
          <cell r="D524">
            <v>516.37928113343298</v>
          </cell>
          <cell r="E524">
            <v>565.12585635259802</v>
          </cell>
          <cell r="F524">
            <v>455.23699236309801</v>
          </cell>
          <cell r="G524">
            <v>77.761425590910207</v>
          </cell>
          <cell r="H524">
            <v>216.66670210473899</v>
          </cell>
          <cell r="I524">
            <v>471.33063965813898</v>
          </cell>
          <cell r="J524">
            <v>458.58418329750833</v>
          </cell>
          <cell r="K524">
            <v>3210.0892830825583</v>
          </cell>
          <cell r="M524">
            <v>252.64958018246</v>
          </cell>
          <cell r="N524">
            <v>79.400220215663794</v>
          </cell>
          <cell r="O524">
            <v>104.611932148604</v>
          </cell>
          <cell r="P524">
            <v>109.483966350592</v>
          </cell>
          <cell r="Q524">
            <v>588.34474706810602</v>
          </cell>
          <cell r="R524">
            <v>273.32239281791698</v>
          </cell>
          <cell r="S524">
            <v>148.61906341465499</v>
          </cell>
          <cell r="T524">
            <v>222.34741459971397</v>
          </cell>
          <cell r="U524">
            <v>1556.4319021979977</v>
          </cell>
          <cell r="W524">
            <v>4766.521185280556</v>
          </cell>
        </row>
        <row r="525">
          <cell r="B525" t="str">
            <v>FY2</v>
          </cell>
          <cell r="C525">
            <v>1083.4152741635201</v>
          </cell>
          <cell r="D525">
            <v>545.95290120724496</v>
          </cell>
          <cell r="E525">
            <v>705.395843567165</v>
          </cell>
          <cell r="F525">
            <v>533.07692763290902</v>
          </cell>
          <cell r="G525">
            <v>36.653496169259</v>
          </cell>
          <cell r="H525">
            <v>234.750554079805</v>
          </cell>
          <cell r="I525">
            <v>525.90098383666202</v>
          </cell>
          <cell r="J525">
            <v>523.59228295093794</v>
          </cell>
          <cell r="K525">
            <v>3665.1459806565654</v>
          </cell>
          <cell r="M525">
            <v>269.53895223304102</v>
          </cell>
          <cell r="N525">
            <v>89.868208191571199</v>
          </cell>
          <cell r="O525">
            <v>109.075496451026</v>
          </cell>
          <cell r="P525">
            <v>139.387978389967</v>
          </cell>
          <cell r="Q525">
            <v>513.33336615648602</v>
          </cell>
          <cell r="R525">
            <v>320.49644583297498</v>
          </cell>
          <cell r="S525">
            <v>169.55707228555099</v>
          </cell>
          <cell r="T525">
            <v>230.17964564865957</v>
          </cell>
          <cell r="U525">
            <v>1611.2575195406171</v>
          </cell>
          <cell r="W525">
            <v>5276.4035001971824</v>
          </cell>
          <cell r="X525">
            <v>0.10697158264840789</v>
          </cell>
        </row>
        <row r="526">
          <cell r="B526" t="str">
            <v>Last Reported Q</v>
          </cell>
          <cell r="C526" t="str">
            <v>NA</v>
          </cell>
          <cell r="D526" t="str">
            <v>NA</v>
          </cell>
          <cell r="E526">
            <v>0</v>
          </cell>
          <cell r="F526">
            <v>0</v>
          </cell>
          <cell r="G526" t="str">
            <v>NA</v>
          </cell>
          <cell r="H526">
            <v>75.445999999999998</v>
          </cell>
          <cell r="I526">
            <v>293.8</v>
          </cell>
          <cell r="J526">
            <v>92.311499999999995</v>
          </cell>
          <cell r="K526">
            <v>369.24599999999998</v>
          </cell>
          <cell r="M526">
            <v>0</v>
          </cell>
          <cell r="N526">
            <v>20</v>
          </cell>
          <cell r="O526">
            <v>3.5000000000000003E-2</v>
          </cell>
          <cell r="P526" t="str">
            <v>NA</v>
          </cell>
          <cell r="Q526">
            <v>61</v>
          </cell>
          <cell r="R526" t="str">
            <v>NA</v>
          </cell>
          <cell r="S526">
            <v>0</v>
          </cell>
          <cell r="T526">
            <v>16.207000000000001</v>
          </cell>
          <cell r="U526">
            <v>81.034999999999997</v>
          </cell>
        </row>
        <row r="527">
          <cell r="B527" t="str">
            <v>Capex/Sales</v>
          </cell>
          <cell r="C527">
            <v>0</v>
          </cell>
          <cell r="D527">
            <v>0</v>
          </cell>
          <cell r="E527">
            <v>1</v>
          </cell>
          <cell r="F527">
            <v>0</v>
          </cell>
          <cell r="G527">
            <v>0</v>
          </cell>
          <cell r="H527">
            <v>298.41300000000001</v>
          </cell>
          <cell r="I527">
            <v>614.49799999999993</v>
          </cell>
          <cell r="J527">
            <v>130.55871428571427</v>
          </cell>
          <cell r="K527">
            <v>913.91099999999994</v>
          </cell>
          <cell r="M527">
            <v>0</v>
          </cell>
          <cell r="N527">
            <v>33.474000000000004</v>
          </cell>
          <cell r="O527">
            <v>0.2479999999999998</v>
          </cell>
          <cell r="P527">
            <v>0</v>
          </cell>
          <cell r="Q527">
            <v>218</v>
          </cell>
          <cell r="R527">
            <v>0</v>
          </cell>
          <cell r="S527">
            <v>0</v>
          </cell>
          <cell r="T527">
            <v>35.960285714285718</v>
          </cell>
          <cell r="U527">
            <v>251.72200000000001</v>
          </cell>
          <cell r="W527">
            <v>0.14175826821147752</v>
          </cell>
        </row>
        <row r="528">
          <cell r="B528" t="str">
            <v>FY(2)</v>
          </cell>
          <cell r="C528">
            <v>9.3584501356707955E-2</v>
          </cell>
          <cell r="D528">
            <v>6.2585186091487152E-2</v>
          </cell>
          <cell r="E528">
            <v>4.1994451411849654E-2</v>
          </cell>
          <cell r="F528">
            <v>5.6752441770975236E-2</v>
          </cell>
          <cell r="G528">
            <v>4.188097100041567E-2</v>
          </cell>
          <cell r="H528">
            <v>3.9516756894985482E-2</v>
          </cell>
          <cell r="I528">
            <v>2.8739427092928149E-2</v>
          </cell>
          <cell r="J528">
            <v>5.2150533659907031E-2</v>
          </cell>
          <cell r="K528">
            <v>5.3411503037065926E-2</v>
          </cell>
          <cell r="M528">
            <v>0.10902229828935447</v>
          </cell>
          <cell r="N528">
            <v>5.1987672934840759E-2</v>
          </cell>
          <cell r="O528">
            <v>8.1955044463623491E-2</v>
          </cell>
          <cell r="P528">
            <v>5.3923204831009597E-2</v>
          </cell>
          <cell r="Q528">
            <v>4.3265875785066292E-2</v>
          </cell>
          <cell r="R528">
            <v>7.4259195127486383E-2</v>
          </cell>
          <cell r="S528">
            <v>7.6519309900220475E-2</v>
          </cell>
          <cell r="T528">
            <v>7.0133228761657368E-2</v>
          </cell>
          <cell r="U528">
            <v>6.3258771447465792E-2</v>
          </cell>
        </row>
        <row r="529">
          <cell r="B529" t="str">
            <v>FY(1)</v>
          </cell>
          <cell r="C529">
            <v>6.1871144494139323E-2</v>
          </cell>
          <cell r="D529">
            <v>5.2416704966716285E-2</v>
          </cell>
          <cell r="E529">
            <v>3.6035674112164552E-2</v>
          </cell>
          <cell r="F529">
            <v>6.7904957182487027E-2</v>
          </cell>
          <cell r="G529">
            <v>4.1919557125583824E-2</v>
          </cell>
          <cell r="H529">
            <v>3.4599628530933429E-2</v>
          </cell>
          <cell r="I529">
            <v>3.0681430910963207E-2</v>
          </cell>
          <cell r="J529">
            <v>4.6489871046141093E-2</v>
          </cell>
          <cell r="K529">
            <v>4.5326299240674772E-2</v>
          </cell>
          <cell r="M529">
            <v>0.10550975486336762</v>
          </cell>
          <cell r="N529">
            <v>4.4037992480632775E-2</v>
          </cell>
          <cell r="O529">
            <v>8.8775927064119339E-2</v>
          </cell>
          <cell r="P529">
            <v>5.4930320046454352E-2</v>
          </cell>
          <cell r="Q529">
            <v>2.9670934875395842E-2</v>
          </cell>
          <cell r="R529">
            <v>5.2970898849801627E-2</v>
          </cell>
          <cell r="S529">
            <v>6.1349556147383272E-2</v>
          </cell>
          <cell r="T529">
            <v>6.2463626332450693E-2</v>
          </cell>
          <cell r="U529">
            <v>5.1789835122335176E-2</v>
          </cell>
        </row>
        <row r="530">
          <cell r="B530" t="str">
            <v>FY0</v>
          </cell>
          <cell r="C530">
            <v>3.8772777551376841E-2</v>
          </cell>
          <cell r="D530">
            <v>3.4173469997037909E-2</v>
          </cell>
          <cell r="E530">
            <v>1.9583634892928605E-2</v>
          </cell>
          <cell r="F530">
            <v>4.359409057883265E-2</v>
          </cell>
          <cell r="G530">
            <v>2.8402603486295135E-2</v>
          </cell>
          <cell r="H530">
            <v>2.206045394255432E-2</v>
          </cell>
          <cell r="I530">
            <v>2.115982871825952E-2</v>
          </cell>
          <cell r="J530">
            <v>2.9678122738183571E-2</v>
          </cell>
          <cell r="K530">
            <v>2.8456909994136789E-2</v>
          </cell>
          <cell r="M530">
            <v>5.9916172265141496E-2</v>
          </cell>
          <cell r="N530">
            <v>2.4161642613240185E-2</v>
          </cell>
          <cell r="O530">
            <v>4.2607098742107656E-2</v>
          </cell>
          <cell r="P530">
            <v>4.2417693040141556E-2</v>
          </cell>
          <cell r="Q530">
            <v>2.3526097062759738E-2</v>
          </cell>
          <cell r="R530">
            <v>2.3399843139962396E-2</v>
          </cell>
          <cell r="S530">
            <v>6.149299001386252E-2</v>
          </cell>
          <cell r="T530">
            <v>3.9645933839602229E-2</v>
          </cell>
          <cell r="U530">
            <v>3.1785808544811306E-2</v>
          </cell>
        </row>
        <row r="531">
          <cell r="B531" t="str">
            <v>FY1</v>
          </cell>
          <cell r="C531">
            <v>4.906384536712001E-2</v>
          </cell>
          <cell r="D531">
            <v>2.9000000000000019E-2</v>
          </cell>
          <cell r="E531">
            <v>2.3024470937356083E-2</v>
          </cell>
          <cell r="F531">
            <v>5.0970015246604841E-2</v>
          </cell>
          <cell r="G531">
            <v>2.8406073555532135E-2</v>
          </cell>
          <cell r="H531">
            <v>2.7764038492343043E-2</v>
          </cell>
          <cell r="I531">
            <v>2.1369574682242889E-2</v>
          </cell>
          <cell r="J531">
            <v>3.2799716897314146E-2</v>
          </cell>
          <cell r="K531">
            <v>3.1355313033391612E-2</v>
          </cell>
          <cell r="M531">
            <v>7.9882941077226516E-2</v>
          </cell>
          <cell r="N531">
            <v>3.2671433838796095E-2</v>
          </cell>
          <cell r="O531">
            <v>3.500000000000001E-2</v>
          </cell>
          <cell r="P531">
            <v>3.1496204389433645E-2</v>
          </cell>
          <cell r="Q531">
            <v>4.1852106209232701E-2</v>
          </cell>
          <cell r="R531">
            <v>3.0000000000000061E-2</v>
          </cell>
          <cell r="S531">
            <v>6.5716719965351583E-2</v>
          </cell>
          <cell r="T531">
            <v>4.5231343640005806E-2</v>
          </cell>
          <cell r="U531">
            <v>4.1518146381270146E-2</v>
          </cell>
        </row>
        <row r="532">
          <cell r="B532" t="str">
            <v>FY2</v>
          </cell>
          <cell r="C532">
            <v>5.4063845367119855E-2</v>
          </cell>
          <cell r="D532">
            <v>0.03</v>
          </cell>
          <cell r="E532">
            <v>2.8499999999999838E-2</v>
          </cell>
          <cell r="F532">
            <v>5.7000000000000065E-2</v>
          </cell>
          <cell r="G532">
            <v>1.2499999999999957E-2</v>
          </cell>
          <cell r="H532">
            <v>2.8764038492343064E-2</v>
          </cell>
          <cell r="I532">
            <v>2.2369574682242845E-2</v>
          </cell>
          <cell r="J532">
            <v>3.3313922648815095E-2</v>
          </cell>
          <cell r="K532">
            <v>3.4271596581928084E-2</v>
          </cell>
          <cell r="M532">
            <v>7.8882941077226418E-2</v>
          </cell>
          <cell r="N532">
            <v>3.2671433838796143E-2</v>
          </cell>
          <cell r="O532">
            <v>3.2999999999999953E-2</v>
          </cell>
          <cell r="P532">
            <v>3.7496204389433692E-2</v>
          </cell>
          <cell r="Q532">
            <v>3.800000000000011E-2</v>
          </cell>
          <cell r="R532">
            <v>3.3899999999999965E-2</v>
          </cell>
          <cell r="S532">
            <v>6.5716719965351306E-2</v>
          </cell>
          <cell r="T532">
            <v>4.5666757038686799E-2</v>
          </cell>
          <cell r="U532">
            <v>4.1598672627023166E-2</v>
          </cell>
        </row>
        <row r="533">
          <cell r="B533" t="str">
            <v>FY1</v>
          </cell>
          <cell r="C533">
            <v>0</v>
          </cell>
          <cell r="D533">
            <v>182.945193171608</v>
          </cell>
          <cell r="E533">
            <v>85.1</v>
          </cell>
          <cell r="F533">
            <v>139.1936024</v>
          </cell>
          <cell r="G533">
            <v>0.54100000000000004</v>
          </cell>
          <cell r="H533">
            <v>355.01931090619053</v>
          </cell>
          <cell r="I533">
            <v>823.37161142857099</v>
          </cell>
          <cell r="J533">
            <v>226.59581684376707</v>
          </cell>
          <cell r="K533">
            <v>1586.1707179063694</v>
          </cell>
          <cell r="M533">
            <v>64.431664990000002</v>
          </cell>
          <cell r="N533">
            <v>88.472999999999999</v>
          </cell>
          <cell r="O533">
            <v>83.486885200000003</v>
          </cell>
          <cell r="P533">
            <v>95.706649923605795</v>
          </cell>
          <cell r="Q533">
            <v>492.82129880369598</v>
          </cell>
          <cell r="R533">
            <v>194.73504270000001</v>
          </cell>
          <cell r="S533">
            <v>0</v>
          </cell>
          <cell r="T533">
            <v>145.6649345167574</v>
          </cell>
          <cell r="U533">
            <v>1019.6545416173018</v>
          </cell>
        </row>
        <row r="534">
          <cell r="A534" t="str">
            <v>mstag:averageDilutedSharesOutstanding</v>
          </cell>
          <cell r="B534" t="str">
            <v>Shares</v>
          </cell>
          <cell r="C534">
            <v>0</v>
          </cell>
          <cell r="D534">
            <v>205.90563969975801</v>
          </cell>
          <cell r="E534">
            <v>97.307606309267598</v>
          </cell>
          <cell r="F534">
            <v>286.66186174613699</v>
          </cell>
          <cell r="G534">
            <v>0</v>
          </cell>
          <cell r="H534">
            <v>307.96242645149999</v>
          </cell>
          <cell r="I534">
            <v>923.40618542842799</v>
          </cell>
          <cell r="J534">
            <v>260.17767423358436</v>
          </cell>
          <cell r="K534">
            <v>1821.2437196350907</v>
          </cell>
          <cell r="M534">
            <v>265.18449312984052</v>
          </cell>
          <cell r="N534">
            <v>175.375337620886</v>
          </cell>
          <cell r="O534">
            <v>139.4917100024507</v>
          </cell>
          <cell r="P534">
            <v>102.025034707074</v>
          </cell>
          <cell r="Q534">
            <v>1424.371796259763</v>
          </cell>
          <cell r="R534">
            <v>200</v>
          </cell>
          <cell r="S534">
            <v>0</v>
          </cell>
          <cell r="T534">
            <v>329.49262453143058</v>
          </cell>
          <cell r="U534">
            <v>2306.4483717200142</v>
          </cell>
        </row>
        <row r="535">
          <cell r="B535" t="str">
            <v>FY(2)</v>
          </cell>
          <cell r="C535">
            <v>320.17824999999999</v>
          </cell>
          <cell r="D535">
            <v>225.17500000000001</v>
          </cell>
          <cell r="E535">
            <v>451.75</v>
          </cell>
          <cell r="F535">
            <v>248.85724999999999</v>
          </cell>
          <cell r="G535">
            <v>153.53</v>
          </cell>
          <cell r="H535">
            <v>137.12950000000001</v>
          </cell>
          <cell r="I535">
            <v>468.04599999999999</v>
          </cell>
          <cell r="J535">
            <v>49.120571428571417</v>
          </cell>
          <cell r="K535">
            <v>343.84399999999994</v>
          </cell>
          <cell r="M535">
            <v>91.522999999999996</v>
          </cell>
          <cell r="N535">
            <v>112.26900000000001</v>
          </cell>
          <cell r="O535">
            <v>220.28</v>
          </cell>
          <cell r="P535">
            <v>377.35599999999999</v>
          </cell>
          <cell r="Q535">
            <v>793.86175000000003</v>
          </cell>
          <cell r="R535">
            <v>380.23025000000001</v>
          </cell>
          <cell r="S535">
            <v>169.63592499999999</v>
          </cell>
          <cell r="T535">
            <v>36.599857142857147</v>
          </cell>
          <cell r="U535">
            <v>256.19900000000001</v>
          </cell>
        </row>
        <row r="536">
          <cell r="B536" t="str">
            <v>FY(1)</v>
          </cell>
          <cell r="C536">
            <v>306.6225</v>
          </cell>
          <cell r="D536">
            <v>222.875</v>
          </cell>
          <cell r="E536">
            <v>421.42500000000001</v>
          </cell>
          <cell r="F536">
            <v>219.02500000000001</v>
          </cell>
          <cell r="G536">
            <v>138.38399999999999</v>
          </cell>
          <cell r="H536">
            <v>131.25524999999999</v>
          </cell>
          <cell r="I536">
            <v>442.255</v>
          </cell>
          <cell r="J536">
            <v>44.920142857142864</v>
          </cell>
          <cell r="K536">
            <v>314.44100000000003</v>
          </cell>
          <cell r="M536">
            <v>89.290999999999997</v>
          </cell>
          <cell r="N536">
            <v>101.364</v>
          </cell>
          <cell r="O536">
            <v>207.58199999999999</v>
          </cell>
          <cell r="P536">
            <v>360.25900000000001</v>
          </cell>
          <cell r="Q536">
            <v>719</v>
          </cell>
          <cell r="R536">
            <v>337.30099999999999</v>
          </cell>
          <cell r="S536">
            <v>170.85694175</v>
          </cell>
          <cell r="T536">
            <v>26.853857142857144</v>
          </cell>
          <cell r="U536">
            <v>187.977</v>
          </cell>
        </row>
        <row r="537">
          <cell r="B537" t="str">
            <v>FY0</v>
          </cell>
          <cell r="C537">
            <v>307</v>
          </cell>
          <cell r="D537">
            <v>232.85</v>
          </cell>
          <cell r="E537">
            <v>422.35</v>
          </cell>
          <cell r="F537">
            <v>219.65</v>
          </cell>
          <cell r="G537">
            <v>146.84450000000001</v>
          </cell>
          <cell r="H537">
            <v>125.05625000000001</v>
          </cell>
          <cell r="I537">
            <v>427.38150000000002</v>
          </cell>
          <cell r="J537">
            <v>57.513714285714286</v>
          </cell>
          <cell r="K537">
            <v>402.596</v>
          </cell>
          <cell r="M537">
            <v>88.354749999999996</v>
          </cell>
          <cell r="N537">
            <v>101.02475</v>
          </cell>
          <cell r="O537">
            <v>209.096</v>
          </cell>
          <cell r="P537">
            <v>325.62</v>
          </cell>
          <cell r="Q537">
            <v>698.5</v>
          </cell>
          <cell r="R537">
            <v>326.76499999999999</v>
          </cell>
          <cell r="S537">
            <v>171.22537274999999</v>
          </cell>
          <cell r="T537">
            <v>22.394714285714286</v>
          </cell>
          <cell r="U537">
            <v>156.76300000000001</v>
          </cell>
        </row>
        <row r="538">
          <cell r="B538" t="str">
            <v>FY1</v>
          </cell>
          <cell r="C538">
            <v>310.13471428571398</v>
          </cell>
          <cell r="D538">
            <v>237.3</v>
          </cell>
          <cell r="E538">
            <v>425.93</v>
          </cell>
          <cell r="F538">
            <v>222.02064300000001</v>
          </cell>
          <cell r="G538">
            <v>152.07075</v>
          </cell>
          <cell r="H538">
            <v>121.417319545455</v>
          </cell>
          <cell r="I538">
            <v>411.01945454545398</v>
          </cell>
          <cell r="J538">
            <v>76.682999999999993</v>
          </cell>
          <cell r="K538">
            <v>536.78099999999995</v>
          </cell>
          <cell r="M538">
            <v>86.994340425531902</v>
          </cell>
          <cell r="N538">
            <v>94.206304765520699</v>
          </cell>
          <cell r="O538">
            <v>214.43594377777799</v>
          </cell>
          <cell r="P538">
            <v>317.67435087815102</v>
          </cell>
          <cell r="Q538">
            <v>656.23828581818202</v>
          </cell>
          <cell r="R538">
            <v>322.06326548148098</v>
          </cell>
          <cell r="S538">
            <v>172.42198500000001</v>
          </cell>
          <cell r="T538">
            <v>32.55565</v>
          </cell>
          <cell r="U538">
            <v>227.88954999999999</v>
          </cell>
        </row>
        <row r="539">
          <cell r="B539" t="str">
            <v>FY2</v>
          </cell>
          <cell r="C539">
            <v>301.21385487113298</v>
          </cell>
          <cell r="D539">
            <v>237.363325395462</v>
          </cell>
          <cell r="E539">
            <v>425.93</v>
          </cell>
          <cell r="F539">
            <v>217.01187766065601</v>
          </cell>
          <cell r="G539">
            <v>164.17593426128801</v>
          </cell>
          <cell r="H539">
            <v>115.105631233766</v>
          </cell>
          <cell r="I539">
            <v>394.05792611882902</v>
          </cell>
          <cell r="J539">
            <v>228.23742857142858</v>
          </cell>
          <cell r="K539">
            <v>1597.662</v>
          </cell>
          <cell r="M539">
            <v>83.071661626235098</v>
          </cell>
          <cell r="N539">
            <v>85.832687672587596</v>
          </cell>
          <cell r="O539">
            <v>216.68351600604399</v>
          </cell>
          <cell r="P539">
            <v>304.067129634504</v>
          </cell>
          <cell r="Q539">
            <v>608.94531141072105</v>
          </cell>
          <cell r="R539">
            <v>317.07369672823501</v>
          </cell>
          <cell r="S539">
            <v>171.952871551062</v>
          </cell>
          <cell r="T539">
            <v>118.40407857142857</v>
          </cell>
          <cell r="U539">
            <v>828.82854999999995</v>
          </cell>
        </row>
        <row r="540">
          <cell r="B540" t="str">
            <v>FQ(3)</v>
          </cell>
          <cell r="C540">
            <v>306</v>
          </cell>
          <cell r="D540">
            <v>222.7</v>
          </cell>
          <cell r="E540">
            <v>421.4</v>
          </cell>
          <cell r="F540">
            <v>217.4</v>
          </cell>
          <cell r="G540">
            <v>138.297</v>
          </cell>
          <cell r="H540">
            <v>126.56399999999999</v>
          </cell>
          <cell r="I540">
            <v>431.798</v>
          </cell>
          <cell r="M540">
            <v>87.697000000000003</v>
          </cell>
          <cell r="N540">
            <v>101.685</v>
          </cell>
          <cell r="O540">
            <v>207.286</v>
          </cell>
          <cell r="P540">
            <v>321.35500000000002</v>
          </cell>
          <cell r="Q540">
            <v>697</v>
          </cell>
          <cell r="R540">
            <v>323.28500000000003</v>
          </cell>
          <cell r="S540">
            <v>170.31670800000001</v>
          </cell>
        </row>
        <row r="541">
          <cell r="B541" t="str">
            <v>FQ(2)</v>
          </cell>
          <cell r="C541">
            <v>306</v>
          </cell>
          <cell r="D541">
            <v>233.8</v>
          </cell>
          <cell r="E541">
            <v>422.1</v>
          </cell>
          <cell r="F541">
            <v>218.8</v>
          </cell>
          <cell r="G541">
            <v>138.32499999999999</v>
          </cell>
          <cell r="H541">
            <v>125.658</v>
          </cell>
          <cell r="I541">
            <v>430.45299999999997</v>
          </cell>
          <cell r="M541">
            <v>87.878</v>
          </cell>
          <cell r="N541">
            <v>102.4455</v>
          </cell>
          <cell r="O541">
            <v>209.01499999999999</v>
          </cell>
          <cell r="P541">
            <v>320.512</v>
          </cell>
          <cell r="Q541">
            <v>700</v>
          </cell>
          <cell r="R541">
            <v>325.697</v>
          </cell>
          <cell r="S541">
            <v>170.71927400000001</v>
          </cell>
        </row>
        <row r="542">
          <cell r="B542" t="str">
            <v>FQ(1)</v>
          </cell>
          <cell r="C542">
            <v>308</v>
          </cell>
          <cell r="D542">
            <v>237.6</v>
          </cell>
          <cell r="E542">
            <v>421.8</v>
          </cell>
          <cell r="F542">
            <v>220.7</v>
          </cell>
          <cell r="G542">
            <v>152.45599999999999</v>
          </cell>
          <cell r="H542">
            <v>124.648</v>
          </cell>
          <cell r="I542">
            <v>428.09199999999998</v>
          </cell>
          <cell r="J542">
            <v>5.9822026995043656</v>
          </cell>
          <cell r="K542">
            <v>1.0740709902116266</v>
          </cell>
          <cell r="M542">
            <v>88.73</v>
          </cell>
          <cell r="N542">
            <v>101.98650000000001</v>
          </cell>
          <cell r="O542">
            <v>209.393</v>
          </cell>
          <cell r="P542">
            <v>321.11500000000001</v>
          </cell>
          <cell r="Q542">
            <v>704</v>
          </cell>
          <cell r="R542">
            <v>328.25900000000001</v>
          </cell>
          <cell r="S542">
            <v>171.44390200000001</v>
          </cell>
          <cell r="T542">
            <v>0.54803252730191898</v>
          </cell>
          <cell r="U542">
            <v>0.62421656550496152</v>
          </cell>
        </row>
        <row r="543">
          <cell r="B543" t="str">
            <v>Last Reported Q</v>
          </cell>
          <cell r="C543">
            <v>307</v>
          </cell>
          <cell r="D543">
            <v>232.85</v>
          </cell>
          <cell r="E543">
            <v>422.35</v>
          </cell>
          <cell r="F543">
            <v>219.65</v>
          </cell>
          <cell r="G543">
            <v>146.84450000000001</v>
          </cell>
          <cell r="H543">
            <v>125.05625000000001</v>
          </cell>
          <cell r="I543">
            <v>427.38150000000002</v>
          </cell>
          <cell r="J543">
            <v>1.2055641241313226</v>
          </cell>
          <cell r="K543">
            <v>1.345688514126187</v>
          </cell>
          <cell r="M543">
            <v>88.354749999999996</v>
          </cell>
          <cell r="N543">
            <v>101.02475</v>
          </cell>
          <cell r="O543">
            <v>209.096</v>
          </cell>
          <cell r="P543">
            <v>321.38099999999997</v>
          </cell>
          <cell r="Q543">
            <v>698.5</v>
          </cell>
          <cell r="R543">
            <v>326.76499999999999</v>
          </cell>
          <cell r="S543">
            <v>171.22537274999999</v>
          </cell>
          <cell r="T543">
            <v>0.98358433469455953</v>
          </cell>
          <cell r="U543">
            <v>1.0261221323087046</v>
          </cell>
        </row>
        <row r="544">
          <cell r="B544" t="str">
            <v>LTM</v>
          </cell>
          <cell r="C544">
            <v>306.75</v>
          </cell>
          <cell r="D544">
            <v>231.73750000000001</v>
          </cell>
          <cell r="E544">
            <v>421.91250000000002</v>
          </cell>
          <cell r="F544">
            <v>219.13750000000002</v>
          </cell>
          <cell r="G544">
            <v>143.980625</v>
          </cell>
          <cell r="H544">
            <v>125.4815625</v>
          </cell>
          <cell r="I544">
            <v>429.43112499999995</v>
          </cell>
          <cell r="J544">
            <v>0.53601675902895107</v>
          </cell>
          <cell r="K544">
            <v>0.53144082268673543</v>
          </cell>
          <cell r="M544">
            <v>88.164937500000008</v>
          </cell>
          <cell r="N544">
            <v>101.78543749999999</v>
          </cell>
          <cell r="O544">
            <v>208.69749999999999</v>
          </cell>
          <cell r="P544">
            <v>321.09074999999996</v>
          </cell>
          <cell r="Q544">
            <v>699.875</v>
          </cell>
          <cell r="R544">
            <v>326.00149999999996</v>
          </cell>
          <cell r="S544">
            <v>170.9263141875</v>
          </cell>
          <cell r="T544">
            <v>0.33995816525749134</v>
          </cell>
          <cell r="U544">
            <v>0.48329425673440402</v>
          </cell>
        </row>
        <row r="545">
          <cell r="B545" t="str">
            <v>FY1</v>
          </cell>
          <cell r="C545">
            <v>0</v>
          </cell>
          <cell r="D545">
            <v>0.75886991644161217</v>
          </cell>
          <cell r="E545">
            <v>0.13544901852545316</v>
          </cell>
          <cell r="F545">
            <v>0.3501044562658292</v>
          </cell>
          <cell r="G545">
            <v>-7.8789507472054546E-3</v>
          </cell>
          <cell r="H545">
            <v>0.83723039615621164</v>
          </cell>
          <cell r="I545">
            <v>0.71266152001253269</v>
          </cell>
          <cell r="J545">
            <v>0.39806233666491903</v>
          </cell>
          <cell r="K545">
            <v>0.42529092369424204</v>
          </cell>
          <cell r="M545">
            <v>0.72421096097612114</v>
          </cell>
          <cell r="N545">
            <v>0.40902156005660512</v>
          </cell>
          <cell r="O545">
            <v>0.53922669551942037</v>
          </cell>
          <cell r="P545">
            <v>0.13932993511019859</v>
          </cell>
          <cell r="Q545">
            <v>0.45705508052969995</v>
          </cell>
          <cell r="R545">
            <v>0.5372637429287398</v>
          </cell>
          <cell r="S545">
            <v>0</v>
          </cell>
          <cell r="T545">
            <v>0.40087256787439784</v>
          </cell>
          <cell r="U545">
            <v>0.36417724611131913</v>
          </cell>
        </row>
        <row r="546">
          <cell r="B546" t="str">
            <v>Dividends</v>
          </cell>
          <cell r="C546">
            <v>0</v>
          </cell>
          <cell r="D546">
            <v>0.56460161768085815</v>
          </cell>
          <cell r="E546">
            <v>0.17369223170512707</v>
          </cell>
          <cell r="F546">
            <v>0.65325836349800881</v>
          </cell>
          <cell r="G546">
            <v>0</v>
          </cell>
          <cell r="H546">
            <v>0.71527012076771046</v>
          </cell>
          <cell r="I546">
            <v>0.70968320578337618</v>
          </cell>
          <cell r="J546">
            <v>0.40235793420501148</v>
          </cell>
          <cell r="K546">
            <v>0.43866553937993219</v>
          </cell>
          <cell r="M546">
            <v>1.9999999999999738</v>
          </cell>
          <cell r="N546">
            <v>0.79999999999998717</v>
          </cell>
          <cell r="O546">
            <v>0.7000000000000085</v>
          </cell>
          <cell r="P546">
            <v>0.13879332235659583</v>
          </cell>
          <cell r="Q546">
            <v>1.3200000000000276</v>
          </cell>
          <cell r="R546">
            <v>0.48792508469895424</v>
          </cell>
          <cell r="S546">
            <v>0</v>
          </cell>
          <cell r="T546">
            <v>0.77810262957936394</v>
          </cell>
          <cell r="U546">
            <v>0.75795426630354901</v>
          </cell>
        </row>
        <row r="547">
          <cell r="B547" t="str">
            <v>FY(2)</v>
          </cell>
          <cell r="C547" t="str">
            <v>NA</v>
          </cell>
          <cell r="D547">
            <v>174</v>
          </cell>
          <cell r="E547">
            <v>230</v>
          </cell>
          <cell r="F547">
            <v>134</v>
          </cell>
          <cell r="G547">
            <v>7.43</v>
          </cell>
          <cell r="H547">
            <v>40.637999999999998</v>
          </cell>
          <cell r="I547">
            <v>151.49199999999999</v>
          </cell>
          <cell r="J547">
            <v>122.92666666666666</v>
          </cell>
          <cell r="K547">
            <v>737.56</v>
          </cell>
          <cell r="M547">
            <v>61.33</v>
          </cell>
          <cell r="N547">
            <v>0</v>
          </cell>
          <cell r="O547">
            <v>80.796000000000006</v>
          </cell>
          <cell r="P547">
            <v>0</v>
          </cell>
          <cell r="Q547">
            <v>252</v>
          </cell>
          <cell r="R547">
            <v>227</v>
          </cell>
          <cell r="S547" t="str">
            <v>NA</v>
          </cell>
          <cell r="T547">
            <v>103.521</v>
          </cell>
          <cell r="U547">
            <v>621.12599999999998</v>
          </cell>
        </row>
        <row r="548">
          <cell r="A548" t="str">
            <v>mstag:cashDividendsPaid</v>
          </cell>
          <cell r="B548" t="str">
            <v>FY(1)</v>
          </cell>
          <cell r="C548" t="str">
            <v>NA</v>
          </cell>
          <cell r="D548">
            <v>178</v>
          </cell>
          <cell r="E548">
            <v>221</v>
          </cell>
          <cell r="F548">
            <v>138</v>
          </cell>
          <cell r="G548">
            <v>1.1830000000000001</v>
          </cell>
          <cell r="H548">
            <v>49.838000000000001</v>
          </cell>
          <cell r="I548">
            <v>176.749</v>
          </cell>
          <cell r="J548">
            <v>127.46166666666666</v>
          </cell>
          <cell r="K548">
            <v>764.77</v>
          </cell>
          <cell r="M548">
            <v>60.768999999999998</v>
          </cell>
          <cell r="N548">
            <v>0</v>
          </cell>
          <cell r="O548">
            <v>82.394000000000005</v>
          </cell>
          <cell r="P548">
            <v>0</v>
          </cell>
          <cell r="Q548">
            <v>243</v>
          </cell>
          <cell r="R548">
            <v>201</v>
          </cell>
          <cell r="S548" t="str">
            <v>NA</v>
          </cell>
          <cell r="T548">
            <v>97.860500000000002</v>
          </cell>
          <cell r="U548">
            <v>587.16300000000001</v>
          </cell>
        </row>
        <row r="549">
          <cell r="B549" t="str">
            <v>FY0</v>
          </cell>
          <cell r="C549" t="str">
            <v>NA</v>
          </cell>
          <cell r="D549">
            <v>183</v>
          </cell>
          <cell r="E549">
            <v>84</v>
          </cell>
          <cell r="F549">
            <v>139</v>
          </cell>
          <cell r="G549">
            <v>0.78100000000000003</v>
          </cell>
          <cell r="H549">
            <v>55.201999999999998</v>
          </cell>
          <cell r="I549">
            <v>197.7</v>
          </cell>
          <cell r="J549">
            <v>109.94716666666666</v>
          </cell>
          <cell r="K549">
            <v>659.68299999999999</v>
          </cell>
          <cell r="M549">
            <v>61.5</v>
          </cell>
          <cell r="N549">
            <v>0</v>
          </cell>
          <cell r="O549">
            <v>82.984999999999999</v>
          </cell>
          <cell r="P549">
            <v>0</v>
          </cell>
          <cell r="Q549">
            <v>234</v>
          </cell>
          <cell r="R549">
            <v>193</v>
          </cell>
          <cell r="S549" t="str">
            <v>NA</v>
          </cell>
          <cell r="T549">
            <v>95.247500000000002</v>
          </cell>
          <cell r="U549">
            <v>571.48500000000001</v>
          </cell>
        </row>
        <row r="550">
          <cell r="B550" t="str">
            <v>FY1</v>
          </cell>
          <cell r="C550" t="str">
            <v>NA</v>
          </cell>
          <cell r="D550">
            <v>188.775411841813</v>
          </cell>
          <cell r="E550">
            <v>85.186000000000007</v>
          </cell>
          <cell r="F550">
            <v>142.09321152000001</v>
          </cell>
          <cell r="G550">
            <v>0</v>
          </cell>
          <cell r="H550">
            <v>77.707084509090905</v>
          </cell>
          <cell r="I550">
            <v>197.28933818181801</v>
          </cell>
          <cell r="J550">
            <v>115.17517434212033</v>
          </cell>
          <cell r="K550">
            <v>691.05104605272197</v>
          </cell>
          <cell r="M550">
            <v>64.343897021276604</v>
          </cell>
          <cell r="N550">
            <v>0</v>
          </cell>
          <cell r="O550">
            <v>90.0630963866667</v>
          </cell>
          <cell r="P550">
            <v>94.252655263445405</v>
          </cell>
          <cell r="Q550">
            <v>262.49531432727298</v>
          </cell>
          <cell r="R550">
            <v>518.07900254814797</v>
          </cell>
          <cell r="S550" t="str">
            <v>NA</v>
          </cell>
          <cell r="T550">
            <v>171.53899425780162</v>
          </cell>
          <cell r="U550">
            <v>1029.2339655468097</v>
          </cell>
        </row>
        <row r="551">
          <cell r="B551" t="str">
            <v>FY2</v>
          </cell>
          <cell r="C551" t="str">
            <v>NA</v>
          </cell>
          <cell r="D551">
            <v>207.70836687078599</v>
          </cell>
          <cell r="E551">
            <v>96.910411835832903</v>
          </cell>
          <cell r="F551">
            <v>151.06358340229599</v>
          </cell>
          <cell r="G551">
            <v>0</v>
          </cell>
          <cell r="H551">
            <v>81.592438734545496</v>
          </cell>
          <cell r="I551">
            <v>213.29758054177</v>
          </cell>
          <cell r="J551">
            <v>125.09539689753841</v>
          </cell>
          <cell r="K551">
            <v>750.57238138523041</v>
          </cell>
          <cell r="M551">
            <v>68.188106938637006</v>
          </cell>
          <cell r="N551">
            <v>0</v>
          </cell>
          <cell r="O551">
            <v>98.400875799278495</v>
          </cell>
          <cell r="P551">
            <v>99.137817779386296</v>
          </cell>
          <cell r="Q551">
            <v>262.348142727675</v>
          </cell>
          <cell r="R551">
            <v>200</v>
          </cell>
          <cell r="S551" t="str">
            <v>NA</v>
          </cell>
          <cell r="T551">
            <v>121.3458238741628</v>
          </cell>
          <cell r="U551">
            <v>728.07494324497679</v>
          </cell>
        </row>
        <row r="552">
          <cell r="B552" t="str">
            <v>FQ(3)</v>
          </cell>
          <cell r="C552" t="str">
            <v>NA</v>
          </cell>
          <cell r="D552">
            <v>89</v>
          </cell>
          <cell r="E552">
            <v>21</v>
          </cell>
          <cell r="F552">
            <v>35</v>
          </cell>
          <cell r="G552">
            <v>0.47099999999999997</v>
          </cell>
          <cell r="H552">
            <v>13.967000000000001</v>
          </cell>
          <cell r="I552">
            <v>45.408000000000001</v>
          </cell>
          <cell r="J552">
            <v>34.140999999999998</v>
          </cell>
          <cell r="K552">
            <v>204.846</v>
          </cell>
          <cell r="M552">
            <v>15.337999999999999</v>
          </cell>
          <cell r="N552">
            <v>0</v>
          </cell>
          <cell r="O552">
            <v>20.638999999999999</v>
          </cell>
          <cell r="P552">
            <v>0</v>
          </cell>
          <cell r="Q552">
            <v>59</v>
          </cell>
          <cell r="R552">
            <v>48</v>
          </cell>
          <cell r="S552" t="str">
            <v>NA</v>
          </cell>
          <cell r="T552">
            <v>23.829499999999999</v>
          </cell>
          <cell r="U552">
            <v>142.977</v>
          </cell>
        </row>
        <row r="553">
          <cell r="A553" t="str">
            <v>Modelware DuPont (Non-lease Adjusted)ROIC</v>
          </cell>
          <cell r="B553" t="str">
            <v>FQ(2)</v>
          </cell>
          <cell r="C553" t="str">
            <v>NA</v>
          </cell>
          <cell r="D553">
            <v>0</v>
          </cell>
          <cell r="E553">
            <v>21</v>
          </cell>
          <cell r="F553">
            <v>34</v>
          </cell>
          <cell r="G553">
            <v>7.0000000000000104E-2</v>
          </cell>
          <cell r="H553">
            <v>13.858000000000001</v>
          </cell>
          <cell r="I553">
            <v>51.192</v>
          </cell>
          <cell r="J553">
            <v>20.02</v>
          </cell>
          <cell r="K553">
            <v>120.12</v>
          </cell>
          <cell r="M553">
            <v>15.374000000000001</v>
          </cell>
          <cell r="N553">
            <v>0</v>
          </cell>
          <cell r="O553">
            <v>20.721</v>
          </cell>
          <cell r="P553">
            <v>0</v>
          </cell>
          <cell r="Q553">
            <v>59</v>
          </cell>
          <cell r="R553">
            <v>48</v>
          </cell>
          <cell r="S553" t="str">
            <v>NA</v>
          </cell>
          <cell r="T553">
            <v>23.849166666666665</v>
          </cell>
          <cell r="U553">
            <v>143.095</v>
          </cell>
        </row>
        <row r="554">
          <cell r="B554" t="str">
            <v>FQ(1)</v>
          </cell>
          <cell r="C554" t="str">
            <v>NA</v>
          </cell>
          <cell r="D554">
            <v>47</v>
          </cell>
          <cell r="E554">
            <v>21</v>
          </cell>
          <cell r="F554">
            <v>35</v>
          </cell>
          <cell r="G554">
            <v>0.24</v>
          </cell>
          <cell r="H554">
            <v>13.734999999999999</v>
          </cell>
          <cell r="I554">
            <v>50.802999999999997</v>
          </cell>
          <cell r="J554">
            <v>27.962999999999997</v>
          </cell>
          <cell r="K554">
            <v>167.77799999999999</v>
          </cell>
          <cell r="M554">
            <v>15.391999999999999</v>
          </cell>
          <cell r="N554">
            <v>0</v>
          </cell>
          <cell r="O554">
            <v>20.757000000000001</v>
          </cell>
          <cell r="P554">
            <v>23.843</v>
          </cell>
          <cell r="Q554">
            <v>60</v>
          </cell>
          <cell r="R554">
            <v>49</v>
          </cell>
          <cell r="S554" t="str">
            <v>NA</v>
          </cell>
          <cell r="T554">
            <v>28.165333333333336</v>
          </cell>
          <cell r="U554">
            <v>168.99200000000002</v>
          </cell>
        </row>
        <row r="555">
          <cell r="B555" t="str">
            <v>Last Reported Q</v>
          </cell>
          <cell r="C555" t="str">
            <v>NA</v>
          </cell>
          <cell r="D555">
            <v>183</v>
          </cell>
          <cell r="E555">
            <v>84</v>
          </cell>
          <cell r="F555">
            <v>139</v>
          </cell>
          <cell r="G555">
            <v>0.78100000000000003</v>
          </cell>
          <cell r="H555">
            <v>55.201999999999998</v>
          </cell>
          <cell r="I555">
            <v>197.7</v>
          </cell>
          <cell r="J555">
            <v>109.94716666666666</v>
          </cell>
          <cell r="K555">
            <v>659.68299999999999</v>
          </cell>
          <cell r="M555">
            <v>61.5</v>
          </cell>
          <cell r="N555">
            <v>0</v>
          </cell>
          <cell r="O555">
            <v>82.984999999999999</v>
          </cell>
          <cell r="P555">
            <v>23.882999999999999</v>
          </cell>
          <cell r="Q555">
            <v>234</v>
          </cell>
          <cell r="R555">
            <v>193</v>
          </cell>
          <cell r="S555" t="str">
            <v>NA</v>
          </cell>
          <cell r="T555">
            <v>99.228000000000009</v>
          </cell>
          <cell r="U555">
            <v>595.36800000000005</v>
          </cell>
        </row>
        <row r="556">
          <cell r="B556" t="str">
            <v>LTM</v>
          </cell>
          <cell r="C556">
            <v>0</v>
          </cell>
          <cell r="D556">
            <v>319</v>
          </cell>
          <cell r="E556">
            <v>147</v>
          </cell>
          <cell r="F556">
            <v>243</v>
          </cell>
          <cell r="G556">
            <v>1.5620000000000001</v>
          </cell>
          <cell r="H556">
            <v>96.762</v>
          </cell>
          <cell r="I556">
            <v>345.10299999999995</v>
          </cell>
          <cell r="J556">
            <v>164.63242857142859</v>
          </cell>
          <cell r="K556">
            <v>1152.4270000000001</v>
          </cell>
          <cell r="M556">
            <v>107.604</v>
          </cell>
          <cell r="N556">
            <v>0</v>
          </cell>
          <cell r="O556">
            <v>145.102</v>
          </cell>
          <cell r="P556">
            <v>47.725999999999999</v>
          </cell>
          <cell r="Q556">
            <v>412</v>
          </cell>
          <cell r="R556">
            <v>338</v>
          </cell>
          <cell r="S556">
            <v>0</v>
          </cell>
          <cell r="T556">
            <v>150.06171428571429</v>
          </cell>
          <cell r="U556">
            <v>1050.432</v>
          </cell>
        </row>
        <row r="558">
          <cell r="A558" t="str">
            <v>Modelware DuPont (Non-lease Adjusted)ROE</v>
          </cell>
          <cell r="B558" t="str">
            <v>Dividends/Share</v>
          </cell>
        </row>
        <row r="559">
          <cell r="B559" t="str">
            <v>FY(2)</v>
          </cell>
          <cell r="D559">
            <v>0.77273231930720543</v>
          </cell>
          <cell r="E559">
            <v>0.50913115661317099</v>
          </cell>
          <cell r="F559">
            <v>0.53846130663261771</v>
          </cell>
          <cell r="G559">
            <v>4.8394450595974726E-2</v>
          </cell>
          <cell r="H559">
            <v>0.29634761302272666</v>
          </cell>
          <cell r="I559">
            <v>0.32366904107715905</v>
          </cell>
          <cell r="M559">
            <v>0.67010478240442295</v>
          </cell>
          <cell r="N559">
            <v>0</v>
          </cell>
          <cell r="O559">
            <v>0.3667877247140004</v>
          </cell>
          <cell r="P559">
            <v>0</v>
          </cell>
          <cell r="Q559">
            <v>0.31743562402395631</v>
          </cell>
          <cell r="R559">
            <v>0.59700668213536401</v>
          </cell>
          <cell r="S559" t="e">
            <v>#VALUE!</v>
          </cell>
        </row>
        <row r="560">
          <cell r="B560" t="str">
            <v>FY(1)</v>
          </cell>
          <cell r="D560">
            <v>0.79865395401009531</v>
          </cell>
          <cell r="E560">
            <v>0.52441122382393068</v>
          </cell>
          <cell r="F560">
            <v>0.63006506106608828</v>
          </cell>
          <cell r="G560">
            <v>8.5486761475315077E-3</v>
          </cell>
          <cell r="H560">
            <v>0.37970290712181043</v>
          </cell>
          <cell r="I560">
            <v>0.39965404574284064</v>
          </cell>
          <cell r="M560">
            <v>0.68057251010740161</v>
          </cell>
          <cell r="N560">
            <v>0</v>
          </cell>
          <cell r="O560">
            <v>0.39692266188783232</v>
          </cell>
          <cell r="P560">
            <v>0</v>
          </cell>
          <cell r="Q560">
            <v>0.33796940194714881</v>
          </cell>
          <cell r="R560">
            <v>0.59590691993204881</v>
          </cell>
          <cell r="S560" t="e">
            <v>#VALUE!</v>
          </cell>
        </row>
        <row r="561">
          <cell r="B561" t="str">
            <v>FY0</v>
          </cell>
          <cell r="D561">
            <v>0.78591367833369119</v>
          </cell>
          <cell r="E561">
            <v>0.19888717888007576</v>
          </cell>
          <cell r="F561">
            <v>0.63282494878215345</v>
          </cell>
          <cell r="G561">
            <v>5.3185512566013707E-3</v>
          </cell>
          <cell r="H561">
            <v>0.44141736218701583</v>
          </cell>
          <cell r="I561">
            <v>0.46258436549078513</v>
          </cell>
          <cell r="M561">
            <v>0.69605765394616592</v>
          </cell>
          <cell r="N561">
            <v>0</v>
          </cell>
          <cell r="O561">
            <v>0.39687511956230631</v>
          </cell>
          <cell r="P561">
            <v>0</v>
          </cell>
          <cell r="Q561">
            <v>0.33500357909806727</v>
          </cell>
          <cell r="R561">
            <v>0.59063853227854879</v>
          </cell>
          <cell r="S561" t="e">
            <v>#VALUE!</v>
          </cell>
        </row>
        <row r="562">
          <cell r="B562" t="str">
            <v>FY1</v>
          </cell>
          <cell r="D562">
            <v>0.79551374564607247</v>
          </cell>
          <cell r="E562">
            <v>0.2</v>
          </cell>
          <cell r="F562">
            <v>0.64</v>
          </cell>
          <cell r="G562">
            <v>0</v>
          </cell>
          <cell r="H562">
            <v>0.63999999999999757</v>
          </cell>
          <cell r="I562">
            <v>0.48000000000000026</v>
          </cell>
          <cell r="M562">
            <v>0.7396331382770317</v>
          </cell>
          <cell r="N562">
            <v>0</v>
          </cell>
          <cell r="O562">
            <v>0.41999999999999976</v>
          </cell>
          <cell r="P562">
            <v>0.29669583018868745</v>
          </cell>
          <cell r="Q562">
            <v>0.40000000000000024</v>
          </cell>
          <cell r="R562">
            <v>1.6086249444612246</v>
          </cell>
          <cell r="S562" t="e">
            <v>#VALUE!</v>
          </cell>
        </row>
        <row r="563">
          <cell r="A563" t="str">
            <v>Modelware DuPont (Lease Adjusted)ROIC</v>
          </cell>
          <cell r="B563" t="str">
            <v>FY2</v>
          </cell>
          <cell r="D563">
            <v>0.87506512021067695</v>
          </cell>
          <cell r="E563">
            <v>0.22752661666431784</v>
          </cell>
          <cell r="F563">
            <v>0.69610744366036903</v>
          </cell>
          <cell r="G563">
            <v>0</v>
          </cell>
          <cell r="H563">
            <v>0.70884836701725606</v>
          </cell>
          <cell r="I563">
            <v>0.54128483759377466</v>
          </cell>
          <cell r="M563">
            <v>0.82083475403966555</v>
          </cell>
          <cell r="N563">
            <v>0</v>
          </cell>
          <cell r="O563">
            <v>0.45412257292582325</v>
          </cell>
          <cell r="P563">
            <v>0.32603924632877068</v>
          </cell>
          <cell r="Q563">
            <v>0.43082381588570373</v>
          </cell>
          <cell r="R563">
            <v>0.63076818438024118</v>
          </cell>
          <cell r="S563" t="e">
            <v>#VALUE!</v>
          </cell>
        </row>
        <row r="564">
          <cell r="B564" t="str">
            <v>FQ(3)</v>
          </cell>
          <cell r="D564">
            <v>0.39964077233947015</v>
          </cell>
          <cell r="E564">
            <v>4.9833887043189369E-2</v>
          </cell>
          <cell r="F564">
            <v>0.16099356025758968</v>
          </cell>
          <cell r="G564">
            <v>3.4057137898869821E-3</v>
          </cell>
          <cell r="H564">
            <v>0.11035523529597675</v>
          </cell>
          <cell r="I564">
            <v>0.10516028328060806</v>
          </cell>
          <cell r="M564">
            <v>0.17489765898491394</v>
          </cell>
          <cell r="N564">
            <v>0</v>
          </cell>
          <cell r="O564">
            <v>9.9567746977605814E-2</v>
          </cell>
          <cell r="P564">
            <v>0</v>
          </cell>
          <cell r="Q564">
            <v>8.4648493543758974E-2</v>
          </cell>
          <cell r="R564">
            <v>0.14847580308396616</v>
          </cell>
          <cell r="S564" t="e">
            <v>#VALUE!</v>
          </cell>
        </row>
        <row r="565">
          <cell r="B565" t="str">
            <v>FQ(2)</v>
          </cell>
          <cell r="D565">
            <v>0</v>
          </cell>
          <cell r="E565">
            <v>4.9751243781094523E-2</v>
          </cell>
          <cell r="F565">
            <v>0.15539305301645337</v>
          </cell>
          <cell r="G565">
            <v>5.0605458160130209E-4</v>
          </cell>
          <cell r="H565">
            <v>0.11028346782536727</v>
          </cell>
          <cell r="I565">
            <v>0.11892587576343992</v>
          </cell>
          <cell r="M565">
            <v>0.17494708573249279</v>
          </cell>
          <cell r="N565">
            <v>0</v>
          </cell>
          <cell r="O565">
            <v>9.9136425615386464E-2</v>
          </cell>
          <cell r="P565">
            <v>0</v>
          </cell>
          <cell r="Q565">
            <v>8.4285714285714283E-2</v>
          </cell>
          <cell r="R565">
            <v>0.14737624233566782</v>
          </cell>
          <cell r="S565" t="e">
            <v>#VALUE!</v>
          </cell>
        </row>
        <row r="566">
          <cell r="B566" t="str">
            <v>FQ(1)</v>
          </cell>
          <cell r="D566">
            <v>0.19781144781144783</v>
          </cell>
          <cell r="E566">
            <v>4.9786628733997154E-2</v>
          </cell>
          <cell r="F566">
            <v>0.15858631626642503</v>
          </cell>
          <cell r="G566">
            <v>1.5742246943380386E-3</v>
          </cell>
          <cell r="H566">
            <v>0.11019029587317887</v>
          </cell>
          <cell r="I566">
            <v>0.1186730889621857</v>
          </cell>
          <cell r="M566">
            <v>0.17347007776400314</v>
          </cell>
          <cell r="N566">
            <v>0</v>
          </cell>
          <cell r="O566">
            <v>9.9129388279455388E-2</v>
          </cell>
          <cell r="P566">
            <v>7.4250657864005101E-2</v>
          </cell>
          <cell r="Q566">
            <v>8.5227272727272721E-2</v>
          </cell>
          <cell r="R566">
            <v>0.14927237333934484</v>
          </cell>
          <cell r="S566" t="e">
            <v>#VALUE!</v>
          </cell>
        </row>
        <row r="567">
          <cell r="B567" t="str">
            <v>Last Reported Q</v>
          </cell>
          <cell r="D567">
            <v>0.78591367833369119</v>
          </cell>
          <cell r="E567">
            <v>0.19888717888007576</v>
          </cell>
          <cell r="F567">
            <v>0.63282494878215345</v>
          </cell>
          <cell r="G567">
            <v>5.3185512566013707E-3</v>
          </cell>
          <cell r="H567">
            <v>0.44141736218701583</v>
          </cell>
          <cell r="I567">
            <v>0.46258436549078513</v>
          </cell>
          <cell r="M567">
            <v>0.69605765394616592</v>
          </cell>
          <cell r="N567">
            <v>0</v>
          </cell>
          <cell r="O567">
            <v>0.39687511956230631</v>
          </cell>
          <cell r="P567">
            <v>7.4313665089099853E-2</v>
          </cell>
          <cell r="Q567">
            <v>0.33500357909806727</v>
          </cell>
          <cell r="R567">
            <v>0.59063853227854879</v>
          </cell>
          <cell r="S567" t="e">
            <v>#VALUE!</v>
          </cell>
        </row>
        <row r="568">
          <cell r="A568" t="str">
            <v>Modelware DuPont (Lease Adjusted)ROE</v>
          </cell>
          <cell r="B568" t="str">
            <v>LTM</v>
          </cell>
          <cell r="C568">
            <v>0</v>
          </cell>
          <cell r="D568">
            <v>1.3765575273747235</v>
          </cell>
          <cell r="E568">
            <v>0.34841347435783482</v>
          </cell>
          <cell r="F568">
            <v>1.1088928184359135</v>
          </cell>
          <cell r="G568">
            <v>1.0848681897303892E-2</v>
          </cell>
          <cell r="H568">
            <v>0.77112524001285054</v>
          </cell>
          <cell r="I568">
            <v>0.80362828847117218</v>
          </cell>
          <cell r="M568">
            <v>1.22048518437389</v>
          </cell>
          <cell r="N568">
            <v>0</v>
          </cell>
          <cell r="O568">
            <v>0.69527426059248443</v>
          </cell>
          <cell r="P568">
            <v>0.14863710648780759</v>
          </cell>
          <cell r="Q568">
            <v>0.58867654938381853</v>
          </cell>
          <cell r="R568">
            <v>1.0368050453755582</v>
          </cell>
          <cell r="S568">
            <v>0</v>
          </cell>
        </row>
        <row r="569">
          <cell r="B569" t="str">
            <v>FY0</v>
          </cell>
        </row>
        <row r="570">
          <cell r="A570" t="str">
            <v>mstag:fundsUsedToRepurchaseCommonStock</v>
          </cell>
          <cell r="B570" t="str">
            <v>Repurchases</v>
          </cell>
        </row>
        <row r="571">
          <cell r="B571" t="str">
            <v>FY(2)</v>
          </cell>
          <cell r="C571" t="str">
            <v>NA</v>
          </cell>
          <cell r="D571" t="str">
            <v>NA</v>
          </cell>
          <cell r="E571">
            <v>3322</v>
          </cell>
          <cell r="F571">
            <v>1702</v>
          </cell>
          <cell r="G571" t="str">
            <v>NA</v>
          </cell>
          <cell r="H571">
            <v>200</v>
          </cell>
          <cell r="I571">
            <v>940.20799999999997</v>
          </cell>
          <cell r="J571">
            <v>1541.0519999999999</v>
          </cell>
          <cell r="K571">
            <v>6164.2079999999996</v>
          </cell>
          <cell r="M571">
            <v>287.916</v>
          </cell>
          <cell r="N571">
            <v>266.69200000000001</v>
          </cell>
          <cell r="O571">
            <v>450.601</v>
          </cell>
          <cell r="P571" t="str">
            <v>NA</v>
          </cell>
          <cell r="Q571">
            <v>1700</v>
          </cell>
          <cell r="R571" t="str">
            <v>NA</v>
          </cell>
          <cell r="S571">
            <v>0</v>
          </cell>
          <cell r="T571">
            <v>541.04179999999997</v>
          </cell>
          <cell r="U571">
            <v>2705.2089999999998</v>
          </cell>
        </row>
        <row r="572">
          <cell r="B572" t="str">
            <v>FY(1)</v>
          </cell>
          <cell r="C572" t="str">
            <v>NA</v>
          </cell>
          <cell r="D572" t="str">
            <v>NA</v>
          </cell>
          <cell r="E572">
            <v>1</v>
          </cell>
          <cell r="F572">
            <v>264</v>
          </cell>
          <cell r="G572" t="str">
            <v>NA</v>
          </cell>
          <cell r="H572">
            <v>300</v>
          </cell>
          <cell r="I572">
            <v>751.09699999999998</v>
          </cell>
          <cell r="J572">
            <v>329.02424999999999</v>
          </cell>
          <cell r="K572">
            <v>1316.097</v>
          </cell>
          <cell r="M572">
            <v>50</v>
          </cell>
          <cell r="N572">
            <v>6.681</v>
          </cell>
          <cell r="O572">
            <v>3.4319999999999999</v>
          </cell>
          <cell r="P572" t="str">
            <v>NA</v>
          </cell>
          <cell r="Q572">
            <v>705</v>
          </cell>
          <cell r="R572" t="str">
            <v>NA</v>
          </cell>
          <cell r="S572">
            <v>0</v>
          </cell>
          <cell r="T572">
            <v>153.02260000000001</v>
          </cell>
          <cell r="U572">
            <v>765.11300000000006</v>
          </cell>
        </row>
        <row r="573">
          <cell r="B573" t="str">
            <v>FY0</v>
          </cell>
          <cell r="C573" t="str">
            <v>NA</v>
          </cell>
          <cell r="D573" t="str">
            <v>NA</v>
          </cell>
          <cell r="E573">
            <v>1</v>
          </cell>
          <cell r="F573">
            <v>0</v>
          </cell>
          <cell r="G573" t="str">
            <v>NA</v>
          </cell>
          <cell r="H573">
            <v>300</v>
          </cell>
          <cell r="I573">
            <v>944.8</v>
          </cell>
          <cell r="J573">
            <v>311.45</v>
          </cell>
          <cell r="K573">
            <v>1245.8</v>
          </cell>
          <cell r="M573">
            <v>0</v>
          </cell>
          <cell r="N573">
            <v>174.25700000000001</v>
          </cell>
          <cell r="O573">
            <v>0.247</v>
          </cell>
          <cell r="P573" t="str">
            <v>NA</v>
          </cell>
          <cell r="Q573">
            <v>547</v>
          </cell>
          <cell r="R573" t="str">
            <v>NA</v>
          </cell>
          <cell r="S573">
            <v>0</v>
          </cell>
          <cell r="T573">
            <v>144.30080000000001</v>
          </cell>
          <cell r="U573">
            <v>721.50400000000002</v>
          </cell>
        </row>
        <row r="574">
          <cell r="B574" t="str">
            <v>FY1</v>
          </cell>
          <cell r="C574" t="str">
            <v>NA</v>
          </cell>
          <cell r="D574" t="str">
            <v>NA</v>
          </cell>
          <cell r="E574">
            <v>0</v>
          </cell>
          <cell r="F574">
            <v>0</v>
          </cell>
          <cell r="G574" t="str">
            <v>NA</v>
          </cell>
          <cell r="H574">
            <v>380</v>
          </cell>
          <cell r="I574">
            <v>700</v>
          </cell>
          <cell r="J574">
            <v>270</v>
          </cell>
          <cell r="K574">
            <v>1080</v>
          </cell>
          <cell r="M574">
            <v>200</v>
          </cell>
          <cell r="N574">
            <v>175</v>
          </cell>
          <cell r="O574">
            <v>54</v>
          </cell>
          <cell r="P574" t="str">
            <v>NA</v>
          </cell>
          <cell r="Q574">
            <v>1000</v>
          </cell>
          <cell r="R574" t="str">
            <v>NA</v>
          </cell>
          <cell r="S574">
            <v>0</v>
          </cell>
          <cell r="T574">
            <v>285.8</v>
          </cell>
          <cell r="U574">
            <v>1429</v>
          </cell>
        </row>
        <row r="575">
          <cell r="B575" t="str">
            <v>FY2</v>
          </cell>
          <cell r="C575" t="str">
            <v>NA</v>
          </cell>
          <cell r="D575" t="str">
            <v>NA</v>
          </cell>
          <cell r="E575">
            <v>0</v>
          </cell>
          <cell r="F575">
            <v>200</v>
          </cell>
          <cell r="G575" t="str">
            <v>NA</v>
          </cell>
          <cell r="H575">
            <v>380</v>
          </cell>
          <cell r="I575">
            <v>700</v>
          </cell>
          <cell r="J575">
            <v>320</v>
          </cell>
          <cell r="K575">
            <v>1280</v>
          </cell>
          <cell r="M575">
            <v>186.99280696096599</v>
          </cell>
          <cell r="N575">
            <v>204.936656106768</v>
          </cell>
          <cell r="O575">
            <v>88.082124465709697</v>
          </cell>
          <cell r="P575" t="str">
            <v>NA</v>
          </cell>
          <cell r="Q575">
            <v>1134.53939702649</v>
          </cell>
          <cell r="R575" t="str">
            <v>NA</v>
          </cell>
          <cell r="S575">
            <v>33.456420596740301</v>
          </cell>
          <cell r="T575">
            <v>329.6014810313348</v>
          </cell>
          <cell r="U575">
            <v>1648.0074051566739</v>
          </cell>
        </row>
        <row r="576">
          <cell r="B576" t="str">
            <v>FQ(3)</v>
          </cell>
          <cell r="C576" t="str">
            <v>NA</v>
          </cell>
          <cell r="D576" t="str">
            <v>NA</v>
          </cell>
          <cell r="E576">
            <v>0</v>
          </cell>
          <cell r="F576">
            <v>0</v>
          </cell>
          <cell r="G576" t="str">
            <v>NA</v>
          </cell>
          <cell r="H576">
            <v>77.171000000000006</v>
          </cell>
          <cell r="I576">
            <v>32.423999999999999</v>
          </cell>
          <cell r="J576">
            <v>27.39875</v>
          </cell>
          <cell r="K576">
            <v>109.595</v>
          </cell>
          <cell r="M576">
            <v>0</v>
          </cell>
          <cell r="N576">
            <v>0</v>
          </cell>
          <cell r="O576">
            <v>0</v>
          </cell>
          <cell r="P576" t="str">
            <v>NA</v>
          </cell>
          <cell r="Q576">
            <v>45</v>
          </cell>
          <cell r="R576" t="str">
            <v>NA</v>
          </cell>
          <cell r="S576">
            <v>0</v>
          </cell>
          <cell r="T576">
            <v>9</v>
          </cell>
          <cell r="U576">
            <v>45</v>
          </cell>
        </row>
        <row r="577">
          <cell r="B577" t="str">
            <v>FQ(2)</v>
          </cell>
          <cell r="C577" t="str">
            <v>NA</v>
          </cell>
          <cell r="D577" t="str">
            <v>NA</v>
          </cell>
          <cell r="E577">
            <v>1</v>
          </cell>
          <cell r="F577">
            <v>0</v>
          </cell>
          <cell r="G577" t="str">
            <v>NA</v>
          </cell>
          <cell r="H577">
            <v>77.2</v>
          </cell>
          <cell r="I577">
            <v>204.27600000000001</v>
          </cell>
          <cell r="J577">
            <v>70.619</v>
          </cell>
          <cell r="K577">
            <v>282.476</v>
          </cell>
          <cell r="M577">
            <v>0</v>
          </cell>
          <cell r="N577">
            <v>13.473000000000001</v>
          </cell>
          <cell r="O577">
            <v>0.19500000000000001</v>
          </cell>
          <cell r="P577" t="str">
            <v>NA</v>
          </cell>
          <cell r="Q577">
            <v>0</v>
          </cell>
          <cell r="R577" t="str">
            <v>NA</v>
          </cell>
          <cell r="S577">
            <v>0</v>
          </cell>
          <cell r="T577">
            <v>2.7336</v>
          </cell>
          <cell r="U577">
            <v>13.668000000000001</v>
          </cell>
        </row>
        <row r="578">
          <cell r="B578" t="str">
            <v>FQ(1)</v>
          </cell>
          <cell r="C578" t="str">
            <v>NA</v>
          </cell>
          <cell r="D578" t="str">
            <v>NA</v>
          </cell>
          <cell r="E578">
            <v>0</v>
          </cell>
          <cell r="F578">
            <v>0</v>
          </cell>
          <cell r="G578" t="str">
            <v>NA</v>
          </cell>
          <cell r="H578">
            <v>75.445999999999998</v>
          </cell>
          <cell r="I578">
            <v>293.80099999999999</v>
          </cell>
          <cell r="J578">
            <v>92.311749999999989</v>
          </cell>
          <cell r="K578">
            <v>369.24699999999996</v>
          </cell>
          <cell r="M578">
            <v>0</v>
          </cell>
          <cell r="N578">
            <v>49.567999999999998</v>
          </cell>
          <cell r="O578">
            <v>3.5000000000000003E-2</v>
          </cell>
          <cell r="P578" t="str">
            <v>NA</v>
          </cell>
          <cell r="Q578">
            <v>61</v>
          </cell>
          <cell r="R578" t="str">
            <v>NA</v>
          </cell>
          <cell r="S578">
            <v>0</v>
          </cell>
          <cell r="T578">
            <v>22.1206</v>
          </cell>
          <cell r="U578">
            <v>110.60299999999999</v>
          </cell>
        </row>
        <row r="579">
          <cell r="B579" t="str">
            <v>Last Reported Q</v>
          </cell>
          <cell r="C579" t="str">
            <v>NA</v>
          </cell>
          <cell r="D579" t="str">
            <v>NA</v>
          </cell>
          <cell r="E579">
            <v>1</v>
          </cell>
          <cell r="F579">
            <v>0</v>
          </cell>
          <cell r="G579" t="str">
            <v>NA</v>
          </cell>
          <cell r="H579">
            <v>300</v>
          </cell>
          <cell r="I579">
            <v>944.8</v>
          </cell>
          <cell r="J579">
            <v>311.45</v>
          </cell>
          <cell r="K579">
            <v>1245.8</v>
          </cell>
          <cell r="M579">
            <v>0</v>
          </cell>
          <cell r="N579">
            <v>174.25700000000001</v>
          </cell>
          <cell r="O579">
            <v>0.247</v>
          </cell>
          <cell r="P579" t="str">
            <v>NA</v>
          </cell>
          <cell r="Q579">
            <v>547</v>
          </cell>
          <cell r="R579" t="str">
            <v>NA</v>
          </cell>
          <cell r="S579">
            <v>0</v>
          </cell>
          <cell r="T579">
            <v>144.30080000000001</v>
          </cell>
          <cell r="U579">
            <v>721.50400000000002</v>
          </cell>
        </row>
        <row r="580">
          <cell r="B580" t="str">
            <v>LTM</v>
          </cell>
          <cell r="C580">
            <v>0</v>
          </cell>
          <cell r="D580">
            <v>0</v>
          </cell>
          <cell r="E580">
            <v>2</v>
          </cell>
          <cell r="F580">
            <v>0</v>
          </cell>
          <cell r="G580">
            <v>0</v>
          </cell>
          <cell r="H580">
            <v>529.81700000000001</v>
          </cell>
          <cell r="I580">
            <v>1475.3009999999999</v>
          </cell>
          <cell r="J580">
            <v>286.73114285714286</v>
          </cell>
          <cell r="K580">
            <v>2007.1179999999999</v>
          </cell>
          <cell r="M580">
            <v>0</v>
          </cell>
          <cell r="N580">
            <v>237.298</v>
          </cell>
          <cell r="O580">
            <v>0.47699999999999998</v>
          </cell>
          <cell r="P580">
            <v>0</v>
          </cell>
          <cell r="Q580">
            <v>653</v>
          </cell>
          <cell r="R580">
            <v>0</v>
          </cell>
          <cell r="S580">
            <v>0</v>
          </cell>
          <cell r="T580">
            <v>127.25357142857142</v>
          </cell>
          <cell r="U580">
            <v>890.77499999999998</v>
          </cell>
        </row>
        <row r="581">
          <cell r="B581" t="str">
            <v>EV/EBITDA</v>
          </cell>
        </row>
        <row r="582">
          <cell r="B582" t="str">
            <v>Repurchases &amp; Dividends</v>
          </cell>
          <cell r="C582" t="e">
            <v>#VALUE!</v>
          </cell>
          <cell r="D582" t="e">
            <v>#VALUE!</v>
          </cell>
          <cell r="E582" t="e">
            <v>#VALUE!</v>
          </cell>
          <cell r="F582" t="e">
            <v>#VALUE!</v>
          </cell>
          <cell r="G582" t="e">
            <v>#VALUE!</v>
          </cell>
          <cell r="H582" t="e">
            <v>#VALUE!</v>
          </cell>
          <cell r="I582" t="e">
            <v>#VALUE!</v>
          </cell>
          <cell r="J582" t="e">
            <v>#VALUE!</v>
          </cell>
          <cell r="M582" t="e">
            <v>#VALUE!</v>
          </cell>
          <cell r="N582" t="e">
            <v>#VALUE!</v>
          </cell>
          <cell r="O582" t="e">
            <v>#VALUE!</v>
          </cell>
          <cell r="P582" t="e">
            <v>#VALUE!</v>
          </cell>
          <cell r="Q582" t="e">
            <v>#VALUE!</v>
          </cell>
          <cell r="R582" t="e">
            <v>#VALUE!</v>
          </cell>
          <cell r="S582" t="e">
            <v>#VALUE!</v>
          </cell>
          <cell r="T582" t="e">
            <v>#VALUE!</v>
          </cell>
        </row>
        <row r="583">
          <cell r="B583" t="str">
            <v>FY(2)</v>
          </cell>
          <cell r="C583">
            <v>0</v>
          </cell>
          <cell r="D583">
            <v>174</v>
          </cell>
          <cell r="E583">
            <v>3552</v>
          </cell>
          <cell r="F583">
            <v>1836</v>
          </cell>
          <cell r="G583">
            <v>7.43</v>
          </cell>
          <cell r="H583">
            <v>240.63800000000001</v>
          </cell>
          <cell r="I583">
            <v>1091.7</v>
          </cell>
          <cell r="J583">
            <v>985.96685714285718</v>
          </cell>
          <cell r="K583">
            <v>6901.768</v>
          </cell>
          <cell r="M583">
            <v>349.24599999999998</v>
          </cell>
          <cell r="N583">
            <v>266.69200000000001</v>
          </cell>
          <cell r="O583">
            <v>531.39700000000005</v>
          </cell>
          <cell r="P583">
            <v>0</v>
          </cell>
          <cell r="Q583">
            <v>1952</v>
          </cell>
          <cell r="R583">
            <v>227</v>
          </cell>
          <cell r="S583">
            <v>0</v>
          </cell>
          <cell r="T583">
            <v>475.19071428571431</v>
          </cell>
          <cell r="U583">
            <v>3326.335</v>
          </cell>
        </row>
        <row r="584">
          <cell r="B584" t="str">
            <v>FY(1)</v>
          </cell>
          <cell r="C584">
            <v>0</v>
          </cell>
          <cell r="D584">
            <v>178</v>
          </cell>
          <cell r="E584">
            <v>222</v>
          </cell>
          <cell r="F584">
            <v>402</v>
          </cell>
          <cell r="G584">
            <v>1.1830000000000001</v>
          </cell>
          <cell r="H584">
            <v>349.83800000000002</v>
          </cell>
          <cell r="I584">
            <v>927.846</v>
          </cell>
          <cell r="J584">
            <v>297.26671428571433</v>
          </cell>
          <cell r="K584">
            <v>2080.8670000000002</v>
          </cell>
          <cell r="M584">
            <v>110.76900000000001</v>
          </cell>
          <cell r="N584">
            <v>6.681</v>
          </cell>
          <cell r="O584">
            <v>85.826000000000008</v>
          </cell>
          <cell r="P584">
            <v>0</v>
          </cell>
          <cell r="Q584">
            <v>948</v>
          </cell>
          <cell r="R584">
            <v>201</v>
          </cell>
          <cell r="S584">
            <v>0</v>
          </cell>
          <cell r="T584">
            <v>193.18228571428571</v>
          </cell>
          <cell r="U584">
            <v>1352.2760000000001</v>
          </cell>
        </row>
        <row r="585">
          <cell r="B585" t="str">
            <v>FY0</v>
          </cell>
          <cell r="C585">
            <v>0</v>
          </cell>
          <cell r="D585">
            <v>183</v>
          </cell>
          <cell r="E585">
            <v>85</v>
          </cell>
          <cell r="F585">
            <v>139</v>
          </cell>
          <cell r="G585">
            <v>0.78100000000000003</v>
          </cell>
          <cell r="H585">
            <v>355.202</v>
          </cell>
          <cell r="I585">
            <v>1142.5</v>
          </cell>
          <cell r="J585">
            <v>272.21185714285713</v>
          </cell>
          <cell r="K585">
            <v>1905.4829999999999</v>
          </cell>
          <cell r="M585">
            <v>61.5</v>
          </cell>
          <cell r="N585">
            <v>174.25700000000001</v>
          </cell>
          <cell r="O585">
            <v>83.231999999999999</v>
          </cell>
          <cell r="P585">
            <v>0</v>
          </cell>
          <cell r="Q585">
            <v>781</v>
          </cell>
          <cell r="R585">
            <v>193</v>
          </cell>
          <cell r="S585">
            <v>0</v>
          </cell>
          <cell r="T585">
            <v>184.7127142857143</v>
          </cell>
          <cell r="U585">
            <v>1292.989</v>
          </cell>
        </row>
        <row r="586">
          <cell r="B586" t="str">
            <v>FY1</v>
          </cell>
          <cell r="C586">
            <v>0</v>
          </cell>
          <cell r="D586">
            <v>188.775411841813</v>
          </cell>
          <cell r="E586">
            <v>85.186000000000007</v>
          </cell>
          <cell r="F586">
            <v>142.09321152000001</v>
          </cell>
          <cell r="G586">
            <v>0</v>
          </cell>
          <cell r="H586">
            <v>457.70708450909092</v>
          </cell>
          <cell r="I586">
            <v>897.28933818181804</v>
          </cell>
          <cell r="J586">
            <v>253.00729229324602</v>
          </cell>
          <cell r="K586">
            <v>1771.0510460527221</v>
          </cell>
          <cell r="M586">
            <v>264.34389702127658</v>
          </cell>
          <cell r="N586">
            <v>175</v>
          </cell>
          <cell r="O586">
            <v>144.0630963866667</v>
          </cell>
          <cell r="P586">
            <v>94.252655263445405</v>
          </cell>
          <cell r="Q586">
            <v>1262.495314327273</v>
          </cell>
          <cell r="R586">
            <v>518.07900254814797</v>
          </cell>
          <cell r="S586">
            <v>0</v>
          </cell>
          <cell r="T586">
            <v>351.17628079240137</v>
          </cell>
          <cell r="U586">
            <v>2458.2339655468095</v>
          </cell>
        </row>
        <row r="587">
          <cell r="B587" t="str">
            <v>FY2</v>
          </cell>
          <cell r="C587">
            <v>0</v>
          </cell>
          <cell r="D587">
            <v>207.70836687078599</v>
          </cell>
          <cell r="E587">
            <v>96.910411835832903</v>
          </cell>
          <cell r="F587">
            <v>351.06358340229599</v>
          </cell>
          <cell r="G587">
            <v>0</v>
          </cell>
          <cell r="H587">
            <v>461.59243873454551</v>
          </cell>
          <cell r="I587">
            <v>913.29758054177</v>
          </cell>
          <cell r="J587">
            <v>290.08176876931867</v>
          </cell>
          <cell r="K587">
            <v>2030.5723813852305</v>
          </cell>
          <cell r="M587">
            <v>255.18091389960301</v>
          </cell>
          <cell r="N587">
            <v>204.936656106768</v>
          </cell>
          <cell r="O587">
            <v>186.48300026498819</v>
          </cell>
          <cell r="P587">
            <v>99.137817779386296</v>
          </cell>
          <cell r="Q587">
            <v>1396.8875397541649</v>
          </cell>
          <cell r="R587">
            <v>200</v>
          </cell>
          <cell r="S587">
            <v>33.456420596740301</v>
          </cell>
          <cell r="T587">
            <v>339.44033548595007</v>
          </cell>
          <cell r="U587">
            <v>2376.0823484016505</v>
          </cell>
        </row>
        <row r="588">
          <cell r="B588" t="str">
            <v>FQ(3)</v>
          </cell>
          <cell r="C588">
            <v>0</v>
          </cell>
          <cell r="D588">
            <v>89</v>
          </cell>
          <cell r="E588">
            <v>21</v>
          </cell>
          <cell r="F588">
            <v>35</v>
          </cell>
          <cell r="G588">
            <v>0.47099999999999997</v>
          </cell>
          <cell r="H588">
            <v>91.138000000000005</v>
          </cell>
          <cell r="I588">
            <v>77.831999999999994</v>
          </cell>
          <cell r="J588">
            <v>44.920142857142864</v>
          </cell>
          <cell r="K588">
            <v>314.44100000000003</v>
          </cell>
          <cell r="M588">
            <v>15.337999999999999</v>
          </cell>
          <cell r="N588">
            <v>0</v>
          </cell>
          <cell r="O588">
            <v>20.638999999999999</v>
          </cell>
          <cell r="P588">
            <v>0</v>
          </cell>
          <cell r="Q588">
            <v>104</v>
          </cell>
          <cell r="R588">
            <v>48</v>
          </cell>
          <cell r="S588">
            <v>0</v>
          </cell>
          <cell r="T588">
            <v>26.853857142857144</v>
          </cell>
          <cell r="U588">
            <v>187.977</v>
          </cell>
        </row>
        <row r="589">
          <cell r="B589" t="str">
            <v>FQ(2)</v>
          </cell>
          <cell r="C589">
            <v>0</v>
          </cell>
          <cell r="D589">
            <v>0</v>
          </cell>
          <cell r="E589">
            <v>22</v>
          </cell>
          <cell r="F589">
            <v>34</v>
          </cell>
          <cell r="G589">
            <v>7.0000000000000104E-2</v>
          </cell>
          <cell r="H589">
            <v>91.058000000000007</v>
          </cell>
          <cell r="I589">
            <v>255.46800000000002</v>
          </cell>
          <cell r="J589">
            <v>57.513714285714286</v>
          </cell>
          <cell r="K589">
            <v>402.596</v>
          </cell>
          <cell r="M589">
            <v>15.374000000000001</v>
          </cell>
          <cell r="N589">
            <v>13.473000000000001</v>
          </cell>
          <cell r="O589">
            <v>20.916</v>
          </cell>
          <cell r="P589">
            <v>0</v>
          </cell>
          <cell r="Q589">
            <v>59</v>
          </cell>
          <cell r="R589">
            <v>48</v>
          </cell>
          <cell r="S589">
            <v>0</v>
          </cell>
          <cell r="T589">
            <v>22.394714285714286</v>
          </cell>
          <cell r="U589">
            <v>156.76300000000001</v>
          </cell>
        </row>
        <row r="590">
          <cell r="B590" t="str">
            <v>FQ(1)</v>
          </cell>
          <cell r="C590">
            <v>0</v>
          </cell>
          <cell r="D590">
            <v>47</v>
          </cell>
          <cell r="E590">
            <v>21</v>
          </cell>
          <cell r="F590">
            <v>35</v>
          </cell>
          <cell r="G590">
            <v>0.24</v>
          </cell>
          <cell r="H590">
            <v>89.180999999999997</v>
          </cell>
          <cell r="I590">
            <v>344.60399999999998</v>
          </cell>
          <cell r="J590">
            <v>76.717857142857142</v>
          </cell>
          <cell r="K590">
            <v>537.02499999999998</v>
          </cell>
          <cell r="M590">
            <v>15.391999999999999</v>
          </cell>
          <cell r="N590">
            <v>49.567999999999998</v>
          </cell>
          <cell r="O590">
            <v>20.792000000000002</v>
          </cell>
          <cell r="P590">
            <v>23.843</v>
          </cell>
          <cell r="Q590">
            <v>121</v>
          </cell>
          <cell r="R590">
            <v>49</v>
          </cell>
          <cell r="S590">
            <v>0</v>
          </cell>
          <cell r="T590">
            <v>39.942142857142862</v>
          </cell>
          <cell r="U590">
            <v>279.59500000000003</v>
          </cell>
        </row>
        <row r="591">
          <cell r="B591" t="str">
            <v>Last Reported Q</v>
          </cell>
          <cell r="C591">
            <v>0</v>
          </cell>
          <cell r="D591">
            <v>183</v>
          </cell>
          <cell r="E591">
            <v>85</v>
          </cell>
          <cell r="F591">
            <v>139</v>
          </cell>
          <cell r="G591">
            <v>0.78100000000000003</v>
          </cell>
          <cell r="H591">
            <v>355.202</v>
          </cell>
          <cell r="I591">
            <v>1142.5</v>
          </cell>
          <cell r="J591">
            <v>272.21185714285713</v>
          </cell>
          <cell r="K591">
            <v>1905.4829999999999</v>
          </cell>
          <cell r="M591">
            <v>61.5</v>
          </cell>
          <cell r="N591">
            <v>174.25700000000001</v>
          </cell>
          <cell r="O591">
            <v>83.231999999999999</v>
          </cell>
          <cell r="P591">
            <v>23.882999999999999</v>
          </cell>
          <cell r="Q591">
            <v>781</v>
          </cell>
          <cell r="R591">
            <v>193</v>
          </cell>
          <cell r="S591">
            <v>0</v>
          </cell>
          <cell r="T591">
            <v>188.12457142857144</v>
          </cell>
          <cell r="U591">
            <v>1316.8720000000001</v>
          </cell>
        </row>
        <row r="592">
          <cell r="B592" t="str">
            <v>LTM</v>
          </cell>
          <cell r="C592">
            <v>0</v>
          </cell>
          <cell r="D592">
            <v>319</v>
          </cell>
          <cell r="E592">
            <v>149</v>
          </cell>
          <cell r="F592">
            <v>243</v>
          </cell>
          <cell r="G592">
            <v>1.5620000000000001</v>
          </cell>
          <cell r="H592">
            <v>626.57899999999995</v>
          </cell>
          <cell r="I592">
            <v>1820.404</v>
          </cell>
          <cell r="J592">
            <v>451.36357142857145</v>
          </cell>
          <cell r="K592">
            <v>3159.5450000000001</v>
          </cell>
          <cell r="M592">
            <v>107.604</v>
          </cell>
          <cell r="N592">
            <v>237.298</v>
          </cell>
          <cell r="O592">
            <v>145.57900000000001</v>
          </cell>
          <cell r="P592">
            <v>47.725999999999999</v>
          </cell>
          <cell r="Q592">
            <v>1065</v>
          </cell>
          <cell r="R592">
            <v>338</v>
          </cell>
          <cell r="S592">
            <v>0</v>
          </cell>
          <cell r="T592">
            <v>277.31528571428572</v>
          </cell>
          <cell r="U592">
            <v>1941.2069999999999</v>
          </cell>
        </row>
        <row r="593">
          <cell r="B593" t="str">
            <v>FY1</v>
          </cell>
          <cell r="C593" t="str">
            <v/>
          </cell>
          <cell r="D593" t="str">
            <v/>
          </cell>
          <cell r="E593" t="str">
            <v/>
          </cell>
          <cell r="F593" t="str">
            <v/>
          </cell>
          <cell r="G593" t="str">
            <v/>
          </cell>
          <cell r="H593" t="str">
            <v/>
          </cell>
          <cell r="I593" t="str">
            <v/>
          </cell>
          <cell r="J593" t="e">
            <v>#NUM!</v>
          </cell>
          <cell r="M593" t="str">
            <v/>
          </cell>
          <cell r="N593" t="str">
            <v/>
          </cell>
          <cell r="O593" t="str">
            <v/>
          </cell>
          <cell r="P593" t="str">
            <v/>
          </cell>
          <cell r="Q593" t="str">
            <v/>
          </cell>
          <cell r="R593" t="str">
            <v/>
          </cell>
          <cell r="S593" t="str">
            <v/>
          </cell>
          <cell r="T593" t="e">
            <v>#NUM!</v>
          </cell>
        </row>
        <row r="594">
          <cell r="B594" t="str">
            <v>Total Payout Ratio</v>
          </cell>
          <cell r="C594" t="str">
            <v/>
          </cell>
          <cell r="D594" t="str">
            <v/>
          </cell>
          <cell r="E594" t="str">
            <v/>
          </cell>
          <cell r="F594" t="str">
            <v/>
          </cell>
          <cell r="G594" t="str">
            <v/>
          </cell>
          <cell r="H594" t="str">
            <v/>
          </cell>
          <cell r="I594" t="str">
            <v/>
          </cell>
          <cell r="J594" t="e">
            <v>#NUM!</v>
          </cell>
          <cell r="M594" t="str">
            <v/>
          </cell>
          <cell r="N594" t="str">
            <v/>
          </cell>
          <cell r="O594" t="str">
            <v/>
          </cell>
          <cell r="P594" t="str">
            <v/>
          </cell>
          <cell r="Q594" t="str">
            <v/>
          </cell>
          <cell r="R594" t="str">
            <v/>
          </cell>
          <cell r="S594" t="str">
            <v/>
          </cell>
          <cell r="T594" t="e">
            <v>#NUM!</v>
          </cell>
        </row>
        <row r="595">
          <cell r="B595" t="str">
            <v>FY(2)</v>
          </cell>
          <cell r="C595">
            <v>0</v>
          </cell>
          <cell r="D595">
            <v>0.16216216216216217</v>
          </cell>
          <cell r="E595">
            <v>3.6661247985587697</v>
          </cell>
          <cell r="F595">
            <v>2.6454340327307624</v>
          </cell>
          <cell r="G595">
            <v>0.11723994317024553</v>
          </cell>
          <cell r="H595">
            <v>0.92180455160102825</v>
          </cell>
          <cell r="I595">
            <v>1.2096020253757214</v>
          </cell>
          <cell r="J595">
            <v>1.2460525019426698</v>
          </cell>
          <cell r="K595">
            <v>1.3675882547173104</v>
          </cell>
          <cell r="M595">
            <v>0.69971370012041023</v>
          </cell>
          <cell r="N595">
            <v>2.1272224039052094</v>
          </cell>
          <cell r="O595">
            <v>1.328429399603519</v>
          </cell>
          <cell r="P595">
            <v>0</v>
          </cell>
          <cell r="Q595">
            <v>2.1977264654447031</v>
          </cell>
          <cell r="R595">
            <v>0.49192140793886452</v>
          </cell>
          <cell r="S595">
            <v>0</v>
          </cell>
          <cell r="T595">
            <v>0.97785905385895788</v>
          </cell>
          <cell r="U595">
            <v>1.051565317099219</v>
          </cell>
        </row>
        <row r="596">
          <cell r="B596" t="str">
            <v>FY(1)</v>
          </cell>
          <cell r="C596">
            <v>0</v>
          </cell>
          <cell r="D596">
            <v>0.31642285419859939</v>
          </cell>
          <cell r="E596">
            <v>0.40733944954128443</v>
          </cell>
          <cell r="F596">
            <v>1.0188796885573728</v>
          </cell>
          <cell r="G596">
            <v>-1.0778540196118701E-2</v>
          </cell>
          <cell r="H596">
            <v>1.1554399257639285</v>
          </cell>
          <cell r="I596">
            <v>1.0497673417532609</v>
          </cell>
          <cell r="J596">
            <v>0.56243867423118965</v>
          </cell>
          <cell r="K596">
            <v>0.60060872654977804</v>
          </cell>
          <cell r="M596">
            <v>0.34727063277060433</v>
          </cell>
          <cell r="N596">
            <v>4.4712291362717677E-2</v>
          </cell>
          <cell r="O596">
            <v>0.41889227285150915</v>
          </cell>
          <cell r="P596">
            <v>0</v>
          </cell>
          <cell r="Q596">
            <v>0.98035160289555323</v>
          </cell>
          <cell r="R596">
            <v>0.56878958181231642</v>
          </cell>
          <cell r="S596">
            <v>0</v>
          </cell>
          <cell r="T596">
            <v>0.33714519738467158</v>
          </cell>
          <cell r="U596">
            <v>0.46073696249193502</v>
          </cell>
        </row>
        <row r="597">
          <cell r="B597" t="str">
            <v>FY0</v>
          </cell>
          <cell r="C597">
            <v>0</v>
          </cell>
          <cell r="D597">
            <v>0.73322595379474487</v>
          </cell>
          <cell r="E597">
            <v>0.14756944444444445</v>
          </cell>
          <cell r="F597">
            <v>0.32491818606825618</v>
          </cell>
          <cell r="G597">
            <v>-1.6362232382747848E-2</v>
          </cell>
          <cell r="H597">
            <v>0.80225044437467952</v>
          </cell>
          <cell r="I597">
            <v>0.94143569561591744</v>
          </cell>
          <cell r="J597">
            <v>0.41900535598789918</v>
          </cell>
          <cell r="K597">
            <v>0.49466351475021214</v>
          </cell>
          <cell r="M597">
            <v>0.6411004160272602</v>
          </cell>
          <cell r="N597">
            <v>0.75328644484694962</v>
          </cell>
          <cell r="O597">
            <v>0.52325453102828579</v>
          </cell>
          <cell r="P597">
            <v>0</v>
          </cell>
          <cell r="Q597">
            <v>0.7101291143844336</v>
          </cell>
          <cell r="R597">
            <v>0.47634326332156873</v>
          </cell>
          <cell r="S597">
            <v>0</v>
          </cell>
          <cell r="T597">
            <v>0.44344482422978537</v>
          </cell>
          <cell r="U597">
            <v>0.45635204390278128</v>
          </cell>
        </row>
        <row r="598">
          <cell r="B598" t="str">
            <v>FY1</v>
          </cell>
          <cell r="C598">
            <v>0</v>
          </cell>
          <cell r="D598">
            <v>0.50753937868714571</v>
          </cell>
          <cell r="E598">
            <v>0.10909301206497163</v>
          </cell>
          <cell r="F598">
            <v>0.24746240936388547</v>
          </cell>
          <cell r="G598">
            <v>0</v>
          </cell>
          <cell r="H598">
            <v>0.87878285220050112</v>
          </cell>
          <cell r="I598">
            <v>0.63479295131495372</v>
          </cell>
          <cell r="J598">
            <v>0.33966722909020824</v>
          </cell>
          <cell r="K598">
            <v>0.36616541991203905</v>
          </cell>
          <cell r="M598">
            <v>1.7009033921522962</v>
          </cell>
          <cell r="N598">
            <v>0.67981251994719039</v>
          </cell>
          <cell r="O598">
            <v>0.57942808192479767</v>
          </cell>
          <cell r="P598">
            <v>0.13620642135194008</v>
          </cell>
          <cell r="Q598">
            <v>1.1647794572958605</v>
          </cell>
          <cell r="R598">
            <v>0.94883089374659302</v>
          </cell>
          <cell r="S598">
            <v>0</v>
          </cell>
          <cell r="T598">
            <v>0.74428010948838252</v>
          </cell>
          <cell r="U598">
            <v>0.75346194903587538</v>
          </cell>
        </row>
        <row r="599">
          <cell r="B599" t="str">
            <v>FY2</v>
          </cell>
          <cell r="C599">
            <v>0</v>
          </cell>
          <cell r="D599">
            <v>0.45040175903104468</v>
          </cell>
          <cell r="E599">
            <v>0.10909301206497171</v>
          </cell>
          <cell r="F599">
            <v>0.55559423355219895</v>
          </cell>
          <cell r="G599">
            <v>0</v>
          </cell>
          <cell r="H599">
            <v>0.82303887166694112</v>
          </cell>
          <cell r="I599">
            <v>0.59762613597557279</v>
          </cell>
          <cell r="J599">
            <v>0.36225057318438986</v>
          </cell>
          <cell r="K599">
            <v>0.37125601240434875</v>
          </cell>
          <cell r="M599">
            <v>1.2500000000000455</v>
          </cell>
          <cell r="N599">
            <v>0.80000000000000626</v>
          </cell>
          <cell r="O599">
            <v>0.60942808192479714</v>
          </cell>
          <cell r="P599">
            <v>0.13454396508448954</v>
          </cell>
          <cell r="Q599">
            <v>1.300000000000052</v>
          </cell>
          <cell r="R599">
            <v>0.31730075807378577</v>
          </cell>
          <cell r="S599">
            <v>9.9999999999998201E-2</v>
          </cell>
          <cell r="T599">
            <v>0.64446754358331049</v>
          </cell>
          <cell r="U599">
            <v>0.6707236257254281</v>
          </cell>
        </row>
        <row r="600">
          <cell r="B600" t="str">
            <v>FQ(3)</v>
          </cell>
          <cell r="C600">
            <v>0</v>
          </cell>
          <cell r="D600">
            <v>3.56</v>
          </cell>
          <cell r="E600">
            <v>-0.30882352941176472</v>
          </cell>
          <cell r="F600">
            <v>0.51470588235294112</v>
          </cell>
          <cell r="G600">
            <v>-9.8247809762202751E-2</v>
          </cell>
          <cell r="H600">
            <v>0.99727532362371019</v>
          </cell>
          <cell r="I600">
            <v>0.37202099285898649</v>
          </cell>
          <cell r="J600">
            <v>0.71956155138023858</v>
          </cell>
          <cell r="K600">
            <v>0.68684183509644903</v>
          </cell>
          <cell r="M600">
            <v>-0.66383899588833584</v>
          </cell>
          <cell r="N600">
            <v>0</v>
          </cell>
          <cell r="O600">
            <v>1.3161788151265863</v>
          </cell>
          <cell r="P600">
            <v>0</v>
          </cell>
          <cell r="Q600">
            <v>0.48372093023255813</v>
          </cell>
          <cell r="R600">
            <v>18.45444059976932</v>
          </cell>
          <cell r="S600">
            <v>0</v>
          </cell>
          <cell r="T600">
            <v>2.7986430498914467</v>
          </cell>
          <cell r="U600">
            <v>0.47313378739598599</v>
          </cell>
        </row>
        <row r="601">
          <cell r="B601" t="str">
            <v>FQ(2)</v>
          </cell>
          <cell r="C601">
            <v>0</v>
          </cell>
          <cell r="D601">
            <v>0</v>
          </cell>
          <cell r="E601">
            <v>0.26190476190476192</v>
          </cell>
          <cell r="F601">
            <v>0.32380952380952382</v>
          </cell>
          <cell r="G601">
            <v>-1.2749758665282426E-3</v>
          </cell>
          <cell r="H601">
            <v>0.88057868422834051</v>
          </cell>
          <cell r="I601">
            <v>0.97670524275408044</v>
          </cell>
          <cell r="J601">
            <v>0.34881760526145406</v>
          </cell>
          <cell r="K601">
            <v>0.55336081380309454</v>
          </cell>
          <cell r="M601">
            <v>2.2314825700803707</v>
          </cell>
          <cell r="N601">
            <v>0.34580734580734585</v>
          </cell>
          <cell r="O601">
            <v>0.7320453590928182</v>
          </cell>
          <cell r="P601">
            <v>0</v>
          </cell>
          <cell r="Q601">
            <v>0.25877192982456143</v>
          </cell>
          <cell r="R601">
            <v>0.79650863714053399</v>
          </cell>
          <cell r="S601">
            <v>0</v>
          </cell>
          <cell r="T601">
            <v>0.6235165488493758</v>
          </cell>
          <cell r="U601">
            <v>0.28607817774243055</v>
          </cell>
        </row>
        <row r="602">
          <cell r="B602" t="str">
            <v>FQ(1)</v>
          </cell>
          <cell r="C602">
            <v>0</v>
          </cell>
          <cell r="D602">
            <v>1.7407407407407407</v>
          </cell>
          <cell r="E602">
            <v>-1.75</v>
          </cell>
          <cell r="F602">
            <v>0.42168674698795183</v>
          </cell>
          <cell r="G602">
            <v>0.12727187703110288</v>
          </cell>
          <cell r="H602">
            <v>0.84869623144271034</v>
          </cell>
          <cell r="I602">
            <v>0.99081365961374246</v>
          </cell>
          <cell r="J602">
            <v>0.33988703654517832</v>
          </cell>
          <cell r="K602">
            <v>0.72009975886680333</v>
          </cell>
          <cell r="M602">
            <v>0.50262874310159023</v>
          </cell>
          <cell r="N602">
            <v>0.79145443803988569</v>
          </cell>
          <cell r="O602">
            <v>0.4672203110502593</v>
          </cell>
          <cell r="P602">
            <v>0.16930702209093426</v>
          </cell>
          <cell r="Q602">
            <v>0.39413680781758959</v>
          </cell>
          <cell r="R602">
            <v>8.0341039514674542</v>
          </cell>
          <cell r="S602">
            <v>0</v>
          </cell>
          <cell r="T602">
            <v>1.4798358962239591</v>
          </cell>
          <cell r="U602">
            <v>0.42746856310768105</v>
          </cell>
        </row>
        <row r="603">
          <cell r="B603" t="str">
            <v>Last Reported Q</v>
          </cell>
          <cell r="C603">
            <v>0</v>
          </cell>
          <cell r="D603">
            <v>0.73322595379474487</v>
          </cell>
          <cell r="E603">
            <v>0.14756944444444445</v>
          </cell>
          <cell r="F603">
            <v>0.32491818606825618</v>
          </cell>
          <cell r="G603">
            <v>-1.6362232382747848E-2</v>
          </cell>
          <cell r="H603">
            <v>0.80225044437467952</v>
          </cell>
          <cell r="I603">
            <v>0.94143569561591744</v>
          </cell>
          <cell r="J603">
            <v>0.41900535598789918</v>
          </cell>
          <cell r="K603">
            <v>0.49466351475021214</v>
          </cell>
          <cell r="M603">
            <v>0.6411004160272602</v>
          </cell>
          <cell r="N603">
            <v>0.75328644484694962</v>
          </cell>
          <cell r="O603">
            <v>0.52325453102828579</v>
          </cell>
          <cell r="P603">
            <v>9.9120149408590999E-2</v>
          </cell>
          <cell r="Q603">
            <v>0.7101291143844336</v>
          </cell>
          <cell r="R603">
            <v>0.47634326332156873</v>
          </cell>
          <cell r="S603">
            <v>0</v>
          </cell>
          <cell r="T603">
            <v>0.45760484557386988</v>
          </cell>
          <cell r="U603">
            <v>0.53703039732530433</v>
          </cell>
        </row>
        <row r="604">
          <cell r="B604" t="str">
            <v>LTM</v>
          </cell>
          <cell r="C604">
            <v>0</v>
          </cell>
          <cell r="D604">
            <v>1.0599274331813773</v>
          </cell>
          <cell r="E604">
            <v>0.25689655172413794</v>
          </cell>
          <cell r="F604">
            <v>0.35536706639368237</v>
          </cell>
          <cell r="G604">
            <v>-1.4799634611464611E-2</v>
          </cell>
          <cell r="H604">
            <v>0.84372858122001371</v>
          </cell>
          <cell r="I604">
            <v>0.89580374638436422</v>
          </cell>
          <cell r="J604">
            <v>0.48527482061315869</v>
          </cell>
          <cell r="K604">
            <v>0.54633181846653156</v>
          </cell>
          <cell r="M604">
            <v>0.97523573362915594</v>
          </cell>
          <cell r="N604">
            <v>0.64818871655913513</v>
          </cell>
          <cell r="O604">
            <v>0.58743732559956308</v>
          </cell>
          <cell r="P604">
            <v>7.4433707430581988E-2</v>
          </cell>
          <cell r="Q604">
            <v>0.57573791761271487</v>
          </cell>
          <cell r="R604">
            <v>0.71288014122619592</v>
          </cell>
          <cell r="S604">
            <v>0</v>
          </cell>
          <cell r="T604">
            <v>0.51055907743676376</v>
          </cell>
          <cell r="U604">
            <v>0.47913493836607302</v>
          </cell>
        </row>
        <row r="606">
          <cell r="A606" t="str">
            <v>Modelware DuPont (Non-lease Adjusted)ROIC</v>
          </cell>
          <cell r="B606" t="str">
            <v>Unadjusted ROIC</v>
          </cell>
        </row>
        <row r="607">
          <cell r="B607" t="str">
            <v>FY0</v>
          </cell>
        </row>
        <row r="608">
          <cell r="B608" t="str">
            <v>FY1</v>
          </cell>
          <cell r="C608">
            <v>1606.99</v>
          </cell>
          <cell r="D608">
            <v>3135</v>
          </cell>
          <cell r="E608">
            <v>3215</v>
          </cell>
          <cell r="F608">
            <v>901.32299999999998</v>
          </cell>
          <cell r="G608">
            <v>1438.452</v>
          </cell>
          <cell r="H608">
            <v>841.49099999999999</v>
          </cell>
          <cell r="I608">
            <v>1941.6980000000001</v>
          </cell>
          <cell r="M608">
            <v>170.703</v>
          </cell>
          <cell r="N608">
            <v>61.807000000000002</v>
          </cell>
          <cell r="O608">
            <v>134.40100000000001</v>
          </cell>
          <cell r="P608">
            <v>161.91300000000001</v>
          </cell>
          <cell r="Q608">
            <v>1703.855</v>
          </cell>
          <cell r="R608">
            <v>943.42600000000004</v>
          </cell>
          <cell r="S608">
            <v>63.247</v>
          </cell>
        </row>
        <row r="609">
          <cell r="B609" t="str">
            <v>FY2</v>
          </cell>
          <cell r="C609">
            <v>1946.9770000000001</v>
          </cell>
          <cell r="D609">
            <v>3142</v>
          </cell>
          <cell r="E609">
            <v>3120</v>
          </cell>
          <cell r="F609">
            <v>917.18200000000002</v>
          </cell>
          <cell r="G609">
            <v>1516.271</v>
          </cell>
          <cell r="H609">
            <v>853.11199999999997</v>
          </cell>
          <cell r="I609">
            <v>2352.0320000000002</v>
          </cell>
          <cell r="M609">
            <v>211.19800000000001</v>
          </cell>
          <cell r="N609">
            <v>81.238</v>
          </cell>
          <cell r="O609">
            <v>170.57599999999999</v>
          </cell>
          <cell r="P609">
            <v>184.41900000000001</v>
          </cell>
          <cell r="Q609">
            <v>1814</v>
          </cell>
          <cell r="R609">
            <v>1142</v>
          </cell>
          <cell r="S609">
            <v>98.995999999999995</v>
          </cell>
        </row>
        <row r="610">
          <cell r="B610" t="str">
            <v>FY(3)</v>
          </cell>
          <cell r="C610">
            <v>2237.5680000000002</v>
          </cell>
          <cell r="D610">
            <v>3210</v>
          </cell>
          <cell r="E610">
            <v>5459</v>
          </cell>
          <cell r="F610">
            <v>955.97799999999995</v>
          </cell>
          <cell r="G610">
            <v>807.21100000000001</v>
          </cell>
          <cell r="H610">
            <v>938.09100000000001</v>
          </cell>
          <cell r="I610">
            <v>2365.8609999999999</v>
          </cell>
          <cell r="M610">
            <v>362.536</v>
          </cell>
          <cell r="N610">
            <v>91.908000000000001</v>
          </cell>
          <cell r="O610">
            <v>210.739</v>
          </cell>
          <cell r="P610">
            <v>233.494</v>
          </cell>
          <cell r="Q610">
            <v>1696</v>
          </cell>
          <cell r="R610">
            <v>1159.69</v>
          </cell>
          <cell r="S610">
            <v>140.37700000000001</v>
          </cell>
        </row>
        <row r="611">
          <cell r="A611" t="str">
            <v>Modelware DuPont (Non-lease Adjusted)ROE</v>
          </cell>
          <cell r="B611" t="str">
            <v>Unadjusted ROE</v>
          </cell>
          <cell r="C611">
            <v>2578.3780000000002</v>
          </cell>
          <cell r="D611">
            <v>3400</v>
          </cell>
          <cell r="E611">
            <v>5317</v>
          </cell>
          <cell r="F611">
            <v>997.28899999999999</v>
          </cell>
          <cell r="G611">
            <v>785.30200000000002</v>
          </cell>
          <cell r="H611">
            <v>1051.729</v>
          </cell>
          <cell r="I611">
            <v>2581.9690000000001</v>
          </cell>
          <cell r="M611">
            <v>427.447</v>
          </cell>
          <cell r="N611">
            <v>101.476</v>
          </cell>
          <cell r="O611">
            <v>263.64400000000001</v>
          </cell>
          <cell r="P611">
            <v>291.19200000000001</v>
          </cell>
          <cell r="Q611">
            <v>1796</v>
          </cell>
          <cell r="R611">
            <v>1770</v>
          </cell>
          <cell r="S611">
            <v>154.387</v>
          </cell>
        </row>
        <row r="612">
          <cell r="B612" t="str">
            <v>FY0</v>
          </cell>
          <cell r="C612">
            <v>2855.7330000000002</v>
          </cell>
          <cell r="D612">
            <v>3641</v>
          </cell>
          <cell r="E612">
            <v>5060</v>
          </cell>
          <cell r="F612">
            <v>956</v>
          </cell>
          <cell r="G612">
            <v>857.173</v>
          </cell>
          <cell r="H612">
            <v>1025.2950000000001</v>
          </cell>
          <cell r="I612">
            <v>2737.3780000000002</v>
          </cell>
          <cell r="M612">
            <v>333.15300000000002</v>
          </cell>
          <cell r="N612">
            <v>136.488</v>
          </cell>
          <cell r="O612">
            <v>286.48500000000001</v>
          </cell>
          <cell r="P612">
            <v>318.49</v>
          </cell>
          <cell r="Q612">
            <v>1575</v>
          </cell>
          <cell r="R612">
            <v>1250.625</v>
          </cell>
          <cell r="S612">
            <v>171.92500000000001</v>
          </cell>
        </row>
        <row r="613">
          <cell r="B613" t="str">
            <v>FY1</v>
          </cell>
          <cell r="C613">
            <v>2799</v>
          </cell>
          <cell r="D613">
            <v>3259</v>
          </cell>
          <cell r="E613">
            <v>4769</v>
          </cell>
          <cell r="F613">
            <v>900</v>
          </cell>
          <cell r="G613">
            <v>728.84100000000001</v>
          </cell>
          <cell r="H613">
            <v>881.05799999999999</v>
          </cell>
          <cell r="I613">
            <v>2619.3359999999998</v>
          </cell>
          <cell r="M613">
            <v>372.42200000000003</v>
          </cell>
          <cell r="N613">
            <v>126.36</v>
          </cell>
          <cell r="O613">
            <v>294.928</v>
          </cell>
          <cell r="P613">
            <v>326.14800000000002</v>
          </cell>
          <cell r="Q613">
            <v>1506</v>
          </cell>
          <cell r="R613">
            <v>1181.865</v>
          </cell>
          <cell r="S613">
            <v>169.69800000000001</v>
          </cell>
        </row>
        <row r="614">
          <cell r="B614" t="str">
            <v>FY2</v>
          </cell>
          <cell r="C614">
            <v>2940.0436170483199</v>
          </cell>
          <cell r="D614">
            <v>2918.8564274536802</v>
          </cell>
          <cell r="E614">
            <v>4731.2153421261601</v>
          </cell>
          <cell r="F614">
            <v>839.35617027476405</v>
          </cell>
          <cell r="G614">
            <v>585.00673201635198</v>
          </cell>
          <cell r="H614">
            <v>864.04781667707402</v>
          </cell>
          <cell r="I614">
            <v>2616.37292347927</v>
          </cell>
          <cell r="M614">
            <v>287.47271947598</v>
          </cell>
          <cell r="N614">
            <v>124.497120668248</v>
          </cell>
          <cell r="O614">
            <v>314.06161596097701</v>
          </cell>
          <cell r="P614">
            <v>346.15462013569299</v>
          </cell>
          <cell r="Q614">
            <v>1484.11506380842</v>
          </cell>
          <cell r="R614">
            <v>1032.0259323569901</v>
          </cell>
          <cell r="S614">
            <v>173.71380577112001</v>
          </cell>
        </row>
        <row r="615">
          <cell r="B615" t="str">
            <v>FY2</v>
          </cell>
          <cell r="C615">
            <v>3047.8533847793501</v>
          </cell>
          <cell r="D615">
            <v>2899.7434629710201</v>
          </cell>
          <cell r="E615">
            <v>4616.6879030365199</v>
          </cell>
          <cell r="F615">
            <v>859.99964804245894</v>
          </cell>
          <cell r="G615">
            <v>574.46682556849896</v>
          </cell>
          <cell r="H615">
            <v>905.12218771622202</v>
          </cell>
          <cell r="I615">
            <v>2755.9473532789998</v>
          </cell>
          <cell r="M615">
            <v>306.71986794402397</v>
          </cell>
          <cell r="N615">
            <v>137.961510175505</v>
          </cell>
          <cell r="O615">
            <v>324.52754417494299</v>
          </cell>
          <cell r="P615">
            <v>370.54645784883797</v>
          </cell>
          <cell r="Q615">
            <v>1426.10530468362</v>
          </cell>
          <cell r="R615">
            <v>1008.9558266789099</v>
          </cell>
          <cell r="S615">
            <v>180.024105564092</v>
          </cell>
        </row>
        <row r="616">
          <cell r="A616" t="str">
            <v>Modelware DuPont (Lease Adjusted)ROIC</v>
          </cell>
          <cell r="B616" t="str">
            <v>Lease Adjusted ROIC</v>
          </cell>
          <cell r="C616">
            <v>2799</v>
          </cell>
          <cell r="D616">
            <v>3259</v>
          </cell>
          <cell r="E616">
            <v>4769</v>
          </cell>
          <cell r="F616">
            <v>900</v>
          </cell>
          <cell r="G616">
            <v>728.84100000000001</v>
          </cell>
          <cell r="H616">
            <v>881.05799999999999</v>
          </cell>
          <cell r="I616">
            <v>2619.3359999999998</v>
          </cell>
          <cell r="M616">
            <v>372.42200000000003</v>
          </cell>
          <cell r="N616">
            <v>126.36</v>
          </cell>
          <cell r="O616">
            <v>294.928</v>
          </cell>
          <cell r="P616">
            <v>401.79700000000003</v>
          </cell>
          <cell r="Q616">
            <v>1506</v>
          </cell>
          <cell r="R616">
            <v>1181.865</v>
          </cell>
          <cell r="S616">
            <v>169.69800000000001</v>
          </cell>
        </row>
        <row r="617">
          <cell r="B617" t="str">
            <v>FY0</v>
          </cell>
          <cell r="C617">
            <v>2804</v>
          </cell>
          <cell r="D617">
            <v>3237</v>
          </cell>
          <cell r="E617">
            <v>5026</v>
          </cell>
          <cell r="F617">
            <v>1004</v>
          </cell>
          <cell r="G617">
            <v>779.47400000000005</v>
          </cell>
          <cell r="H617">
            <v>917.66099999999994</v>
          </cell>
          <cell r="I617">
            <v>2817.7</v>
          </cell>
          <cell r="M617">
            <v>274.74200000000002</v>
          </cell>
          <cell r="N617">
            <v>128.929</v>
          </cell>
          <cell r="O617">
            <v>279.233</v>
          </cell>
          <cell r="P617">
            <v>383.08100000000002</v>
          </cell>
          <cell r="Q617">
            <v>1393</v>
          </cell>
          <cell r="R617">
            <v>1213.425</v>
          </cell>
          <cell r="S617">
            <v>189.881</v>
          </cell>
        </row>
        <row r="618">
          <cell r="B618" t="str">
            <v>FY1</v>
          </cell>
          <cell r="C618">
            <v>2724</v>
          </cell>
          <cell r="D618">
            <v>3258</v>
          </cell>
          <cell r="E618">
            <v>4634</v>
          </cell>
          <cell r="F618">
            <v>929</v>
          </cell>
          <cell r="G618">
            <v>670.26300000000003</v>
          </cell>
          <cell r="H618">
            <v>926.24400000000003</v>
          </cell>
          <cell r="I618">
            <v>3100.1750000000002</v>
          </cell>
          <cell r="M618">
            <v>325.596</v>
          </cell>
          <cell r="N618">
            <v>200.99299999999999</v>
          </cell>
          <cell r="O618">
            <v>352.81900000000002</v>
          </cell>
          <cell r="P618">
            <v>357.67</v>
          </cell>
          <cell r="Q618">
            <v>1473</v>
          </cell>
          <cell r="R618">
            <v>1091.412</v>
          </cell>
          <cell r="S618">
            <v>217.05</v>
          </cell>
        </row>
        <row r="619">
          <cell r="B619" t="str">
            <v>FY2</v>
          </cell>
          <cell r="C619">
            <v>3807</v>
          </cell>
          <cell r="D619">
            <v>4018</v>
          </cell>
          <cell r="E619">
            <v>6406</v>
          </cell>
          <cell r="F619">
            <v>1193</v>
          </cell>
          <cell r="G619">
            <v>799.11</v>
          </cell>
          <cell r="H619">
            <v>1014.638</v>
          </cell>
          <cell r="I619">
            <v>3267.7</v>
          </cell>
          <cell r="M619">
            <v>347.18</v>
          </cell>
          <cell r="N619">
            <v>221.51599999999999</v>
          </cell>
          <cell r="O619">
            <v>425.41500000000002</v>
          </cell>
          <cell r="P619">
            <v>326.14800000000002</v>
          </cell>
          <cell r="Q619">
            <v>1999</v>
          </cell>
          <cell r="R619">
            <v>1426.4559999999999</v>
          </cell>
          <cell r="S619">
            <v>234.52099999999999</v>
          </cell>
        </row>
        <row r="621">
          <cell r="A621" t="str">
            <v>Modelware DuPont (Lease Adjusted)ROE</v>
          </cell>
          <cell r="B621" t="str">
            <v>Lease Adjusted ROE</v>
          </cell>
        </row>
        <row r="622">
          <cell r="B622" t="str">
            <v>FY0</v>
          </cell>
          <cell r="C622">
            <v>3.5163894967177245</v>
          </cell>
          <cell r="D622">
            <v>3.1008902077151335E-2</v>
          </cell>
          <cell r="E622">
            <v>3.8273809523809522E-2</v>
          </cell>
          <cell r="F622">
            <v>4.7891764080765141E-2</v>
          </cell>
          <cell r="G622">
            <v>4.1769775016315805E-2</v>
          </cell>
          <cell r="H622">
            <v>6.3170257488176562E-2</v>
          </cell>
          <cell r="I622">
            <v>3.2099487518598119E-2</v>
          </cell>
          <cell r="M622">
            <v>3.4031698564593302E-2</v>
          </cell>
          <cell r="N622">
            <v>3.8349685946680118E-2</v>
          </cell>
          <cell r="O622">
            <v>3.1702109943703226E-2</v>
          </cell>
          <cell r="P622">
            <v>0.20698026111422885</v>
          </cell>
          <cell r="Q622">
            <v>4.6680958904109587E-2</v>
          </cell>
          <cell r="R622">
            <v>5.8824417009602198E-2</v>
          </cell>
          <cell r="S622">
            <v>4.3658244310008247E-2</v>
          </cell>
        </row>
        <row r="623">
          <cell r="B623" t="str">
            <v>FY1</v>
          </cell>
          <cell r="C623">
            <v>3.5922084870848709</v>
          </cell>
          <cell r="D623">
            <v>3.1016781836130308E-2</v>
          </cell>
          <cell r="E623">
            <v>3.7454981992797121E-2</v>
          </cell>
          <cell r="F623">
            <v>4.7511305654122094E-2</v>
          </cell>
          <cell r="G623">
            <v>4.4652013683553426E-2</v>
          </cell>
          <cell r="H623">
            <v>5.5930767717825999E-2</v>
          </cell>
          <cell r="I623">
            <v>3.5904500213714365E-2</v>
          </cell>
          <cell r="M623">
            <v>3.7781395348837211E-2</v>
          </cell>
          <cell r="N623">
            <v>4.1062350195056017E-2</v>
          </cell>
          <cell r="O623">
            <v>3.7571019989669815E-2</v>
          </cell>
          <cell r="P623">
            <v>0.20381483495351646</v>
          </cell>
          <cell r="Q623">
            <v>4.9562841530054642E-2</v>
          </cell>
          <cell r="R623">
            <v>7.2273906714764885E-2</v>
          </cell>
          <cell r="S623">
            <v>5.6573701081058525E-2</v>
          </cell>
        </row>
        <row r="624">
          <cell r="B624" t="str">
            <v>FY2</v>
          </cell>
          <cell r="C624">
            <v>3.5126656200941917</v>
          </cell>
          <cell r="D624">
            <v>3.1656804733727811E-2</v>
          </cell>
          <cell r="E624">
            <v>3.4441640378548896E-2</v>
          </cell>
          <cell r="F624">
            <v>4.8353759388988643E-2</v>
          </cell>
          <cell r="G624">
            <v>0.10639396335837617</v>
          </cell>
          <cell r="H624">
            <v>5.4165425255499743E-2</v>
          </cell>
          <cell r="I624">
            <v>3.3522649663478565E-2</v>
          </cell>
          <cell r="M624">
            <v>6.0171950207468877E-2</v>
          </cell>
          <cell r="N624">
            <v>3.872296948566975E-2</v>
          </cell>
          <cell r="O624">
            <v>4.4157061087856289E-2</v>
          </cell>
          <cell r="P624">
            <v>0.22479120836803163</v>
          </cell>
          <cell r="Q624">
            <v>4.4867724867724869E-2</v>
          </cell>
          <cell r="R624">
            <v>7.5638533785546566E-2</v>
          </cell>
          <cell r="S624">
            <v>6.6417827118810877E-2</v>
          </cell>
        </row>
        <row r="625">
          <cell r="B625" t="str">
            <v>FY(2)</v>
          </cell>
          <cell r="C625">
            <v>3.5223743169398909</v>
          </cell>
          <cell r="D625">
            <v>3.2977691561590687E-2</v>
          </cell>
          <cell r="E625">
            <v>3.3996163682864448E-2</v>
          </cell>
          <cell r="F625">
            <v>4.9567047713717692E-2</v>
          </cell>
          <cell r="G625">
            <v>0.10470693333333334</v>
          </cell>
          <cell r="H625">
            <v>5.6417176268640706E-2</v>
          </cell>
          <cell r="I625">
            <v>3.4897603633070678E-2</v>
          </cell>
          <cell r="M625">
            <v>6.3864784102793962E-2</v>
          </cell>
          <cell r="N625">
            <v>3.8642802741812643E-2</v>
          </cell>
          <cell r="O625">
            <v>5.0964756870443342E-2</v>
          </cell>
          <cell r="P625">
            <v>0.23790759748392731</v>
          </cell>
          <cell r="Q625">
            <v>4.6051282051282054E-2</v>
          </cell>
          <cell r="R625">
            <v>0.11363440844751772</v>
          </cell>
          <cell r="S625">
            <v>6.1813201112411009E-2</v>
          </cell>
        </row>
        <row r="626">
          <cell r="B626" t="str">
            <v>Valuation</v>
          </cell>
          <cell r="C626">
            <v>3.495389228886169</v>
          </cell>
          <cell r="D626">
            <v>3.4155722326454037E-2</v>
          </cell>
          <cell r="E626">
            <v>3.2653377301385511E-2</v>
          </cell>
          <cell r="F626">
            <v>4.7010228166797799E-2</v>
          </cell>
          <cell r="G626">
            <v>0.11369850112747049</v>
          </cell>
          <cell r="H626">
            <v>4.8592180094786733E-2</v>
          </cell>
          <cell r="I626">
            <v>3.5820177963883801E-2</v>
          </cell>
          <cell r="M626">
            <v>4.5407250919994549E-2</v>
          </cell>
          <cell r="N626">
            <v>4.6500187039173288E-2</v>
          </cell>
          <cell r="O626">
            <v>5.0173101886327197E-2</v>
          </cell>
          <cell r="P626">
            <v>0.21723459014982835</v>
          </cell>
          <cell r="Q626">
            <v>3.9772727272727272E-2</v>
          </cell>
          <cell r="R626">
            <v>0.12129036950829211</v>
          </cell>
          <cell r="S626">
            <v>5.9560927615761435E-2</v>
          </cell>
        </row>
        <row r="627">
          <cell r="B627" t="str">
            <v>FY0</v>
          </cell>
          <cell r="C627">
            <v>3.0129171151776104</v>
          </cell>
          <cell r="D627">
            <v>2.9844988318980185E-2</v>
          </cell>
          <cell r="E627">
            <v>3.0949244277731991E-2</v>
          </cell>
          <cell r="F627">
            <v>4.247486903582047E-2</v>
          </cell>
          <cell r="G627">
            <v>9.6932003937825792E-2</v>
          </cell>
          <cell r="H627">
            <v>3.9158133333333331E-2</v>
          </cell>
          <cell r="I627">
            <v>3.3125257655656222E-2</v>
          </cell>
          <cell r="M627">
            <v>4.6425081027175269E-2</v>
          </cell>
          <cell r="N627">
            <v>3.8470273828218472E-2</v>
          </cell>
          <cell r="O627">
            <v>4.6605596849767082E-2</v>
          </cell>
          <cell r="P627">
            <v>0.19290833500424975</v>
          </cell>
          <cell r="Q627">
            <v>3.8126582278481015E-2</v>
          </cell>
          <cell r="R627">
            <v>0.10844489507537872</v>
          </cell>
          <cell r="S627">
            <v>5.0495503885011242E-2</v>
          </cell>
        </row>
        <row r="628">
          <cell r="B628" t="str">
            <v>P/E</v>
          </cell>
          <cell r="C628">
            <v>2.9283302958648605</v>
          </cell>
          <cell r="D628">
            <v>2.6344405470617231E-2</v>
          </cell>
          <cell r="E628">
            <v>3.0595667073588382E-2</v>
          </cell>
          <cell r="F628">
            <v>3.7598825043664401E-2</v>
          </cell>
          <cell r="G628">
            <v>7.7172013017913738E-2</v>
          </cell>
          <cell r="H628">
            <v>3.6531643939030634E-2</v>
          </cell>
          <cell r="I628">
            <v>3.1966778372598967E-2</v>
          </cell>
          <cell r="M628">
            <v>3.6368491137515113E-2</v>
          </cell>
          <cell r="N628">
            <v>3.6506160063337061E-2</v>
          </cell>
          <cell r="O628">
            <v>4.8375056091979202E-2</v>
          </cell>
          <cell r="P628">
            <v>0.18771998345874799</v>
          </cell>
          <cell r="Q628">
            <v>3.8166062114152112E-2</v>
          </cell>
          <cell r="R628">
            <v>9.5052702931567076E-2</v>
          </cell>
          <cell r="S628">
            <v>4.6624074602340408E-2</v>
          </cell>
        </row>
        <row r="629">
          <cell r="B629" t="str">
            <v>Price/ Peak EPS</v>
          </cell>
          <cell r="C629" t="e">
            <v>#VALUE!</v>
          </cell>
          <cell r="D629" t="e">
            <v>#VALUE!</v>
          </cell>
          <cell r="E629" t="e">
            <v>#VALUE!</v>
          </cell>
          <cell r="F629" t="e">
            <v>#VALUE!</v>
          </cell>
          <cell r="G629" t="e">
            <v>#VALUE!</v>
          </cell>
          <cell r="H629" t="e">
            <v>#VALUE!</v>
          </cell>
          <cell r="I629" t="e">
            <v>#VALUE!</v>
          </cell>
          <cell r="J629" t="e">
            <v>#VALUE!</v>
          </cell>
          <cell r="M629" t="e">
            <v>#VALUE!</v>
          </cell>
          <cell r="N629" t="e">
            <v>#VALUE!</v>
          </cell>
          <cell r="O629" t="e">
            <v>#VALUE!</v>
          </cell>
          <cell r="P629" t="e">
            <v>#VALUE!</v>
          </cell>
          <cell r="Q629" t="e">
            <v>#VALUE!</v>
          </cell>
          <cell r="R629" t="e">
            <v>#VALUE!</v>
          </cell>
          <cell r="S629" t="e">
            <v>#VALUE!</v>
          </cell>
          <cell r="T629" t="e">
            <v>#VALUE!</v>
          </cell>
        </row>
        <row r="630">
          <cell r="B630" t="str">
            <v>LTM</v>
          </cell>
          <cell r="C630" t="e">
            <v>#VALUE!</v>
          </cell>
          <cell r="D630" t="e">
            <v>#VALUE!</v>
          </cell>
          <cell r="E630" t="e">
            <v>#VALUE!</v>
          </cell>
          <cell r="F630" t="e">
            <v>#VALUE!</v>
          </cell>
          <cell r="G630" t="e">
            <v>#VALUE!</v>
          </cell>
          <cell r="H630" t="e">
            <v>#VALUE!</v>
          </cell>
          <cell r="I630" t="e">
            <v>#VALUE!</v>
          </cell>
          <cell r="J630" t="e">
            <v>#VALUE!</v>
          </cell>
          <cell r="M630" t="e">
            <v>#VALUE!</v>
          </cell>
          <cell r="N630" t="e">
            <v>#VALUE!</v>
          </cell>
          <cell r="O630" t="e">
            <v>#VALUE!</v>
          </cell>
          <cell r="P630" t="e">
            <v>#VALUE!</v>
          </cell>
          <cell r="Q630" t="e">
            <v>#VALUE!</v>
          </cell>
          <cell r="R630" t="e">
            <v>#VALUE!</v>
          </cell>
          <cell r="S630" t="e">
            <v>#VALUE!</v>
          </cell>
          <cell r="T630" t="e">
            <v>#VALUE!</v>
          </cell>
        </row>
        <row r="631">
          <cell r="B631" t="str">
            <v>FY1</v>
          </cell>
          <cell r="C631" t="e">
            <v>#VALUE!</v>
          </cell>
          <cell r="D631" t="e">
            <v>#VALUE!</v>
          </cell>
          <cell r="E631" t="e">
            <v>#VALUE!</v>
          </cell>
          <cell r="F631" t="e">
            <v>#VALUE!</v>
          </cell>
          <cell r="G631" t="e">
            <v>#VALUE!</v>
          </cell>
          <cell r="H631" t="e">
            <v>#VALUE!</v>
          </cell>
          <cell r="I631" t="e">
            <v>#VALUE!</v>
          </cell>
          <cell r="J631" t="e">
            <v>#VALUE!</v>
          </cell>
          <cell r="M631" t="e">
            <v>#VALUE!</v>
          </cell>
          <cell r="N631" t="e">
            <v>#VALUE!</v>
          </cell>
          <cell r="O631" t="e">
            <v>#VALUE!</v>
          </cell>
          <cell r="P631" t="e">
            <v>#VALUE!</v>
          </cell>
          <cell r="Q631" t="e">
            <v>#VALUE!</v>
          </cell>
          <cell r="R631" t="e">
            <v>#VALUE!</v>
          </cell>
          <cell r="S631" t="e">
            <v>#VALUE!</v>
          </cell>
          <cell r="T631" t="e">
            <v>#VALUE!</v>
          </cell>
        </row>
        <row r="632">
          <cell r="B632" t="str">
            <v>FY2</v>
          </cell>
          <cell r="C632" t="e">
            <v>#VALUE!</v>
          </cell>
          <cell r="D632" t="e">
            <v>#VALUE!</v>
          </cell>
          <cell r="E632" t="e">
            <v>#VALUE!</v>
          </cell>
          <cell r="F632" t="e">
            <v>#VALUE!</v>
          </cell>
          <cell r="G632" t="e">
            <v>#VALUE!</v>
          </cell>
          <cell r="H632" t="e">
            <v>#VALUE!</v>
          </cell>
          <cell r="I632" t="e">
            <v>#VALUE!</v>
          </cell>
          <cell r="J632" t="e">
            <v>#VALUE!</v>
          </cell>
          <cell r="M632" t="e">
            <v>#VALUE!</v>
          </cell>
          <cell r="N632" t="e">
            <v>#VALUE!</v>
          </cell>
          <cell r="O632" t="e">
            <v>#VALUE!</v>
          </cell>
          <cell r="P632" t="e">
            <v>#VALUE!</v>
          </cell>
          <cell r="Q632" t="e">
            <v>#VALUE!</v>
          </cell>
          <cell r="R632" t="e">
            <v>#VALUE!</v>
          </cell>
          <cell r="S632" t="e">
            <v>#VALUE!</v>
          </cell>
          <cell r="T632" t="e">
            <v>#VALUE!</v>
          </cell>
        </row>
        <row r="633">
          <cell r="B633" t="str">
            <v>FY(4)</v>
          </cell>
          <cell r="C633">
            <v>2.1561601875422998E-2</v>
          </cell>
          <cell r="D633">
            <v>2.5411280152276561E-4</v>
          </cell>
          <cell r="E633">
            <v>-2.1393938601879214E-2</v>
          </cell>
          <cell r="F633">
            <v>-7.9441305607669266E-3</v>
          </cell>
          <cell r="G633">
            <v>6.900297322912996E-2</v>
          </cell>
          <cell r="H633">
            <v>-0.11460282193254578</v>
          </cell>
          <cell r="I633">
            <v>0.11853811351074239</v>
          </cell>
          <cell r="J633">
            <v>9.3451300459465991E-3</v>
          </cell>
          <cell r="M633">
            <v>0.11018247523340219</v>
          </cell>
          <cell r="N633">
            <v>7.0734979476689386E-2</v>
          </cell>
          <cell r="O633">
            <v>0.18512679617819217</v>
          </cell>
          <cell r="P633">
            <v>-1.5293372148977302E-2</v>
          </cell>
          <cell r="Q633">
            <v>6.1735720379371806E-2</v>
          </cell>
          <cell r="R633">
            <v>0.22863787503354716</v>
          </cell>
          <cell r="S633">
            <v>0.29583087856992751</v>
          </cell>
          <cell r="T633">
            <v>0.13385076467459328</v>
          </cell>
        </row>
        <row r="634">
          <cell r="B634" t="str">
            <v>EV/EBITDA</v>
          </cell>
          <cell r="C634">
            <v>-2.2143165486263161E-2</v>
          </cell>
          <cell r="D634">
            <v>2.0634729321014289E-2</v>
          </cell>
          <cell r="E634">
            <v>-8.0452357841947819E-2</v>
          </cell>
          <cell r="F634">
            <v>1.7731647726112465E-2</v>
          </cell>
          <cell r="G634">
            <v>1.3827360645453717</v>
          </cell>
          <cell r="H634">
            <v>-3.1562993578642007E-2</v>
          </cell>
          <cell r="I634">
            <v>-6.6338496178983353E-2</v>
          </cell>
          <cell r="J634">
            <v>0.1743722040723803</v>
          </cell>
          <cell r="M634">
            <v>0.59263440780571308</v>
          </cell>
          <cell r="N634">
            <v>-5.697142755525797E-2</v>
          </cell>
          <cell r="O634">
            <v>0.17529577583992428</v>
          </cell>
          <cell r="P634">
            <v>0.10291877634569246</v>
          </cell>
          <cell r="Q634">
            <v>-9.473057874380908E-2</v>
          </cell>
          <cell r="R634">
            <v>4.655382867374902E-2</v>
          </cell>
          <cell r="S634">
            <v>0.17400533904698468</v>
          </cell>
          <cell r="T634">
            <v>0.13424373163042808</v>
          </cell>
        </row>
        <row r="635">
          <cell r="B635" t="str">
            <v>LTM</v>
          </cell>
          <cell r="C635" t="e">
            <v>#VALUE!</v>
          </cell>
          <cell r="D635" t="e">
            <v>#VALUE!</v>
          </cell>
          <cell r="E635" t="e">
            <v>#VALUE!</v>
          </cell>
          <cell r="F635" t="e">
            <v>#VALUE!</v>
          </cell>
          <cell r="G635" t="e">
            <v>#VALUE!</v>
          </cell>
          <cell r="H635" t="e">
            <v>#VALUE!</v>
          </cell>
          <cell r="I635" t="e">
            <v>#VALUE!</v>
          </cell>
          <cell r="J635" t="e">
            <v>#VALUE!</v>
          </cell>
          <cell r="M635" t="e">
            <v>#VALUE!</v>
          </cell>
          <cell r="N635" t="e">
            <v>#VALUE!</v>
          </cell>
          <cell r="O635" t="e">
            <v>#VALUE!</v>
          </cell>
          <cell r="P635" t="e">
            <v>#VALUE!</v>
          </cell>
          <cell r="Q635" t="e">
            <v>#VALUE!</v>
          </cell>
          <cell r="R635" t="e">
            <v>#VALUE!</v>
          </cell>
          <cell r="S635" t="e">
            <v>#VALUE!</v>
          </cell>
          <cell r="T635" t="e">
            <v>#VALUE!</v>
          </cell>
        </row>
        <row r="636">
          <cell r="B636" t="str">
            <v>FY1</v>
          </cell>
          <cell r="C636" t="e">
            <v>#VALUE!</v>
          </cell>
          <cell r="D636" t="e">
            <v>#VALUE!</v>
          </cell>
          <cell r="E636" t="e">
            <v>#VALUE!</v>
          </cell>
          <cell r="F636" t="e">
            <v>#VALUE!</v>
          </cell>
          <cell r="G636" t="e">
            <v>#VALUE!</v>
          </cell>
          <cell r="H636" t="e">
            <v>#VALUE!</v>
          </cell>
          <cell r="I636" t="e">
            <v>#VALUE!</v>
          </cell>
          <cell r="J636" t="e">
            <v>#VALUE!</v>
          </cell>
          <cell r="M636" t="e">
            <v>#VALUE!</v>
          </cell>
          <cell r="N636" t="e">
            <v>#VALUE!</v>
          </cell>
          <cell r="O636" t="e">
            <v>#VALUE!</v>
          </cell>
          <cell r="P636" t="e">
            <v>#VALUE!</v>
          </cell>
          <cell r="Q636" t="e">
            <v>#VALUE!</v>
          </cell>
          <cell r="R636" t="e">
            <v>#VALUE!</v>
          </cell>
          <cell r="S636" t="e">
            <v>#VALUE!</v>
          </cell>
          <cell r="T636" t="e">
            <v>#VALUE!</v>
          </cell>
        </row>
        <row r="637">
          <cell r="B637" t="str">
            <v>FY2</v>
          </cell>
          <cell r="C637" t="e">
            <v>#VALUE!</v>
          </cell>
          <cell r="D637" t="e">
            <v>#VALUE!</v>
          </cell>
          <cell r="E637" t="e">
            <v>#VALUE!</v>
          </cell>
          <cell r="F637" t="e">
            <v>#VALUE!</v>
          </cell>
          <cell r="G637" t="e">
            <v>#VALUE!</v>
          </cell>
          <cell r="H637" t="e">
            <v>#VALUE!</v>
          </cell>
          <cell r="I637" t="e">
            <v>#VALUE!</v>
          </cell>
          <cell r="J637" t="e">
            <v>#VALUE!</v>
          </cell>
          <cell r="M637" t="e">
            <v>#VALUE!</v>
          </cell>
          <cell r="N637" t="e">
            <v>#VALUE!</v>
          </cell>
          <cell r="O637" t="e">
            <v>#VALUE!</v>
          </cell>
          <cell r="P637" t="e">
            <v>#VALUE!</v>
          </cell>
          <cell r="Q637" t="e">
            <v>#VALUE!</v>
          </cell>
          <cell r="R637" t="e">
            <v>#VALUE!</v>
          </cell>
          <cell r="S637" t="e">
            <v>#VALUE!</v>
          </cell>
          <cell r="T637" t="e">
            <v>#VALUE!</v>
          </cell>
        </row>
        <row r="638">
          <cell r="B638" t="str">
            <v>FY1</v>
          </cell>
          <cell r="C638">
            <v>-2.8074724952320329E-2</v>
          </cell>
          <cell r="D638">
            <v>-0.11729215005712457</v>
          </cell>
          <cell r="E638">
            <v>-1.1424421254705996E-2</v>
          </cell>
          <cell r="F638">
            <v>-0.11479832905532772</v>
          </cell>
          <cell r="G638">
            <v>-0.20385414638272126</v>
          </cell>
          <cell r="H638">
            <v>-6.7073917235653813E-2</v>
          </cell>
          <cell r="I638">
            <v>-3.4972687461026997E-2</v>
          </cell>
          <cell r="J638">
            <v>-8.2498625199840095E-2</v>
          </cell>
          <cell r="M638">
            <v>-0.21661975955999857</v>
          </cell>
          <cell r="N638">
            <v>-5.1055362216858136E-2</v>
          </cell>
          <cell r="O638">
            <v>3.7966668422163119E-2</v>
          </cell>
          <cell r="P638">
            <v>-2.6895424427293202E-2</v>
          </cell>
          <cell r="Q638">
            <v>1.0354936978806961E-3</v>
          </cell>
          <cell r="R638">
            <v>-0.12349306193254084</v>
          </cell>
          <cell r="S638">
            <v>-7.666879196783305E-2</v>
          </cell>
          <cell r="T638">
            <v>-6.5104319712068565E-2</v>
          </cell>
        </row>
        <row r="639">
          <cell r="B639" t="str">
            <v>FCF Yield</v>
          </cell>
          <cell r="C639">
            <v>-1.717080001305693E-2</v>
          </cell>
          <cell r="D639">
            <v>-8.3364925020563696E-3</v>
          </cell>
          <cell r="E639">
            <v>-2.6487959627819579E-2</v>
          </cell>
          <cell r="F639">
            <v>-1.6931885456709206E-2</v>
          </cell>
          <cell r="G639">
            <v>-5.6563156961221495E-2</v>
          </cell>
          <cell r="H639">
            <v>-2.0621464663999056E-3</v>
          </cell>
          <cell r="I639">
            <v>7.9871148560513028E-3</v>
          </cell>
          <cell r="J639">
            <v>-1.708076088160174E-2</v>
          </cell>
          <cell r="M639">
            <v>-2.6007948492032806E-2</v>
          </cell>
          <cell r="N639">
            <v>3.5756463590146836E-2</v>
          </cell>
          <cell r="O639">
            <v>-3.1064536814966459E-2</v>
          </cell>
          <cell r="P639">
            <v>1.2895585404308463E-2</v>
          </cell>
          <cell r="Q639">
            <v>-1.0981203497142378E-3</v>
          </cell>
          <cell r="R639">
            <v>-3.4797680849844359E-2</v>
          </cell>
          <cell r="S639">
            <v>-8.0801684127954743E-2</v>
          </cell>
          <cell r="T639">
            <v>-1.7873988805722472E-2</v>
          </cell>
        </row>
        <row r="640">
          <cell r="B640" t="str">
            <v>FY0</v>
          </cell>
          <cell r="C640" t="e">
            <v>#VALUE!</v>
          </cell>
          <cell r="D640" t="e">
            <v>#VALUE!</v>
          </cell>
          <cell r="E640" t="e">
            <v>#VALUE!</v>
          </cell>
          <cell r="F640" t="e">
            <v>#VALUE!</v>
          </cell>
          <cell r="G640" t="e">
            <v>#VALUE!</v>
          </cell>
          <cell r="H640" t="e">
            <v>#VALUE!</v>
          </cell>
          <cell r="I640" t="e">
            <v>#VALUE!</v>
          </cell>
          <cell r="J640" t="e">
            <v>#VALUE!</v>
          </cell>
          <cell r="M640" t="e">
            <v>#VALUE!</v>
          </cell>
          <cell r="N640" t="e">
            <v>#VALUE!</v>
          </cell>
          <cell r="O640" t="e">
            <v>#VALUE!</v>
          </cell>
          <cell r="P640" t="e">
            <v>#VALUE!</v>
          </cell>
          <cell r="Q640" t="e">
            <v>#VALUE!</v>
          </cell>
          <cell r="R640" t="e">
            <v>#VALUE!</v>
          </cell>
          <cell r="S640" t="e">
            <v>#VALUE!</v>
          </cell>
          <cell r="T640" t="e">
            <v>#VALUE!</v>
          </cell>
        </row>
        <row r="641">
          <cell r="B641" t="str">
            <v>FY1</v>
          </cell>
          <cell r="C641" t="e">
            <v>#VALUE!</v>
          </cell>
          <cell r="D641" t="e">
            <v>#VALUE!</v>
          </cell>
          <cell r="E641" t="e">
            <v>#VALUE!</v>
          </cell>
          <cell r="F641" t="e">
            <v>#VALUE!</v>
          </cell>
          <cell r="G641" t="e">
            <v>#VALUE!</v>
          </cell>
          <cell r="H641" t="e">
            <v>#VALUE!</v>
          </cell>
          <cell r="I641" t="e">
            <v>#VALUE!</v>
          </cell>
          <cell r="J641" t="e">
            <v>#VALUE!</v>
          </cell>
          <cell r="M641" t="e">
            <v>#VALUE!</v>
          </cell>
          <cell r="N641" t="e">
            <v>#VALUE!</v>
          </cell>
          <cell r="O641" t="e">
            <v>#VALUE!</v>
          </cell>
          <cell r="P641" t="e">
            <v>#VALUE!</v>
          </cell>
          <cell r="Q641" t="e">
            <v>#VALUE!</v>
          </cell>
          <cell r="R641" t="e">
            <v>#VALUE!</v>
          </cell>
          <cell r="S641" t="e">
            <v>#VALUE!</v>
          </cell>
          <cell r="T641" t="e">
            <v>#VALUE!</v>
          </cell>
        </row>
        <row r="642">
          <cell r="B642" t="str">
            <v>FY2</v>
          </cell>
          <cell r="C642" t="e">
            <v>#VALUE!</v>
          </cell>
          <cell r="D642" t="e">
            <v>#VALUE!</v>
          </cell>
          <cell r="E642" t="e">
            <v>#VALUE!</v>
          </cell>
          <cell r="F642" t="e">
            <v>#VALUE!</v>
          </cell>
          <cell r="G642" t="e">
            <v>#VALUE!</v>
          </cell>
          <cell r="H642" t="e">
            <v>#VALUE!</v>
          </cell>
          <cell r="I642" t="e">
            <v>#VALUE!</v>
          </cell>
          <cell r="J642" t="e">
            <v>#VALUE!</v>
          </cell>
          <cell r="M642" t="e">
            <v>#VALUE!</v>
          </cell>
          <cell r="N642" t="e">
            <v>#VALUE!</v>
          </cell>
          <cell r="O642" t="e">
            <v>#VALUE!</v>
          </cell>
          <cell r="P642" t="e">
            <v>#VALUE!</v>
          </cell>
          <cell r="Q642" t="e">
            <v>#VALUE!</v>
          </cell>
          <cell r="R642" t="e">
            <v>#VALUE!</v>
          </cell>
          <cell r="S642" t="e">
            <v>#VALUE!</v>
          </cell>
          <cell r="T642" t="e">
            <v>#VALUE!</v>
          </cell>
        </row>
        <row r="643">
          <cell r="B643" t="str">
            <v>FY(4)</v>
          </cell>
          <cell r="C643">
            <v>-1.6104116425834508E-2</v>
          </cell>
          <cell r="D643">
            <v>4.8745887198477236E-2</v>
          </cell>
          <cell r="E643">
            <v>4.739393860187921E-2</v>
          </cell>
          <cell r="F643">
            <v>0.10414967075315233</v>
          </cell>
          <cell r="G643">
            <v>-1.6002973229129962E-2</v>
          </cell>
          <cell r="H643">
            <v>0.10460282193254579</v>
          </cell>
          <cell r="I643">
            <v>-6.8538113510742391E-2</v>
          </cell>
          <cell r="J643">
            <v>2.9178159331478239E-2</v>
          </cell>
          <cell r="M643">
            <v>-9.0182475233402185E-2</v>
          </cell>
          <cell r="N643">
            <v>1.6265020523310608E-2</v>
          </cell>
          <cell r="O643">
            <v>2.887320382180783E-2</v>
          </cell>
          <cell r="P643">
            <v>0.1972933721489773</v>
          </cell>
          <cell r="Q643">
            <v>-6.1735720379371806E-2</v>
          </cell>
          <cell r="R643">
            <v>-0.18863787503354715</v>
          </cell>
          <cell r="S643">
            <v>-7.9830878569927516E-2</v>
          </cell>
          <cell r="T643">
            <v>-2.5422193246021844E-2</v>
          </cell>
        </row>
        <row r="644">
          <cell r="B644" t="str">
            <v>Dividend Yield</v>
          </cell>
          <cell r="C644">
            <v>5.9034041611078461E-2</v>
          </cell>
          <cell r="D644">
            <v>8.3652706789857124E-3</v>
          </cell>
          <cell r="E644">
            <v>9.3452357841947817E-2</v>
          </cell>
          <cell r="F644">
            <v>4.2432082369352635E-2</v>
          </cell>
          <cell r="G644">
            <v>-1.3427360645453716</v>
          </cell>
          <cell r="H644">
            <v>9.1562993578642005E-2</v>
          </cell>
          <cell r="I644">
            <v>8.6338496178983357E-2</v>
          </cell>
          <cell r="J644">
            <v>-0.1373644031837688</v>
          </cell>
          <cell r="M644">
            <v>-0.33263440780571307</v>
          </cell>
          <cell r="N644">
            <v>9.1971427555257973E-2</v>
          </cell>
          <cell r="O644">
            <v>-2.0295775839924285E-2</v>
          </cell>
          <cell r="P644">
            <v>0.10408122365430753</v>
          </cell>
          <cell r="Q644">
            <v>4.4730578743809077E-2</v>
          </cell>
          <cell r="R644">
            <v>-5.6553828673749022E-2</v>
          </cell>
          <cell r="S644">
            <v>-6.5005339046984675E-2</v>
          </cell>
          <cell r="T644">
            <v>-3.3386588773285208E-2</v>
          </cell>
        </row>
        <row r="645">
          <cell r="B645" t="str">
            <v>FY0</v>
          </cell>
          <cell r="C645" t="str">
            <v/>
          </cell>
          <cell r="D645" t="str">
            <v/>
          </cell>
          <cell r="E645" t="str">
            <v/>
          </cell>
          <cell r="F645" t="str">
            <v/>
          </cell>
          <cell r="G645" t="str">
            <v/>
          </cell>
          <cell r="H645" t="str">
            <v/>
          </cell>
          <cell r="I645" t="str">
            <v/>
          </cell>
          <cell r="J645" t="e">
            <v>#NUM!</v>
          </cell>
          <cell r="M645" t="str">
            <v/>
          </cell>
          <cell r="N645" t="str">
            <v/>
          </cell>
          <cell r="O645" t="str">
            <v/>
          </cell>
          <cell r="P645" t="str">
            <v/>
          </cell>
          <cell r="Q645" t="str">
            <v/>
          </cell>
          <cell r="R645" t="str">
            <v/>
          </cell>
          <cell r="S645" t="str">
            <v/>
          </cell>
          <cell r="T645" t="e">
            <v>#NUM!</v>
          </cell>
        </row>
        <row r="646">
          <cell r="B646" t="str">
            <v>FY1</v>
          </cell>
          <cell r="C646" t="str">
            <v/>
          </cell>
          <cell r="D646" t="str">
            <v/>
          </cell>
          <cell r="E646" t="str">
            <v/>
          </cell>
          <cell r="F646" t="str">
            <v/>
          </cell>
          <cell r="G646" t="str">
            <v/>
          </cell>
          <cell r="H646" t="str">
            <v/>
          </cell>
          <cell r="I646" t="str">
            <v/>
          </cell>
          <cell r="J646" t="e">
            <v>#NUM!</v>
          </cell>
          <cell r="M646" t="str">
            <v/>
          </cell>
          <cell r="N646" t="str">
            <v/>
          </cell>
          <cell r="O646" t="str">
            <v/>
          </cell>
          <cell r="P646" t="str">
            <v/>
          </cell>
          <cell r="Q646" t="str">
            <v/>
          </cell>
          <cell r="R646" t="str">
            <v/>
          </cell>
          <cell r="S646" t="str">
            <v/>
          </cell>
          <cell r="T646" t="e">
            <v>#NUM!</v>
          </cell>
        </row>
        <row r="647">
          <cell r="B647" t="str">
            <v>FY2</v>
          </cell>
          <cell r="C647" t="str">
            <v/>
          </cell>
          <cell r="D647" t="str">
            <v/>
          </cell>
          <cell r="E647" t="str">
            <v/>
          </cell>
          <cell r="F647" t="str">
            <v/>
          </cell>
          <cell r="G647" t="str">
            <v/>
          </cell>
          <cell r="H647" t="str">
            <v/>
          </cell>
          <cell r="I647" t="str">
            <v/>
          </cell>
          <cell r="J647" t="e">
            <v>#NUM!</v>
          </cell>
          <cell r="M647" t="str">
            <v/>
          </cell>
          <cell r="N647" t="str">
            <v/>
          </cell>
          <cell r="O647" t="str">
            <v/>
          </cell>
          <cell r="P647" t="str">
            <v/>
          </cell>
          <cell r="Q647" t="str">
            <v/>
          </cell>
          <cell r="R647" t="str">
            <v/>
          </cell>
          <cell r="S647" t="str">
            <v/>
          </cell>
          <cell r="T647" t="e">
            <v>#NUM!</v>
          </cell>
        </row>
        <row r="648">
          <cell r="B648" t="str">
            <v>FY1</v>
          </cell>
          <cell r="C648">
            <v>3.2045591556247421E-2</v>
          </cell>
          <cell r="D648">
            <v>5.1981526084222462E-2</v>
          </cell>
          <cell r="E648">
            <v>-4.4125390416967503E-2</v>
          </cell>
          <cell r="F648">
            <v>5.4178625789718916E-2</v>
          </cell>
          <cell r="G648">
            <v>5.2904749737220258E-2</v>
          </cell>
          <cell r="H648">
            <v>0.12167763905476112</v>
          </cell>
          <cell r="I648">
            <v>7.3259545141423105E-2</v>
          </cell>
          <cell r="J648">
            <v>4.8846040992375106E-2</v>
          </cell>
          <cell r="M648">
            <v>2.1177557729705754E-3</v>
          </cell>
          <cell r="N648">
            <v>0.14143994216824063</v>
          </cell>
          <cell r="O648">
            <v>-8.2462858476940015E-2</v>
          </cell>
          <cell r="P648">
            <v>6.3903958320594201E-2</v>
          </cell>
          <cell r="Q648">
            <v>-2.9552812927526595E-2</v>
          </cell>
          <cell r="R648">
            <v>8.4541000412301337E-2</v>
          </cell>
          <cell r="S648">
            <v>5.9908180705699046E-2</v>
          </cell>
          <cell r="T648">
            <v>3.4270737996477021E-2</v>
          </cell>
        </row>
        <row r="649">
          <cell r="B649" t="str">
            <v>P/Sales</v>
          </cell>
          <cell r="C649">
            <v>4.2170800013056932E-2</v>
          </cell>
          <cell r="D649">
            <v>-1.6635074979436306E-3</v>
          </cell>
          <cell r="E649">
            <v>1.6487959627819578E-2</v>
          </cell>
          <cell r="F649">
            <v>-3.0681145432907946E-3</v>
          </cell>
          <cell r="G649">
            <v>2.6563156961221496E-2</v>
          </cell>
          <cell r="H649">
            <v>2.2062146466399906E-2</v>
          </cell>
          <cell r="I649">
            <v>1.2012885143948698E-2</v>
          </cell>
          <cell r="J649">
            <v>1.6366475167316027E-2</v>
          </cell>
          <cell r="M649">
            <v>-4.4652141651022992E-2</v>
          </cell>
          <cell r="N649">
            <v>4.2435364098531644E-3</v>
          </cell>
          <cell r="O649">
            <v>4.1064536814966461E-2</v>
          </cell>
          <cell r="P649">
            <v>2.7104414595691538E-2</v>
          </cell>
          <cell r="Q649">
            <v>-9.9569220345095619E-3</v>
          </cell>
          <cell r="R649">
            <v>2.2843379017423959E-2</v>
          </cell>
          <cell r="S649">
            <v>0.13265176300151366</v>
          </cell>
          <cell r="T649">
            <v>2.4756938021988032E-2</v>
          </cell>
        </row>
        <row r="650">
          <cell r="B650" t="str">
            <v>FY0</v>
          </cell>
          <cell r="C650" t="e">
            <v>#VALUE!</v>
          </cell>
          <cell r="D650" t="e">
            <v>#VALUE!</v>
          </cell>
          <cell r="E650" t="e">
            <v>#VALUE!</v>
          </cell>
          <cell r="F650" t="e">
            <v>#VALUE!</v>
          </cell>
          <cell r="G650" t="e">
            <v>#VALUE!</v>
          </cell>
          <cell r="H650" t="e">
            <v>#VALUE!</v>
          </cell>
          <cell r="I650" t="e">
            <v>#VALUE!</v>
          </cell>
          <cell r="J650" t="e">
            <v>#VALUE!</v>
          </cell>
          <cell r="M650" t="e">
            <v>#VALUE!</v>
          </cell>
          <cell r="N650" t="e">
            <v>#VALUE!</v>
          </cell>
          <cell r="O650" t="e">
            <v>#VALUE!</v>
          </cell>
          <cell r="P650" t="e">
            <v>#VALUE!</v>
          </cell>
          <cell r="Q650" t="e">
            <v>#VALUE!</v>
          </cell>
          <cell r="R650" t="e">
            <v>#VALUE!</v>
          </cell>
          <cell r="S650" t="e">
            <v>#VALUE!</v>
          </cell>
          <cell r="T650" t="e">
            <v>#VALUE!</v>
          </cell>
        </row>
        <row r="651">
          <cell r="B651" t="str">
            <v>FY1</v>
          </cell>
          <cell r="C651" t="e">
            <v>#VALUE!</v>
          </cell>
          <cell r="D651" t="e">
            <v>#VALUE!</v>
          </cell>
          <cell r="E651" t="e">
            <v>#VALUE!</v>
          </cell>
          <cell r="F651" t="e">
            <v>#VALUE!</v>
          </cell>
          <cell r="G651" t="e">
            <v>#VALUE!</v>
          </cell>
          <cell r="H651" t="e">
            <v>#VALUE!</v>
          </cell>
          <cell r="I651" t="e">
            <v>#VALUE!</v>
          </cell>
          <cell r="J651" t="e">
            <v>#VALUE!</v>
          </cell>
          <cell r="M651" t="e">
            <v>#VALUE!</v>
          </cell>
          <cell r="N651" t="e">
            <v>#VALUE!</v>
          </cell>
          <cell r="O651" t="e">
            <v>#VALUE!</v>
          </cell>
          <cell r="P651" t="e">
            <v>#VALUE!</v>
          </cell>
          <cell r="Q651" t="e">
            <v>#VALUE!</v>
          </cell>
          <cell r="R651" t="e">
            <v>#VALUE!</v>
          </cell>
          <cell r="S651" t="e">
            <v>#VALUE!</v>
          </cell>
          <cell r="T651" t="e">
            <v>#VALUE!</v>
          </cell>
        </row>
        <row r="652">
          <cell r="B652" t="str">
            <v>FY2</v>
          </cell>
          <cell r="C652" t="e">
            <v>#VALUE!</v>
          </cell>
          <cell r="D652" t="e">
            <v>#VALUE!</v>
          </cell>
          <cell r="E652" t="e">
            <v>#VALUE!</v>
          </cell>
          <cell r="F652" t="e">
            <v>#VALUE!</v>
          </cell>
          <cell r="G652" t="e">
            <v>#VALUE!</v>
          </cell>
          <cell r="H652" t="e">
            <v>#VALUE!</v>
          </cell>
          <cell r="I652" t="e">
            <v>#VALUE!</v>
          </cell>
          <cell r="J652" t="e">
            <v>#VALUE!</v>
          </cell>
          <cell r="K652">
            <v>56.223660362650925</v>
          </cell>
          <cell r="M652" t="e">
            <v>#VALUE!</v>
          </cell>
          <cell r="N652" t="e">
            <v>#VALUE!</v>
          </cell>
          <cell r="O652" t="e">
            <v>#VALUE!</v>
          </cell>
          <cell r="P652" t="e">
            <v>#VALUE!</v>
          </cell>
          <cell r="Q652" t="e">
            <v>#VALUE!</v>
          </cell>
          <cell r="R652" t="e">
            <v>#VALUE!</v>
          </cell>
          <cell r="S652" t="e">
            <v>#VALUE!</v>
          </cell>
          <cell r="T652" t="e">
            <v>#VALUE!</v>
          </cell>
          <cell r="U652">
            <v>153.15566538025266</v>
          </cell>
        </row>
        <row r="653">
          <cell r="B653" t="str">
            <v>FY(1)</v>
          </cell>
          <cell r="C653">
            <v>52.896736253201503</v>
          </cell>
          <cell r="D653">
            <v>54.68105065666041</v>
          </cell>
          <cell r="E653">
            <v>55.200986054555663</v>
          </cell>
          <cell r="F653">
            <v>116.0395357985838</v>
          </cell>
          <cell r="G653">
            <v>107.16633806833863</v>
          </cell>
          <cell r="H653">
            <v>44.355497630331755</v>
          </cell>
          <cell r="I653">
            <v>39.693848600778857</v>
          </cell>
          <cell r="K653">
            <v>55.197959773596573</v>
          </cell>
          <cell r="M653">
            <v>242.96088319476624</v>
          </cell>
          <cell r="N653">
            <v>117.81253428199783</v>
          </cell>
          <cell r="O653">
            <v>125.25192944504418</v>
          </cell>
          <cell r="P653">
            <v>837.50417641254148</v>
          </cell>
          <cell r="Q653">
            <v>109.72222222222223</v>
          </cell>
          <cell r="R653">
            <v>252.39239646978953</v>
          </cell>
          <cell r="S653">
            <v>121.88537141352623</v>
          </cell>
          <cell r="U653">
            <v>161.87029690248212</v>
          </cell>
        </row>
        <row r="654">
          <cell r="B654" t="str">
            <v>Current Price/Book Value</v>
          </cell>
          <cell r="C654">
            <v>52.485891828461703</v>
          </cell>
          <cell r="D654">
            <v>53.160526907542184</v>
          </cell>
          <cell r="E654">
            <v>54.889643132953907</v>
          </cell>
          <cell r="F654">
            <v>112.69838123554675</v>
          </cell>
          <cell r="G654">
            <v>101.53403110118391</v>
          </cell>
          <cell r="H654">
            <v>46.163326249732442</v>
          </cell>
          <cell r="I654">
            <v>39.743768451555518</v>
          </cell>
          <cell r="K654">
            <v>54.489639577494366</v>
          </cell>
          <cell r="M654">
            <v>236.73855081325479</v>
          </cell>
          <cell r="N654">
            <v>123.57098885896485</v>
          </cell>
          <cell r="O654">
            <v>115.9958326004987</v>
          </cell>
          <cell r="P654">
            <v>782.12610361811073</v>
          </cell>
          <cell r="Q654">
            <v>98.708860759493675</v>
          </cell>
          <cell r="R654">
            <v>210.0189020305919</v>
          </cell>
          <cell r="S654">
            <v>123.20304255242671</v>
          </cell>
          <cell r="U654">
            <v>150.00822074468337</v>
          </cell>
        </row>
        <row r="655">
          <cell r="B655" t="str">
            <v>FY0</v>
          </cell>
          <cell r="C655" t="e">
            <v>#VALUE!</v>
          </cell>
          <cell r="D655" t="e">
            <v>#VALUE!</v>
          </cell>
          <cell r="E655" t="e">
            <v>#VALUE!</v>
          </cell>
          <cell r="F655" t="e">
            <v>#VALUE!</v>
          </cell>
          <cell r="G655" t="e">
            <v>#VALUE!</v>
          </cell>
          <cell r="H655" t="e">
            <v>#VALUE!</v>
          </cell>
          <cell r="I655" t="e">
            <v>#VALUE!</v>
          </cell>
          <cell r="J655" t="e">
            <v>#VALUE!</v>
          </cell>
          <cell r="K655">
            <v>54.172660862097118</v>
          </cell>
          <cell r="M655" t="e">
            <v>#VALUE!</v>
          </cell>
          <cell r="N655" t="e">
            <v>#VALUE!</v>
          </cell>
          <cell r="O655" t="e">
            <v>#VALUE!</v>
          </cell>
          <cell r="P655" t="e">
            <v>#VALUE!</v>
          </cell>
          <cell r="Q655" t="e">
            <v>#VALUE!</v>
          </cell>
          <cell r="R655" t="e">
            <v>#VALUE!</v>
          </cell>
          <cell r="S655" t="e">
            <v>#VALUE!</v>
          </cell>
          <cell r="T655" t="e">
            <v>#VALUE!</v>
          </cell>
          <cell r="U655">
            <v>149.72934531906631</v>
          </cell>
        </row>
        <row r="656">
          <cell r="B656" t="str">
            <v>FY1</v>
          </cell>
          <cell r="C656" t="e">
            <v>#VALUE!</v>
          </cell>
          <cell r="D656" t="e">
            <v>#VALUE!</v>
          </cell>
          <cell r="E656" t="e">
            <v>#VALUE!</v>
          </cell>
          <cell r="F656" t="e">
            <v>#VALUE!</v>
          </cell>
          <cell r="G656" t="e">
            <v>#VALUE!</v>
          </cell>
          <cell r="H656" t="e">
            <v>#VALUE!</v>
          </cell>
          <cell r="I656" t="e">
            <v>#VALUE!</v>
          </cell>
          <cell r="J656" t="e">
            <v>#VALUE!</v>
          </cell>
          <cell r="K656">
            <v>53.715653746568783</v>
          </cell>
          <cell r="M656" t="e">
            <v>#VALUE!</v>
          </cell>
          <cell r="N656" t="e">
            <v>#VALUE!</v>
          </cell>
          <cell r="O656" t="e">
            <v>#VALUE!</v>
          </cell>
          <cell r="P656" t="e">
            <v>#VALUE!</v>
          </cell>
          <cell r="Q656" t="e">
            <v>#VALUE!</v>
          </cell>
          <cell r="R656" t="e">
            <v>#VALUE!</v>
          </cell>
          <cell r="S656" t="e">
            <v>#VALUE!</v>
          </cell>
          <cell r="T656" t="e">
            <v>#VALUE!</v>
          </cell>
          <cell r="U656">
            <v>154.80379580954013</v>
          </cell>
        </row>
        <row r="657">
          <cell r="B657" t="str">
            <v>FY2</v>
          </cell>
          <cell r="C657" t="e">
            <v>#VALUE!</v>
          </cell>
          <cell r="D657" t="e">
            <v>#VALUE!</v>
          </cell>
          <cell r="E657" t="e">
            <v>#VALUE!</v>
          </cell>
          <cell r="F657" t="e">
            <v>#VALUE!</v>
          </cell>
          <cell r="G657" t="e">
            <v>#VALUE!</v>
          </cell>
          <cell r="H657" t="e">
            <v>#VALUE!</v>
          </cell>
          <cell r="I657" t="e">
            <v>#VALUE!</v>
          </cell>
          <cell r="J657" t="e">
            <v>#VALUE!</v>
          </cell>
          <cell r="M657" t="e">
            <v>#VALUE!</v>
          </cell>
          <cell r="N657" t="e">
            <v>#VALUE!</v>
          </cell>
          <cell r="O657" t="e">
            <v>#VALUE!</v>
          </cell>
          <cell r="P657" t="e">
            <v>#VALUE!</v>
          </cell>
          <cell r="Q657" t="e">
            <v>#VALUE!</v>
          </cell>
          <cell r="R657" t="e">
            <v>#VALUE!</v>
          </cell>
          <cell r="S657" t="e">
            <v>#VALUE!</v>
          </cell>
          <cell r="T657" t="e">
            <v>#VALUE!</v>
          </cell>
        </row>
        <row r="658">
          <cell r="B658" t="str">
            <v>FQ(2)</v>
          </cell>
          <cell r="C658">
            <v>12.814700234691701</v>
          </cell>
          <cell r="D658">
            <v>13.498469709167473</v>
          </cell>
          <cell r="E658">
            <v>12.693797820768248</v>
          </cell>
          <cell r="F658">
            <v>25.437727122563594</v>
          </cell>
          <cell r="G658">
            <v>20.671901141774427</v>
          </cell>
          <cell r="H658">
            <v>12.090222222222222</v>
          </cell>
          <cell r="I658">
            <v>9.2958492215560344</v>
          </cell>
          <cell r="M658">
            <v>53.777736225380202</v>
          </cell>
          <cell r="N658">
            <v>28.662728710283766</v>
          </cell>
          <cell r="O658">
            <v>25.077087883426593</v>
          </cell>
          <cell r="P658">
            <v>203.27393151549455</v>
          </cell>
          <cell r="Q658">
            <v>22.430379746835442</v>
          </cell>
          <cell r="R658">
            <v>44.332051787893519</v>
          </cell>
          <cell r="S658">
            <v>28.918464242741916</v>
          </cell>
        </row>
        <row r="659">
          <cell r="B659" t="str">
            <v>FQ(1)</v>
          </cell>
          <cell r="C659">
            <v>12.881374013228077</v>
          </cell>
          <cell r="D659">
            <v>13.370261720070904</v>
          </cell>
          <cell r="E659">
            <v>12.077279010454861</v>
          </cell>
          <cell r="F659">
            <v>28.694133748643164</v>
          </cell>
          <cell r="G659">
            <v>20.606334745343176</v>
          </cell>
          <cell r="H659">
            <v>12.718133333333334</v>
          </cell>
          <cell r="I659">
            <v>10.001760474286144</v>
          </cell>
          <cell r="M659">
            <v>53.785838942907006</v>
          </cell>
          <cell r="N659">
            <v>30.652612453091901</v>
          </cell>
          <cell r="O659">
            <v>26.417602443171933</v>
          </cell>
          <cell r="P659">
            <v>193.01066015097985</v>
          </cell>
          <cell r="Q659">
            <v>23.11392405063291</v>
          </cell>
          <cell r="R659">
            <v>47.655689419450738</v>
          </cell>
          <cell r="S659">
            <v>32.33000092580037</v>
          </cell>
        </row>
        <row r="660">
          <cell r="B660" t="str">
            <v>mstag:propertyPlantAndEquipmentNet</v>
          </cell>
          <cell r="C660">
            <v>13.694794111371881</v>
          </cell>
          <cell r="D660">
            <v>14.524133621940035</v>
          </cell>
          <cell r="E660">
            <v>13.193502540706465</v>
          </cell>
          <cell r="F660">
            <v>27.41988767756855</v>
          </cell>
          <cell r="G660">
            <v>21.618557551100253</v>
          </cell>
          <cell r="H660">
            <v>12.733822222222223</v>
          </cell>
          <cell r="I660">
            <v>10.927744956920218</v>
          </cell>
          <cell r="M660">
            <v>55.858015457491895</v>
          </cell>
          <cell r="N660">
            <v>35.692474062401246</v>
          </cell>
          <cell r="O660">
            <v>30.54107137185223</v>
          </cell>
          <cell r="P660">
            <v>782.12610361811073</v>
          </cell>
          <cell r="Q660">
            <v>25.924050632911392</v>
          </cell>
          <cell r="R660">
            <v>46.233173981263128</v>
          </cell>
          <cell r="S660">
            <v>34.019254632710343</v>
          </cell>
        </row>
        <row r="661">
          <cell r="B661" t="str">
            <v>Assets</v>
          </cell>
        </row>
        <row r="662">
          <cell r="B662" t="str">
            <v>FY(5)</v>
          </cell>
        </row>
        <row r="663">
          <cell r="B663" t="str">
            <v>FY(4)</v>
          </cell>
        </row>
        <row r="664">
          <cell r="B664" t="str">
            <v>FY(3)</v>
          </cell>
        </row>
        <row r="665">
          <cell r="B665" t="str">
            <v>FY(2)</v>
          </cell>
        </row>
        <row r="666">
          <cell r="B666" t="str">
            <v>FY(1)</v>
          </cell>
        </row>
        <row r="667">
          <cell r="B667" t="str">
            <v>FY0</v>
          </cell>
        </row>
        <row r="668">
          <cell r="B668" t="str">
            <v>FY1</v>
          </cell>
        </row>
        <row r="669">
          <cell r="B669" t="str">
            <v>FY2</v>
          </cell>
        </row>
        <row r="671">
          <cell r="A671" t="str">
            <v>mstag:inventories</v>
          </cell>
        </row>
        <row r="672">
          <cell r="B672" t="str">
            <v>Inventory</v>
          </cell>
        </row>
        <row r="673">
          <cell r="B673" t="str">
            <v>FY(5)</v>
          </cell>
          <cell r="C673">
            <v>1946.9770000000001</v>
          </cell>
          <cell r="D673">
            <v>3142</v>
          </cell>
          <cell r="E673">
            <v>3120</v>
          </cell>
          <cell r="F673">
            <v>917.18200000000002</v>
          </cell>
          <cell r="G673">
            <v>1516.271</v>
          </cell>
          <cell r="H673">
            <v>853.11199999999997</v>
          </cell>
          <cell r="I673">
            <v>2352.0320000000002</v>
          </cell>
          <cell r="M673">
            <v>211.19800000000001</v>
          </cell>
          <cell r="N673">
            <v>81.238</v>
          </cell>
          <cell r="O673">
            <v>170.57599999999999</v>
          </cell>
          <cell r="P673">
            <v>161.91300000000001</v>
          </cell>
          <cell r="Q673">
            <v>1814</v>
          </cell>
          <cell r="R673">
            <v>1142</v>
          </cell>
          <cell r="S673">
            <v>98.995999999999995</v>
          </cell>
        </row>
        <row r="674">
          <cell r="B674" t="str">
            <v>FY(4)</v>
          </cell>
          <cell r="C674">
            <v>2237.5680000000002</v>
          </cell>
          <cell r="D674">
            <v>3210</v>
          </cell>
          <cell r="E674">
            <v>5459</v>
          </cell>
          <cell r="F674">
            <v>955.97799999999995</v>
          </cell>
          <cell r="G674">
            <v>807.21100000000001</v>
          </cell>
          <cell r="H674">
            <v>938.09100000000001</v>
          </cell>
          <cell r="I674">
            <v>2365.8609999999999</v>
          </cell>
          <cell r="M674">
            <v>362.536</v>
          </cell>
          <cell r="N674">
            <v>91.908000000000001</v>
          </cell>
          <cell r="O674">
            <v>210.739</v>
          </cell>
          <cell r="P674">
            <v>184.41900000000001</v>
          </cell>
          <cell r="Q674">
            <v>1696</v>
          </cell>
          <cell r="R674">
            <v>1159.69</v>
          </cell>
          <cell r="S674">
            <v>140.37700000000001</v>
          </cell>
        </row>
        <row r="675">
          <cell r="B675" t="str">
            <v>FY(3)</v>
          </cell>
          <cell r="C675">
            <v>2578.3780000000002</v>
          </cell>
          <cell r="D675">
            <v>3400</v>
          </cell>
          <cell r="E675">
            <v>5317</v>
          </cell>
          <cell r="F675">
            <v>997.28899999999999</v>
          </cell>
          <cell r="G675">
            <v>785.30200000000002</v>
          </cell>
          <cell r="H675">
            <v>1051.729</v>
          </cell>
          <cell r="I675">
            <v>2581.9690000000001</v>
          </cell>
          <cell r="M675">
            <v>427.447</v>
          </cell>
          <cell r="N675">
            <v>101.476</v>
          </cell>
          <cell r="O675">
            <v>263.64400000000001</v>
          </cell>
          <cell r="P675">
            <v>233.494</v>
          </cell>
          <cell r="Q675">
            <v>1796</v>
          </cell>
          <cell r="R675">
            <v>1770</v>
          </cell>
          <cell r="S675">
            <v>154.387</v>
          </cell>
        </row>
        <row r="676">
          <cell r="B676" t="str">
            <v>FY(2)</v>
          </cell>
          <cell r="C676">
            <v>2855.7330000000002</v>
          </cell>
          <cell r="D676">
            <v>3641</v>
          </cell>
          <cell r="E676">
            <v>5060</v>
          </cell>
          <cell r="F676">
            <v>956</v>
          </cell>
          <cell r="G676">
            <v>857.173</v>
          </cell>
          <cell r="H676">
            <v>1025.2950000000001</v>
          </cell>
          <cell r="I676">
            <v>2737.3780000000002</v>
          </cell>
          <cell r="M676">
            <v>333.15300000000002</v>
          </cell>
          <cell r="N676">
            <v>136.488</v>
          </cell>
          <cell r="O676">
            <v>286.48500000000001</v>
          </cell>
          <cell r="P676">
            <v>291.19200000000001</v>
          </cell>
          <cell r="Q676">
            <v>1575</v>
          </cell>
          <cell r="R676">
            <v>1250.625</v>
          </cell>
          <cell r="S676">
            <v>171.92500000000001</v>
          </cell>
        </row>
        <row r="677">
          <cell r="B677" t="str">
            <v>FY(1)</v>
          </cell>
          <cell r="C677">
            <v>2799</v>
          </cell>
          <cell r="D677">
            <v>3259</v>
          </cell>
          <cell r="E677">
            <v>4769</v>
          </cell>
          <cell r="F677">
            <v>900</v>
          </cell>
          <cell r="G677">
            <v>728.84100000000001</v>
          </cell>
          <cell r="H677">
            <v>881.05799999999999</v>
          </cell>
          <cell r="I677">
            <v>2619.3359999999998</v>
          </cell>
          <cell r="M677">
            <v>372.42200000000003</v>
          </cell>
          <cell r="N677">
            <v>126.36</v>
          </cell>
          <cell r="O677">
            <v>294.928</v>
          </cell>
          <cell r="P677">
            <v>318.49</v>
          </cell>
          <cell r="Q677">
            <v>1506</v>
          </cell>
          <cell r="R677">
            <v>1181.865</v>
          </cell>
          <cell r="S677">
            <v>169.69800000000001</v>
          </cell>
        </row>
        <row r="678">
          <cell r="B678" t="str">
            <v>FY0</v>
          </cell>
          <cell r="C678">
            <v>2923</v>
          </cell>
          <cell r="D678">
            <v>3024</v>
          </cell>
          <cell r="E678">
            <v>4615</v>
          </cell>
          <cell r="F678">
            <v>898</v>
          </cell>
          <cell r="G678">
            <v>649.19600000000003</v>
          </cell>
          <cell r="H678">
            <v>872.49800000000005</v>
          </cell>
          <cell r="I678">
            <v>2532.3000000000002</v>
          </cell>
          <cell r="M678">
            <v>310.64499999999998</v>
          </cell>
          <cell r="N678">
            <v>132.91499999999999</v>
          </cell>
          <cell r="O678">
            <v>326.45400000000001</v>
          </cell>
          <cell r="P678">
            <v>326.14800000000002</v>
          </cell>
          <cell r="Q678">
            <v>1477</v>
          </cell>
          <cell r="R678">
            <v>1036.5530000000001</v>
          </cell>
          <cell r="S678">
            <v>186.13</v>
          </cell>
        </row>
        <row r="679">
          <cell r="B679" t="str">
            <v>FY1</v>
          </cell>
          <cell r="C679">
            <v>3123.9971107842498</v>
          </cell>
          <cell r="D679">
            <v>3252.61217088179</v>
          </cell>
          <cell r="E679">
            <v>4721.2360639694298</v>
          </cell>
          <cell r="F679">
            <v>914.11790804880604</v>
          </cell>
          <cell r="G679">
            <v>669.12691891221596</v>
          </cell>
          <cell r="H679">
            <v>834.78757252013304</v>
          </cell>
          <cell r="I679">
            <v>2625.2613280778201</v>
          </cell>
          <cell r="M679">
            <v>258.51078977779201</v>
          </cell>
          <cell r="N679">
            <v>145.12914927307301</v>
          </cell>
          <cell r="O679">
            <v>328.46417729998097</v>
          </cell>
          <cell r="P679">
            <v>343.01583673532502</v>
          </cell>
          <cell r="Q679">
            <v>1540.78859277573</v>
          </cell>
          <cell r="R679">
            <v>1056.0597821485901</v>
          </cell>
          <cell r="S679">
            <v>206.454753751087</v>
          </cell>
        </row>
        <row r="680">
          <cell r="B680" t="str">
            <v>FY2</v>
          </cell>
          <cell r="C680">
            <v>3334.1784300244799</v>
          </cell>
          <cell r="D680">
            <v>3343.2669776559701</v>
          </cell>
          <cell r="E680">
            <v>4712.7406133039703</v>
          </cell>
          <cell r="F680">
            <v>971.95523796844395</v>
          </cell>
          <cell r="G680">
            <v>697.66154527773404</v>
          </cell>
          <cell r="H680">
            <v>872.19591833105596</v>
          </cell>
          <cell r="I680">
            <v>2780.3311198893398</v>
          </cell>
          <cell r="M680">
            <v>269.88188642931402</v>
          </cell>
          <cell r="N680">
            <v>164.92922352314</v>
          </cell>
          <cell r="O680">
            <v>353.36622884730599</v>
          </cell>
          <cell r="P680">
            <v>366.82580611037599</v>
          </cell>
          <cell r="Q680">
            <v>1462.23084953795</v>
          </cell>
          <cell r="R680">
            <v>1070.8595931551099</v>
          </cell>
          <cell r="S680">
            <v>230.21031860692699</v>
          </cell>
        </row>
        <row r="681">
          <cell r="B681" t="str">
            <v>FQ(3)</v>
          </cell>
          <cell r="C681">
            <v>2804</v>
          </cell>
          <cell r="D681">
            <v>3237</v>
          </cell>
          <cell r="E681">
            <v>5026</v>
          </cell>
          <cell r="F681">
            <v>1004</v>
          </cell>
          <cell r="G681">
            <v>779.47400000000005</v>
          </cell>
          <cell r="H681">
            <v>917.66099999999994</v>
          </cell>
          <cell r="I681">
            <v>2817.7</v>
          </cell>
          <cell r="M681">
            <v>274.74200000000002</v>
          </cell>
          <cell r="N681">
            <v>128.929</v>
          </cell>
          <cell r="O681">
            <v>279.233</v>
          </cell>
          <cell r="P681">
            <v>357.67</v>
          </cell>
          <cell r="Q681">
            <v>1393</v>
          </cell>
          <cell r="R681">
            <v>1213.425</v>
          </cell>
          <cell r="S681">
            <v>189.881</v>
          </cell>
        </row>
        <row r="682">
          <cell r="B682" t="str">
            <v>FQ(2)</v>
          </cell>
          <cell r="C682">
            <v>2724</v>
          </cell>
          <cell r="D682">
            <v>3258</v>
          </cell>
          <cell r="E682">
            <v>4634</v>
          </cell>
          <cell r="F682">
            <v>929</v>
          </cell>
          <cell r="G682">
            <v>670.26300000000003</v>
          </cell>
          <cell r="H682">
            <v>926.24400000000003</v>
          </cell>
          <cell r="I682">
            <v>3100.1750000000002</v>
          </cell>
          <cell r="M682">
            <v>325.596</v>
          </cell>
          <cell r="N682">
            <v>200.99299999999999</v>
          </cell>
          <cell r="O682">
            <v>352.81900000000002</v>
          </cell>
          <cell r="P682">
            <v>326.14800000000002</v>
          </cell>
          <cell r="Q682">
            <v>1473</v>
          </cell>
          <cell r="R682">
            <v>1091</v>
          </cell>
          <cell r="S682">
            <v>217.05</v>
          </cell>
        </row>
        <row r="683">
          <cell r="B683" t="str">
            <v>FQ(1)</v>
          </cell>
          <cell r="C683">
            <v>3807</v>
          </cell>
          <cell r="D683">
            <v>4018</v>
          </cell>
          <cell r="E683">
            <v>6406</v>
          </cell>
          <cell r="F683">
            <v>1193</v>
          </cell>
          <cell r="G683">
            <v>799.11</v>
          </cell>
          <cell r="H683">
            <v>1014.638</v>
          </cell>
          <cell r="I683">
            <v>3267.6669999999999</v>
          </cell>
          <cell r="M683">
            <v>347.18</v>
          </cell>
          <cell r="N683">
            <v>221.51599999999999</v>
          </cell>
          <cell r="O683">
            <v>425.41500000000002</v>
          </cell>
          <cell r="P683">
            <v>337.54500000000002</v>
          </cell>
          <cell r="Q683">
            <v>1999</v>
          </cell>
          <cell r="R683">
            <v>1426.4559999999999</v>
          </cell>
          <cell r="S683">
            <v>234.52099999999999</v>
          </cell>
        </row>
        <row r="684">
          <cell r="B684" t="str">
            <v>Last Reported Q</v>
          </cell>
          <cell r="C684">
            <v>2923</v>
          </cell>
          <cell r="D684">
            <v>3024</v>
          </cell>
          <cell r="E684">
            <v>4615</v>
          </cell>
          <cell r="F684">
            <v>898</v>
          </cell>
          <cell r="G684">
            <v>649.19600000000003</v>
          </cell>
          <cell r="H684">
            <v>872.49800000000005</v>
          </cell>
          <cell r="I684">
            <v>2532.3000000000002</v>
          </cell>
          <cell r="M684">
            <v>310.64499999999998</v>
          </cell>
          <cell r="N684">
            <v>132.91499999999999</v>
          </cell>
          <cell r="O684">
            <v>326.45400000000001</v>
          </cell>
          <cell r="P684">
            <v>269.2</v>
          </cell>
          <cell r="Q684">
            <v>1477</v>
          </cell>
          <cell r="R684">
            <v>1036.5530000000001</v>
          </cell>
          <cell r="S684">
            <v>186.13</v>
          </cell>
        </row>
        <row r="686">
          <cell r="B686" t="str">
            <v>Inventory/Store</v>
          </cell>
        </row>
        <row r="687">
          <cell r="B687" t="str">
            <v>FY(5)</v>
          </cell>
          <cell r="C687">
            <v>3.5922084870848709</v>
          </cell>
          <cell r="D687">
            <v>3.1016781836130308E-2</v>
          </cell>
          <cell r="E687">
            <v>1.9948849104859334E-2</v>
          </cell>
          <cell r="F687">
            <v>4.7511305654122094E-2</v>
          </cell>
          <cell r="G687">
            <v>0.20216946666666666</v>
          </cell>
          <cell r="H687">
            <v>5.5930767717825999E-2</v>
          </cell>
          <cell r="I687">
            <v>3.5904500213714365E-2</v>
          </cell>
          <cell r="M687">
            <v>3.7781395348837211E-2</v>
          </cell>
          <cell r="N687">
            <v>4.1062350195056017E-2</v>
          </cell>
          <cell r="O687">
            <v>3.7571019989669815E-2</v>
          </cell>
          <cell r="P687">
            <v>0.20698026111422885</v>
          </cell>
          <cell r="Q687">
            <v>4.9562841530054642E-2</v>
          </cell>
          <cell r="R687">
            <v>0.11075550383086025</v>
          </cell>
          <cell r="S687">
            <v>5.6573701081058525E-2</v>
          </cell>
        </row>
        <row r="688">
          <cell r="B688" t="str">
            <v>FY(4)</v>
          </cell>
          <cell r="C688">
            <v>3.5126656200941917</v>
          </cell>
          <cell r="D688">
            <v>3.1656804733727811E-2</v>
          </cell>
          <cell r="E688">
            <v>3.4904092071611256E-2</v>
          </cell>
          <cell r="F688">
            <v>4.8353759388988643E-2</v>
          </cell>
          <cell r="G688">
            <v>0.10762813333333333</v>
          </cell>
          <cell r="H688">
            <v>5.4165425255499743E-2</v>
          </cell>
          <cell r="I688">
            <v>3.3522649663478565E-2</v>
          </cell>
          <cell r="M688">
            <v>6.0171950207468877E-2</v>
          </cell>
          <cell r="N688">
            <v>3.872296948566975E-2</v>
          </cell>
          <cell r="O688">
            <v>4.4157061087856289E-2</v>
          </cell>
          <cell r="P688">
            <v>0.20381483495351646</v>
          </cell>
          <cell r="Q688">
            <v>4.4867724867724869E-2</v>
          </cell>
          <cell r="R688">
            <v>0.11247114731839783</v>
          </cell>
          <cell r="S688">
            <v>6.6417827118810877E-2</v>
          </cell>
        </row>
        <row r="689">
          <cell r="B689" t="str">
            <v>FY(3)</v>
          </cell>
          <cell r="C689">
            <v>3.5223743169398909</v>
          </cell>
          <cell r="D689">
            <v>3.2977691561590687E-2</v>
          </cell>
          <cell r="E689">
            <v>3.3996163682864448E-2</v>
          </cell>
          <cell r="F689">
            <v>4.9567047713717692E-2</v>
          </cell>
          <cell r="G689">
            <v>0.10470693333333334</v>
          </cell>
          <cell r="H689">
            <v>5.6417176268640706E-2</v>
          </cell>
          <cell r="I689">
            <v>3.4897603633070678E-2</v>
          </cell>
          <cell r="M689">
            <v>6.3864784102793962E-2</v>
          </cell>
          <cell r="N689">
            <v>3.8642802741812643E-2</v>
          </cell>
          <cell r="O689">
            <v>5.0964756870443342E-2</v>
          </cell>
          <cell r="P689">
            <v>0.22479120836803163</v>
          </cell>
          <cell r="Q689">
            <v>4.6051282051282054E-2</v>
          </cell>
          <cell r="R689">
            <v>0.17166133255746291</v>
          </cell>
          <cell r="S689">
            <v>6.1813201112411009E-2</v>
          </cell>
        </row>
        <row r="690">
          <cell r="B690" t="str">
            <v>FY(2)</v>
          </cell>
          <cell r="C690">
            <v>3.495389228886169</v>
          </cell>
          <cell r="D690">
            <v>3.4155722326454037E-2</v>
          </cell>
          <cell r="E690">
            <v>3.2653377301385511E-2</v>
          </cell>
          <cell r="F690">
            <v>4.7010228166797799E-2</v>
          </cell>
          <cell r="G690">
            <v>0.11369850112747049</v>
          </cell>
          <cell r="H690">
            <v>4.8592180094786733E-2</v>
          </cell>
          <cell r="I690">
            <v>3.5820177963883801E-2</v>
          </cell>
          <cell r="M690">
            <v>4.5407250919994549E-2</v>
          </cell>
          <cell r="N690">
            <v>4.6500187039173288E-2</v>
          </cell>
          <cell r="O690">
            <v>5.0173101886327197E-2</v>
          </cell>
          <cell r="P690">
            <v>0.23790759748392731</v>
          </cell>
          <cell r="Q690">
            <v>3.9772727272727272E-2</v>
          </cell>
          <cell r="R690">
            <v>0.12129036950829211</v>
          </cell>
          <cell r="S690">
            <v>5.9560927615761435E-2</v>
          </cell>
        </row>
        <row r="691">
          <cell r="B691" t="str">
            <v>FY(1)</v>
          </cell>
          <cell r="C691">
            <v>3.0129171151776104</v>
          </cell>
          <cell r="D691">
            <v>2.9844988318980185E-2</v>
          </cell>
          <cell r="E691">
            <v>3.0949244277731991E-2</v>
          </cell>
          <cell r="F691">
            <v>4.247486903582047E-2</v>
          </cell>
          <cell r="G691">
            <v>9.6932003937825792E-2</v>
          </cell>
          <cell r="H691">
            <v>3.9158133333333331E-2</v>
          </cell>
          <cell r="I691">
            <v>3.3125257655656222E-2</v>
          </cell>
          <cell r="M691">
            <v>4.7992525773195877E-2</v>
          </cell>
          <cell r="N691">
            <v>3.8470273828218472E-2</v>
          </cell>
          <cell r="O691">
            <v>4.6605596849767082E-2</v>
          </cell>
          <cell r="P691">
            <v>0.21723459014982835</v>
          </cell>
          <cell r="Q691">
            <v>3.8126582278481015E-2</v>
          </cell>
          <cell r="R691">
            <v>0.10844489507537872</v>
          </cell>
          <cell r="S691">
            <v>5.0495503885011242E-2</v>
          </cell>
        </row>
        <row r="692">
          <cell r="B692" t="str">
            <v>FY0</v>
          </cell>
          <cell r="C692">
            <v>2.9113545816733066</v>
          </cell>
          <cell r="D692">
            <v>2.7318021416815018E-2</v>
          </cell>
          <cell r="E692">
            <v>2.9889896373056994E-2</v>
          </cell>
          <cell r="F692">
            <v>4.0224865058567941E-2</v>
          </cell>
          <cell r="G692">
            <v>8.6639688600556014E-2</v>
          </cell>
          <cell r="H692">
            <v>3.6814261603375531E-2</v>
          </cell>
          <cell r="I692">
            <v>3.0962136448200613E-2</v>
          </cell>
          <cell r="M692">
            <v>3.9587740537785139E-2</v>
          </cell>
          <cell r="N692">
            <v>3.8769084837835754E-2</v>
          </cell>
          <cell r="O692">
            <v>5.0977699540230355E-2</v>
          </cell>
          <cell r="P692">
            <v>0.19290833500424975</v>
          </cell>
          <cell r="Q692">
            <v>3.8067010309278351E-2</v>
          </cell>
          <cell r="R692">
            <v>9.4809567364858696E-2</v>
          </cell>
          <cell r="S692">
            <v>4.995653032417971E-2</v>
          </cell>
        </row>
        <row r="693">
          <cell r="B693" t="str">
            <v>FY1</v>
          </cell>
          <cell r="C693">
            <v>2.9527382899662098</v>
          </cell>
          <cell r="D693">
            <v>2.9330300917219145E-2</v>
          </cell>
          <cell r="E693">
            <v>3.0470411154580945E-2</v>
          </cell>
          <cell r="F693">
            <v>3.9293073303284999E-2</v>
          </cell>
          <cell r="G693">
            <v>8.8609781426668283E-2</v>
          </cell>
          <cell r="H693">
            <v>3.3681465125949293E-2</v>
          </cell>
          <cell r="I693">
            <v>3.0667679893737684E-2</v>
          </cell>
          <cell r="M693">
            <v>3.1708217119172578E-2</v>
          </cell>
          <cell r="N693">
            <v>4.0112064796655827E-2</v>
          </cell>
          <cell r="O693">
            <v>5.2295895435949875E-2</v>
          </cell>
          <cell r="P693">
            <v>0.18614099688799227</v>
          </cell>
          <cell r="Q693">
            <v>4.0743780641510838E-2</v>
          </cell>
          <cell r="R693">
            <v>9.7251438577294805E-2</v>
          </cell>
          <cell r="S693">
            <v>4.9148885064112975E-2</v>
          </cell>
        </row>
        <row r="694">
          <cell r="B694" t="str">
            <v>FY2</v>
          </cell>
          <cell r="C694">
            <v>3.0645022334783825</v>
          </cell>
          <cell r="D694">
            <v>3.0012585207337347E-2</v>
          </cell>
          <cell r="E694">
            <v>3.0433400395724029E-2</v>
          </cell>
          <cell r="F694">
            <v>4.0138235427392123E-2</v>
          </cell>
          <cell r="G694">
            <v>8.8748465123669365E-2</v>
          </cell>
          <cell r="H694">
            <v>3.3440798480200512E-2</v>
          </cell>
          <cell r="I694">
            <v>3.1080543928809247E-2</v>
          </cell>
          <cell r="M694">
            <v>3.0938014934536497E-2</v>
          </cell>
          <cell r="N694">
            <v>4.1486904049822193E-2</v>
          </cell>
          <cell r="O694">
            <v>5.2958724188948397E-2</v>
          </cell>
          <cell r="P694">
            <v>0.18836190825466373</v>
          </cell>
          <cell r="Q694">
            <v>4.0043346162256285E-2</v>
          </cell>
          <cell r="R694">
            <v>9.7349787106169941E-2</v>
          </cell>
          <cell r="S694">
            <v>4.9120105458739363E-2</v>
          </cell>
        </row>
        <row r="696">
          <cell r="B696" t="str">
            <v>Inventory/Store Y/Y ∆</v>
          </cell>
        </row>
        <row r="697">
          <cell r="B697" t="str">
            <v>FY(5)</v>
          </cell>
        </row>
        <row r="698">
          <cell r="B698" t="str">
            <v>FY(4)</v>
          </cell>
          <cell r="C698">
            <v>-2.2143165486263161E-2</v>
          </cell>
          <cell r="D698">
            <v>2.0634729321014289E-2</v>
          </cell>
          <cell r="E698">
            <v>0.7496794871794874</v>
          </cell>
          <cell r="F698">
            <v>1.7731647726112465E-2</v>
          </cell>
          <cell r="G698">
            <v>-0.46763408388078387</v>
          </cell>
          <cell r="H698">
            <v>-3.1562993578642007E-2</v>
          </cell>
          <cell r="I698">
            <v>-6.6338496178983353E-2</v>
          </cell>
          <cell r="J698">
            <v>2.8623875014563111E-2</v>
          </cell>
          <cell r="M698">
            <v>0.59263440780571308</v>
          </cell>
          <cell r="N698">
            <v>-5.697142755525797E-2</v>
          </cell>
          <cell r="O698">
            <v>0.17529577583992428</v>
          </cell>
          <cell r="P698">
            <v>-1.5293372148977302E-2</v>
          </cell>
          <cell r="Q698">
            <v>-9.473057874380908E-2</v>
          </cell>
          <cell r="R698">
            <v>1.5490367775831793E-2</v>
          </cell>
          <cell r="S698">
            <v>0.17400533904698468</v>
          </cell>
          <cell r="T698">
            <v>0.11291864457434421</v>
          </cell>
        </row>
        <row r="699">
          <cell r="B699" t="str">
            <v>FY(3)</v>
          </cell>
          <cell r="C699">
            <v>2.7639114836779388E-3</v>
          </cell>
          <cell r="D699">
            <v>4.1725210076416053E-2</v>
          </cell>
          <cell r="E699">
            <v>-2.6012090126396936E-2</v>
          </cell>
          <cell r="F699">
            <v>2.5091913018977063E-2</v>
          </cell>
          <cell r="G699">
            <v>-2.7141602381533403E-2</v>
          </cell>
          <cell r="H699">
            <v>4.1571740691029202E-2</v>
          </cell>
          <cell r="I699">
            <v>4.1015670998407527E-2</v>
          </cell>
          <cell r="J699">
            <v>1.4144964822939634E-2</v>
          </cell>
          <cell r="M699">
            <v>6.1371351312238254E-2</v>
          </cell>
          <cell r="N699">
            <v>-2.0702633326397102E-3</v>
          </cell>
          <cell r="O699">
            <v>0.15417003792535566</v>
          </cell>
          <cell r="P699">
            <v>0.10291877634569246</v>
          </cell>
          <cell r="Q699">
            <v>2.6378809869376019E-2</v>
          </cell>
          <cell r="R699">
            <v>0.52626995145254329</v>
          </cell>
          <cell r="S699">
            <v>-6.9328163930490017E-2</v>
          </cell>
          <cell r="T699">
            <v>0.11424435709172513</v>
          </cell>
        </row>
        <row r="700">
          <cell r="B700" t="str">
            <v>FY(2)</v>
          </cell>
          <cell r="C700">
            <v>-7.661050650961343E-3</v>
          </cell>
          <cell r="D700">
            <v>3.5722050546297401E-2</v>
          </cell>
          <cell r="E700">
            <v>-3.9498173794114355E-2</v>
          </cell>
          <cell r="F700">
            <v>-5.1583050935113395E-2</v>
          </cell>
          <cell r="G700">
            <v>8.5873661923729472E-2</v>
          </cell>
          <cell r="H700">
            <v>-0.13869882704858927</v>
          </cell>
          <cell r="I700">
            <v>2.643660981749596E-2</v>
          </cell>
          <cell r="J700">
            <v>-1.2772682877322219E-2</v>
          </cell>
          <cell r="M700">
            <v>-0.28900956046592086</v>
          </cell>
          <cell r="N700">
            <v>0.2033337061459759</v>
          </cell>
          <cell r="O700">
            <v>-1.5533380962232335E-2</v>
          </cell>
          <cell r="P700">
            <v>5.8349208632845428E-2</v>
          </cell>
          <cell r="Q700">
            <v>-0.13633832759667952</v>
          </cell>
          <cell r="R700">
            <v>-0.29343220338983056</v>
          </cell>
          <cell r="S700">
            <v>-3.6436771694668968E-2</v>
          </cell>
          <cell r="T700">
            <v>-7.2723904190072991E-2</v>
          </cell>
        </row>
        <row r="701">
          <cell r="B701" t="str">
            <v>FY(1)</v>
          </cell>
          <cell r="C701">
            <v>-0.13803101231799064</v>
          </cell>
          <cell r="D701">
            <v>-0.1262082519079134</v>
          </cell>
          <cell r="E701">
            <v>-5.2188568671615254E-2</v>
          </cell>
          <cell r="F701">
            <v>-9.6476007622965487E-2</v>
          </cell>
          <cell r="G701">
            <v>-0.14746454019518973</v>
          </cell>
          <cell r="H701">
            <v>-0.19414742748834901</v>
          </cell>
          <cell r="I701">
            <v>-7.5234699027591945E-2</v>
          </cell>
          <cell r="J701">
            <v>-0.11853578674737364</v>
          </cell>
          <cell r="M701">
            <v>5.6935286783964534E-2</v>
          </cell>
          <cell r="N701">
            <v>-0.17268561101034174</v>
          </cell>
          <cell r="O701">
            <v>-7.1103936221497688E-2</v>
          </cell>
          <cell r="P701">
            <v>-8.689511202136202E-2</v>
          </cell>
          <cell r="Q701">
            <v>-4.1388788426763079E-2</v>
          </cell>
          <cell r="R701">
            <v>-0.10590679610416398</v>
          </cell>
          <cell r="S701">
            <v>-0.15220420657705191</v>
          </cell>
          <cell r="T701">
            <v>-8.1892737653887979E-2</v>
          </cell>
        </row>
        <row r="702">
          <cell r="B702" t="str">
            <v>FY0</v>
          </cell>
          <cell r="C702">
            <v>-3.3709036665058312E-2</v>
          </cell>
          <cell r="D702">
            <v>-8.4669723276725839E-2</v>
          </cell>
          <cell r="E702">
            <v>-3.4228554828952595E-2</v>
          </cell>
          <cell r="F702">
            <v>-5.2972593637782062E-2</v>
          </cell>
          <cell r="G702">
            <v>-0.1061807753801467</v>
          </cell>
          <cell r="H702">
            <v>-5.9856574622840331E-2</v>
          </cell>
          <cell r="I702">
            <v>-6.5301264368769374E-2</v>
          </cell>
          <cell r="J702">
            <v>-6.2416931825753599E-2</v>
          </cell>
          <cell r="M702">
            <v>-0.17512696195924871</v>
          </cell>
          <cell r="N702">
            <v>7.767322139467181E-3</v>
          </cell>
          <cell r="O702">
            <v>9.3810679102699357E-2</v>
          </cell>
          <cell r="P702">
            <v>-0.1119814994877224</v>
          </cell>
          <cell r="Q702">
            <v>-1.5624786079051489E-3</v>
          </cell>
          <cell r="R702">
            <v>-0.12573508140740297</v>
          </cell>
          <cell r="S702">
            <v>-1.0673694078959683E-2</v>
          </cell>
          <cell r="T702">
            <v>-4.6214530614153197E-2</v>
          </cell>
        </row>
        <row r="703">
          <cell r="B703" t="str">
            <v>FY1</v>
          </cell>
          <cell r="C703">
            <v>1.4214588821783947E-2</v>
          </cell>
          <cell r="D703">
            <v>7.3661246167905592E-2</v>
          </cell>
          <cell r="E703">
            <v>1.9421772972328943E-2</v>
          </cell>
          <cell r="F703">
            <v>-2.3164571314937654E-2</v>
          </cell>
          <cell r="G703">
            <v>2.2738918594169766E-2</v>
          </cell>
          <cell r="H703">
            <v>-8.5097360125755972E-2</v>
          </cell>
          <cell r="I703">
            <v>-9.5102143534426808E-3</v>
          </cell>
          <cell r="J703">
            <v>1.7520543945788486E-3</v>
          </cell>
          <cell r="M703">
            <v>-0.19903948322314147</v>
          </cell>
          <cell r="N703">
            <v>3.464048647105078E-2</v>
          </cell>
          <cell r="O703">
            <v>2.5858285242535084E-2</v>
          </cell>
          <cell r="P703">
            <v>-3.5080589525115169E-2</v>
          </cell>
          <cell r="Q703">
            <v>7.0317324909018541E-2</v>
          </cell>
          <cell r="R703">
            <v>2.5755535863158041E-2</v>
          </cell>
          <cell r="S703">
            <v>-1.6166960652105655E-2</v>
          </cell>
          <cell r="T703">
            <v>-1.3387914416371407E-2</v>
          </cell>
        </row>
        <row r="704">
          <cell r="B704" t="str">
            <v>FY2</v>
          </cell>
          <cell r="C704">
            <v>3.7850948013903318E-2</v>
          </cell>
          <cell r="D704">
            <v>2.3262096493447348E-2</v>
          </cell>
          <cell r="E704">
            <v>-1.214645863134356E-3</v>
          </cell>
          <cell r="F704">
            <v>2.1509188593717532E-2</v>
          </cell>
          <cell r="G704">
            <v>1.5651059597281414E-3</v>
          </cell>
          <cell r="H704">
            <v>-7.1453734227067134E-3</v>
          </cell>
          <cell r="I704">
            <v>1.3462512863774423E-2</v>
          </cell>
          <cell r="J704">
            <v>1.2755690376961384E-2</v>
          </cell>
          <cell r="M704">
            <v>-2.4290302470849845E-2</v>
          </cell>
          <cell r="N704">
            <v>3.427495592999219E-2</v>
          </cell>
          <cell r="O704">
            <v>1.2674584639445152E-2</v>
          </cell>
          <cell r="P704">
            <v>1.1931339166555865E-2</v>
          </cell>
          <cell r="Q704">
            <v>-1.7191199938400681E-2</v>
          </cell>
          <cell r="R704">
            <v>1.0112809672935263E-3</v>
          </cell>
          <cell r="S704">
            <v>-5.8555967924944774E-4</v>
          </cell>
          <cell r="T704">
            <v>2.5464426592552514E-3</v>
          </cell>
        </row>
        <row r="706">
          <cell r="B706" t="str">
            <v>Sales Y/Y ∆ - Inventory Y/Y ∆</v>
          </cell>
        </row>
        <row r="707">
          <cell r="B707" t="str">
            <v>FY(5)</v>
          </cell>
        </row>
        <row r="708">
          <cell r="B708" t="str">
            <v>FY(4)</v>
          </cell>
          <cell r="C708">
            <v>1.4747710638552139E-2</v>
          </cell>
          <cell r="D708">
            <v>8.3652706789857124E-3</v>
          </cell>
          <cell r="E708">
            <v>-0.73667948717948739</v>
          </cell>
          <cell r="F708">
            <v>4.2432082369352635E-2</v>
          </cell>
          <cell r="G708">
            <v>0.5076340838807839</v>
          </cell>
          <cell r="H708">
            <v>9.1562993578642005E-2</v>
          </cell>
          <cell r="I708">
            <v>8.6338496178983357E-2</v>
          </cell>
          <cell r="J708">
            <v>2.0573071636874668E-3</v>
          </cell>
          <cell r="M708">
            <v>-0.33263440780571307</v>
          </cell>
          <cell r="N708">
            <v>9.1971427555257973E-2</v>
          </cell>
          <cell r="O708">
            <v>-2.0295775839924285E-2</v>
          </cell>
          <cell r="P708">
            <v>0.1972933721489773</v>
          </cell>
          <cell r="Q708">
            <v>4.4730578743809077E-2</v>
          </cell>
          <cell r="R708">
            <v>-2.5490367775831795E-2</v>
          </cell>
          <cell r="S708">
            <v>-6.5005339046984675E-2</v>
          </cell>
          <cell r="T708">
            <v>-1.5632930288629925E-2</v>
          </cell>
        </row>
        <row r="709">
          <cell r="B709" t="str">
            <v>FY(3)</v>
          </cell>
          <cell r="C709">
            <v>5.6236088516322058E-2</v>
          </cell>
          <cell r="D709">
            <v>-4.7252100764160546E-3</v>
          </cell>
          <cell r="E709">
            <v>7.0012090126396934E-2</v>
          </cell>
          <cell r="F709">
            <v>4.9908086981022934E-2</v>
          </cell>
          <cell r="G709">
            <v>7.6141602381533405E-2</v>
          </cell>
          <cell r="H709">
            <v>-1.5717406910292012E-3</v>
          </cell>
          <cell r="I709">
            <v>-1.0156709984075266E-3</v>
          </cell>
          <cell r="J709">
            <v>3.4997892319917505E-2</v>
          </cell>
          <cell r="M709">
            <v>-5.1371351312238252E-2</v>
          </cell>
          <cell r="N709">
            <v>2.2145462454071209E-2</v>
          </cell>
          <cell r="O709">
            <v>-3.4170037925355667E-2</v>
          </cell>
          <cell r="P709">
            <v>0.10408122365430753</v>
          </cell>
          <cell r="Q709">
            <v>-9.6378809869376025E-2</v>
          </cell>
          <cell r="R709">
            <v>-0.45626995145254329</v>
          </cell>
          <cell r="S709">
            <v>7.328163930490017E-3</v>
          </cell>
          <cell r="T709">
            <v>-7.209075721723493E-2</v>
          </cell>
        </row>
        <row r="710">
          <cell r="B710" t="str">
            <v>FY(2)</v>
          </cell>
          <cell r="C710">
            <v>-3.3775957382118672E-4</v>
          </cell>
          <cell r="D710">
            <v>-4.6722050546297397E-2</v>
          </cell>
          <cell r="E710">
            <v>2.6498173794114357E-2</v>
          </cell>
          <cell r="F710">
            <v>9.0583050935113402E-2</v>
          </cell>
          <cell r="G710">
            <v>3.2021143403546531E-2</v>
          </cell>
          <cell r="H710">
            <v>0.14869882704858928</v>
          </cell>
          <cell r="I710">
            <v>1.3563390182504041E-2</v>
          </cell>
          <cell r="J710">
            <v>3.7757825034821287E-2</v>
          </cell>
          <cell r="M710">
            <v>0.27900956046592085</v>
          </cell>
          <cell r="N710">
            <v>-0.1703337061459759</v>
          </cell>
          <cell r="O710">
            <v>2.5533380962232337E-2</v>
          </cell>
          <cell r="P710">
            <v>0.16465079136715458</v>
          </cell>
          <cell r="Q710">
            <v>9.6338327596679513E-2</v>
          </cell>
          <cell r="R710">
            <v>0.27343220338983054</v>
          </cell>
          <cell r="S710">
            <v>9.1436771694668961E-2</v>
          </cell>
          <cell r="T710">
            <v>0.10858104704721584</v>
          </cell>
        </row>
        <row r="711">
          <cell r="B711" t="str">
            <v>FY(1)</v>
          </cell>
          <cell r="C711">
            <v>6.9031012317990637E-2</v>
          </cell>
          <cell r="D711">
            <v>4.1208251907913399E-2</v>
          </cell>
          <cell r="E711">
            <v>7.1885686716152558E-3</v>
          </cell>
          <cell r="F711">
            <v>6.0835338562304914E-3</v>
          </cell>
          <cell r="G711">
            <v>8.6464540195189732E-2</v>
          </cell>
          <cell r="H711">
            <v>0.214147427488349</v>
          </cell>
          <cell r="I711">
            <v>6.8032782451344309E-2</v>
          </cell>
          <cell r="J711">
            <v>7.0308016698376122E-2</v>
          </cell>
          <cell r="M711">
            <v>-0.18693528678396454</v>
          </cell>
          <cell r="N711">
            <v>0.25268561101034176</v>
          </cell>
          <cell r="O711">
            <v>-2.8635683166373813E-2</v>
          </cell>
          <cell r="P711">
            <v>0.18489511202136202</v>
          </cell>
          <cell r="Q711">
            <v>-7.8611211573236917E-2</v>
          </cell>
          <cell r="R711">
            <v>2.1599926344653575E-2</v>
          </cell>
          <cell r="S711">
            <v>0.23020420657705193</v>
          </cell>
          <cell r="T711">
            <v>5.6457524918547719E-2</v>
          </cell>
        </row>
        <row r="712">
          <cell r="B712" t="str">
            <v>FY0</v>
          </cell>
          <cell r="C712">
            <v>4.0263149723217484E-2</v>
          </cell>
          <cell r="D712">
            <v>2.1590798269081543E-2</v>
          </cell>
          <cell r="E712">
            <v>-1.8771445171047403E-2</v>
          </cell>
          <cell r="F712">
            <v>1.8747962976605061E-2</v>
          </cell>
          <cell r="G712">
            <v>-4.0819224619853295E-2</v>
          </cell>
          <cell r="H712">
            <v>0.12128599911234253</v>
          </cell>
          <cell r="I712">
            <v>0.12204341768520897</v>
          </cell>
          <cell r="J712">
            <v>3.7762951139364988E-2</v>
          </cell>
          <cell r="M712">
            <v>-5.4873038040751304E-2</v>
          </cell>
          <cell r="N712">
            <v>9.4532305008133824E-2</v>
          </cell>
          <cell r="O712">
            <v>-0.13003070225556915</v>
          </cell>
          <cell r="P712">
            <v>4.3981499487722397E-2</v>
          </cell>
          <cell r="Q712">
            <v>-2.8376240839865553E-2</v>
          </cell>
          <cell r="R712">
            <v>8.7525402527508067E-2</v>
          </cell>
          <cell r="S712">
            <v>-1.2583025527034417E-2</v>
          </cell>
          <cell r="T712">
            <v>2.5171480020552993E-5</v>
          </cell>
        </row>
        <row r="713">
          <cell r="B713" t="str">
            <v>FY1</v>
          </cell>
          <cell r="C713">
            <v>3.8189580671070554E-2</v>
          </cell>
          <cell r="D713">
            <v>-5.5057896267013295E-2</v>
          </cell>
          <cell r="E713">
            <v>2.4258000180453758E-2</v>
          </cell>
          <cell r="F713">
            <v>6.2896131621855561E-2</v>
          </cell>
          <cell r="G713">
            <v>1.9853019004442134E-2</v>
          </cell>
          <cell r="H713">
            <v>0.13802114106915758</v>
          </cell>
          <cell r="I713">
            <v>4.8249392988002279E-2</v>
          </cell>
          <cell r="J713">
            <v>3.9487052752566934E-2</v>
          </cell>
          <cell r="M713">
            <v>0.15522199481682566</v>
          </cell>
          <cell r="N713">
            <v>1.6591947791695233E-3</v>
          </cell>
          <cell r="O713">
            <v>7.6484708422973127E-3</v>
          </cell>
          <cell r="P713">
            <v>5.6873403718557966E-2</v>
          </cell>
          <cell r="Q713">
            <v>-6.3855583503323071E-2</v>
          </cell>
          <cell r="R713">
            <v>4.4144378659531358E-2</v>
          </cell>
          <cell r="S713">
            <v>8.181051279234966E-2</v>
          </cell>
          <cell r="T713">
            <v>4.0500338872201204E-2</v>
          </cell>
        </row>
        <row r="714">
          <cell r="B714" t="str">
            <v>FY2</v>
          </cell>
          <cell r="C714">
            <v>2.1490519860966825E-3</v>
          </cell>
          <cell r="D714">
            <v>-3.262096493447348E-3</v>
          </cell>
          <cell r="E714">
            <v>1.1214645863134356E-2</v>
          </cell>
          <cell r="F714">
            <v>-1.5091885937175316E-3</v>
          </cell>
          <cell r="G714">
            <v>1.8434894040271859E-2</v>
          </cell>
          <cell r="H714">
            <v>2.7145373422706714E-2</v>
          </cell>
          <cell r="I714">
            <v>6.5374871362255775E-3</v>
          </cell>
          <cell r="J714">
            <v>8.6728810516100447E-3</v>
          </cell>
          <cell r="M714">
            <v>3.4740861372141343E-2</v>
          </cell>
          <cell r="N714">
            <v>-4.2749559299921913E-3</v>
          </cell>
          <cell r="O714">
            <v>2.7325415360554849E-2</v>
          </cell>
          <cell r="P714">
            <v>2.8068660833444135E-2</v>
          </cell>
          <cell r="Q714">
            <v>-1.3816588614358919E-2</v>
          </cell>
          <cell r="R714">
            <v>1.7198619622447973E-2</v>
          </cell>
          <cell r="S714">
            <v>5.1605746186286147E-2</v>
          </cell>
          <cell r="T714">
            <v>2.0121108404360481E-2</v>
          </cell>
        </row>
        <row r="716">
          <cell r="B716" t="str">
            <v>SG&amp;A per Sq Foot</v>
          </cell>
          <cell r="M716">
            <v>2008</v>
          </cell>
          <cell r="N716">
            <v>2009</v>
          </cell>
          <cell r="O716" t="str">
            <v>2010E</v>
          </cell>
          <cell r="Z716">
            <v>2008</v>
          </cell>
          <cell r="AA716">
            <v>2009</v>
          </cell>
          <cell r="AB716" t="str">
            <v>2010E</v>
          </cell>
        </row>
        <row r="717">
          <cell r="B717" t="str">
            <v>FY(2)</v>
          </cell>
          <cell r="C717">
            <v>52.896736253201503</v>
          </cell>
          <cell r="D717">
            <v>54.68105065666041</v>
          </cell>
          <cell r="E717">
            <v>55.200986054555663</v>
          </cell>
          <cell r="F717">
            <v>116.0395357985838</v>
          </cell>
          <cell r="G717">
            <v>107.16633806833863</v>
          </cell>
          <cell r="H717">
            <v>44.355497630331755</v>
          </cell>
          <cell r="I717">
            <v>39.693848600778857</v>
          </cell>
          <cell r="K717">
            <v>55.197959773596573</v>
          </cell>
          <cell r="M717">
            <v>234.55881150333923</v>
          </cell>
          <cell r="N717">
            <v>117.81253428199783</v>
          </cell>
          <cell r="O717">
            <v>125.25192944504418</v>
          </cell>
          <cell r="P717">
            <v>841.18741375408399</v>
          </cell>
          <cell r="Q717">
            <v>109.72222222222223</v>
          </cell>
          <cell r="R717">
            <v>252.39239646978953</v>
          </cell>
          <cell r="S717">
            <v>121.88537141352623</v>
          </cell>
          <cell r="U717">
            <v>158.71709387982401</v>
          </cell>
        </row>
        <row r="718">
          <cell r="B718" t="str">
            <v>FY(1)</v>
          </cell>
          <cell r="C718">
            <v>52.485891828461703</v>
          </cell>
          <cell r="D718">
            <v>53.160526907542184</v>
          </cell>
          <cell r="E718">
            <v>54.889643132953907</v>
          </cell>
          <cell r="F718">
            <v>112.69838123554675</v>
          </cell>
          <cell r="G718">
            <v>101.53403110118391</v>
          </cell>
          <cell r="H718">
            <v>46.163326249732442</v>
          </cell>
          <cell r="I718">
            <v>39.743768451555518</v>
          </cell>
          <cell r="K718">
            <v>54.489639577494366</v>
          </cell>
          <cell r="M718">
            <v>237.13353748243429</v>
          </cell>
          <cell r="N718">
            <v>123.57098885896485</v>
          </cell>
          <cell r="O718">
            <v>115.9958326004987</v>
          </cell>
          <cell r="P718">
            <v>837.50417641254148</v>
          </cell>
          <cell r="Q718">
            <v>98.708860759493675</v>
          </cell>
          <cell r="R718">
            <v>210.0189020305919</v>
          </cell>
          <cell r="S718">
            <v>123.20304255242671</v>
          </cell>
          <cell r="U718">
            <v>148.90036849942348</v>
          </cell>
        </row>
        <row r="719">
          <cell r="B719" t="str">
            <v>FY0</v>
          </cell>
          <cell r="C719">
            <v>52.859839787744271</v>
          </cell>
          <cell r="D719">
            <v>56.388587858386025</v>
          </cell>
          <cell r="E719">
            <v>52.215025906735754</v>
          </cell>
          <cell r="F719">
            <v>110.41680664740532</v>
          </cell>
          <cell r="G719">
            <v>88.533175162187149</v>
          </cell>
          <cell r="H719">
            <v>47.713628691983125</v>
          </cell>
          <cell r="I719">
            <v>40.702609626197031</v>
          </cell>
          <cell r="K719">
            <v>54.378279420653108</v>
          </cell>
          <cell r="M719">
            <v>222.50783739008537</v>
          </cell>
          <cell r="N719">
            <v>135.2132904908913</v>
          </cell>
          <cell r="O719">
            <v>118.09379313317174</v>
          </cell>
          <cell r="P719">
            <v>782.12610361811073</v>
          </cell>
          <cell r="Q719">
            <v>100.85051546391753</v>
          </cell>
          <cell r="R719">
            <v>198.15265709320406</v>
          </cell>
          <cell r="S719">
            <v>120.01618254064644</v>
          </cell>
          <cell r="U719">
            <v>148.49535433222312</v>
          </cell>
        </row>
        <row r="720">
          <cell r="B720" t="str">
            <v>FY1</v>
          </cell>
          <cell r="C720">
            <v>54.660697029543407</v>
          </cell>
          <cell r="D720">
            <v>56.330481381458142</v>
          </cell>
          <cell r="E720">
            <v>53.23223728048459</v>
          </cell>
          <cell r="F720">
            <v>111.3435621311129</v>
          </cell>
          <cell r="G720">
            <v>92.135174686125254</v>
          </cell>
          <cell r="H720">
            <v>48.868265359069312</v>
          </cell>
          <cell r="I720">
            <v>41.484965361504422</v>
          </cell>
          <cell r="K720">
            <v>55.26394523108582</v>
          </cell>
          <cell r="M720">
            <v>219.90137404078646</v>
          </cell>
          <cell r="N720">
            <v>139.38463296672333</v>
          </cell>
          <cell r="O720">
            <v>116.01069892276183</v>
          </cell>
          <cell r="P720">
            <v>771.48163062645665</v>
          </cell>
          <cell r="Q720">
            <v>105.38036877790195</v>
          </cell>
          <cell r="R720">
            <v>204.95568413596428</v>
          </cell>
          <cell r="S720">
            <v>120.49203233387102</v>
          </cell>
          <cell r="U720">
            <v>153.41770204011613</v>
          </cell>
        </row>
        <row r="721">
          <cell r="B721" t="str">
            <v>FY2</v>
          </cell>
          <cell r="C721">
            <v>56.368533000120259</v>
          </cell>
          <cell r="D721">
            <v>57.202401810027098</v>
          </cell>
          <cell r="E721">
            <v>53.550962635377644</v>
          </cell>
          <cell r="F721">
            <v>110.53303481797337</v>
          </cell>
          <cell r="G721">
            <v>93.691852969544541</v>
          </cell>
          <cell r="H721">
            <v>48.564815386543323</v>
          </cell>
          <cell r="I721">
            <v>42.183260739804915</v>
          </cell>
          <cell r="K721">
            <v>55.944695325662821</v>
          </cell>
          <cell r="M721">
            <v>218.51730193407133</v>
          </cell>
          <cell r="N721">
            <v>149.42657176224444</v>
          </cell>
          <cell r="O721">
            <v>118.29002202803564</v>
          </cell>
          <cell r="P721">
            <v>776.86874480702522</v>
          </cell>
          <cell r="Q721">
            <v>104.50149290532764</v>
          </cell>
          <cell r="R721">
            <v>208.31603147252716</v>
          </cell>
          <cell r="S721">
            <v>120.40219193875612</v>
          </cell>
          <cell r="U721">
            <v>156.06577308599788</v>
          </cell>
        </row>
        <row r="722">
          <cell r="B722" t="str">
            <v>FQ(3)</v>
          </cell>
          <cell r="C722">
            <v>12.258278483596103</v>
          </cell>
          <cell r="D722">
            <v>13.315728693249119</v>
          </cell>
          <cell r="E722">
            <v>12.66839378238342</v>
          </cell>
          <cell r="F722">
            <v>24.143877802414387</v>
          </cell>
          <cell r="G722">
            <v>20.743740500463378</v>
          </cell>
          <cell r="H722">
            <v>11.478059071729957</v>
          </cell>
          <cell r="I722">
            <v>8.9874561194191038</v>
          </cell>
          <cell r="M722">
            <v>53.097362049190771</v>
          </cell>
          <cell r="N722">
            <v>27.460815266470188</v>
          </cell>
          <cell r="O722">
            <v>24.780683022533758</v>
          </cell>
          <cell r="P722">
            <v>193.01066015097985</v>
          </cell>
          <cell r="Q722">
            <v>22.835051546391753</v>
          </cell>
          <cell r="R722">
            <v>44.191347297173692</v>
          </cell>
          <cell r="S722">
            <v>26.084056302344624</v>
          </cell>
        </row>
        <row r="723">
          <cell r="B723" t="str">
            <v>FQ(2)</v>
          </cell>
          <cell r="C723">
            <v>12.322057247818766</v>
          </cell>
          <cell r="D723">
            <v>13.189256371874976</v>
          </cell>
          <cell r="E723">
            <v>12.053108808290155</v>
          </cell>
          <cell r="F723">
            <v>27.234652511814375</v>
          </cell>
          <cell r="G723">
            <v>20.677946246524549</v>
          </cell>
          <cell r="H723">
            <v>12.074177215189874</v>
          </cell>
          <cell r="I723">
            <v>9.6699485154235703</v>
          </cell>
          <cell r="M723">
            <v>53.391359755320508</v>
          </cell>
          <cell r="N723">
            <v>29.367257266997552</v>
          </cell>
          <cell r="O723">
            <v>26.105353037910426</v>
          </cell>
          <cell r="P723">
            <v>193.78549218691313</v>
          </cell>
          <cell r="Q723">
            <v>23.530927835051546</v>
          </cell>
          <cell r="R723">
            <v>47.504436110857036</v>
          </cell>
          <cell r="S723">
            <v>29.161215385602134</v>
          </cell>
        </row>
        <row r="724">
          <cell r="B724" t="str">
            <v>FQ(1)</v>
          </cell>
          <cell r="C724">
            <v>13.100158171335272</v>
          </cell>
          <cell r="D724">
            <v>14.327507264242268</v>
          </cell>
          <cell r="E724">
            <v>13.167098445595855</v>
          </cell>
          <cell r="F724">
            <v>26.025218929875248</v>
          </cell>
          <cell r="G724">
            <v>21.69368674698794</v>
          </cell>
          <cell r="H724">
            <v>12.089071729957807</v>
          </cell>
          <cell r="I724">
            <v>10.565213133704855</v>
          </cell>
          <cell r="M724">
            <v>55.719255766534978</v>
          </cell>
          <cell r="N724">
            <v>34.195782492935429</v>
          </cell>
          <cell r="O724">
            <v>30.180083602715179</v>
          </cell>
          <cell r="P724">
            <v>193.37145980129992</v>
          </cell>
          <cell r="Q724">
            <v>26.391752577319586</v>
          </cell>
          <cell r="R724">
            <v>46.086435562059819</v>
          </cell>
          <cell r="S724">
            <v>30.684898954346391</v>
          </cell>
        </row>
        <row r="725">
          <cell r="B725" t="str">
            <v>Last Reported Q</v>
          </cell>
          <cell r="C725">
            <v>52.859839787744271</v>
          </cell>
          <cell r="D725">
            <v>56.388587858386025</v>
          </cell>
          <cell r="E725">
            <v>52.215025906735754</v>
          </cell>
          <cell r="F725">
            <v>110.41680664740532</v>
          </cell>
          <cell r="G725">
            <v>88.533175162187149</v>
          </cell>
          <cell r="H725">
            <v>47.713628691983125</v>
          </cell>
          <cell r="I725">
            <v>40.702609626197031</v>
          </cell>
          <cell r="M725">
            <v>222.50783739008537</v>
          </cell>
          <cell r="N725">
            <v>135.2132904908913</v>
          </cell>
          <cell r="O725">
            <v>118.09379313317174</v>
          </cell>
          <cell r="P725">
            <v>230.7355167035451</v>
          </cell>
          <cell r="Q725">
            <v>100.85051546391753</v>
          </cell>
          <cell r="R725">
            <v>198.15265709320406</v>
          </cell>
          <cell r="S725">
            <v>120.01618254064644</v>
          </cell>
        </row>
        <row r="727">
          <cell r="A727" t="str">
            <v>mstag:tradeAndOtherPayables</v>
          </cell>
        </row>
        <row r="728">
          <cell r="A728" t="str">
            <v>mstag:tradePayablesCurrent</v>
          </cell>
        </row>
        <row r="729">
          <cell r="B729" t="str">
            <v>Accounts Payable</v>
          </cell>
        </row>
        <row r="730">
          <cell r="B730" t="str">
            <v>FY(5)</v>
          </cell>
          <cell r="C730">
            <v>704.65499999999997</v>
          </cell>
          <cell r="D730">
            <v>2770</v>
          </cell>
          <cell r="E730">
            <v>2707</v>
          </cell>
          <cell r="F730">
            <v>482.39400000000001</v>
          </cell>
          <cell r="G730">
            <v>378.39400000000001</v>
          </cell>
          <cell r="H730">
            <v>711.56100000000004</v>
          </cell>
          <cell r="I730">
            <v>1276.0350000000001</v>
          </cell>
          <cell r="J730">
            <v>1290.0055714285716</v>
          </cell>
          <cell r="M730">
            <v>137.33699999999999</v>
          </cell>
          <cell r="N730">
            <v>44.857999999999997</v>
          </cell>
          <cell r="O730">
            <v>108.929</v>
          </cell>
          <cell r="P730">
            <v>44.771000000000001</v>
          </cell>
          <cell r="Q730">
            <v>1240</v>
          </cell>
          <cell r="R730">
            <v>496</v>
          </cell>
          <cell r="S730">
            <v>39.101999999999997</v>
          </cell>
          <cell r="T730">
            <v>301.57099999999997</v>
          </cell>
        </row>
        <row r="731">
          <cell r="B731" t="str">
            <v>FY(4)</v>
          </cell>
          <cell r="C731">
            <v>829.971</v>
          </cell>
          <cell r="D731">
            <v>2733</v>
          </cell>
          <cell r="E731">
            <v>5246</v>
          </cell>
          <cell r="F731">
            <v>540.01900000000001</v>
          </cell>
          <cell r="G731">
            <v>190.06399999999999</v>
          </cell>
          <cell r="H731">
            <v>803.39700000000005</v>
          </cell>
          <cell r="I731">
            <v>1313.472</v>
          </cell>
          <cell r="J731">
            <v>1665.1318571428571</v>
          </cell>
          <cell r="M731">
            <v>145.31299999999999</v>
          </cell>
          <cell r="N731">
            <v>57.164999999999999</v>
          </cell>
          <cell r="O731">
            <v>139.197</v>
          </cell>
          <cell r="P731">
            <v>64.984999999999999</v>
          </cell>
          <cell r="Q731">
            <v>1132</v>
          </cell>
          <cell r="R731">
            <v>534.96</v>
          </cell>
          <cell r="S731">
            <v>41.290999999999997</v>
          </cell>
          <cell r="T731">
            <v>302.13014285714286</v>
          </cell>
        </row>
        <row r="732">
          <cell r="B732" t="str">
            <v>FY(3)</v>
          </cell>
          <cell r="C732">
            <v>934.37599999999998</v>
          </cell>
          <cell r="D732">
            <v>3058</v>
          </cell>
          <cell r="E732">
            <v>4604</v>
          </cell>
          <cell r="F732">
            <v>576.79600000000005</v>
          </cell>
          <cell r="G732">
            <v>231.03800000000001</v>
          </cell>
          <cell r="H732">
            <v>1049.68</v>
          </cell>
          <cell r="I732">
            <v>1372.3520000000001</v>
          </cell>
          <cell r="J732">
            <v>1689.4631428571431</v>
          </cell>
          <cell r="M732">
            <v>128.31</v>
          </cell>
          <cell r="N732">
            <v>63.917999999999999</v>
          </cell>
          <cell r="O732">
            <v>171.15</v>
          </cell>
          <cell r="P732">
            <v>79.819000000000003</v>
          </cell>
          <cell r="Q732">
            <v>1109</v>
          </cell>
          <cell r="R732">
            <v>593</v>
          </cell>
          <cell r="S732">
            <v>58</v>
          </cell>
          <cell r="T732">
            <v>314.7424285714286</v>
          </cell>
        </row>
        <row r="733">
          <cell r="B733" t="str">
            <v>FY(2)</v>
          </cell>
          <cell r="C733">
            <v>835.98500000000001</v>
          </cell>
          <cell r="D733">
            <v>3135</v>
          </cell>
          <cell r="E733">
            <v>4127</v>
          </cell>
          <cell r="F733">
            <v>556</v>
          </cell>
          <cell r="G733">
            <v>176.84399999999999</v>
          </cell>
          <cell r="H733">
            <v>988.78700000000003</v>
          </cell>
          <cell r="I733">
            <v>1516.7539999999999</v>
          </cell>
          <cell r="J733">
            <v>1619.4814285714285</v>
          </cell>
          <cell r="M733">
            <v>151.798</v>
          </cell>
          <cell r="N733">
            <v>99.369</v>
          </cell>
          <cell r="O733">
            <v>157.928</v>
          </cell>
          <cell r="P733">
            <v>109.309</v>
          </cell>
          <cell r="Q733">
            <v>1006</v>
          </cell>
          <cell r="R733">
            <v>516.76099999999997</v>
          </cell>
          <cell r="S733">
            <v>74.02</v>
          </cell>
          <cell r="T733">
            <v>302.16928571428571</v>
          </cell>
        </row>
        <row r="734">
          <cell r="B734" t="str">
            <v>FY(1)</v>
          </cell>
          <cell r="C734">
            <v>881</v>
          </cell>
          <cell r="D734">
            <v>2794</v>
          </cell>
          <cell r="E734">
            <v>3910</v>
          </cell>
          <cell r="F734">
            <v>563</v>
          </cell>
          <cell r="G734">
            <v>90.207999999999998</v>
          </cell>
          <cell r="H734">
            <v>946.13900000000001</v>
          </cell>
          <cell r="I734">
            <v>1276.098</v>
          </cell>
          <cell r="J734">
            <v>1494.3492857142858</v>
          </cell>
          <cell r="M734">
            <v>149.75299999999999</v>
          </cell>
          <cell r="N734">
            <v>77.247</v>
          </cell>
          <cell r="O734">
            <v>152.06800000000001</v>
          </cell>
          <cell r="P734">
            <v>134.726</v>
          </cell>
          <cell r="Q734">
            <v>975</v>
          </cell>
          <cell r="R734">
            <v>493.90300000000002</v>
          </cell>
          <cell r="S734">
            <v>62.954999999999998</v>
          </cell>
          <cell r="T734">
            <v>292.23599999999999</v>
          </cell>
        </row>
        <row r="735">
          <cell r="B735" t="str">
            <v>FY0</v>
          </cell>
          <cell r="C735">
            <v>1188</v>
          </cell>
          <cell r="D735">
            <v>2856</v>
          </cell>
          <cell r="E735">
            <v>3938</v>
          </cell>
          <cell r="F735">
            <v>726</v>
          </cell>
          <cell r="G735">
            <v>101.739</v>
          </cell>
          <cell r="H735">
            <v>1136.115</v>
          </cell>
          <cell r="I735">
            <v>1507.9</v>
          </cell>
          <cell r="J735">
            <v>1636.2505714285712</v>
          </cell>
          <cell r="M735">
            <v>150.13399999999999</v>
          </cell>
          <cell r="N735">
            <v>90.85</v>
          </cell>
          <cell r="O735">
            <v>158.52600000000001</v>
          </cell>
          <cell r="P735">
            <v>103.029</v>
          </cell>
          <cell r="Q735">
            <v>1027</v>
          </cell>
          <cell r="R735">
            <v>488.45499999999998</v>
          </cell>
          <cell r="S735">
            <v>78.040999999999997</v>
          </cell>
          <cell r="T735">
            <v>299.43357142857138</v>
          </cell>
        </row>
        <row r="736">
          <cell r="B736" t="str">
            <v>FY1</v>
          </cell>
          <cell r="C736">
            <v>1269.6916071199801</v>
          </cell>
          <cell r="D736">
            <v>2892.1602847367799</v>
          </cell>
          <cell r="E736">
            <v>4118.1697470886402</v>
          </cell>
          <cell r="F736">
            <v>753.68267523087604</v>
          </cell>
          <cell r="G736">
            <v>108.63976761920701</v>
          </cell>
          <cell r="H736">
            <v>1173.2217283637401</v>
          </cell>
          <cell r="I736">
            <v>1593.30915259626</v>
          </cell>
          <cell r="J736">
            <v>1701.2678518222117</v>
          </cell>
          <cell r="M736">
            <v>141.50169895792101</v>
          </cell>
          <cell r="N736">
            <v>99.821948445322505</v>
          </cell>
          <cell r="O736">
            <v>135.073519008745</v>
          </cell>
          <cell r="P736">
            <v>104.31901523977101</v>
          </cell>
          <cell r="Q736">
            <v>1024.01699386411</v>
          </cell>
          <cell r="R736">
            <v>549.30521832310706</v>
          </cell>
          <cell r="S736">
            <v>107.28236147298099</v>
          </cell>
          <cell r="T736">
            <v>308.76010790170818</v>
          </cell>
        </row>
        <row r="737">
          <cell r="B737" t="str">
            <v>FY2</v>
          </cell>
          <cell r="C737">
            <v>1402.4585315177301</v>
          </cell>
          <cell r="D737">
            <v>2916.0701545976799</v>
          </cell>
          <cell r="E737">
            <v>4185.8680136579596</v>
          </cell>
          <cell r="F737">
            <v>796.08710155634799</v>
          </cell>
          <cell r="G737">
            <v>111.626232365036</v>
          </cell>
          <cell r="H737">
            <v>1227.77340097977</v>
          </cell>
          <cell r="I737">
            <v>1701.7828263164299</v>
          </cell>
          <cell r="J737">
            <v>1763.0951801415647</v>
          </cell>
          <cell r="M737">
            <v>146.245428790235</v>
          </cell>
          <cell r="N737">
            <v>110.33197556911</v>
          </cell>
          <cell r="O737">
            <v>142.28219595082501</v>
          </cell>
          <cell r="P737">
            <v>111.560175244902</v>
          </cell>
          <cell r="Q737">
            <v>989.89255577830295</v>
          </cell>
          <cell r="R737">
            <v>566.37945329844604</v>
          </cell>
          <cell r="S737">
            <v>125.897043188971</v>
          </cell>
          <cell r="T737">
            <v>313.22697540297031</v>
          </cell>
        </row>
        <row r="740">
          <cell r="A740" t="str">
            <v>Productivity Ratios</v>
          </cell>
        </row>
        <row r="741">
          <cell r="B741" t="str">
            <v>Sales/Ave. Sq. Ft.</v>
          </cell>
        </row>
        <row r="742">
          <cell r="B742" t="str">
            <v>FY(5)</v>
          </cell>
        </row>
        <row r="743">
          <cell r="B743" t="str">
            <v>FY(4)</v>
          </cell>
          <cell r="C743">
            <v>253.2875245433593</v>
          </cell>
          <cell r="D743">
            <v>185.30833744449927</v>
          </cell>
          <cell r="E743">
            <v>143.15856777493607</v>
          </cell>
          <cell r="F743">
            <v>395.27124760076777</v>
          </cell>
          <cell r="H743">
            <v>303.58461255065697</v>
          </cell>
          <cell r="I743">
            <v>234.50310472285295</v>
          </cell>
          <cell r="J743">
            <v>252.51889910617868</v>
          </cell>
          <cell r="M743">
            <v>476.65329315540254</v>
          </cell>
          <cell r="N743">
            <v>553.48342475357208</v>
          </cell>
          <cell r="O743">
            <v>498.67201169342724</v>
          </cell>
          <cell r="P743">
            <v>1958.0403995260501</v>
          </cell>
          <cell r="Q743">
            <v>430.72580645161293</v>
          </cell>
          <cell r="R743">
            <v>937.78488992338282</v>
          </cell>
          <cell r="S743">
            <v>565.36012422209126</v>
          </cell>
          <cell r="T743">
            <v>774.38856424650555</v>
          </cell>
          <cell r="V743">
            <v>577.11325836658148</v>
          </cell>
        </row>
        <row r="744">
          <cell r="B744" t="str">
            <v>FY(3)</v>
          </cell>
          <cell r="C744">
            <v>261.97745877527694</v>
          </cell>
          <cell r="D744">
            <v>194.6512273838631</v>
          </cell>
          <cell r="E744">
            <v>172.44245524296676</v>
          </cell>
          <cell r="F744">
            <v>429.20986199721739</v>
          </cell>
          <cell r="G744">
            <v>392.00040000000001</v>
          </cell>
          <cell r="H744">
            <v>309.79171880648482</v>
          </cell>
          <cell r="I744">
            <v>240.79131445331413</v>
          </cell>
          <cell r="J744">
            <v>285.83777666558899</v>
          </cell>
          <cell r="M744">
            <v>516.46107878597263</v>
          </cell>
          <cell r="N744">
            <v>565.34256096890169</v>
          </cell>
          <cell r="O744">
            <v>561.94145885517469</v>
          </cell>
          <cell r="P744">
            <v>2094.1925372681239</v>
          </cell>
          <cell r="Q744">
            <v>414.66145833333337</v>
          </cell>
          <cell r="R744">
            <v>1034.880418970032</v>
          </cell>
          <cell r="S744">
            <v>531.19438790314507</v>
          </cell>
          <cell r="T744">
            <v>816.95341444066901</v>
          </cell>
          <cell r="V744">
            <v>604.08022730275991</v>
          </cell>
        </row>
        <row r="745">
          <cell r="B745" t="str">
            <v>FY(2)</v>
          </cell>
          <cell r="C745">
            <v>249.13721398000695</v>
          </cell>
          <cell r="D745">
            <v>189.42231759656653</v>
          </cell>
          <cell r="E745">
            <v>169.01924133080252</v>
          </cell>
          <cell r="F745">
            <v>436.41556258651377</v>
          </cell>
          <cell r="G745">
            <v>434.15559545182526</v>
          </cell>
          <cell r="H745">
            <v>300.70011574656536</v>
          </cell>
          <cell r="I745">
            <v>243.82809310736866</v>
          </cell>
          <cell r="J745">
            <v>288.95401997137844</v>
          </cell>
          <cell r="K745">
            <v>1.0902139465754468E-2</v>
          </cell>
          <cell r="M745">
            <v>527.39215965787605</v>
          </cell>
          <cell r="N745">
            <v>569.36596937287436</v>
          </cell>
          <cell r="O745">
            <v>561.50323297893033</v>
          </cell>
          <cell r="P745">
            <v>2309.1635339591971</v>
          </cell>
          <cell r="Q745">
            <v>401.09414758269719</v>
          </cell>
          <cell r="R745">
            <v>978.20706042090967</v>
          </cell>
          <cell r="S745">
            <v>560.0572640800508</v>
          </cell>
          <cell r="T745">
            <v>843.82619543607655</v>
          </cell>
          <cell r="V745">
            <v>599.60330568222309</v>
          </cell>
          <cell r="W745">
            <v>-7.4111374916646655E-3</v>
          </cell>
        </row>
        <row r="746">
          <cell r="B746" t="str">
            <v>FY(1)</v>
          </cell>
          <cell r="C746">
            <v>226.23946549236962</v>
          </cell>
          <cell r="D746">
            <v>171.33161931310519</v>
          </cell>
          <cell r="E746">
            <v>161.08616025782069</v>
          </cell>
          <cell r="F746">
            <v>399.32570740517758</v>
          </cell>
          <cell r="G746">
            <v>403.35618655037223</v>
          </cell>
          <cell r="H746">
            <v>297.52931192660554</v>
          </cell>
          <cell r="I746">
            <v>244.3765571400719</v>
          </cell>
          <cell r="J746">
            <v>271.89214401221756</v>
          </cell>
          <cell r="K746">
            <v>-5.9047027485033432E-2</v>
          </cell>
          <cell r="M746">
            <v>461.55620321918263</v>
          </cell>
          <cell r="N746">
            <v>606.29683007311451</v>
          </cell>
          <cell r="O746">
            <v>496.5596312175204</v>
          </cell>
          <cell r="P746">
            <v>2364.8030958382346</v>
          </cell>
          <cell r="Q746">
            <v>367.28192161820476</v>
          </cell>
          <cell r="R746">
            <v>852.71093341128631</v>
          </cell>
          <cell r="S746">
            <v>587.34129849293402</v>
          </cell>
          <cell r="T746">
            <v>819.50713055292533</v>
          </cell>
          <cell r="V746">
            <v>561.95780300537376</v>
          </cell>
          <cell r="W746">
            <v>-6.2784014564457147E-2</v>
          </cell>
        </row>
        <row r="747">
          <cell r="B747" t="str">
            <v>FY0</v>
          </cell>
          <cell r="C747">
            <v>223.96797663441728</v>
          </cell>
          <cell r="D747">
            <v>159.69059484575871</v>
          </cell>
          <cell r="E747">
            <v>152.28321085542203</v>
          </cell>
          <cell r="F747">
            <v>379.56036632309514</v>
          </cell>
          <cell r="G747">
            <v>349.81129360689715</v>
          </cell>
          <cell r="H747">
            <v>311.00489177489175</v>
          </cell>
          <cell r="I747">
            <v>252.24865546942056</v>
          </cell>
          <cell r="J747">
            <v>261.22385564427179</v>
          </cell>
          <cell r="K747">
            <v>-3.923720711646006E-2</v>
          </cell>
          <cell r="M747">
            <v>375.29634138527587</v>
          </cell>
          <cell r="N747">
            <v>664.41481366723326</v>
          </cell>
          <cell r="O747">
            <v>469.76938312881236</v>
          </cell>
          <cell r="P747">
            <v>2046.6726460811669</v>
          </cell>
          <cell r="Q747">
            <v>362.6309067688378</v>
          </cell>
          <cell r="R747">
            <v>790.84035307104932</v>
          </cell>
          <cell r="S747">
            <v>546.90366330753955</v>
          </cell>
          <cell r="T747">
            <v>750.93258677284496</v>
          </cell>
          <cell r="V747">
            <v>534.97591022145798</v>
          </cell>
          <cell r="W747">
            <v>-4.801409045237115E-2</v>
          </cell>
        </row>
        <row r="748">
          <cell r="B748" t="str">
            <v>FY1</v>
          </cell>
          <cell r="C748">
            <v>232.98788437346485</v>
          </cell>
          <cell r="D748">
            <v>160.71132410829935</v>
          </cell>
          <cell r="E748">
            <v>158.68741877190834</v>
          </cell>
          <cell r="F748">
            <v>391.8289687419649</v>
          </cell>
          <cell r="G748">
            <v>363.92077385737963</v>
          </cell>
          <cell r="H748">
            <v>321.90975401001765</v>
          </cell>
          <cell r="I748">
            <v>263.52932791049108</v>
          </cell>
          <cell r="J748">
            <v>270.51077882478938</v>
          </cell>
          <cell r="K748">
            <v>3.5551589105875081E-2</v>
          </cell>
          <cell r="M748">
            <v>395.34836284270295</v>
          </cell>
          <cell r="N748">
            <v>689.78224411268457</v>
          </cell>
          <cell r="O748">
            <v>471.26119763265149</v>
          </cell>
          <cell r="P748">
            <v>1967.531611892407</v>
          </cell>
          <cell r="Q748">
            <v>366.96280945963935</v>
          </cell>
          <cell r="R748">
            <v>836.15261274183558</v>
          </cell>
          <cell r="S748">
            <v>570.6246939212491</v>
          </cell>
          <cell r="T748">
            <v>756.80907608616712</v>
          </cell>
          <cell r="V748">
            <v>555.02198678512718</v>
          </cell>
          <cell r="W748">
            <v>3.7470989217759376E-2</v>
          </cell>
        </row>
        <row r="749">
          <cell r="B749" t="str">
            <v>FY2</v>
          </cell>
          <cell r="C749">
            <v>244.17915207720719</v>
          </cell>
          <cell r="D749">
            <v>163.73484708508263</v>
          </cell>
          <cell r="E749">
            <v>159.78565538973211</v>
          </cell>
          <cell r="F749">
            <v>393.94969944487127</v>
          </cell>
          <cell r="G749">
            <v>380.50669178144102</v>
          </cell>
          <cell r="H749">
            <v>320.88863145898</v>
          </cell>
          <cell r="I749">
            <v>268.59091585605967</v>
          </cell>
          <cell r="J749">
            <v>275.94794187048194</v>
          </cell>
          <cell r="K749">
            <v>2.0099616988697555E-2</v>
          </cell>
          <cell r="M749">
            <v>404.94502377164315</v>
          </cell>
          <cell r="N749">
            <v>724.47485977030351</v>
          </cell>
          <cell r="O749">
            <v>510.34132156188548</v>
          </cell>
          <cell r="P749">
            <v>1961.5656721886198</v>
          </cell>
          <cell r="Q749">
            <v>363.46766466263972</v>
          </cell>
          <cell r="R749">
            <v>865.00671660501121</v>
          </cell>
          <cell r="S749">
            <v>580.63219499255422</v>
          </cell>
          <cell r="T749">
            <v>772.91906479323666</v>
          </cell>
          <cell r="V749">
            <v>574.8112968940062</v>
          </cell>
          <cell r="W749">
            <v>3.5655002108124334E-2</v>
          </cell>
        </row>
        <row r="751">
          <cell r="B751" t="str">
            <v>Gross Profit/Ave. Sq. Ft.</v>
          </cell>
        </row>
        <row r="752">
          <cell r="B752" t="str">
            <v>FY(5)</v>
          </cell>
        </row>
        <row r="753">
          <cell r="B753" t="str">
            <v>FY(4)</v>
          </cell>
          <cell r="C753">
            <v>89.970347356487451</v>
          </cell>
          <cell r="D753">
            <v>70.94227923038973</v>
          </cell>
          <cell r="E753">
            <v>58.29923273657289</v>
          </cell>
          <cell r="F753">
            <v>145.08452975047985</v>
          </cell>
          <cell r="G753">
            <v>136.46666666666664</v>
          </cell>
          <cell r="H753">
            <v>67.026157435834463</v>
          </cell>
          <cell r="I753">
            <v>55.088027159895049</v>
          </cell>
          <cell r="J753">
            <v>88.98246290518945</v>
          </cell>
          <cell r="M753">
            <v>319.27421437795954</v>
          </cell>
          <cell r="N753">
            <v>166.58313956654604</v>
          </cell>
          <cell r="O753">
            <v>231.0768377663681</v>
          </cell>
          <cell r="P753">
            <v>1502.6397383911672</v>
          </cell>
          <cell r="Q753">
            <v>157.7956989247312</v>
          </cell>
          <cell r="R753">
            <v>334.6084763844438</v>
          </cell>
          <cell r="S753">
            <v>232.23360338023238</v>
          </cell>
          <cell r="T753">
            <v>420.60167268449266</v>
          </cell>
        </row>
        <row r="754">
          <cell r="B754" t="str">
            <v>FY(3)</v>
          </cell>
          <cell r="C754">
            <v>95.267906069825671</v>
          </cell>
          <cell r="D754">
            <v>76.371638141809285</v>
          </cell>
          <cell r="E754">
            <v>70.019181585677757</v>
          </cell>
          <cell r="F754">
            <v>160.77757862147632</v>
          </cell>
          <cell r="G754">
            <v>151.42786666666669</v>
          </cell>
          <cell r="H754">
            <v>69.66897472261617</v>
          </cell>
          <cell r="I754">
            <v>57.98112920407852</v>
          </cell>
          <cell r="J754">
            <v>97.359182144592936</v>
          </cell>
          <cell r="M754">
            <v>346.07123761597734</v>
          </cell>
          <cell r="N754">
            <v>179.22561868996246</v>
          </cell>
          <cell r="O754">
            <v>269.55346470462376</v>
          </cell>
          <cell r="P754">
            <v>1627.5069833991522</v>
          </cell>
          <cell r="Q754">
            <v>147.31770833333331</v>
          </cell>
          <cell r="R754">
            <v>389.24565997478419</v>
          </cell>
          <cell r="S754">
            <v>196.01091433823262</v>
          </cell>
          <cell r="T754">
            <v>450.70451243658084</v>
          </cell>
        </row>
        <row r="755">
          <cell r="B755" t="str">
            <v>FY(2)</v>
          </cell>
          <cell r="C755">
            <v>90.953223537951999</v>
          </cell>
          <cell r="D755">
            <v>73.104434907010017</v>
          </cell>
          <cell r="E755">
            <v>68.319410587710081</v>
          </cell>
          <cell r="F755">
            <v>163.22107969151674</v>
          </cell>
          <cell r="G755">
            <v>169.377219230002</v>
          </cell>
          <cell r="H755">
            <v>68.290070957677031</v>
          </cell>
          <cell r="I755">
            <v>59.719483750821425</v>
          </cell>
          <cell r="J755">
            <v>98.997846094669882</v>
          </cell>
          <cell r="M755">
            <v>354.69223093371352</v>
          </cell>
          <cell r="N755">
            <v>196.18126545750619</v>
          </cell>
          <cell r="O755">
            <v>261.53420790247395</v>
          </cell>
          <cell r="P755">
            <v>1788.1279152299524</v>
          </cell>
          <cell r="Q755">
            <v>144.88549618320613</v>
          </cell>
          <cell r="R755">
            <v>335.9071864998545</v>
          </cell>
          <cell r="S755">
            <v>214.24700297798475</v>
          </cell>
          <cell r="T755">
            <v>470.79647216924167</v>
          </cell>
        </row>
        <row r="756">
          <cell r="B756" t="str">
            <v>FY(1)</v>
          </cell>
          <cell r="C756">
            <v>83.589801285192706</v>
          </cell>
          <cell r="D756">
            <v>64.097109304426311</v>
          </cell>
          <cell r="E756">
            <v>63.956874571269559</v>
          </cell>
          <cell r="F756">
            <v>137.8214087898856</v>
          </cell>
          <cell r="G756">
            <v>129.41795944979313</v>
          </cell>
          <cell r="H756">
            <v>70.163440366972495</v>
          </cell>
          <cell r="I756">
            <v>58.875923717719836</v>
          </cell>
          <cell r="J756">
            <v>86.846073926465664</v>
          </cell>
          <cell r="M756">
            <v>308.81565874014706</v>
          </cell>
          <cell r="N756">
            <v>210.35372682331408</v>
          </cell>
          <cell r="O756">
            <v>195.05588050073356</v>
          </cell>
          <cell r="P756">
            <v>1789.6131727137602</v>
          </cell>
          <cell r="Q756">
            <v>137.724399494311</v>
          </cell>
          <cell r="R756">
            <v>283.49789950634846</v>
          </cell>
          <cell r="S756">
            <v>228.41544941025407</v>
          </cell>
          <cell r="T756">
            <v>450.49659816983831</v>
          </cell>
        </row>
        <row r="757">
          <cell r="B757" t="str">
            <v>FY0</v>
          </cell>
          <cell r="C757">
            <v>84.713276136334002</v>
          </cell>
          <cell r="D757">
            <v>62.848543174558898</v>
          </cell>
          <cell r="E757">
            <v>61.69385816766129</v>
          </cell>
          <cell r="F757">
            <v>134.67084927666127</v>
          </cell>
          <cell r="G757">
            <v>127.57838539091584</v>
          </cell>
          <cell r="H757">
            <v>80.386796536796524</v>
          </cell>
          <cell r="I757">
            <v>66.144384006341227</v>
          </cell>
          <cell r="J757">
            <v>88.290870384181289</v>
          </cell>
          <cell r="M757">
            <v>241.37835586595756</v>
          </cell>
          <cell r="N757">
            <v>253.1053971479177</v>
          </cell>
          <cell r="O757">
            <v>181.91715913869484</v>
          </cell>
          <cell r="P757">
            <v>1471.4964997376783</v>
          </cell>
          <cell r="Q757">
            <v>146.20689655172413</v>
          </cell>
          <cell r="R757">
            <v>277.40821664307668</v>
          </cell>
          <cell r="S757">
            <v>221.87132434773477</v>
          </cell>
          <cell r="T757">
            <v>399.05483563325481</v>
          </cell>
        </row>
        <row r="758">
          <cell r="B758" t="str">
            <v>FY1</v>
          </cell>
          <cell r="C758">
            <v>89.441866664750805</v>
          </cell>
          <cell r="D758">
            <v>63.650239246080858</v>
          </cell>
          <cell r="E758">
            <v>64.649536084434075</v>
          </cell>
          <cell r="F758">
            <v>142.51297101066149</v>
          </cell>
          <cell r="G758">
            <v>138.56135541811679</v>
          </cell>
          <cell r="H758">
            <v>85.196708669039481</v>
          </cell>
          <cell r="I758">
            <v>70.318331251795755</v>
          </cell>
          <cell r="J758">
            <v>93.475858334982746</v>
          </cell>
          <cell r="M758">
            <v>254.11165435640649</v>
          </cell>
          <cell r="N758">
            <v>263.95313541078667</v>
          </cell>
          <cell r="O758">
            <v>199.76427781995659</v>
          </cell>
          <cell r="P758">
            <v>1423.9245515610419</v>
          </cell>
          <cell r="Q758">
            <v>150.411207625456</v>
          </cell>
          <cell r="R758">
            <v>301.09415930361337</v>
          </cell>
          <cell r="S758">
            <v>235.83035087439166</v>
          </cell>
          <cell r="T758">
            <v>404.15561956452171</v>
          </cell>
        </row>
        <row r="759">
          <cell r="B759" t="str">
            <v>FY2</v>
          </cell>
          <cell r="C759">
            <v>94.470626975915735</v>
          </cell>
          <cell r="D759">
            <v>65.17518498561455</v>
          </cell>
          <cell r="E759">
            <v>65.256745287340706</v>
          </cell>
          <cell r="F759">
            <v>143.6782563113386</v>
          </cell>
          <cell r="G759">
            <v>149.54497462907122</v>
          </cell>
          <cell r="H759">
            <v>84.926458142572343</v>
          </cell>
          <cell r="I759">
            <v>71.266043768232706</v>
          </cell>
          <cell r="J759">
            <v>96.331184300012268</v>
          </cell>
          <cell r="M759">
            <v>263.45795421699074</v>
          </cell>
          <cell r="N759">
            <v>268.96338053982186</v>
          </cell>
          <cell r="O759">
            <v>220.15043447163885</v>
          </cell>
          <cell r="P759">
            <v>1419.6069345194633</v>
          </cell>
          <cell r="Q759">
            <v>150.06901599080251</v>
          </cell>
          <cell r="R759">
            <v>315.80940397101631</v>
          </cell>
          <cell r="S759">
            <v>241.70819270352629</v>
          </cell>
          <cell r="T759">
            <v>411.39504520189433</v>
          </cell>
        </row>
        <row r="760">
          <cell r="L760">
            <v>2006</v>
          </cell>
          <cell r="M760">
            <v>2007</v>
          </cell>
          <cell r="N760">
            <v>2008</v>
          </cell>
          <cell r="O760">
            <v>2009</v>
          </cell>
          <cell r="P760" t="str">
            <v>2010E</v>
          </cell>
          <cell r="Q760" t="str">
            <v>2011E</v>
          </cell>
          <cell r="Y760">
            <v>2006</v>
          </cell>
          <cell r="Z760">
            <v>2007</v>
          </cell>
          <cell r="AA760">
            <v>2008</v>
          </cell>
          <cell r="AB760">
            <v>2009</v>
          </cell>
          <cell r="AC760" t="str">
            <v>2010E</v>
          </cell>
          <cell r="AD760" t="str">
            <v>2011E</v>
          </cell>
        </row>
        <row r="761">
          <cell r="B761" t="str">
            <v>SG&amp;A/Ave. Sq. Ft.</v>
          </cell>
        </row>
        <row r="762">
          <cell r="B762" t="str">
            <v>FY(5)</v>
          </cell>
        </row>
        <row r="763">
          <cell r="B763" t="str">
            <v>FY(4)</v>
          </cell>
          <cell r="C763">
            <v>56.00704205162176</v>
          </cell>
          <cell r="D763">
            <v>55.392205229403061</v>
          </cell>
          <cell r="E763">
            <v>44.629156010230183</v>
          </cell>
          <cell r="F763">
            <v>107.51969289827257</v>
          </cell>
          <cell r="G763">
            <v>106.87679102827374</v>
          </cell>
          <cell r="H763">
            <v>47.043104506938469</v>
          </cell>
          <cell r="I763">
            <v>39.524716547395336</v>
          </cell>
          <cell r="J763">
            <v>65.284672610305023</v>
          </cell>
          <cell r="M763">
            <v>218.41256995264743</v>
          </cell>
          <cell r="N763">
            <v>104.34292665631251</v>
          </cell>
          <cell r="O763">
            <v>116.46501475101104</v>
          </cell>
          <cell r="P763">
            <v>867.63254557082882</v>
          </cell>
          <cell r="Q763">
            <v>112.5</v>
          </cell>
          <cell r="R763">
            <v>241.87285423334305</v>
          </cell>
          <cell r="S763">
            <v>125.54061794744167</v>
          </cell>
          <cell r="T763">
            <v>255.25236130165493</v>
          </cell>
        </row>
        <row r="764">
          <cell r="B764" t="str">
            <v>FY(3)</v>
          </cell>
          <cell r="C764">
            <v>57.411944663898744</v>
          </cell>
          <cell r="D764">
            <v>58.063569682151588</v>
          </cell>
          <cell r="E764">
            <v>55.485933503836314</v>
          </cell>
          <cell r="F764">
            <v>115.15839610934933</v>
          </cell>
          <cell r="G764">
            <v>99.98234510535373</v>
          </cell>
          <cell r="H764">
            <v>47.998275910013625</v>
          </cell>
          <cell r="I764">
            <v>40.350299525463122</v>
          </cell>
          <cell r="J764">
            <v>67.778680642866632</v>
          </cell>
          <cell r="M764">
            <v>237.877181946847</v>
          </cell>
          <cell r="N764">
            <v>115.90657018986992</v>
          </cell>
          <cell r="O764">
            <v>133.85018750090495</v>
          </cell>
          <cell r="P764">
            <v>892.04303236676367</v>
          </cell>
          <cell r="Q764">
            <v>116.58854166666667</v>
          </cell>
          <cell r="R764">
            <v>275.18446319464653</v>
          </cell>
          <cell r="S764">
            <v>124.8842487674527</v>
          </cell>
          <cell r="T764">
            <v>270.90488937616448</v>
          </cell>
        </row>
        <row r="765">
          <cell r="B765" t="str">
            <v>FY(2)</v>
          </cell>
          <cell r="C765">
            <v>55.909441495394944</v>
          </cell>
          <cell r="D765">
            <v>55.593705293276109</v>
          </cell>
          <cell r="E765">
            <v>54.945866694929677</v>
          </cell>
          <cell r="F765">
            <v>116.65908641487049</v>
          </cell>
          <cell r="G765">
            <v>107.44424798154198</v>
          </cell>
          <cell r="H765">
            <v>47.098837501887168</v>
          </cell>
          <cell r="I765">
            <v>40.335940615417101</v>
          </cell>
          <cell r="J765">
            <v>68.283875142473917</v>
          </cell>
          <cell r="M765">
            <v>245.32544547398433</v>
          </cell>
          <cell r="N765">
            <v>124.36313366110349</v>
          </cell>
          <cell r="O765">
            <v>131.4307079198864</v>
          </cell>
          <cell r="P765">
            <v>910.05910674304778</v>
          </cell>
          <cell r="Q765">
            <v>110.55979643765903</v>
          </cell>
          <cell r="R765">
            <v>252.39239646978956</v>
          </cell>
          <cell r="S765">
            <v>130.68921569829229</v>
          </cell>
          <cell r="T765">
            <v>272.11711462910898</v>
          </cell>
        </row>
        <row r="766">
          <cell r="B766" t="str">
            <v>FY(1)</v>
          </cell>
          <cell r="C766">
            <v>54.334550424141192</v>
          </cell>
          <cell r="D766">
            <v>53.800422138836723</v>
          </cell>
          <cell r="E766">
            <v>54.735125480501665</v>
          </cell>
          <cell r="F766">
            <v>115.01341360626128</v>
          </cell>
          <cell r="G766">
            <v>101.39981901082912</v>
          </cell>
          <cell r="H766">
            <v>47.645634890778894</v>
          </cell>
          <cell r="I766">
            <v>40.422041776999137</v>
          </cell>
          <cell r="J766">
            <v>66.764429618335427</v>
          </cell>
          <cell r="M766">
            <v>243.77773741321985</v>
          </cell>
          <cell r="N766">
            <v>130.51261224586915</v>
          </cell>
          <cell r="O766">
            <v>121.95297613020131</v>
          </cell>
          <cell r="P766">
            <v>912.8896789346926</v>
          </cell>
          <cell r="Q766">
            <v>98.584070796460168</v>
          </cell>
          <cell r="R766">
            <v>215.83446884149876</v>
          </cell>
          <cell r="S766">
            <v>132.55323628783208</v>
          </cell>
          <cell r="T766">
            <v>265.15782580711056</v>
          </cell>
        </row>
        <row r="767">
          <cell r="B767" t="str">
            <v>FY0</v>
          </cell>
          <cell r="C767">
            <v>54.032910005997856</v>
          </cell>
          <cell r="D767">
            <v>56.772880824254223</v>
          </cell>
          <cell r="E767">
            <v>52.267327085717248</v>
          </cell>
          <cell r="F767">
            <v>113.29817183173039</v>
          </cell>
          <cell r="G767">
            <v>88.379605972524715</v>
          </cell>
          <cell r="H767">
            <v>48.952943722943722</v>
          </cell>
          <cell r="I767">
            <v>41.389159668084687</v>
          </cell>
          <cell r="J767">
            <v>65.013285587321832</v>
          </cell>
          <cell r="M767">
            <v>223.74818991478182</v>
          </cell>
          <cell r="N767">
            <v>138.10894996119467</v>
          </cell>
          <cell r="O767">
            <v>118.79586171124691</v>
          </cell>
          <cell r="P767">
            <v>837.76738647087723</v>
          </cell>
          <cell r="Q767">
            <v>99.94891443167306</v>
          </cell>
          <cell r="R767">
            <v>198.46761301434174</v>
          </cell>
          <cell r="S767">
            <v>126.20089584829444</v>
          </cell>
          <cell r="T767">
            <v>249.00540162177285</v>
          </cell>
        </row>
        <row r="768">
          <cell r="B768" t="str">
            <v>FY1</v>
          </cell>
          <cell r="C768">
            <v>55.348580166865275</v>
          </cell>
          <cell r="D768">
            <v>56.381275323190636</v>
          </cell>
          <cell r="E768">
            <v>53.326011039639944</v>
          </cell>
          <cell r="F768">
            <v>113.63839445500386</v>
          </cell>
          <cell r="G768">
            <v>92.492419639671866</v>
          </cell>
          <cell r="H768">
            <v>49.961621490643836</v>
          </cell>
          <cell r="I768">
            <v>42.430828483391224</v>
          </cell>
          <cell r="J768">
            <v>66.225590085486672</v>
          </cell>
          <cell r="M768">
            <v>224.104307425526</v>
          </cell>
          <cell r="N768">
            <v>143.13736750927575</v>
          </cell>
          <cell r="O768">
            <v>114.88595930240508</v>
          </cell>
          <cell r="P768">
            <v>804.68729077882745</v>
          </cell>
          <cell r="Q768">
            <v>104.02768504250595</v>
          </cell>
          <cell r="R768">
            <v>204.26032967175414</v>
          </cell>
          <cell r="S768">
            <v>127.70898912929687</v>
          </cell>
          <cell r="T768">
            <v>246.11598983708447</v>
          </cell>
        </row>
        <row r="769">
          <cell r="B769" t="str">
            <v>FY2</v>
          </cell>
          <cell r="C769">
            <v>57.518818378727502</v>
          </cell>
          <cell r="D769">
            <v>57.330946533195807</v>
          </cell>
          <cell r="E769">
            <v>53.535281598406499</v>
          </cell>
          <cell r="F769">
            <v>112.74721576913295</v>
          </cell>
          <cell r="G769">
            <v>95.574639597660976</v>
          </cell>
          <cell r="H769">
            <v>49.803139376464415</v>
          </cell>
          <cell r="I769">
            <v>43.111498751194262</v>
          </cell>
          <cell r="J769">
            <v>67.088791429254613</v>
          </cell>
          <cell r="M769">
            <v>225.90442975327224</v>
          </cell>
          <cell r="N769">
            <v>156.45874830429116</v>
          </cell>
          <cell r="O769">
            <v>121.86615690934654</v>
          </cell>
          <cell r="P769">
            <v>798.32419057795209</v>
          </cell>
          <cell r="Q769">
            <v>102.67340356034649</v>
          </cell>
          <cell r="R769">
            <v>209.66028850840351</v>
          </cell>
          <cell r="S769">
            <v>126.98749949091251</v>
          </cell>
          <cell r="T769">
            <v>248.83924530064638</v>
          </cell>
        </row>
        <row r="771">
          <cell r="B771" t="str">
            <v>Capex/Ave. Sq. Ft.</v>
          </cell>
        </row>
        <row r="772">
          <cell r="B772" t="str">
            <v>FY(5)</v>
          </cell>
        </row>
        <row r="773">
          <cell r="B773" t="str">
            <v>FY(4)</v>
          </cell>
          <cell r="C773">
            <v>15.650127041585197</v>
          </cell>
          <cell r="D773">
            <v>5.2787370498273312</v>
          </cell>
          <cell r="E773">
            <v>4.1943734015345262</v>
          </cell>
          <cell r="F773">
            <v>13.904491362763915</v>
          </cell>
          <cell r="G773">
            <v>17.349866666666664</v>
          </cell>
          <cell r="H773">
            <v>10.797678988087929</v>
          </cell>
          <cell r="I773">
            <v>7.2889045655959963</v>
          </cell>
          <cell r="J773">
            <v>10.637739868008794</v>
          </cell>
          <cell r="M773">
            <v>44.15359448988378</v>
          </cell>
          <cell r="N773">
            <v>26.787956747898207</v>
          </cell>
          <cell r="O773">
            <v>17.51286592697922</v>
          </cell>
          <cell r="P773">
            <v>112.13568379804623</v>
          </cell>
          <cell r="Q773">
            <v>16.129032258064516</v>
          </cell>
          <cell r="R773">
            <v>46.552225778295025</v>
          </cell>
          <cell r="S773">
            <v>66.123052655909831</v>
          </cell>
          <cell r="T773">
            <v>47.056344522153829</v>
          </cell>
        </row>
        <row r="774">
          <cell r="B774" t="str">
            <v>FY(3)</v>
          </cell>
          <cell r="C774">
            <v>19.550721957943221</v>
          </cell>
          <cell r="D774">
            <v>7.5501222493887532</v>
          </cell>
          <cell r="E774">
            <v>8.9002557544757028</v>
          </cell>
          <cell r="F774">
            <v>13.258144169664458</v>
          </cell>
          <cell r="G774">
            <v>16.490533333333335</v>
          </cell>
          <cell r="H774">
            <v>12.45543783543283</v>
          </cell>
          <cell r="I774">
            <v>5.2297422559178761</v>
          </cell>
          <cell r="J774">
            <v>11.919279650879451</v>
          </cell>
          <cell r="M774">
            <v>63.449598993552442</v>
          </cell>
          <cell r="N774">
            <v>17.981488056245905</v>
          </cell>
          <cell r="O774">
            <v>45.435185497999505</v>
          </cell>
          <cell r="P774">
            <v>137.7643293126859</v>
          </cell>
          <cell r="Q774">
            <v>14.895833333333334</v>
          </cell>
          <cell r="R774">
            <v>53.147124430220153</v>
          </cell>
          <cell r="S774">
            <v>91.962971749976475</v>
          </cell>
          <cell r="T774">
            <v>60.662361624859102</v>
          </cell>
        </row>
        <row r="775">
          <cell r="B775" t="str">
            <v>FY(2)</v>
          </cell>
          <cell r="C775">
            <v>23.315381939718403</v>
          </cell>
          <cell r="D775">
            <v>11.855030996661897</v>
          </cell>
          <cell r="E775">
            <v>7.0978703177340767</v>
          </cell>
          <cell r="F775">
            <v>24.767648803638519</v>
          </cell>
          <cell r="G775">
            <v>18.18285790278609</v>
          </cell>
          <cell r="H775">
            <v>11.882693372251019</v>
          </cell>
          <cell r="I775">
            <v>7.0074797050669178</v>
          </cell>
          <cell r="J775">
            <v>14.872709005408135</v>
          </cell>
          <cell r="M775">
            <v>57.497505345687813</v>
          </cell>
          <cell r="N775">
            <v>29.600011795985552</v>
          </cell>
          <cell r="O775">
            <v>46.018022425256582</v>
          </cell>
          <cell r="P775">
            <v>124.51749822997978</v>
          </cell>
          <cell r="Q775">
            <v>17.353689567430024</v>
          </cell>
          <cell r="R775">
            <v>72.640868974881201</v>
          </cell>
          <cell r="S775">
            <v>42.855195352011023</v>
          </cell>
          <cell r="T775">
            <v>55.783255955890283</v>
          </cell>
        </row>
        <row r="776">
          <cell r="B776" t="str">
            <v>FY(1)</v>
          </cell>
          <cell r="C776">
            <v>13.997694659755247</v>
          </cell>
          <cell r="D776">
            <v>8.980638941004786</v>
          </cell>
          <cell r="E776">
            <v>5.8048483750307396</v>
          </cell>
          <cell r="F776">
            <v>27.116195063214931</v>
          </cell>
          <cell r="G776">
            <v>16.908512704055976</v>
          </cell>
          <cell r="H776">
            <v>10.294403669724771</v>
          </cell>
          <cell r="I776">
            <v>7.4978224541521676</v>
          </cell>
          <cell r="J776">
            <v>12.942873695276946</v>
          </cell>
          <cell r="M776">
            <v>48.698681857322647</v>
          </cell>
          <cell r="N776">
            <v>26.700095243791303</v>
          </cell>
          <cell r="O776">
            <v>44.082541603952585</v>
          </cell>
          <cell r="P776">
            <v>129.89939090124025</v>
          </cell>
          <cell r="Q776">
            <v>10.897597977243993</v>
          </cell>
          <cell r="R776">
            <v>45.168864601849187</v>
          </cell>
          <cell r="S776">
            <v>36.033127969569257</v>
          </cell>
          <cell r="T776">
            <v>48.782900022138456</v>
          </cell>
        </row>
        <row r="777">
          <cell r="B777" t="str">
            <v>FY0</v>
          </cell>
          <cell r="C777">
            <v>8.6838605366782282</v>
          </cell>
          <cell r="D777">
            <v>5.4571817517706718</v>
          </cell>
          <cell r="E777">
            <v>2.9822588017154472</v>
          </cell>
          <cell r="F777">
            <v>16.54658898962391</v>
          </cell>
          <cell r="G777">
            <v>9.9355514673446681</v>
          </cell>
          <cell r="H777">
            <v>6.8609090909090904</v>
          </cell>
          <cell r="I777">
            <v>5.3375383441441961</v>
          </cell>
          <cell r="J777">
            <v>7.9719841403123155</v>
          </cell>
          <cell r="M777">
            <v>22.486320240917536</v>
          </cell>
          <cell r="N777">
            <v>16.053353274770263</v>
          </cell>
          <cell r="O777">
            <v>20.015510492988312</v>
          </cell>
          <cell r="P777">
            <v>86.815132055125204</v>
          </cell>
          <cell r="Q777">
            <v>8.5312899106002558</v>
          </cell>
          <cell r="R777">
            <v>18.505540210615035</v>
          </cell>
          <cell r="S777">
            <v>33.63074150631536</v>
          </cell>
          <cell r="T777">
            <v>29.433983955904569</v>
          </cell>
        </row>
        <row r="778">
          <cell r="B778" t="str">
            <v>FY1</v>
          </cell>
          <cell r="C778">
            <v>11.431281531312116</v>
          </cell>
          <cell r="D778">
            <v>4.6606283991406849</v>
          </cell>
          <cell r="E778">
            <v>3.6536938616378576</v>
          </cell>
          <cell r="F778">
            <v>19.971528510839402</v>
          </cell>
          <cell r="G778">
            <v>10.337560270578901</v>
          </cell>
          <cell r="H778">
            <v>8.9375148013948102</v>
          </cell>
          <cell r="I778">
            <v>5.631509653744514</v>
          </cell>
          <cell r="J778">
            <v>9.2319595755211843</v>
          </cell>
          <cell r="M778">
            <v>31.581589973941607</v>
          </cell>
          <cell r="N778">
            <v>22.536174951703867</v>
          </cell>
          <cell r="O778">
            <v>16.494141917142809</v>
          </cell>
          <cell r="P778">
            <v>61.969777790835089</v>
          </cell>
          <cell r="Q778">
            <v>15.358166476343248</v>
          </cell>
          <cell r="R778">
            <v>25.08457838225512</v>
          </cell>
          <cell r="S778">
            <v>37.499583215737189</v>
          </cell>
          <cell r="T778">
            <v>30.074858958279851</v>
          </cell>
        </row>
        <row r="779">
          <cell r="B779" t="str">
            <v>FY2</v>
          </cell>
          <cell r="C779">
            <v>13.201263919776572</v>
          </cell>
          <cell r="D779">
            <v>4.9120454125524784</v>
          </cell>
          <cell r="E779">
            <v>4.5538911786073388</v>
          </cell>
          <cell r="F779">
            <v>22.455132868357687</v>
          </cell>
          <cell r="G779">
            <v>4.7563336472679971</v>
          </cell>
          <cell r="H779">
            <v>9.2300529470413881</v>
          </cell>
          <cell r="I779">
            <v>6.0082645512141291</v>
          </cell>
          <cell r="J779">
            <v>9.3024263606882265</v>
          </cell>
          <cell r="M779">
            <v>31.943254449694578</v>
          </cell>
          <cell r="N779">
            <v>23.669632448856579</v>
          </cell>
          <cell r="O779">
            <v>16.841263611542193</v>
          </cell>
          <cell r="P779">
            <v>73.551267367681376</v>
          </cell>
          <cell r="Q779">
            <v>13.81177125718035</v>
          </cell>
          <cell r="R779">
            <v>29.323727692909848</v>
          </cell>
          <cell r="S779">
            <v>38.157243361192954</v>
          </cell>
          <cell r="T779">
            <v>32.47116574129398</v>
          </cell>
        </row>
        <row r="781">
          <cell r="B781" t="str">
            <v>Inventories/Ave. Sq. Ft.</v>
          </cell>
        </row>
        <row r="782">
          <cell r="B782" t="str">
            <v>FY(5)</v>
          </cell>
        </row>
        <row r="783">
          <cell r="B783" t="str">
            <v>FY(4)</v>
          </cell>
          <cell r="C783">
            <v>42.287688567357257</v>
          </cell>
          <cell r="D783">
            <v>31.672422298963983</v>
          </cell>
          <cell r="E783">
            <v>34.904092071611259</v>
          </cell>
          <cell r="F783">
            <v>48.93041586692258</v>
          </cell>
          <cell r="G783">
            <v>107.62813333333334</v>
          </cell>
          <cell r="H783">
            <v>57.601068402308734</v>
          </cell>
          <cell r="I783">
            <v>34.770853082310062</v>
          </cell>
          <cell r="J783">
            <v>51.113524803258166</v>
          </cell>
          <cell r="M783">
            <v>62.425484287559186</v>
          </cell>
          <cell r="N783">
            <v>42.238287306109697</v>
          </cell>
          <cell r="O783">
            <v>45.258984028274867</v>
          </cell>
          <cell r="P783">
            <v>218.62261787838176</v>
          </cell>
          <cell r="Q783">
            <v>45.591397849462368</v>
          </cell>
          <cell r="R783">
            <v>112.47114731839783</v>
          </cell>
          <cell r="S783">
            <v>72.670130452349909</v>
          </cell>
          <cell r="T783">
            <v>85.611149874362226</v>
          </cell>
        </row>
        <row r="784">
          <cell r="B784" t="str">
            <v>FY(3)</v>
          </cell>
          <cell r="C784">
            <v>43.340639760636066</v>
          </cell>
          <cell r="D784">
            <v>33.251833740831295</v>
          </cell>
          <cell r="E784">
            <v>33.996163682864449</v>
          </cell>
          <cell r="F784">
            <v>50.001328637144184</v>
          </cell>
          <cell r="G784">
            <v>104.70693333333334</v>
          </cell>
          <cell r="H784">
            <v>58.492756041266929</v>
          </cell>
          <cell r="I784">
            <v>35.721268383115891</v>
          </cell>
          <cell r="J784">
            <v>51.358703368456027</v>
          </cell>
          <cell r="M784">
            <v>67.219216857996543</v>
          </cell>
          <cell r="N784">
            <v>40.594662439556153</v>
          </cell>
          <cell r="O784">
            <v>53.017469518031781</v>
          </cell>
          <cell r="P784">
            <v>240.27566037629057</v>
          </cell>
          <cell r="Q784">
            <v>46.770833333333329</v>
          </cell>
          <cell r="R784">
            <v>171.66133255746291</v>
          </cell>
          <cell r="S784">
            <v>66.962006704571621</v>
          </cell>
          <cell r="T784">
            <v>98.071597398177559</v>
          </cell>
        </row>
        <row r="785">
          <cell r="B785" t="str">
            <v>FY(2)</v>
          </cell>
          <cell r="C785">
            <v>43.188194728006899</v>
          </cell>
          <cell r="D785">
            <v>34.725798760133522</v>
          </cell>
          <cell r="E785">
            <v>32.502464984375045</v>
          </cell>
          <cell r="F785">
            <v>47.261222068420011</v>
          </cell>
          <cell r="G785">
            <v>113.99335062171687</v>
          </cell>
          <cell r="H785">
            <v>51.597554224749636</v>
          </cell>
          <cell r="I785">
            <v>36.399609060748503</v>
          </cell>
          <cell r="J785">
            <v>51.381170635450069</v>
          </cell>
          <cell r="M785">
            <v>47.49151817533857</v>
          </cell>
          <cell r="N785">
            <v>49.085685247861349</v>
          </cell>
          <cell r="O785">
            <v>52.648181378713971</v>
          </cell>
          <cell r="P785">
            <v>257.38613311789618</v>
          </cell>
          <cell r="Q785">
            <v>40.07633587786259</v>
          </cell>
          <cell r="R785">
            <v>121.29036950829212</v>
          </cell>
          <cell r="S785">
            <v>63.863044646740875</v>
          </cell>
          <cell r="T785">
            <v>90.26303827895795</v>
          </cell>
        </row>
        <row r="786">
          <cell r="B786" t="str">
            <v>FY(1)</v>
          </cell>
          <cell r="C786">
            <v>38.638606856661674</v>
          </cell>
          <cell r="D786">
            <v>30.204233548745712</v>
          </cell>
          <cell r="E786">
            <v>30.862120290436561</v>
          </cell>
          <cell r="F786">
            <v>43.347381095725467</v>
          </cell>
          <cell r="G786">
            <v>96.803875006770056</v>
          </cell>
          <cell r="H786">
            <v>40.415504587155958</v>
          </cell>
          <cell r="I786">
            <v>33.690578447862052</v>
          </cell>
          <cell r="J786">
            <v>44.851757119051065</v>
          </cell>
          <cell r="M786">
            <v>49.337219315095716</v>
          </cell>
          <cell r="N786">
            <v>40.631348648226286</v>
          </cell>
          <cell r="O786">
            <v>48.999098611832324</v>
          </cell>
          <cell r="P786">
            <v>236.7883299458334</v>
          </cell>
          <cell r="Q786">
            <v>38.078381795195952</v>
          </cell>
          <cell r="R786">
            <v>111.44780827278598</v>
          </cell>
          <cell r="S786">
            <v>54.327736712304102</v>
          </cell>
          <cell r="T786">
            <v>82.801417614467681</v>
          </cell>
        </row>
        <row r="787">
          <cell r="B787" t="str">
            <v>FY0</v>
          </cell>
          <cell r="C787">
            <v>38.112499022087775</v>
          </cell>
          <cell r="D787">
            <v>27.504196028924184</v>
          </cell>
          <cell r="E787">
            <v>29.919835586775626</v>
          </cell>
          <cell r="F787">
            <v>41.274546979672976</v>
          </cell>
          <cell r="G787">
            <v>86.489403842931324</v>
          </cell>
          <cell r="H787">
            <v>37.770476190476195</v>
          </cell>
          <cell r="I787">
            <v>31.484389352146167</v>
          </cell>
          <cell r="J787">
            <v>41.793621000430612</v>
          </cell>
          <cell r="M787">
            <v>39.808419299032487</v>
          </cell>
          <cell r="N787">
            <v>39.599343958504335</v>
          </cell>
          <cell r="O787">
            <v>51.280762386127712</v>
          </cell>
          <cell r="P787">
            <v>206.63203912686348</v>
          </cell>
          <cell r="Q787">
            <v>37.726692209450832</v>
          </cell>
          <cell r="R787">
            <v>94.960263474919032</v>
          </cell>
          <cell r="S787">
            <v>52.530906640433855</v>
          </cell>
          <cell r="T787">
            <v>74.648346727904524</v>
          </cell>
        </row>
        <row r="788">
          <cell r="B788" t="str">
            <v>FY1</v>
          </cell>
          <cell r="C788">
            <v>39.347452029995708</v>
          </cell>
          <cell r="D788">
            <v>29.356748438334701</v>
          </cell>
          <cell r="E788">
            <v>30.52408774498835</v>
          </cell>
          <cell r="F788">
            <v>40.102918192343012</v>
          </cell>
          <cell r="G788">
            <v>88.953357019349212</v>
          </cell>
          <cell r="H788">
            <v>34.435038762035724</v>
          </cell>
          <cell r="I788">
            <v>31.366907365486593</v>
          </cell>
          <cell r="J788">
            <v>42.012358507504757</v>
          </cell>
          <cell r="M788">
            <v>32.314250277819518</v>
          </cell>
          <cell r="N788">
            <v>41.192025535021067</v>
          </cell>
          <cell r="O788">
            <v>51.788879564784338</v>
          </cell>
          <cell r="P788">
            <v>194.15276857213092</v>
          </cell>
          <cell r="Q788">
            <v>40.220785229448175</v>
          </cell>
          <cell r="R788">
            <v>96.921492997836197</v>
          </cell>
          <cell r="S788">
            <v>52.092692826174805</v>
          </cell>
          <cell r="T788">
            <v>72.668985000459287</v>
          </cell>
        </row>
        <row r="789">
          <cell r="B789" t="str">
            <v>FY2</v>
          </cell>
          <cell r="C789">
            <v>40.626498868924216</v>
          </cell>
          <cell r="D789">
            <v>30.080029219039286</v>
          </cell>
          <cell r="E789">
            <v>30.424488748700757</v>
          </cell>
          <cell r="F789">
            <v>40.942278457992401</v>
          </cell>
          <cell r="G789">
            <v>90.531911795975219</v>
          </cell>
          <cell r="H789">
            <v>34.293484579602911</v>
          </cell>
          <cell r="I789">
            <v>31.764467878342945</v>
          </cell>
          <cell r="J789">
            <v>42.666165649796817</v>
          </cell>
          <cell r="M789">
            <v>31.98389582712926</v>
          </cell>
          <cell r="N789">
            <v>43.439322753006394</v>
          </cell>
          <cell r="O789">
            <v>54.5597682803675</v>
          </cell>
          <cell r="P789">
            <v>193.56405949949226</v>
          </cell>
          <cell r="Q789">
            <v>39.34285076815766</v>
          </cell>
          <cell r="R789">
            <v>97.977982331153342</v>
          </cell>
          <cell r="S789">
            <v>51.806692772736874</v>
          </cell>
          <cell r="T789">
            <v>73.239224604577615</v>
          </cell>
        </row>
        <row r="791">
          <cell r="A791" t="str">
            <v>Turnover Ratios</v>
          </cell>
        </row>
        <row r="792">
          <cell r="B792" t="str">
            <v>Inventory Turnover</v>
          </cell>
          <cell r="C792" t="str">
            <v>COGS/ Average Inventory</v>
          </cell>
        </row>
        <row r="793">
          <cell r="B793" t="str">
            <v>FY(5)</v>
          </cell>
        </row>
        <row r="794">
          <cell r="B794" t="str">
            <v>FY(4)</v>
          </cell>
          <cell r="C794">
            <v>3.5887445581823387</v>
          </cell>
          <cell r="D794">
            <v>3.5071104387291983</v>
          </cell>
          <cell r="E794">
            <v>2.4632516703786194</v>
          </cell>
          <cell r="F794">
            <v>5.0049716705396659</v>
          </cell>
          <cell r="G794">
            <v>2.2038539088848883</v>
          </cell>
          <cell r="H794">
            <v>3.8723010121518526</v>
          </cell>
          <cell r="I794">
            <v>4.9345555526362066</v>
          </cell>
          <cell r="J794">
            <v>3.65354125878611</v>
          </cell>
          <cell r="M794">
            <v>2.3139206793057574</v>
          </cell>
          <cell r="N794">
            <v>8.706738923592436</v>
          </cell>
          <cell r="O794">
            <v>5.2531435569993015</v>
          </cell>
          <cell r="P794">
            <v>1.8384352724131579</v>
          </cell>
          <cell r="Q794">
            <v>5.8150057273768612</v>
          </cell>
          <cell r="R794">
            <v>4.2457406756346234</v>
          </cell>
          <cell r="S794">
            <v>4.366211613358483</v>
          </cell>
          <cell r="T794">
            <v>4.648456635525803</v>
          </cell>
        </row>
        <row r="795">
          <cell r="B795" t="str">
            <v>FY(3)</v>
          </cell>
          <cell r="C795">
            <v>3.6501712975682681</v>
          </cell>
          <cell r="D795">
            <v>3.4353324811816504</v>
          </cell>
          <cell r="E795">
            <v>3.0874048376216634</v>
          </cell>
          <cell r="F795">
            <v>5.4819834648124264</v>
          </cell>
          <cell r="G795">
            <v>2.1970428773649524</v>
          </cell>
          <cell r="H795">
            <v>4.1574165729428252</v>
          </cell>
          <cell r="I795">
            <v>4.9681673333211762</v>
          </cell>
          <cell r="J795">
            <v>3.8539312664018519</v>
          </cell>
          <cell r="M795">
            <v>2.8490901919537208</v>
          </cell>
          <cell r="N795">
            <v>8.1120757761678242</v>
          </cell>
          <cell r="O795">
            <v>5.2859602020616983</v>
          </cell>
          <cell r="P795">
            <v>1.7287047394205184</v>
          </cell>
          <cell r="Q795">
            <v>6.0907742509641052</v>
          </cell>
          <cell r="R795">
            <v>4.4077897786054212</v>
          </cell>
          <cell r="S795">
            <v>4.736546617960725</v>
          </cell>
          <cell r="T795">
            <v>4.7444202224477161</v>
          </cell>
        </row>
        <row r="796">
          <cell r="B796" t="str">
            <v>FY(2)</v>
          </cell>
          <cell r="C796">
            <v>3.6994142782691952</v>
          </cell>
          <cell r="D796">
            <v>3.5350521739130434</v>
          </cell>
          <cell r="E796">
            <v>3.1899481127276426</v>
          </cell>
          <cell r="F796">
            <v>5.954933189655172</v>
          </cell>
          <cell r="G796">
            <v>2.5106978879127166</v>
          </cell>
          <cell r="H796">
            <v>4.8450837803911453</v>
          </cell>
          <cell r="I796">
            <v>5.1694422378141152</v>
          </cell>
          <cell r="J796">
            <v>4.1292245229547193</v>
          </cell>
          <cell r="M796">
            <v>3.4340502427098456</v>
          </cell>
          <cell r="N796">
            <v>7.8956659362064769</v>
          </cell>
          <cell r="O796">
            <v>5.6148761723594065</v>
          </cell>
          <cell r="P796">
            <v>1.9336965828087429</v>
          </cell>
          <cell r="Q796">
            <v>6.5361895488477764</v>
          </cell>
          <cell r="R796">
            <v>5.4452466402739583</v>
          </cell>
          <cell r="S796">
            <v>5.4501716804781868</v>
          </cell>
          <cell r="T796">
            <v>5.1871281148120563</v>
          </cell>
        </row>
        <row r="797">
          <cell r="B797" t="str">
            <v>FY(1)</v>
          </cell>
          <cell r="C797">
            <v>3.6118885005242918</v>
          </cell>
          <cell r="D797">
            <v>3.6831045611032631</v>
          </cell>
          <cell r="E797">
            <v>3.198849104859335</v>
          </cell>
          <cell r="F797">
            <v>6.0394694104560624</v>
          </cell>
          <cell r="G797">
            <v>2.9933797133168416</v>
          </cell>
          <cell r="H797">
            <v>5.6531710421566235</v>
          </cell>
          <cell r="I797">
            <v>5.5990322297615744</v>
          </cell>
          <cell r="J797">
            <v>4.3969849374539987</v>
          </cell>
          <cell r="M797">
            <v>3.3758386805393905</v>
          </cell>
          <cell r="N797">
            <v>9.4984013113489549</v>
          </cell>
          <cell r="O797">
            <v>5.8410639509995459</v>
          </cell>
          <cell r="P797">
            <v>2.4002742624542766</v>
          </cell>
          <cell r="Q797">
            <v>6.0871605766007377</v>
          </cell>
          <cell r="R797">
            <v>5.4419906437830923</v>
          </cell>
          <cell r="S797">
            <v>6.3015839113279464</v>
          </cell>
          <cell r="T797">
            <v>5.5637590481505637</v>
          </cell>
        </row>
        <row r="798">
          <cell r="B798" t="str">
            <v>FY0</v>
          </cell>
          <cell r="C798">
            <v>3.5323317687561731</v>
          </cell>
          <cell r="D798">
            <v>3.392747310751735</v>
          </cell>
          <cell r="E798">
            <v>2.9932833540756003</v>
          </cell>
          <cell r="F798">
            <v>5.8804120596511433</v>
          </cell>
          <cell r="G798">
            <v>2.5306349090500406</v>
          </cell>
          <cell r="H798">
            <v>6.2406407993436952</v>
          </cell>
          <cell r="I798">
            <v>5.8044599173301963</v>
          </cell>
          <cell r="J798">
            <v>4.3392157312797979</v>
          </cell>
          <cell r="M798">
            <v>3.6722072190744006</v>
          </cell>
          <cell r="N798">
            <v>9.9304948772299113</v>
          </cell>
          <cell r="O798">
            <v>5.5960303546763486</v>
          </cell>
          <cell r="P798">
            <v>2.7134102297852838</v>
          </cell>
          <cell r="Q798">
            <v>5.615370155671922</v>
          </cell>
          <cell r="R798">
            <v>5.3564095066318336</v>
          </cell>
          <cell r="S798">
            <v>5.8671152610791442</v>
          </cell>
          <cell r="T798">
            <v>5.5358625148784055</v>
          </cell>
        </row>
        <row r="799">
          <cell r="B799" t="str">
            <v>FY1</v>
          </cell>
          <cell r="C799">
            <v>3.5294359731233071</v>
          </cell>
          <cell r="D799">
            <v>3.2608196426672098</v>
          </cell>
          <cell r="E799">
            <v>3.0835504775409524</v>
          </cell>
          <cell r="F799">
            <v>6.0262598083973495</v>
          </cell>
          <cell r="G799">
            <v>2.4805647249526515</v>
          </cell>
          <cell r="H799">
            <v>6.7235442342658001</v>
          </cell>
          <cell r="I799">
            <v>5.9830051554892743</v>
          </cell>
          <cell r="J799">
            <v>4.4410257166337912</v>
          </cell>
          <cell r="M799">
            <v>4.276666494651332</v>
          </cell>
          <cell r="N799">
            <v>9.6775044370445986</v>
          </cell>
          <cell r="O799">
            <v>5.0509147014061533</v>
          </cell>
          <cell r="P799">
            <v>2.7059775822106986</v>
          </cell>
          <cell r="Q799">
            <v>5.5249170463734361</v>
          </cell>
          <cell r="R799">
            <v>5.4821208658836831</v>
          </cell>
          <cell r="S799">
            <v>6.0772587951321562</v>
          </cell>
          <cell r="T799">
            <v>5.542194274671723</v>
          </cell>
        </row>
        <row r="800">
          <cell r="B800" t="str">
            <v>FY2</v>
          </cell>
          <cell r="C800">
            <v>4.0032845383298508</v>
          </cell>
          <cell r="D800">
            <v>3.3294959588521795</v>
          </cell>
          <cell r="E800">
            <v>3.0070600124608067</v>
          </cell>
          <cell r="F800">
            <v>6.0136541557279175</v>
          </cell>
          <cell r="G800">
            <v>2.409865145409928</v>
          </cell>
          <cell r="H800">
            <v>6.7058911884400656</v>
          </cell>
          <cell r="I800">
            <v>6.1706576678799614</v>
          </cell>
          <cell r="J800">
            <v>4.5199869524429586</v>
          </cell>
          <cell r="M800">
            <v>4.3842209929167737</v>
          </cell>
          <cell r="N800">
            <v>11.770801651037218</v>
          </cell>
          <cell r="O800">
            <v>5.9420682003315219</v>
          </cell>
          <cell r="P800">
            <v>2.8352770417443303</v>
          </cell>
          <cell r="Q800">
            <v>5.5555946367844902</v>
          </cell>
          <cell r="R800">
            <v>5.2554780722033101</v>
          </cell>
          <cell r="S800">
            <v>7.170138296630852</v>
          </cell>
          <cell r="T800">
            <v>6.1305112702355</v>
          </cell>
        </row>
        <row r="802">
          <cell r="B802" t="str">
            <v>Receivables Turnover</v>
          </cell>
        </row>
        <row r="803">
          <cell r="B803" t="str">
            <v>FY(5)</v>
          </cell>
        </row>
        <row r="804">
          <cell r="B804" t="str">
            <v>FY(4)</v>
          </cell>
        </row>
        <row r="805">
          <cell r="B805" t="str">
            <v>FY(3)</v>
          </cell>
        </row>
        <row r="806">
          <cell r="B806" t="str">
            <v>FY(2)</v>
          </cell>
        </row>
        <row r="807">
          <cell r="B807" t="str">
            <v>FY(1)</v>
          </cell>
        </row>
        <row r="808">
          <cell r="B808" t="str">
            <v>FY0</v>
          </cell>
        </row>
        <row r="809">
          <cell r="B809" t="str">
            <v>FY1</v>
          </cell>
        </row>
        <row r="810">
          <cell r="B810" t="str">
            <v>FY2</v>
          </cell>
        </row>
        <row r="812">
          <cell r="B812" t="str">
            <v>A/P Turnover</v>
          </cell>
          <cell r="C812" t="str">
            <v>COGS/ Average Accounts Payable</v>
          </cell>
        </row>
        <row r="813">
          <cell r="B813" t="str">
            <v>FY(5)</v>
          </cell>
        </row>
        <row r="814">
          <cell r="B814" t="str">
            <v>FY(4)</v>
          </cell>
          <cell r="C814">
            <v>9.7958054736398239</v>
          </cell>
          <cell r="D814">
            <v>4.0031082714557069</v>
          </cell>
          <cell r="E814">
            <v>2.6948223350253806</v>
          </cell>
          <cell r="F814">
            <v>8.753505280641825</v>
          </cell>
          <cell r="G814">
            <v>8.3344795322748411</v>
          </cell>
          <cell r="H814">
            <v>4.1580473990017675</v>
          </cell>
          <cell r="I814">
            <v>9.0904474753371769</v>
          </cell>
          <cell r="J814">
            <v>6.6900308239109316</v>
          </cell>
          <cell r="M814">
            <v>6.6805714431900833</v>
          </cell>
          <cell r="N814">
            <v>13.905701048041426</v>
          </cell>
          <cell r="O814">
            <v>8.0297280141261229</v>
          </cell>
          <cell r="P814">
            <v>5.3058340929808567</v>
          </cell>
          <cell r="Q814">
            <v>9.0611334225792053</v>
          </cell>
          <cell r="R814">
            <v>11.027610908188233</v>
          </cell>
          <cell r="S814">
            <v>12.961920012891399</v>
          </cell>
          <cell r="T814">
            <v>9.5674998488567606</v>
          </cell>
        </row>
        <row r="815">
          <cell r="B815" t="str">
            <v>FY(3)</v>
          </cell>
          <cell r="C815">
            <v>11.204175871474803</v>
          </cell>
          <cell r="D815">
            <v>3.9057284030356856</v>
          </cell>
          <cell r="E815">
            <v>3.669453670828084</v>
          </cell>
          <cell r="F815">
            <v>9.4526269513663532</v>
          </cell>
          <cell r="G815">
            <v>8.8471371622184858</v>
          </cell>
          <cell r="H815">
            <v>4.2360528769904047</v>
          </cell>
          <cell r="I815">
            <v>9.1472607789399216</v>
          </cell>
          <cell r="J815">
            <v>7.2089193878362483</v>
          </cell>
          <cell r="M815">
            <v>7.7363659731246521</v>
          </cell>
          <cell r="N815">
            <v>11.822018899238763</v>
          </cell>
          <cell r="O815">
            <v>8.8366891739952234</v>
          </cell>
          <cell r="P815">
            <v>4.7958376068461268</v>
          </cell>
          <cell r="Q815">
            <v>9.7078014184397166</v>
          </cell>
          <cell r="R815">
            <v>11.997430077286912</v>
          </cell>
          <cell r="S815">
            <v>11.707256476291473</v>
          </cell>
          <cell r="T815">
            <v>9.5147713750318381</v>
          </cell>
        </row>
        <row r="816">
          <cell r="B816" t="str">
            <v>FY(2)</v>
          </cell>
          <cell r="C816">
            <v>12.183682443352737</v>
          </cell>
          <cell r="D816">
            <v>4.1139922415247092</v>
          </cell>
          <cell r="E816">
            <v>3.9012069180042306</v>
          </cell>
          <cell r="F816">
            <v>9.8769937444146549</v>
          </cell>
          <cell r="G816">
            <v>14.910961161122177</v>
          </cell>
          <cell r="H816">
            <v>4.7735365590208625</v>
          </cell>
          <cell r="I816">
            <v>9.9150343833078871</v>
          </cell>
          <cell r="J816">
            <v>8.5250582072496091</v>
          </cell>
          <cell r="M816">
            <v>8.035058746281722</v>
          </cell>
          <cell r="N816">
            <v>11.75069076414368</v>
          </cell>
          <cell r="O816">
            <v>10.530981044916709</v>
          </cell>
          <cell r="P816">
            <v>4.8310283360993305</v>
          </cell>
          <cell r="Q816">
            <v>10.165572942958102</v>
          </cell>
          <cell r="R816">
            <v>13.105748300127441</v>
          </cell>
          <cell r="S816">
            <v>13.593020624201497</v>
          </cell>
          <cell r="T816">
            <v>10.287442965532639</v>
          </cell>
        </row>
        <row r="817">
          <cell r="B817" t="str">
            <v>FY(1)</v>
          </cell>
          <cell r="C817">
            <v>9.9889927501208309</v>
          </cell>
          <cell r="D817">
            <v>4.095742647329522</v>
          </cell>
          <cell r="E817">
            <v>3.8249235474006116</v>
          </cell>
          <cell r="F817">
            <v>8.424333591931731</v>
          </cell>
          <cell r="G817">
            <v>21.490244702964883</v>
          </cell>
          <cell r="H817">
            <v>4.7607794246042996</v>
          </cell>
          <cell r="I817">
            <v>10.360702845332504</v>
          </cell>
          <cell r="J817">
            <v>8.9922456442406258</v>
          </cell>
          <cell r="M817">
            <v>7.6893096399643879</v>
          </cell>
          <cell r="N817">
            <v>14.650457771405796</v>
          </cell>
          <cell r="O817">
            <v>11.685776286728011</v>
          </cell>
          <cell r="P817">
            <v>6.5079935227440009</v>
          </cell>
          <cell r="Q817">
            <v>9.06993006993007</v>
          </cell>
          <cell r="R817">
            <v>12.289419946699677</v>
          </cell>
          <cell r="S817">
            <v>15.90314618854436</v>
          </cell>
          <cell r="T817">
            <v>11.11371906085947</v>
          </cell>
        </row>
        <row r="818">
          <cell r="B818" t="str">
            <v>FY0</v>
          </cell>
          <cell r="C818">
            <v>8.691082289624811</v>
          </cell>
          <cell r="D818">
            <v>3.7046564480701401</v>
          </cell>
          <cell r="E818">
            <v>3.4688941367079806</v>
          </cell>
          <cell r="F818">
            <v>7.2015440731826743</v>
          </cell>
          <cell r="G818">
            <v>15.85803566469516</v>
          </cell>
          <cell r="H818">
            <v>4.6136866352743597</v>
          </cell>
          <cell r="I818">
            <v>9.6532857111354655</v>
          </cell>
          <cell r="J818">
            <v>7.598740708384371</v>
          </cell>
          <cell r="M818">
            <v>7.1666740644860711</v>
          </cell>
          <cell r="N818">
            <v>14.480976475633927</v>
          </cell>
          <cell r="O818">
            <v>12.482792929544404</v>
          </cell>
          <cell r="P818">
            <v>8.7568525693402997</v>
          </cell>
          <cell r="Q818">
            <v>8.2622426097376138</v>
          </cell>
          <cell r="R818">
            <v>10.801041321580231</v>
          </cell>
          <cell r="S818">
            <v>12.428762254756602</v>
          </cell>
          <cell r="T818">
            <v>10.625620317868449</v>
          </cell>
        </row>
        <row r="819">
          <cell r="B819" t="str">
            <v>FY1</v>
          </cell>
          <cell r="C819">
            <v>8.5301034342688062</v>
          </cell>
          <cell r="D819">
            <v>3.703016351168654</v>
          </cell>
          <cell r="E819">
            <v>3.503132346751415</v>
          </cell>
          <cell r="F819">
            <v>7.3339711264105985</v>
          </cell>
          <cell r="G819">
            <v>15.392331322057588</v>
          </cell>
          <cell r="H819">
            <v>4.7800925822942011</v>
          </cell>
          <cell r="I819">
            <v>9.8151091658853993</v>
          </cell>
          <cell r="J819">
            <v>7.5796794755480947</v>
          </cell>
          <cell r="M819">
            <v>7.8532817061926741</v>
          </cell>
          <cell r="N819">
            <v>14.27806448321237</v>
          </cell>
          <cell r="O819">
            <v>12.416788393118456</v>
          </cell>
          <cell r="P819">
            <v>8.897641167486471</v>
          </cell>
          <cell r="Q819">
            <v>8.2384202956759669</v>
          </cell>
          <cell r="R819">
            <v>10.451007694188212</v>
          </cell>
          <cell r="S819">
            <v>11.380621952277288</v>
          </cell>
          <cell r="T819">
            <v>10.502260813164492</v>
          </cell>
        </row>
        <row r="820">
          <cell r="B820" t="str">
            <v>FY2</v>
          </cell>
          <cell r="C820">
            <v>8.7606422044558485</v>
          </cell>
          <cell r="D820">
            <v>3.7565921169164573</v>
          </cell>
          <cell r="E820">
            <v>3.4980770266096792</v>
          </cell>
          <cell r="F820">
            <v>7.4631980628191394</v>
          </cell>
          <cell r="G820">
            <v>15.944717429726143</v>
          </cell>
          <cell r="H820">
            <v>4.8879482678263715</v>
          </cell>
          <cell r="I820">
            <v>10.14921913677626</v>
          </cell>
          <cell r="J820">
            <v>7.7800563207328421</v>
          </cell>
          <cell r="M820">
            <v>8.1635080695484721</v>
          </cell>
          <cell r="N820">
            <v>15.675178681317171</v>
          </cell>
          <cell r="O820">
            <v>13.209480413793205</v>
          </cell>
          <cell r="P820">
            <v>9.2064498885710986</v>
          </cell>
          <cell r="Q820">
            <v>8.0122358239186706</v>
          </cell>
          <cell r="R820">
            <v>10.598025334503671</v>
          </cell>
          <cell r="S820">
            <v>11.962603629636121</v>
          </cell>
          <cell r="T820">
            <v>10.975354548755488</v>
          </cell>
        </row>
        <row r="823">
          <cell r="A823" t="str">
            <v>DuPont Analysis: ROE</v>
          </cell>
        </row>
        <row r="825">
          <cell r="B825" t="str">
            <v>Net Profit/ Sales</v>
          </cell>
        </row>
        <row r="826">
          <cell r="B826" t="str">
            <v>FY(5)</v>
          </cell>
          <cell r="C826">
            <v>6.0125709402001584E-2</v>
          </cell>
        </row>
        <row r="827">
          <cell r="B827" t="str">
            <v>FY(4)</v>
          </cell>
        </row>
        <row r="828">
          <cell r="B828" t="str">
            <v>FY(3)</v>
          </cell>
        </row>
        <row r="829">
          <cell r="B829" t="str">
            <v>FY(2)</v>
          </cell>
        </row>
        <row r="830">
          <cell r="B830" t="str">
            <v>FY(1)</v>
          </cell>
        </row>
        <row r="831">
          <cell r="B831" t="str">
            <v>FY0</v>
          </cell>
        </row>
        <row r="832">
          <cell r="B832" t="str">
            <v>FY1</v>
          </cell>
        </row>
        <row r="833">
          <cell r="B833" t="str">
            <v>FY2</v>
          </cell>
        </row>
        <row r="835">
          <cell r="B835" t="str">
            <v>Sales/ Assets</v>
          </cell>
        </row>
        <row r="836">
          <cell r="B836" t="str">
            <v>FY(5)</v>
          </cell>
        </row>
        <row r="837">
          <cell r="B837" t="str">
            <v>FY(4)</v>
          </cell>
        </row>
        <row r="838">
          <cell r="B838" t="str">
            <v>FY(3)</v>
          </cell>
        </row>
        <row r="839">
          <cell r="B839" t="str">
            <v>FY(2)</v>
          </cell>
        </row>
        <row r="840">
          <cell r="B840" t="str">
            <v>FY(1)</v>
          </cell>
        </row>
        <row r="841">
          <cell r="B841" t="str">
            <v>FY0</v>
          </cell>
        </row>
        <row r="842">
          <cell r="B842" t="str">
            <v>FY1</v>
          </cell>
        </row>
        <row r="843">
          <cell r="B843" t="str">
            <v>FY2</v>
          </cell>
        </row>
        <row r="845">
          <cell r="B845" t="str">
            <v>Assets/ Equity</v>
          </cell>
        </row>
        <row r="846">
          <cell r="B846" t="str">
            <v>FY(5)</v>
          </cell>
        </row>
        <row r="847">
          <cell r="B847" t="str">
            <v>FY(4)</v>
          </cell>
        </row>
        <row r="848">
          <cell r="B848" t="str">
            <v>FY(3)</v>
          </cell>
        </row>
        <row r="849">
          <cell r="B849" t="str">
            <v>FY(2)</v>
          </cell>
        </row>
        <row r="850">
          <cell r="B850" t="str">
            <v>FY(1)</v>
          </cell>
        </row>
        <row r="851">
          <cell r="B851" t="str">
            <v>FY0</v>
          </cell>
        </row>
        <row r="852">
          <cell r="B852" t="str">
            <v>FY1</v>
          </cell>
        </row>
        <row r="853">
          <cell r="B853" t="str">
            <v>FY2</v>
          </cell>
        </row>
      </sheetData>
      <sheetData sheetId="5"/>
      <sheetData sheetId="6"/>
      <sheetData sheetId="7"/>
      <sheetData sheetId="8" refreshError="1"/>
      <sheetData sheetId="9" refreshError="1"/>
      <sheetData sheetId="10" refreshError="1"/>
      <sheetData sheetId="11" refreshError="1"/>
      <sheetData sheetId="12">
        <row r="1">
          <cell r="R1" t="str">
            <v>SmartCharts</v>
          </cell>
          <cell r="AO1" t="str">
            <v>SmartCharts</v>
          </cell>
          <cell r="CA1" t="str">
            <v>.</v>
          </cell>
        </row>
        <row r="2">
          <cell r="CA2" t="str">
            <v>.</v>
          </cell>
        </row>
        <row r="3">
          <cell r="CA3" t="str">
            <v>.</v>
          </cell>
        </row>
        <row r="4">
          <cell r="CA4" t="str">
            <v>.</v>
          </cell>
        </row>
        <row r="10">
          <cell r="B10" t="str">
            <v>Input your data here:</v>
          </cell>
          <cell r="C10">
            <v>40286</v>
          </cell>
          <cell r="AG10" t="str">
            <v>Base</v>
          </cell>
          <cell r="AJ10" t="str">
            <v>up</v>
          </cell>
          <cell r="AK10" t="str">
            <v>dn</v>
          </cell>
          <cell r="AO10" t="str">
            <v>PT</v>
          </cell>
          <cell r="AP10" t="str">
            <v>BEAR</v>
          </cell>
          <cell r="AQ10" t="str">
            <v>BASE</v>
          </cell>
          <cell r="AR10" t="str">
            <v>BULL</v>
          </cell>
          <cell r="CA10" t="str">
            <v>.</v>
          </cell>
        </row>
        <row r="11">
          <cell r="C11" t="str">
            <v>current
price</v>
          </cell>
          <cell r="D11" t="str">
            <v>Bear</v>
          </cell>
          <cell r="E11" t="str">
            <v>Base</v>
          </cell>
          <cell r="F11" t="str">
            <v>Bull</v>
          </cell>
          <cell r="G11" t="str">
            <v>price
target</v>
          </cell>
          <cell r="I11" t="str">
            <v>sortPT</v>
          </cell>
          <cell r="AC11" t="str">
            <v>Ticker</v>
          </cell>
          <cell r="AD11" t="str">
            <v>BearNeg</v>
          </cell>
          <cell r="AE11" t="str">
            <v>BearPos</v>
          </cell>
          <cell r="AF11" t="str">
            <v>BaseNeg</v>
          </cell>
          <cell r="AG11" t="str">
            <v>BasePos</v>
          </cell>
          <cell r="AH11" t="str">
            <v>BullPos</v>
          </cell>
          <cell r="AI11" t="str">
            <v>BullNeg</v>
          </cell>
          <cell r="AJ11" t="str">
            <v>PTPos</v>
          </cell>
          <cell r="AK11" t="str">
            <v>PTNeg</v>
          </cell>
          <cell r="AL11" t="str">
            <v>current
price</v>
          </cell>
          <cell r="AM11" t="str">
            <v>Legend+</v>
          </cell>
          <cell r="AN11" t="str">
            <v>Legend-</v>
          </cell>
          <cell r="AO11" t="str">
            <v>PT_label</v>
          </cell>
          <cell r="AP11" t="str">
            <v>Bear_label</v>
          </cell>
          <cell r="AQ11" t="str">
            <v>Base_label</v>
          </cell>
          <cell r="AR11" t="str">
            <v>Bull_label</v>
          </cell>
          <cell r="CA11" t="str">
            <v>.</v>
          </cell>
        </row>
        <row r="12">
          <cell r="B12" t="str">
            <v>PVH</v>
          </cell>
          <cell r="C12" t="str">
            <v>#Calc</v>
          </cell>
          <cell r="D12">
            <v>42</v>
          </cell>
          <cell r="E12">
            <v>65</v>
          </cell>
          <cell r="F12">
            <v>81</v>
          </cell>
          <cell r="G12">
            <v>65</v>
          </cell>
          <cell r="I12" t="e">
            <v>#VALUE!</v>
          </cell>
          <cell r="AC12" t="str">
            <v>PVH</v>
          </cell>
          <cell r="AD12" t="e">
            <v>#VALUE!</v>
          </cell>
          <cell r="AE12" t="e">
            <v>#VALUE!</v>
          </cell>
          <cell r="AF12" t="e">
            <v>#VALUE!</v>
          </cell>
          <cell r="AG12" t="e">
            <v>#VALUE!</v>
          </cell>
          <cell r="AH12" t="e">
            <v>#VALUE!</v>
          </cell>
          <cell r="AI12" t="e">
            <v>#VALUE!</v>
          </cell>
          <cell r="AJ12" t="e">
            <v>#VALUE!</v>
          </cell>
          <cell r="AK12" t="e">
            <v>#VALUE!</v>
          </cell>
          <cell r="AL12">
            <v>0</v>
          </cell>
          <cell r="AM12" t="e">
            <v>#N/A</v>
          </cell>
          <cell r="AN12" t="e">
            <v>#N/A</v>
          </cell>
          <cell r="AO12" t="e">
            <v>#N/A</v>
          </cell>
          <cell r="AP12" t="e">
            <v>#N/A</v>
          </cell>
          <cell r="AQ12" t="e">
            <v>#N/A</v>
          </cell>
          <cell r="AR12" t="e">
            <v>#N/A</v>
          </cell>
          <cell r="CA12" t="str">
            <v>.</v>
          </cell>
        </row>
        <row r="13">
          <cell r="B13" t="str">
            <v>JNY</v>
          </cell>
          <cell r="C13" t="str">
            <v>#Calc</v>
          </cell>
          <cell r="D13">
            <v>13</v>
          </cell>
          <cell r="E13">
            <v>21</v>
          </cell>
          <cell r="F13">
            <v>25</v>
          </cell>
          <cell r="G13">
            <v>21</v>
          </cell>
          <cell r="I13" t="e">
            <v>#VALUE!</v>
          </cell>
          <cell r="AC13" t="str">
            <v>JNY</v>
          </cell>
          <cell r="AD13" t="e">
            <v>#VALUE!</v>
          </cell>
          <cell r="AE13" t="e">
            <v>#VALUE!</v>
          </cell>
          <cell r="AF13" t="e">
            <v>#VALUE!</v>
          </cell>
          <cell r="AG13" t="e">
            <v>#VALUE!</v>
          </cell>
          <cell r="AH13" t="e">
            <v>#VALUE!</v>
          </cell>
          <cell r="AI13" t="e">
            <v>#VALUE!</v>
          </cell>
          <cell r="AJ13" t="e">
            <v>#VALUE!</v>
          </cell>
          <cell r="AK13" t="e">
            <v>#VALUE!</v>
          </cell>
          <cell r="AM13" t="e">
            <v>#N/A</v>
          </cell>
          <cell r="AN13" t="e">
            <v>#N/A</v>
          </cell>
          <cell r="AO13" t="e">
            <v>#N/A</v>
          </cell>
          <cell r="AP13" t="e">
            <v>#N/A</v>
          </cell>
          <cell r="AQ13" t="e">
            <v>#N/A</v>
          </cell>
          <cell r="AR13" t="e">
            <v>#N/A</v>
          </cell>
          <cell r="CA13" t="str">
            <v>.</v>
          </cell>
        </row>
        <row r="14">
          <cell r="B14" t="str">
            <v>WRC</v>
          </cell>
          <cell r="C14" t="str">
            <v>#Calc</v>
          </cell>
          <cell r="D14">
            <v>37</v>
          </cell>
          <cell r="E14">
            <v>48</v>
          </cell>
          <cell r="F14">
            <v>63</v>
          </cell>
          <cell r="G14">
            <v>48</v>
          </cell>
          <cell r="I14" t="e">
            <v>#VALUE!</v>
          </cell>
          <cell r="AC14" t="str">
            <v>WRC</v>
          </cell>
          <cell r="AD14" t="e">
            <v>#VALUE!</v>
          </cell>
          <cell r="AE14" t="e">
            <v>#VALUE!</v>
          </cell>
          <cell r="AF14" t="e">
            <v>#VALUE!</v>
          </cell>
          <cell r="AG14" t="e">
            <v>#VALUE!</v>
          </cell>
          <cell r="AH14" t="e">
            <v>#VALUE!</v>
          </cell>
          <cell r="AI14" t="e">
            <v>#VALUE!</v>
          </cell>
          <cell r="AJ14" t="e">
            <v>#VALUE!</v>
          </cell>
          <cell r="AK14" t="e">
            <v>#VALUE!</v>
          </cell>
          <cell r="AM14" t="e">
            <v>#N/A</v>
          </cell>
          <cell r="AN14" t="e">
            <v>#N/A</v>
          </cell>
          <cell r="AO14" t="e">
            <v>#N/A</v>
          </cell>
          <cell r="AP14" t="e">
            <v>#N/A</v>
          </cell>
          <cell r="AQ14" t="e">
            <v>#N/A</v>
          </cell>
          <cell r="AR14" t="e">
            <v>#N/A</v>
          </cell>
          <cell r="CA14" t="str">
            <v>.</v>
          </cell>
        </row>
        <row r="15">
          <cell r="B15" t="str">
            <v>GES</v>
          </cell>
          <cell r="C15" t="str">
            <v>#Calc</v>
          </cell>
          <cell r="D15">
            <v>39</v>
          </cell>
          <cell r="E15">
            <v>48</v>
          </cell>
          <cell r="F15">
            <v>52</v>
          </cell>
          <cell r="G15">
            <v>48</v>
          </cell>
          <cell r="I15" t="e">
            <v>#VALUE!</v>
          </cell>
          <cell r="AC15" t="str">
            <v>GES</v>
          </cell>
          <cell r="AD15" t="e">
            <v>#VALUE!</v>
          </cell>
          <cell r="AE15" t="e">
            <v>#VALUE!</v>
          </cell>
          <cell r="AF15" t="e">
            <v>#VALUE!</v>
          </cell>
          <cell r="AG15" t="e">
            <v>#VALUE!</v>
          </cell>
          <cell r="AH15" t="e">
            <v>#VALUE!</v>
          </cell>
          <cell r="AI15" t="e">
            <v>#VALUE!</v>
          </cell>
          <cell r="AJ15" t="e">
            <v>#VALUE!</v>
          </cell>
          <cell r="AK15" t="e">
            <v>#VALUE!</v>
          </cell>
          <cell r="AM15" t="e">
            <v>#N/A</v>
          </cell>
          <cell r="AN15" t="e">
            <v>#N/A</v>
          </cell>
          <cell r="AO15" t="e">
            <v>#N/A</v>
          </cell>
          <cell r="AP15" t="e">
            <v>#N/A</v>
          </cell>
          <cell r="AQ15" t="e">
            <v>#N/A</v>
          </cell>
          <cell r="AR15" t="e">
            <v>#N/A</v>
          </cell>
          <cell r="CA15" t="str">
            <v>.</v>
          </cell>
        </row>
        <row r="16">
          <cell r="B16" t="str">
            <v>RL</v>
          </cell>
          <cell r="C16" t="str">
            <v>#Calc</v>
          </cell>
          <cell r="D16">
            <v>60</v>
          </cell>
          <cell r="E16">
            <v>80</v>
          </cell>
          <cell r="F16">
            <v>107</v>
          </cell>
          <cell r="G16">
            <v>80</v>
          </cell>
          <cell r="I16" t="e">
            <v>#VALUE!</v>
          </cell>
          <cell r="AC16" t="str">
            <v>RL</v>
          </cell>
          <cell r="AD16" t="e">
            <v>#VALUE!</v>
          </cell>
          <cell r="AE16" t="e">
            <v>#VALUE!</v>
          </cell>
          <cell r="AF16" t="e">
            <v>#VALUE!</v>
          </cell>
          <cell r="AG16" t="e">
            <v>#VALUE!</v>
          </cell>
          <cell r="AH16" t="e">
            <v>#VALUE!</v>
          </cell>
          <cell r="AI16" t="e">
            <v>#VALUE!</v>
          </cell>
          <cell r="AJ16" t="e">
            <v>#VALUE!</v>
          </cell>
          <cell r="AK16" t="e">
            <v>#VALUE!</v>
          </cell>
          <cell r="AM16" t="e">
            <v>#N/A</v>
          </cell>
          <cell r="AN16" t="e">
            <v>#N/A</v>
          </cell>
          <cell r="AO16" t="e">
            <v>#N/A</v>
          </cell>
          <cell r="AP16" t="e">
            <v>#N/A</v>
          </cell>
          <cell r="AQ16" t="e">
            <v>#N/A</v>
          </cell>
          <cell r="AR16" t="e">
            <v>#N/A</v>
          </cell>
          <cell r="CA16" t="str">
            <v>.</v>
          </cell>
        </row>
        <row r="17">
          <cell r="B17" t="str">
            <v>UA</v>
          </cell>
          <cell r="C17" t="str">
            <v>#Calc</v>
          </cell>
          <cell r="D17">
            <v>21</v>
          </cell>
          <cell r="E17">
            <v>27</v>
          </cell>
          <cell r="F17">
            <v>35</v>
          </cell>
          <cell r="G17">
            <v>27</v>
          </cell>
          <cell r="I17" t="e">
            <v>#VALUE!</v>
          </cell>
          <cell r="AC17" t="str">
            <v>UA</v>
          </cell>
          <cell r="AD17" t="e">
            <v>#VALUE!</v>
          </cell>
          <cell r="AE17" t="e">
            <v>#VALUE!</v>
          </cell>
          <cell r="AF17" t="e">
            <v>#VALUE!</v>
          </cell>
          <cell r="AG17" t="e">
            <v>#VALUE!</v>
          </cell>
          <cell r="AH17" t="e">
            <v>#VALUE!</v>
          </cell>
          <cell r="AI17" t="e">
            <v>#VALUE!</v>
          </cell>
          <cell r="AJ17" t="e">
            <v>#VALUE!</v>
          </cell>
          <cell r="AK17" t="e">
            <v>#VALUE!</v>
          </cell>
          <cell r="AM17" t="e">
            <v>#N/A</v>
          </cell>
          <cell r="AN17" t="e">
            <v>#N/A</v>
          </cell>
          <cell r="AO17" t="e">
            <v>#N/A</v>
          </cell>
          <cell r="AP17" t="e">
            <v>#N/A</v>
          </cell>
          <cell r="AQ17" t="e">
            <v>#N/A</v>
          </cell>
          <cell r="AR17" t="e">
            <v>#N/A</v>
          </cell>
          <cell r="CA17" t="str">
            <v>.</v>
          </cell>
        </row>
        <row r="18">
          <cell r="B18" t="str">
            <v>LIZ</v>
          </cell>
          <cell r="C18" t="str">
            <v>#Calc</v>
          </cell>
          <cell r="D18">
            <v>2.5</v>
          </cell>
          <cell r="E18">
            <v>6</v>
          </cell>
          <cell r="F18">
            <v>12</v>
          </cell>
          <cell r="G18">
            <v>6</v>
          </cell>
          <cell r="I18" t="e">
            <v>#VALUE!</v>
          </cell>
          <cell r="AC18" t="str">
            <v>LIZ</v>
          </cell>
          <cell r="AD18" t="e">
            <v>#VALUE!</v>
          </cell>
          <cell r="AE18" t="e">
            <v>#VALUE!</v>
          </cell>
          <cell r="AF18" t="e">
            <v>#VALUE!</v>
          </cell>
          <cell r="AG18" t="e">
            <v>#VALUE!</v>
          </cell>
          <cell r="AH18" t="e">
            <v>#VALUE!</v>
          </cell>
          <cell r="AI18" t="e">
            <v>#VALUE!</v>
          </cell>
          <cell r="AJ18" t="e">
            <v>#VALUE!</v>
          </cell>
          <cell r="AK18" t="e">
            <v>#VALUE!</v>
          </cell>
          <cell r="AM18" t="e">
            <v>#N/A</v>
          </cell>
          <cell r="AN18" t="e">
            <v>#N/A</v>
          </cell>
          <cell r="AO18" t="e">
            <v>#N/A</v>
          </cell>
          <cell r="AP18" t="e">
            <v>#N/A</v>
          </cell>
          <cell r="AQ18" t="e">
            <v>#N/A</v>
          </cell>
          <cell r="AR18" t="e">
            <v>#N/A</v>
          </cell>
          <cell r="CA18" t="str">
            <v>.</v>
          </cell>
        </row>
        <row r="19">
          <cell r="I19" t="e">
            <v>#DIV/0!</v>
          </cell>
          <cell r="AC19">
            <v>0</v>
          </cell>
          <cell r="AD19" t="e">
            <v>#VALUE!</v>
          </cell>
          <cell r="AE19">
            <v>0</v>
          </cell>
          <cell r="AF19">
            <v>0</v>
          </cell>
          <cell r="AG19" t="e">
            <v>#VALUE!</v>
          </cell>
          <cell r="AH19" t="e">
            <v>#VALUE!</v>
          </cell>
          <cell r="AI19">
            <v>0</v>
          </cell>
          <cell r="AJ19" t="e">
            <v>#N/A</v>
          </cell>
          <cell r="AK19" t="e">
            <v>#N/A</v>
          </cell>
          <cell r="AM19">
            <v>1</v>
          </cell>
          <cell r="AN19">
            <v>-1</v>
          </cell>
          <cell r="AO19" t="e">
            <v>#VALUE!</v>
          </cell>
          <cell r="AP19" t="e">
            <v>#VALUE!</v>
          </cell>
          <cell r="AQ19" t="e">
            <v>#VALUE!</v>
          </cell>
          <cell r="AR19" t="e">
            <v>#VALUE!</v>
          </cell>
        </row>
        <row r="20">
          <cell r="I20" t="e">
            <v>#DIV/0!</v>
          </cell>
          <cell r="AC20" t="e">
            <v>#N/A</v>
          </cell>
          <cell r="AD20" t="e">
            <v>#VALUE!</v>
          </cell>
          <cell r="AE20">
            <v>0</v>
          </cell>
          <cell r="AF20">
            <v>0</v>
          </cell>
          <cell r="AG20" t="e">
            <v>#VALUE!</v>
          </cell>
          <cell r="AH20" t="e">
            <v>#VALUE!</v>
          </cell>
          <cell r="AI20">
            <v>0</v>
          </cell>
          <cell r="AJ20" t="e">
            <v>#N/A</v>
          </cell>
          <cell r="AK20" t="e">
            <v>#N/A</v>
          </cell>
          <cell r="AM20">
            <v>1</v>
          </cell>
          <cell r="AN20">
            <v>-1</v>
          </cell>
          <cell r="AO20" t="e">
            <v>#VALUE!</v>
          </cell>
          <cell r="AP20" t="e">
            <v>#VALUE!</v>
          </cell>
          <cell r="AQ20" t="e">
            <v>#VALUE!</v>
          </cell>
          <cell r="AR20" t="e">
            <v>#VALUE!</v>
          </cell>
          <cell r="CA20" t="str">
            <v>.</v>
          </cell>
        </row>
        <row r="21">
          <cell r="AD21" t="e">
            <v>#VALUE!</v>
          </cell>
          <cell r="AE21">
            <v>0</v>
          </cell>
          <cell r="AF21">
            <v>0</v>
          </cell>
          <cell r="AG21" t="e">
            <v>#VALUE!</v>
          </cell>
          <cell r="AH21" t="e">
            <v>#VALUE!</v>
          </cell>
          <cell r="AI21">
            <v>0</v>
          </cell>
          <cell r="AJ21" t="e">
            <v>#N/A</v>
          </cell>
          <cell r="AK21" t="e">
            <v>#N/A</v>
          </cell>
          <cell r="AM21">
            <v>2</v>
          </cell>
          <cell r="AN21">
            <v>-2</v>
          </cell>
          <cell r="AO21" t="e">
            <v>#VALUE!</v>
          </cell>
          <cell r="AP21" t="e">
            <v>#VALUE!</v>
          </cell>
          <cell r="AQ21" t="e">
            <v>#VALUE!</v>
          </cell>
          <cell r="AR21" t="e">
            <v>#VALUE!</v>
          </cell>
          <cell r="CA21" t="str">
            <v>.</v>
          </cell>
        </row>
        <row r="22">
          <cell r="B22" t="str">
            <v>GES</v>
          </cell>
          <cell r="C22" t="str">
            <v>#Calc</v>
          </cell>
          <cell r="D22">
            <v>39</v>
          </cell>
          <cell r="E22">
            <v>48</v>
          </cell>
          <cell r="F22">
            <v>52</v>
          </cell>
          <cell r="G22">
            <v>48</v>
          </cell>
          <cell r="CA22" t="str">
            <v>.</v>
          </cell>
        </row>
        <row r="23">
          <cell r="B23" t="str">
            <v>JNY</v>
          </cell>
          <cell r="C23" t="str">
            <v>#Calc</v>
          </cell>
          <cell r="D23">
            <v>13</v>
          </cell>
          <cell r="E23">
            <v>21</v>
          </cell>
          <cell r="F23">
            <v>25</v>
          </cell>
          <cell r="G23">
            <v>21</v>
          </cell>
          <cell r="AD23" t="e">
            <v>#VALUE!</v>
          </cell>
          <cell r="AE23" t="e">
            <v>#VALUE!</v>
          </cell>
          <cell r="AF23" t="e">
            <v>#VALUE!</v>
          </cell>
          <cell r="AG23" t="e">
            <v>#VALUE!</v>
          </cell>
          <cell r="CA23" t="str">
            <v>.</v>
          </cell>
        </row>
        <row r="24">
          <cell r="B24" t="str">
            <v>LIZ</v>
          </cell>
          <cell r="C24" t="str">
            <v>#Calc</v>
          </cell>
          <cell r="D24">
            <v>2.5</v>
          </cell>
          <cell r="E24">
            <v>6</v>
          </cell>
          <cell r="F24">
            <v>12</v>
          </cell>
          <cell r="G24">
            <v>6</v>
          </cell>
          <cell r="AD24" t="e">
            <v>#VALUE!</v>
          </cell>
          <cell r="AE24" t="e">
            <v>#VALUE!</v>
          </cell>
          <cell r="AF24" t="e">
            <v>#VALUE!</v>
          </cell>
          <cell r="AG24" t="e">
            <v>#VALUE!</v>
          </cell>
          <cell r="CA24" t="str">
            <v>.</v>
          </cell>
        </row>
        <row r="25">
          <cell r="B25" t="str">
            <v>PVH</v>
          </cell>
          <cell r="C25" t="str">
            <v>#Calc</v>
          </cell>
          <cell r="D25">
            <v>42</v>
          </cell>
          <cell r="E25">
            <v>65</v>
          </cell>
          <cell r="F25">
            <v>81</v>
          </cell>
          <cell r="G25">
            <v>65</v>
          </cell>
          <cell r="AD25" t="e">
            <v>#VALUE!</v>
          </cell>
          <cell r="AE25" t="e">
            <v>#VALUE!</v>
          </cell>
          <cell r="AF25" t="e">
            <v>#VALUE!</v>
          </cell>
          <cell r="AG25" t="e">
            <v>#VALUE!</v>
          </cell>
          <cell r="CA25" t="str">
            <v>.</v>
          </cell>
        </row>
        <row r="26">
          <cell r="B26" t="str">
            <v>RL</v>
          </cell>
          <cell r="C26" t="str">
            <v>#Calc</v>
          </cell>
          <cell r="D26">
            <v>60</v>
          </cell>
          <cell r="E26">
            <v>80</v>
          </cell>
          <cell r="F26">
            <v>107</v>
          </cell>
          <cell r="G26">
            <v>80</v>
          </cell>
          <cell r="AD26" t="e">
            <v>#VALUE!</v>
          </cell>
          <cell r="AE26" t="e">
            <v>#VALUE!</v>
          </cell>
          <cell r="AF26" t="e">
            <v>#VALUE!</v>
          </cell>
          <cell r="AG26" t="e">
            <v>#VALUE!</v>
          </cell>
          <cell r="CA26" t="str">
            <v>.</v>
          </cell>
        </row>
        <row r="27">
          <cell r="B27" t="str">
            <v>UA</v>
          </cell>
          <cell r="C27" t="str">
            <v>#Calc</v>
          </cell>
          <cell r="D27">
            <v>21</v>
          </cell>
          <cell r="E27">
            <v>27</v>
          </cell>
          <cell r="F27">
            <v>35</v>
          </cell>
          <cell r="G27">
            <v>27</v>
          </cell>
          <cell r="AD27" t="e">
            <v>#VALUE!</v>
          </cell>
          <cell r="AE27" t="e">
            <v>#VALUE!</v>
          </cell>
          <cell r="AF27" t="e">
            <v>#VALUE!</v>
          </cell>
          <cell r="AG27" t="e">
            <v>#VALUE!</v>
          </cell>
          <cell r="CA27" t="str">
            <v>.</v>
          </cell>
        </row>
        <row r="28">
          <cell r="B28" t="str">
            <v>WRC</v>
          </cell>
          <cell r="C28" t="str">
            <v>#Calc</v>
          </cell>
          <cell r="D28">
            <v>37</v>
          </cell>
          <cell r="E28">
            <v>48</v>
          </cell>
          <cell r="F28">
            <v>63</v>
          </cell>
          <cell r="G28">
            <v>48</v>
          </cell>
          <cell r="AD28" t="e">
            <v>#VALUE!</v>
          </cell>
          <cell r="AE28" t="e">
            <v>#VALUE!</v>
          </cell>
          <cell r="AF28" t="e">
            <v>#VALUE!</v>
          </cell>
          <cell r="AG28" t="e">
            <v>#VALUE!</v>
          </cell>
          <cell r="CA28" t="str">
            <v>.</v>
          </cell>
        </row>
        <row r="29">
          <cell r="AD29" t="e">
            <v>#VALUE!</v>
          </cell>
          <cell r="AE29" t="e">
            <v>#VALUE!</v>
          </cell>
          <cell r="AF29" t="e">
            <v>#VALUE!</v>
          </cell>
          <cell r="AG29" t="e">
            <v>#VALUE!</v>
          </cell>
          <cell r="CA29" t="str">
            <v>.</v>
          </cell>
        </row>
        <row r="30">
          <cell r="AD30" t="e">
            <v>#DIV/0!</v>
          </cell>
          <cell r="AE30" t="e">
            <v>#DIV/0!</v>
          </cell>
          <cell r="AF30" t="e">
            <v>#DIV/0!</v>
          </cell>
          <cell r="AG30" t="e">
            <v>#DIV/0!</v>
          </cell>
          <cell r="CA30" t="str">
            <v>.</v>
          </cell>
        </row>
        <row r="31">
          <cell r="B31" t="str">
            <v>GES</v>
          </cell>
          <cell r="D31" t="e">
            <v>#VALUE!</v>
          </cell>
          <cell r="E31" t="e">
            <v>#VALUE!</v>
          </cell>
          <cell r="F31" t="e">
            <v>#VALUE!</v>
          </cell>
          <cell r="G31" t="e">
            <v>#VALUE!</v>
          </cell>
          <cell r="AD31" t="e">
            <v>#DIV/0!</v>
          </cell>
          <cell r="AE31" t="e">
            <v>#DIV/0!</v>
          </cell>
          <cell r="AF31" t="e">
            <v>#DIV/0!</v>
          </cell>
          <cell r="AG31" t="e">
            <v>#DIV/0!</v>
          </cell>
          <cell r="CA31" t="str">
            <v>.</v>
          </cell>
        </row>
        <row r="32">
          <cell r="B32" t="str">
            <v>JNY</v>
          </cell>
          <cell r="D32" t="e">
            <v>#VALUE!</v>
          </cell>
          <cell r="E32" t="e">
            <v>#VALUE!</v>
          </cell>
          <cell r="F32" t="e">
            <v>#VALUE!</v>
          </cell>
          <cell r="G32" t="e">
            <v>#VALUE!</v>
          </cell>
          <cell r="CA32" t="str">
            <v>.</v>
          </cell>
        </row>
        <row r="33">
          <cell r="B33" t="str">
            <v>LIZ</v>
          </cell>
          <cell r="D33" t="e">
            <v>#VALUE!</v>
          </cell>
          <cell r="E33" t="e">
            <v>#VALUE!</v>
          </cell>
          <cell r="F33" t="e">
            <v>#VALUE!</v>
          </cell>
          <cell r="G33" t="e">
            <v>#VALUE!</v>
          </cell>
          <cell r="CA33" t="str">
            <v>.</v>
          </cell>
        </row>
        <row r="34">
          <cell r="B34" t="str">
            <v>PVH</v>
          </cell>
          <cell r="D34" t="e">
            <v>#VALUE!</v>
          </cell>
          <cell r="E34" t="e">
            <v>#VALUE!</v>
          </cell>
          <cell r="F34" t="e">
            <v>#VALUE!</v>
          </cell>
          <cell r="G34" t="e">
            <v>#VALUE!</v>
          </cell>
          <cell r="CA34" t="str">
            <v>.</v>
          </cell>
        </row>
        <row r="35">
          <cell r="B35" t="str">
            <v>RL</v>
          </cell>
          <cell r="D35" t="e">
            <v>#VALUE!</v>
          </cell>
          <cell r="E35" t="e">
            <v>#VALUE!</v>
          </cell>
          <cell r="F35" t="e">
            <v>#VALUE!</v>
          </cell>
          <cell r="G35" t="e">
            <v>#VALUE!</v>
          </cell>
        </row>
        <row r="36">
          <cell r="B36" t="str">
            <v>UA</v>
          </cell>
          <cell r="D36" t="e">
            <v>#VALUE!</v>
          </cell>
          <cell r="E36" t="e">
            <v>#VALUE!</v>
          </cell>
          <cell r="F36" t="e">
            <v>#VALUE!</v>
          </cell>
          <cell r="G36" t="e">
            <v>#VALUE!</v>
          </cell>
        </row>
        <row r="37">
          <cell r="B37" t="str">
            <v>WRC</v>
          </cell>
          <cell r="D37" t="e">
            <v>#VALUE!</v>
          </cell>
          <cell r="E37" t="e">
            <v>#VALUE!</v>
          </cell>
          <cell r="F37" t="e">
            <v>#VALUE!</v>
          </cell>
          <cell r="G37" t="e">
            <v>#VALUE!</v>
          </cell>
          <cell r="CA37" t="str">
            <v>.</v>
          </cell>
        </row>
        <row r="38">
          <cell r="D38" t="e">
            <v>#VALUE!</v>
          </cell>
          <cell r="E38" t="e">
            <v>#VALUE!</v>
          </cell>
          <cell r="F38" t="e">
            <v>#VALUE!</v>
          </cell>
          <cell r="G38" t="e">
            <v>#VALUE!</v>
          </cell>
          <cell r="I38" t="str">
            <v>click here for link to SmartChart FAQ</v>
          </cell>
          <cell r="CA38" t="str">
            <v>.</v>
          </cell>
        </row>
        <row r="39">
          <cell r="CA39" t="str">
            <v>.</v>
          </cell>
        </row>
        <row r="40">
          <cell r="I40" t="str">
            <v>Do not change the width of the exhibit or font sizes (they are optimized for export to Word).</v>
          </cell>
          <cell r="CA40" t="str">
            <v>.</v>
          </cell>
        </row>
        <row r="41">
          <cell r="CA41" t="str">
            <v>.</v>
          </cell>
        </row>
        <row r="42">
          <cell r="I42" t="str">
            <v>Do not delete any rows or columns (some gray cells are used for calculations).</v>
          </cell>
          <cell r="CA42" t="str">
            <v>.</v>
          </cell>
        </row>
        <row r="43">
          <cell r="B43" t="str">
            <v>Company Name</v>
          </cell>
          <cell r="C43" t="str">
            <v>Ticker</v>
          </cell>
          <cell r="D43" t="str">
            <v>Price</v>
          </cell>
          <cell r="E43" t="str">
            <v>Rating</v>
          </cell>
          <cell r="F43" t="str">
            <v>Price Target</v>
          </cell>
          <cell r="G43" t="str">
            <v>% to Price Target</v>
          </cell>
          <cell r="CA43" t="str">
            <v>.</v>
          </cell>
        </row>
        <row r="44">
          <cell r="B44" t="str">
            <v>Liz Claiborne</v>
          </cell>
          <cell r="C44" t="str">
            <v>PVH</v>
          </cell>
          <cell r="D44" t="str">
            <v>#Calc</v>
          </cell>
          <cell r="E44" t="str">
            <v>Underweight</v>
          </cell>
          <cell r="F44">
            <v>65</v>
          </cell>
          <cell r="G44" t="e">
            <v>#VALUE!</v>
          </cell>
          <cell r="I44" t="str">
            <v>You can move the worksheet into another workbook (please use MOVE; do not COPY)</v>
          </cell>
          <cell r="CA44" t="str">
            <v>.</v>
          </cell>
        </row>
        <row r="45">
          <cell r="B45" t="str">
            <v>Jones Apparel Group</v>
          </cell>
          <cell r="C45" t="str">
            <v>JNY</v>
          </cell>
          <cell r="D45" t="str">
            <v>#Calc</v>
          </cell>
          <cell r="E45" t="str">
            <v>Equal-Weight</v>
          </cell>
          <cell r="F45">
            <v>21</v>
          </cell>
          <cell r="G45" t="e">
            <v>#VALUE!</v>
          </cell>
          <cell r="CA45" t="str">
            <v>.</v>
          </cell>
        </row>
        <row r="46">
          <cell r="B46" t="str">
            <v>Under Armour</v>
          </cell>
          <cell r="C46" t="str">
            <v>WRC</v>
          </cell>
          <cell r="D46" t="str">
            <v>#Calc</v>
          </cell>
          <cell r="E46" t="str">
            <v>Underweight</v>
          </cell>
          <cell r="F46">
            <v>48</v>
          </cell>
          <cell r="G46" t="e">
            <v>#VALUE!</v>
          </cell>
          <cell r="I46" t="str">
            <v>Color palette may be affected after moving the worksheet to another workbook. See instructions in FAQ on the intranet</v>
          </cell>
          <cell r="CA46" t="str">
            <v>.</v>
          </cell>
        </row>
        <row r="47">
          <cell r="B47" t="str">
            <v>Polo Ralph Lauren</v>
          </cell>
          <cell r="C47" t="str">
            <v>GES</v>
          </cell>
          <cell r="D47" t="str">
            <v>#Calc</v>
          </cell>
          <cell r="E47" t="str">
            <v>Equal-Weight</v>
          </cell>
          <cell r="F47">
            <v>48</v>
          </cell>
          <cell r="G47" t="e">
            <v>#VALUE!</v>
          </cell>
          <cell r="CA47" t="str">
            <v>.</v>
          </cell>
        </row>
        <row r="48">
          <cell r="B48" t="str">
            <v>Phillips-Van Heusen</v>
          </cell>
          <cell r="C48" t="str">
            <v>RL</v>
          </cell>
          <cell r="D48" t="str">
            <v>#Calc</v>
          </cell>
          <cell r="E48" t="str">
            <v>Overweight</v>
          </cell>
          <cell r="F48">
            <v>80</v>
          </cell>
          <cell r="G48" t="e">
            <v>#VALUE!</v>
          </cell>
          <cell r="CA48" t="str">
            <v>.</v>
          </cell>
        </row>
        <row r="49">
          <cell r="B49" t="str">
            <v>Guess?</v>
          </cell>
          <cell r="C49" t="str">
            <v>UA</v>
          </cell>
          <cell r="D49" t="str">
            <v>#Calc</v>
          </cell>
          <cell r="E49" t="str">
            <v>Equal-Weight</v>
          </cell>
          <cell r="F49">
            <v>27</v>
          </cell>
          <cell r="G49" t="e">
            <v>#VALUE!</v>
          </cell>
          <cell r="CA49" t="str">
            <v>.</v>
          </cell>
        </row>
        <row r="50">
          <cell r="B50" t="str">
            <v>Warnaco</v>
          </cell>
          <cell r="C50" t="str">
            <v>LIZ</v>
          </cell>
          <cell r="D50" t="str">
            <v>#Calc</v>
          </cell>
          <cell r="E50" t="str">
            <v>Equal-Weight</v>
          </cell>
          <cell r="F50">
            <v>6</v>
          </cell>
          <cell r="G50" t="e">
            <v>#VALUE!</v>
          </cell>
          <cell r="CA50" t="str">
            <v>.</v>
          </cell>
        </row>
        <row r="51">
          <cell r="CA51" t="str">
            <v>.</v>
          </cell>
        </row>
        <row r="52">
          <cell r="CA52" t="str">
            <v>.</v>
          </cell>
        </row>
        <row r="53">
          <cell r="CA53" t="str">
            <v>.</v>
          </cell>
        </row>
        <row r="54">
          <cell r="CA54" t="str">
            <v>.</v>
          </cell>
        </row>
        <row r="55">
          <cell r="CA55" t="str">
            <v>.</v>
          </cell>
        </row>
        <row r="56">
          <cell r="CA56" t="str">
            <v>.</v>
          </cell>
        </row>
        <row r="57">
          <cell r="CA57" t="str">
            <v>.</v>
          </cell>
        </row>
        <row r="58">
          <cell r="CA58" t="str">
            <v>.</v>
          </cell>
        </row>
        <row r="59">
          <cell r="CA59" t="str">
            <v>.</v>
          </cell>
        </row>
        <row r="60">
          <cell r="CA60" t="str">
            <v>.</v>
          </cell>
        </row>
        <row r="61">
          <cell r="CA61" t="str">
            <v>.</v>
          </cell>
        </row>
        <row r="62">
          <cell r="CA62" t="str">
            <v>.</v>
          </cell>
        </row>
        <row r="63">
          <cell r="CA63" t="str">
            <v>.</v>
          </cell>
        </row>
        <row r="64">
          <cell r="CA64" t="str">
            <v>.</v>
          </cell>
        </row>
        <row r="65">
          <cell r="CA65" t="str">
            <v>.</v>
          </cell>
        </row>
        <row r="66">
          <cell r="CA66" t="str">
            <v>.</v>
          </cell>
        </row>
        <row r="67">
          <cell r="CA67" t="str">
            <v>.</v>
          </cell>
        </row>
        <row r="68">
          <cell r="CA68" t="str">
            <v>.</v>
          </cell>
        </row>
        <row r="69">
          <cell r="CA69" t="str">
            <v>.</v>
          </cell>
        </row>
        <row r="70">
          <cell r="CA70" t="str">
            <v>.</v>
          </cell>
        </row>
        <row r="71">
          <cell r="CA71" t="str">
            <v>.</v>
          </cell>
        </row>
        <row r="72">
          <cell r="CA72" t="str">
            <v>.</v>
          </cell>
        </row>
        <row r="73">
          <cell r="CA73" t="str">
            <v>.</v>
          </cell>
        </row>
        <row r="74">
          <cell r="CA74" t="str">
            <v>.</v>
          </cell>
        </row>
        <row r="75">
          <cell r="CA75" t="str">
            <v>.</v>
          </cell>
        </row>
        <row r="76">
          <cell r="CA76" t="str">
            <v>.</v>
          </cell>
        </row>
        <row r="77">
          <cell r="CA77" t="str">
            <v>.</v>
          </cell>
        </row>
        <row r="78">
          <cell r="CA78" t="str">
            <v>.</v>
          </cell>
        </row>
        <row r="79">
          <cell r="CA79" t="str">
            <v>.</v>
          </cell>
        </row>
        <row r="80">
          <cell r="CA80" t="str">
            <v>.</v>
          </cell>
        </row>
        <row r="81">
          <cell r="CA81" t="str">
            <v>.</v>
          </cell>
        </row>
        <row r="82">
          <cell r="CA82" t="str">
            <v>.</v>
          </cell>
        </row>
        <row r="83">
          <cell r="CA83" t="str">
            <v>.</v>
          </cell>
        </row>
        <row r="84">
          <cell r="CA84" t="str">
            <v>.</v>
          </cell>
        </row>
        <row r="85">
          <cell r="CA85" t="str">
            <v>.</v>
          </cell>
        </row>
        <row r="86">
          <cell r="CA86" t="str">
            <v>.</v>
          </cell>
        </row>
        <row r="87">
          <cell r="CA87" t="str">
            <v>.</v>
          </cell>
        </row>
        <row r="88">
          <cell r="CA88" t="str">
            <v>.</v>
          </cell>
        </row>
        <row r="89">
          <cell r="CA89" t="str">
            <v>.</v>
          </cell>
        </row>
        <row r="90">
          <cell r="CA90" t="str">
            <v>.</v>
          </cell>
        </row>
        <row r="91">
          <cell r="CA91" t="str">
            <v>.</v>
          </cell>
        </row>
        <row r="92">
          <cell r="CA92" t="str">
            <v>.</v>
          </cell>
        </row>
        <row r="93">
          <cell r="CA93" t="str">
            <v>.</v>
          </cell>
        </row>
        <row r="94">
          <cell r="CA94" t="str">
            <v>.</v>
          </cell>
        </row>
        <row r="95">
          <cell r="CA95" t="str">
            <v>.</v>
          </cell>
        </row>
        <row r="96">
          <cell r="CA96" t="str">
            <v>.</v>
          </cell>
        </row>
        <row r="97">
          <cell r="CA97" t="str">
            <v>.</v>
          </cell>
        </row>
        <row r="98">
          <cell r="CA98" t="str">
            <v>.</v>
          </cell>
        </row>
        <row r="99">
          <cell r="CA99" t="str">
            <v>.</v>
          </cell>
        </row>
        <row r="100">
          <cell r="CA100" t="str">
            <v>.</v>
          </cell>
        </row>
        <row r="101">
          <cell r="CA101" t="str">
            <v>.</v>
          </cell>
        </row>
        <row r="102">
          <cell r="CA102" t="str">
            <v>.</v>
          </cell>
        </row>
        <row r="103">
          <cell r="CA103" t="str">
            <v>.</v>
          </cell>
        </row>
        <row r="104">
          <cell r="CA104" t="str">
            <v>.</v>
          </cell>
        </row>
        <row r="105">
          <cell r="CA105" t="str">
            <v>.</v>
          </cell>
        </row>
        <row r="106">
          <cell r="CA106" t="str">
            <v>.</v>
          </cell>
        </row>
        <row r="107">
          <cell r="CA107" t="str">
            <v>.</v>
          </cell>
        </row>
        <row r="108">
          <cell r="CA108" t="str">
            <v>.</v>
          </cell>
        </row>
        <row r="109">
          <cell r="CA109" t="str">
            <v>.</v>
          </cell>
        </row>
        <row r="110">
          <cell r="CA110" t="str">
            <v>.</v>
          </cell>
        </row>
        <row r="111">
          <cell r="CA111" t="str">
            <v>.</v>
          </cell>
        </row>
        <row r="112">
          <cell r="CA112" t="str">
            <v>.</v>
          </cell>
        </row>
        <row r="113">
          <cell r="CA113" t="str">
            <v>.</v>
          </cell>
        </row>
        <row r="114">
          <cell r="CA114" t="str">
            <v>.</v>
          </cell>
        </row>
        <row r="115">
          <cell r="CA115" t="str">
            <v>.</v>
          </cell>
        </row>
        <row r="116">
          <cell r="CA116" t="str">
            <v>.</v>
          </cell>
        </row>
        <row r="117">
          <cell r="CA117" t="str">
            <v>.</v>
          </cell>
        </row>
        <row r="118">
          <cell r="CA118" t="str">
            <v>.</v>
          </cell>
        </row>
        <row r="119">
          <cell r="CA119" t="str">
            <v>.</v>
          </cell>
        </row>
        <row r="120">
          <cell r="CA120" t="str">
            <v>.</v>
          </cell>
        </row>
        <row r="121">
          <cell r="CA121" t="str">
            <v>.</v>
          </cell>
        </row>
        <row r="122">
          <cell r="CA122" t="str">
            <v>.</v>
          </cell>
        </row>
        <row r="123">
          <cell r="CA123" t="str">
            <v>.</v>
          </cell>
        </row>
        <row r="124">
          <cell r="CA124" t="str">
            <v>.</v>
          </cell>
        </row>
        <row r="125">
          <cell r="CA125" t="str">
            <v>.</v>
          </cell>
        </row>
        <row r="126">
          <cell r="CA126" t="str">
            <v>.</v>
          </cell>
        </row>
        <row r="127">
          <cell r="CA127" t="str">
            <v>.</v>
          </cell>
        </row>
        <row r="128">
          <cell r="CA128" t="str">
            <v>.</v>
          </cell>
        </row>
        <row r="129">
          <cell r="CA129" t="str">
            <v>.</v>
          </cell>
        </row>
        <row r="130">
          <cell r="CA130" t="str">
            <v>.</v>
          </cell>
        </row>
        <row r="131">
          <cell r="CA131" t="str">
            <v>.</v>
          </cell>
        </row>
        <row r="132">
          <cell r="CA132" t="str">
            <v>.</v>
          </cell>
        </row>
        <row r="133">
          <cell r="CA133" t="str">
            <v>.</v>
          </cell>
        </row>
        <row r="134">
          <cell r="CA134" t="str">
            <v>.</v>
          </cell>
        </row>
        <row r="135">
          <cell r="CA135" t="str">
            <v>.</v>
          </cell>
        </row>
        <row r="136">
          <cell r="CA136" t="str">
            <v>.</v>
          </cell>
        </row>
        <row r="137">
          <cell r="CA137" t="str">
            <v>.</v>
          </cell>
        </row>
        <row r="138">
          <cell r="CA138" t="str">
            <v>.</v>
          </cell>
        </row>
        <row r="139">
          <cell r="CA139" t="str">
            <v>.</v>
          </cell>
        </row>
        <row r="140">
          <cell r="CA140" t="str">
            <v>.</v>
          </cell>
        </row>
        <row r="141">
          <cell r="CA141" t="str">
            <v>.</v>
          </cell>
        </row>
        <row r="142">
          <cell r="CA142" t="str">
            <v>.</v>
          </cell>
        </row>
        <row r="143">
          <cell r="CA143" t="str">
            <v>.</v>
          </cell>
        </row>
        <row r="144">
          <cell r="CA144" t="str">
            <v>.</v>
          </cell>
        </row>
        <row r="145">
          <cell r="CA145" t="str">
            <v>.</v>
          </cell>
        </row>
        <row r="146">
          <cell r="CA146" t="str">
            <v>.</v>
          </cell>
        </row>
        <row r="147">
          <cell r="CA147" t="str">
            <v>.</v>
          </cell>
        </row>
        <row r="148">
          <cell r="CA148" t="str">
            <v>.</v>
          </cell>
        </row>
        <row r="149">
          <cell r="CA149" t="str">
            <v>.</v>
          </cell>
        </row>
        <row r="150">
          <cell r="CA150" t="str">
            <v>.</v>
          </cell>
        </row>
        <row r="151">
          <cell r="CA151" t="str">
            <v>.</v>
          </cell>
        </row>
        <row r="152">
          <cell r="CA152" t="str">
            <v>.</v>
          </cell>
        </row>
        <row r="153">
          <cell r="CA153" t="str">
            <v>.</v>
          </cell>
        </row>
        <row r="154">
          <cell r="CA154" t="str">
            <v>.</v>
          </cell>
        </row>
        <row r="155">
          <cell r="CA155" t="str">
            <v>.</v>
          </cell>
        </row>
        <row r="156">
          <cell r="CA156" t="str">
            <v>.</v>
          </cell>
        </row>
        <row r="157">
          <cell r="CA157" t="str">
            <v>.</v>
          </cell>
        </row>
        <row r="158">
          <cell r="CA158" t="str">
            <v>.</v>
          </cell>
        </row>
        <row r="159">
          <cell r="CA159" t="str">
            <v>.</v>
          </cell>
        </row>
        <row r="160">
          <cell r="CA160" t="str">
            <v>.</v>
          </cell>
        </row>
        <row r="161">
          <cell r="CA161" t="str">
            <v>.</v>
          </cell>
        </row>
        <row r="162">
          <cell r="CA162" t="str">
            <v>.</v>
          </cell>
        </row>
        <row r="163">
          <cell r="CA163" t="str">
            <v>.</v>
          </cell>
        </row>
        <row r="164">
          <cell r="CA164" t="str">
            <v>.</v>
          </cell>
        </row>
        <row r="165">
          <cell r="CA165" t="str">
            <v>.</v>
          </cell>
        </row>
        <row r="166">
          <cell r="CA166" t="str">
            <v>.</v>
          </cell>
        </row>
        <row r="167">
          <cell r="CA167" t="str">
            <v>.</v>
          </cell>
        </row>
        <row r="168">
          <cell r="CA168" t="str">
            <v>.</v>
          </cell>
        </row>
        <row r="169">
          <cell r="CA169" t="str">
            <v>.</v>
          </cell>
        </row>
        <row r="170">
          <cell r="CA170" t="str">
            <v>.</v>
          </cell>
        </row>
        <row r="171">
          <cell r="CA171" t="str">
            <v>.</v>
          </cell>
        </row>
        <row r="172">
          <cell r="CA172" t="str">
            <v>.</v>
          </cell>
        </row>
        <row r="173">
          <cell r="CA173" t="str">
            <v>.</v>
          </cell>
        </row>
        <row r="174">
          <cell r="CA174" t="str">
            <v>.</v>
          </cell>
        </row>
        <row r="175">
          <cell r="CA175" t="str">
            <v>.</v>
          </cell>
        </row>
        <row r="176">
          <cell r="CA176" t="str">
            <v>.</v>
          </cell>
        </row>
        <row r="177">
          <cell r="CA177" t="str">
            <v>.</v>
          </cell>
        </row>
        <row r="178">
          <cell r="CA178" t="str">
            <v>.</v>
          </cell>
        </row>
        <row r="179">
          <cell r="CA179" t="str">
            <v>.</v>
          </cell>
        </row>
        <row r="180">
          <cell r="CA180" t="str">
            <v>.</v>
          </cell>
        </row>
        <row r="181">
          <cell r="CA181" t="str">
            <v>.</v>
          </cell>
        </row>
        <row r="182">
          <cell r="CA182" t="str">
            <v>.</v>
          </cell>
        </row>
        <row r="183">
          <cell r="CA183" t="str">
            <v>.</v>
          </cell>
        </row>
        <row r="184">
          <cell r="CA184" t="str">
            <v>.</v>
          </cell>
        </row>
        <row r="185">
          <cell r="CA185" t="str">
            <v>.</v>
          </cell>
        </row>
        <row r="186">
          <cell r="CA186" t="str">
            <v>.</v>
          </cell>
        </row>
        <row r="187">
          <cell r="CA187" t="str">
            <v>.</v>
          </cell>
        </row>
        <row r="188">
          <cell r="CA188" t="str">
            <v>.</v>
          </cell>
        </row>
        <row r="189">
          <cell r="CA189" t="str">
            <v>.</v>
          </cell>
        </row>
        <row r="190">
          <cell r="CA190" t="str">
            <v>.</v>
          </cell>
        </row>
        <row r="191">
          <cell r="CA191" t="str">
            <v>.</v>
          </cell>
        </row>
        <row r="192">
          <cell r="CA192" t="str">
            <v>.</v>
          </cell>
        </row>
        <row r="193">
          <cell r="CA193" t="str">
            <v>.</v>
          </cell>
        </row>
        <row r="194">
          <cell r="CA194" t="str">
            <v>.</v>
          </cell>
        </row>
        <row r="195">
          <cell r="CA195" t="str">
            <v>.</v>
          </cell>
        </row>
        <row r="196">
          <cell r="CA196" t="str">
            <v>.</v>
          </cell>
        </row>
        <row r="197">
          <cell r="CA197" t="str">
            <v>.</v>
          </cell>
        </row>
        <row r="198">
          <cell r="CA198" t="str">
            <v>.</v>
          </cell>
        </row>
        <row r="199">
          <cell r="CA199" t="str">
            <v>.</v>
          </cell>
        </row>
        <row r="200">
          <cell r="CA200" t="str">
            <v>.</v>
          </cell>
        </row>
        <row r="201">
          <cell r="CA201" t="str">
            <v>.</v>
          </cell>
        </row>
        <row r="202">
          <cell r="CA202" t="str">
            <v>.</v>
          </cell>
        </row>
        <row r="203">
          <cell r="CA203" t="str">
            <v>.</v>
          </cell>
        </row>
        <row r="204">
          <cell r="CA204" t="str">
            <v>.</v>
          </cell>
        </row>
        <row r="205">
          <cell r="CA205" t="str">
            <v>.</v>
          </cell>
        </row>
        <row r="206">
          <cell r="CA206" t="str">
            <v>.</v>
          </cell>
        </row>
        <row r="207">
          <cell r="CA207" t="str">
            <v>.</v>
          </cell>
        </row>
        <row r="208">
          <cell r="CA208" t="str">
            <v>.</v>
          </cell>
        </row>
        <row r="209">
          <cell r="CA209" t="str">
            <v>.</v>
          </cell>
        </row>
        <row r="210">
          <cell r="CA210" t="str">
            <v>.</v>
          </cell>
        </row>
        <row r="211">
          <cell r="CA211" t="str">
            <v>.</v>
          </cell>
        </row>
        <row r="212">
          <cell r="CA212" t="str">
            <v>.</v>
          </cell>
        </row>
        <row r="213">
          <cell r="CA213" t="str">
            <v>.</v>
          </cell>
        </row>
        <row r="214">
          <cell r="CA214" t="str">
            <v>.</v>
          </cell>
        </row>
        <row r="215">
          <cell r="CA215" t="str">
            <v>.</v>
          </cell>
        </row>
        <row r="216">
          <cell r="CA216" t="str">
            <v>.</v>
          </cell>
        </row>
        <row r="217">
          <cell r="CA217" t="str">
            <v>.</v>
          </cell>
        </row>
        <row r="218">
          <cell r="CA218" t="str">
            <v>.</v>
          </cell>
        </row>
        <row r="219">
          <cell r="CA219" t="str">
            <v>.</v>
          </cell>
        </row>
        <row r="220">
          <cell r="CA220" t="str">
            <v>.</v>
          </cell>
        </row>
        <row r="221">
          <cell r="CA221" t="str">
            <v>.</v>
          </cell>
        </row>
        <row r="222">
          <cell r="CA222" t="str">
            <v>.</v>
          </cell>
        </row>
        <row r="223">
          <cell r="CA223" t="str">
            <v>.</v>
          </cell>
        </row>
        <row r="224">
          <cell r="CA224" t="str">
            <v>.</v>
          </cell>
        </row>
        <row r="225">
          <cell r="CA225" t="str">
            <v>.</v>
          </cell>
        </row>
        <row r="226">
          <cell r="CA226" t="str">
            <v>.</v>
          </cell>
        </row>
        <row r="227">
          <cell r="CA227" t="str">
            <v>.</v>
          </cell>
        </row>
        <row r="228">
          <cell r="CA228" t="str">
            <v>.</v>
          </cell>
        </row>
        <row r="229">
          <cell r="CA229" t="str">
            <v>.</v>
          </cell>
        </row>
        <row r="230">
          <cell r="CA230" t="str">
            <v>.</v>
          </cell>
        </row>
        <row r="231">
          <cell r="CA231" t="str">
            <v>.</v>
          </cell>
        </row>
        <row r="232">
          <cell r="CA232" t="str">
            <v>.</v>
          </cell>
        </row>
        <row r="233">
          <cell r="CA233" t="str">
            <v>.</v>
          </cell>
        </row>
        <row r="234">
          <cell r="CA234" t="str">
            <v>.</v>
          </cell>
        </row>
        <row r="235">
          <cell r="CA235" t="str">
            <v>.</v>
          </cell>
        </row>
        <row r="236">
          <cell r="CA236" t="str">
            <v>.</v>
          </cell>
        </row>
        <row r="237">
          <cell r="CA237" t="str">
            <v>.</v>
          </cell>
        </row>
        <row r="238">
          <cell r="CA238" t="str">
            <v>.</v>
          </cell>
        </row>
        <row r="239">
          <cell r="CA239" t="str">
            <v>.</v>
          </cell>
        </row>
        <row r="240">
          <cell r="CA240" t="str">
            <v>.</v>
          </cell>
        </row>
        <row r="241">
          <cell r="CA241" t="str">
            <v>.</v>
          </cell>
        </row>
        <row r="242">
          <cell r="CA242" t="str">
            <v>.</v>
          </cell>
        </row>
        <row r="243">
          <cell r="CA243" t="str">
            <v>.</v>
          </cell>
        </row>
        <row r="244">
          <cell r="CA244" t="str">
            <v>.</v>
          </cell>
        </row>
        <row r="245">
          <cell r="CA245" t="str">
            <v>.</v>
          </cell>
        </row>
        <row r="246">
          <cell r="CA246" t="str">
            <v>.</v>
          </cell>
        </row>
        <row r="247">
          <cell r="CA247" t="str">
            <v>.</v>
          </cell>
        </row>
        <row r="248">
          <cell r="CA248" t="str">
            <v>.</v>
          </cell>
        </row>
        <row r="249">
          <cell r="CA249" t="str">
            <v>.</v>
          </cell>
        </row>
        <row r="250">
          <cell r="CA250" t="str">
            <v>.</v>
          </cell>
        </row>
        <row r="251">
          <cell r="CA251" t="str">
            <v>.</v>
          </cell>
        </row>
        <row r="252">
          <cell r="CA252" t="str">
            <v>.</v>
          </cell>
        </row>
        <row r="253">
          <cell r="CA253" t="str">
            <v>.</v>
          </cell>
        </row>
        <row r="254">
          <cell r="CA254" t="str">
            <v>.</v>
          </cell>
        </row>
        <row r="255">
          <cell r="CA255" t="str">
            <v>.</v>
          </cell>
        </row>
        <row r="256">
          <cell r="CA256" t="str">
            <v>.</v>
          </cell>
        </row>
        <row r="257">
          <cell r="CA257" t="str">
            <v>.</v>
          </cell>
        </row>
        <row r="258">
          <cell r="CA258" t="str">
            <v>.</v>
          </cell>
        </row>
        <row r="259">
          <cell r="CA259" t="str">
            <v>.</v>
          </cell>
        </row>
        <row r="260">
          <cell r="CA260" t="str">
            <v>.</v>
          </cell>
        </row>
        <row r="261">
          <cell r="CA261" t="str">
            <v>.</v>
          </cell>
        </row>
        <row r="262">
          <cell r="CA262" t="str">
            <v>.</v>
          </cell>
        </row>
        <row r="263">
          <cell r="CA263" t="str">
            <v>.</v>
          </cell>
        </row>
        <row r="264">
          <cell r="CA264" t="str">
            <v>.</v>
          </cell>
        </row>
        <row r="265">
          <cell r="CA265" t="str">
            <v>.</v>
          </cell>
        </row>
        <row r="266">
          <cell r="CA266" t="str">
            <v>.</v>
          </cell>
        </row>
        <row r="267">
          <cell r="CA267" t="str">
            <v>.</v>
          </cell>
        </row>
        <row r="268">
          <cell r="CA268" t="str">
            <v>.</v>
          </cell>
        </row>
        <row r="269">
          <cell r="CA269" t="str">
            <v>.</v>
          </cell>
        </row>
        <row r="270">
          <cell r="CA270" t="str">
            <v>.</v>
          </cell>
        </row>
        <row r="271">
          <cell r="CA271" t="str">
            <v>.</v>
          </cell>
        </row>
        <row r="272">
          <cell r="CA272" t="str">
            <v>.</v>
          </cell>
        </row>
        <row r="273">
          <cell r="CA273" t="str">
            <v>.</v>
          </cell>
        </row>
        <row r="274">
          <cell r="CA274" t="str">
            <v>.</v>
          </cell>
        </row>
        <row r="275">
          <cell r="CA275" t="str">
            <v>.</v>
          </cell>
        </row>
        <row r="276">
          <cell r="CA276" t="str">
            <v>.</v>
          </cell>
        </row>
        <row r="277">
          <cell r="CA277" t="str">
            <v>.</v>
          </cell>
        </row>
        <row r="278">
          <cell r="CA278" t="str">
            <v>.</v>
          </cell>
        </row>
        <row r="279">
          <cell r="CA279" t="str">
            <v>.</v>
          </cell>
        </row>
        <row r="280">
          <cell r="CA280" t="str">
            <v>.</v>
          </cell>
        </row>
        <row r="281">
          <cell r="CA281" t="str">
            <v>.</v>
          </cell>
        </row>
        <row r="282">
          <cell r="CA282" t="str">
            <v>.</v>
          </cell>
        </row>
        <row r="283">
          <cell r="CA283" t="str">
            <v>.</v>
          </cell>
        </row>
        <row r="284">
          <cell r="CA284" t="str">
            <v>.</v>
          </cell>
        </row>
        <row r="285">
          <cell r="CA285" t="str">
            <v>.</v>
          </cell>
        </row>
        <row r="286">
          <cell r="CA286" t="str">
            <v>.</v>
          </cell>
        </row>
        <row r="287">
          <cell r="CA287" t="str">
            <v>.</v>
          </cell>
        </row>
        <row r="288">
          <cell r="CA288" t="str">
            <v>.</v>
          </cell>
        </row>
        <row r="289">
          <cell r="CA289" t="str">
            <v>.</v>
          </cell>
        </row>
        <row r="290">
          <cell r="CA290" t="str">
            <v>.</v>
          </cell>
        </row>
        <row r="291">
          <cell r="CA291" t="str">
            <v>.</v>
          </cell>
        </row>
        <row r="292">
          <cell r="CA292" t="str">
            <v>.</v>
          </cell>
        </row>
        <row r="293">
          <cell r="CA293" t="str">
            <v>.</v>
          </cell>
        </row>
        <row r="294">
          <cell r="CA294" t="str">
            <v>.</v>
          </cell>
        </row>
        <row r="295">
          <cell r="CA295" t="str">
            <v>.</v>
          </cell>
        </row>
        <row r="296">
          <cell r="CA296" t="str">
            <v>.</v>
          </cell>
        </row>
        <row r="297">
          <cell r="CA297" t="str">
            <v>.</v>
          </cell>
        </row>
        <row r="298">
          <cell r="CA298" t="str">
            <v>.</v>
          </cell>
        </row>
        <row r="299">
          <cell r="CA299" t="str">
            <v>.</v>
          </cell>
        </row>
        <row r="300">
          <cell r="CA300" t="str">
            <v>.</v>
          </cell>
        </row>
        <row r="301">
          <cell r="CA301" t="str">
            <v>.</v>
          </cell>
        </row>
        <row r="302">
          <cell r="CA302" t="str">
            <v>.</v>
          </cell>
        </row>
        <row r="303">
          <cell r="CA303" t="str">
            <v>.</v>
          </cell>
        </row>
        <row r="304">
          <cell r="CA304" t="str">
            <v>.</v>
          </cell>
        </row>
        <row r="305">
          <cell r="CA305" t="str">
            <v>.</v>
          </cell>
        </row>
        <row r="306">
          <cell r="CA306" t="str">
            <v>.</v>
          </cell>
        </row>
        <row r="307">
          <cell r="CA307" t="str">
            <v>.</v>
          </cell>
        </row>
        <row r="308">
          <cell r="CA308" t="str">
            <v>.</v>
          </cell>
        </row>
        <row r="309">
          <cell r="CA309" t="str">
            <v>.</v>
          </cell>
        </row>
        <row r="310">
          <cell r="CA310" t="str">
            <v>.</v>
          </cell>
        </row>
        <row r="311">
          <cell r="CA311" t="str">
            <v>.</v>
          </cell>
        </row>
        <row r="312">
          <cell r="CA312" t="str">
            <v>.</v>
          </cell>
        </row>
        <row r="313">
          <cell r="CA313" t="str">
            <v>.</v>
          </cell>
        </row>
        <row r="314">
          <cell r="CA314" t="str">
            <v>.</v>
          </cell>
        </row>
        <row r="315">
          <cell r="CA315" t="str">
            <v>.</v>
          </cell>
        </row>
        <row r="316">
          <cell r="CA316" t="str">
            <v>.</v>
          </cell>
        </row>
        <row r="317">
          <cell r="CA317" t="str">
            <v>.</v>
          </cell>
        </row>
        <row r="318">
          <cell r="CA318" t="str">
            <v>.</v>
          </cell>
        </row>
        <row r="319">
          <cell r="CA319" t="str">
            <v>.</v>
          </cell>
        </row>
        <row r="320">
          <cell r="CA320" t="str">
            <v>.</v>
          </cell>
        </row>
        <row r="321">
          <cell r="CA321" t="str">
            <v>.</v>
          </cell>
        </row>
        <row r="322">
          <cell r="CA322" t="str">
            <v>.</v>
          </cell>
        </row>
        <row r="323">
          <cell r="CA323" t="str">
            <v>.</v>
          </cell>
        </row>
        <row r="324">
          <cell r="CA324" t="str">
            <v>.</v>
          </cell>
        </row>
        <row r="325">
          <cell r="CA325" t="str">
            <v>.</v>
          </cell>
        </row>
        <row r="326">
          <cell r="CA326" t="str">
            <v>.</v>
          </cell>
        </row>
        <row r="327">
          <cell r="CA327" t="str">
            <v>.</v>
          </cell>
        </row>
        <row r="328">
          <cell r="CA328" t="str">
            <v>.</v>
          </cell>
        </row>
        <row r="329">
          <cell r="CA329" t="str">
            <v>.</v>
          </cell>
        </row>
        <row r="330">
          <cell r="CA330" t="str">
            <v>.</v>
          </cell>
        </row>
        <row r="331">
          <cell r="CA331" t="str">
            <v>.</v>
          </cell>
        </row>
        <row r="332">
          <cell r="CA332" t="str">
            <v>.</v>
          </cell>
        </row>
        <row r="333">
          <cell r="CA333" t="str">
            <v>.</v>
          </cell>
        </row>
        <row r="334">
          <cell r="CA334" t="str">
            <v>.</v>
          </cell>
        </row>
        <row r="335">
          <cell r="CA335" t="str">
            <v>.</v>
          </cell>
        </row>
        <row r="336">
          <cell r="CA336" t="str">
            <v>.</v>
          </cell>
        </row>
        <row r="337">
          <cell r="CA337" t="str">
            <v>.</v>
          </cell>
        </row>
        <row r="338">
          <cell r="CA338" t="str">
            <v>.</v>
          </cell>
        </row>
        <row r="339">
          <cell r="CA339" t="str">
            <v>.</v>
          </cell>
        </row>
        <row r="340">
          <cell r="CA340" t="str">
            <v>.</v>
          </cell>
        </row>
        <row r="341">
          <cell r="CA341" t="str">
            <v>.</v>
          </cell>
        </row>
        <row r="342">
          <cell r="CA342" t="str">
            <v>.</v>
          </cell>
        </row>
        <row r="343">
          <cell r="CA343" t="str">
            <v>.</v>
          </cell>
        </row>
        <row r="344">
          <cell r="CA344" t="str">
            <v>.</v>
          </cell>
        </row>
        <row r="345">
          <cell r="CA345" t="str">
            <v>.</v>
          </cell>
        </row>
        <row r="346">
          <cell r="CA346" t="str">
            <v>.</v>
          </cell>
        </row>
        <row r="347">
          <cell r="CA347" t="str">
            <v>.</v>
          </cell>
        </row>
        <row r="348">
          <cell r="CA348" t="str">
            <v>.</v>
          </cell>
        </row>
        <row r="349">
          <cell r="CA349" t="str">
            <v>.</v>
          </cell>
        </row>
        <row r="350">
          <cell r="CA350" t="str">
            <v>.</v>
          </cell>
        </row>
        <row r="351">
          <cell r="CA351" t="str">
            <v>.</v>
          </cell>
        </row>
        <row r="352">
          <cell r="CA352" t="str">
            <v>.</v>
          </cell>
        </row>
        <row r="353">
          <cell r="CA353" t="str">
            <v>.</v>
          </cell>
        </row>
        <row r="354">
          <cell r="CA354" t="str">
            <v>.</v>
          </cell>
        </row>
        <row r="355">
          <cell r="CA355" t="str">
            <v>.</v>
          </cell>
        </row>
        <row r="356">
          <cell r="CA356" t="str">
            <v>.</v>
          </cell>
        </row>
        <row r="357">
          <cell r="CA357" t="str">
            <v>.</v>
          </cell>
        </row>
        <row r="358">
          <cell r="CA358" t="str">
            <v>.</v>
          </cell>
        </row>
        <row r="359">
          <cell r="CA359" t="str">
            <v>.</v>
          </cell>
        </row>
        <row r="360">
          <cell r="CA360" t="str">
            <v>.</v>
          </cell>
        </row>
        <row r="361">
          <cell r="CA361" t="str">
            <v>.</v>
          </cell>
        </row>
        <row r="362">
          <cell r="CA362" t="str">
            <v>.</v>
          </cell>
        </row>
        <row r="363">
          <cell r="CA363" t="str">
            <v>.</v>
          </cell>
        </row>
        <row r="364">
          <cell r="CA364" t="str">
            <v>.</v>
          </cell>
        </row>
        <row r="365">
          <cell r="CA365" t="str">
            <v>.</v>
          </cell>
        </row>
        <row r="366">
          <cell r="CA366" t="str">
            <v>.</v>
          </cell>
        </row>
        <row r="367">
          <cell r="CA367" t="str">
            <v>.</v>
          </cell>
        </row>
        <row r="368">
          <cell r="CA368" t="str">
            <v>.</v>
          </cell>
        </row>
        <row r="369">
          <cell r="CA369" t="str">
            <v>.</v>
          </cell>
        </row>
        <row r="370">
          <cell r="CA370" t="str">
            <v>.</v>
          </cell>
        </row>
        <row r="371">
          <cell r="CA371" t="str">
            <v>.</v>
          </cell>
        </row>
        <row r="372">
          <cell r="CA372" t="str">
            <v>.</v>
          </cell>
        </row>
        <row r="373">
          <cell r="CA373" t="str">
            <v>.</v>
          </cell>
        </row>
        <row r="374">
          <cell r="CA374" t="str">
            <v>.</v>
          </cell>
        </row>
        <row r="375">
          <cell r="CA375" t="str">
            <v>.</v>
          </cell>
        </row>
        <row r="376">
          <cell r="CA376" t="str">
            <v>.</v>
          </cell>
        </row>
        <row r="377">
          <cell r="CA377" t="str">
            <v>.</v>
          </cell>
        </row>
        <row r="378">
          <cell r="CA378" t="str">
            <v>.</v>
          </cell>
        </row>
        <row r="379">
          <cell r="CA379" t="str">
            <v>.</v>
          </cell>
        </row>
        <row r="380">
          <cell r="CA380" t="str">
            <v>.</v>
          </cell>
        </row>
        <row r="381">
          <cell r="CA381" t="str">
            <v>.</v>
          </cell>
        </row>
        <row r="382">
          <cell r="CA382" t="str">
            <v>.</v>
          </cell>
        </row>
        <row r="383">
          <cell r="CA383" t="str">
            <v>.</v>
          </cell>
        </row>
        <row r="384">
          <cell r="CA384" t="str">
            <v>.</v>
          </cell>
        </row>
        <row r="385">
          <cell r="CA385" t="str">
            <v>.</v>
          </cell>
        </row>
        <row r="386">
          <cell r="CA386" t="str">
            <v>.</v>
          </cell>
        </row>
        <row r="387">
          <cell r="CA387" t="str">
            <v>.</v>
          </cell>
        </row>
        <row r="388">
          <cell r="CA388" t="str">
            <v>.</v>
          </cell>
        </row>
        <row r="389">
          <cell r="CA389" t="str">
            <v>.</v>
          </cell>
        </row>
        <row r="390">
          <cell r="CA390" t="str">
            <v>.</v>
          </cell>
        </row>
        <row r="391">
          <cell r="CA391" t="str">
            <v>.</v>
          </cell>
        </row>
        <row r="392">
          <cell r="CA392" t="str">
            <v>.</v>
          </cell>
        </row>
        <row r="393">
          <cell r="CA393" t="str">
            <v>.</v>
          </cell>
        </row>
        <row r="394">
          <cell r="CA394" t="str">
            <v>.</v>
          </cell>
        </row>
        <row r="395">
          <cell r="CA395" t="str">
            <v>.</v>
          </cell>
        </row>
        <row r="396">
          <cell r="CA396" t="str">
            <v>.</v>
          </cell>
        </row>
        <row r="397">
          <cell r="CA397" t="str">
            <v>.</v>
          </cell>
        </row>
        <row r="398">
          <cell r="CA398" t="str">
            <v>.</v>
          </cell>
        </row>
        <row r="399">
          <cell r="CA399" t="str">
            <v>.</v>
          </cell>
        </row>
        <row r="400">
          <cell r="CA400" t="str">
            <v>.</v>
          </cell>
        </row>
        <row r="401">
          <cell r="CA401" t="str">
            <v>.</v>
          </cell>
        </row>
        <row r="402">
          <cell r="CA402" t="str">
            <v>.</v>
          </cell>
        </row>
        <row r="403">
          <cell r="CA403" t="str">
            <v>.</v>
          </cell>
        </row>
        <row r="404">
          <cell r="CA404" t="str">
            <v>.</v>
          </cell>
        </row>
        <row r="405">
          <cell r="CA405" t="str">
            <v>.</v>
          </cell>
        </row>
        <row r="406">
          <cell r="CA406" t="str">
            <v>.</v>
          </cell>
        </row>
        <row r="407">
          <cell r="CA407" t="str">
            <v>.</v>
          </cell>
        </row>
        <row r="408">
          <cell r="CA408" t="str">
            <v>.</v>
          </cell>
        </row>
        <row r="409">
          <cell r="CA409" t="str">
            <v>.</v>
          </cell>
        </row>
        <row r="410">
          <cell r="CA410" t="str">
            <v>.</v>
          </cell>
        </row>
        <row r="411">
          <cell r="CA411" t="str">
            <v>.</v>
          </cell>
        </row>
        <row r="412">
          <cell r="CA412" t="str">
            <v>.</v>
          </cell>
        </row>
        <row r="413">
          <cell r="CA413" t="str">
            <v>.</v>
          </cell>
        </row>
        <row r="414">
          <cell r="CA414" t="str">
            <v>.</v>
          </cell>
        </row>
        <row r="415">
          <cell r="CA415" t="str">
            <v>.</v>
          </cell>
        </row>
        <row r="416">
          <cell r="CA416" t="str">
            <v>.</v>
          </cell>
        </row>
        <row r="417">
          <cell r="CA417" t="str">
            <v>.</v>
          </cell>
        </row>
        <row r="418">
          <cell r="CA418" t="str">
            <v>.</v>
          </cell>
        </row>
        <row r="419">
          <cell r="CA419" t="str">
            <v>.</v>
          </cell>
        </row>
        <row r="420">
          <cell r="CA420" t="str">
            <v>.</v>
          </cell>
        </row>
        <row r="421">
          <cell r="CA421" t="str">
            <v>.</v>
          </cell>
        </row>
        <row r="422">
          <cell r="CA422" t="str">
            <v>.</v>
          </cell>
        </row>
        <row r="423">
          <cell r="CA423" t="str">
            <v>.</v>
          </cell>
        </row>
        <row r="424">
          <cell r="CA424" t="str">
            <v>.</v>
          </cell>
        </row>
        <row r="425">
          <cell r="CA425" t="str">
            <v>.</v>
          </cell>
        </row>
        <row r="426">
          <cell r="CA426" t="str">
            <v>.</v>
          </cell>
        </row>
        <row r="427">
          <cell r="CA427" t="str">
            <v>.</v>
          </cell>
        </row>
        <row r="428">
          <cell r="CA428" t="str">
            <v>.</v>
          </cell>
        </row>
        <row r="429">
          <cell r="CA429" t="str">
            <v>.</v>
          </cell>
        </row>
        <row r="430">
          <cell r="CA430" t="str">
            <v>.</v>
          </cell>
        </row>
        <row r="431">
          <cell r="CA431" t="str">
            <v>.</v>
          </cell>
        </row>
        <row r="432">
          <cell r="CA432" t="str">
            <v>.</v>
          </cell>
        </row>
        <row r="433">
          <cell r="CA433" t="str">
            <v>.</v>
          </cell>
        </row>
        <row r="434">
          <cell r="CA434" t="str">
            <v>.</v>
          </cell>
        </row>
        <row r="435">
          <cell r="CA435" t="str">
            <v>.</v>
          </cell>
        </row>
        <row r="436">
          <cell r="CA436" t="str">
            <v>.</v>
          </cell>
        </row>
        <row r="437">
          <cell r="CA437" t="str">
            <v>.</v>
          </cell>
        </row>
        <row r="438">
          <cell r="CA438" t="str">
            <v>.</v>
          </cell>
        </row>
        <row r="439">
          <cell r="CA439" t="str">
            <v>.</v>
          </cell>
        </row>
        <row r="440">
          <cell r="CA440" t="str">
            <v>.</v>
          </cell>
        </row>
        <row r="441">
          <cell r="CA441" t="str">
            <v>.</v>
          </cell>
        </row>
        <row r="442">
          <cell r="CA442" t="str">
            <v>.</v>
          </cell>
        </row>
        <row r="443">
          <cell r="CA443" t="str">
            <v>.</v>
          </cell>
        </row>
        <row r="444">
          <cell r="CA444" t="str">
            <v>.</v>
          </cell>
        </row>
        <row r="445">
          <cell r="CA445" t="str">
            <v>.</v>
          </cell>
        </row>
        <row r="446">
          <cell r="CA446" t="str">
            <v>.</v>
          </cell>
        </row>
        <row r="447">
          <cell r="CA447" t="str">
            <v>.</v>
          </cell>
        </row>
        <row r="448">
          <cell r="CA448" t="str">
            <v>.</v>
          </cell>
        </row>
        <row r="449">
          <cell r="CA449" t="str">
            <v>.</v>
          </cell>
        </row>
        <row r="450">
          <cell r="CA450" t="str">
            <v>.</v>
          </cell>
        </row>
        <row r="451">
          <cell r="CA451" t="str">
            <v>.</v>
          </cell>
        </row>
        <row r="452">
          <cell r="CA452" t="str">
            <v>.</v>
          </cell>
        </row>
        <row r="453">
          <cell r="CA453" t="str">
            <v>.</v>
          </cell>
        </row>
        <row r="454">
          <cell r="CA454" t="str">
            <v>.</v>
          </cell>
        </row>
        <row r="455">
          <cell r="CA455" t="str">
            <v>.</v>
          </cell>
        </row>
        <row r="456">
          <cell r="CA456" t="str">
            <v>.</v>
          </cell>
        </row>
        <row r="457">
          <cell r="CA457" t="str">
            <v>.</v>
          </cell>
        </row>
        <row r="458">
          <cell r="CA458" t="str">
            <v>.</v>
          </cell>
        </row>
        <row r="459">
          <cell r="CA459" t="str">
            <v>.</v>
          </cell>
        </row>
        <row r="460">
          <cell r="CA460" t="str">
            <v>.</v>
          </cell>
        </row>
        <row r="461">
          <cell r="CA461" t="str">
            <v>.</v>
          </cell>
        </row>
        <row r="462">
          <cell r="CA462" t="str">
            <v>.</v>
          </cell>
        </row>
        <row r="463">
          <cell r="CA463" t="str">
            <v>.</v>
          </cell>
        </row>
        <row r="464">
          <cell r="CA464" t="str">
            <v>.</v>
          </cell>
        </row>
        <row r="465">
          <cell r="CA465" t="str">
            <v>.</v>
          </cell>
        </row>
        <row r="466">
          <cell r="CA466" t="str">
            <v>.</v>
          </cell>
        </row>
        <row r="467">
          <cell r="CA467" t="str">
            <v>.</v>
          </cell>
        </row>
        <row r="468">
          <cell r="CA468" t="str">
            <v>.</v>
          </cell>
        </row>
        <row r="469">
          <cell r="CA469" t="str">
            <v>.</v>
          </cell>
        </row>
        <row r="470">
          <cell r="CA470" t="str">
            <v>.</v>
          </cell>
        </row>
        <row r="471">
          <cell r="CA471" t="str">
            <v>.</v>
          </cell>
        </row>
        <row r="472">
          <cell r="CA472" t="str">
            <v>.</v>
          </cell>
        </row>
        <row r="473">
          <cell r="CA473" t="str">
            <v>.</v>
          </cell>
        </row>
        <row r="474">
          <cell r="CA474" t="str">
            <v>.</v>
          </cell>
        </row>
        <row r="475">
          <cell r="CA475" t="str">
            <v>.</v>
          </cell>
        </row>
        <row r="476">
          <cell r="CA476" t="str">
            <v>.</v>
          </cell>
        </row>
        <row r="477">
          <cell r="CA477" t="str">
            <v>.</v>
          </cell>
        </row>
        <row r="478">
          <cell r="CA478" t="str">
            <v>.</v>
          </cell>
        </row>
        <row r="479">
          <cell r="CA479" t="str">
            <v>.</v>
          </cell>
        </row>
        <row r="480">
          <cell r="CA480" t="str">
            <v>.</v>
          </cell>
        </row>
        <row r="481">
          <cell r="CA481" t="str">
            <v>.</v>
          </cell>
        </row>
        <row r="482">
          <cell r="CA482" t="str">
            <v>.</v>
          </cell>
        </row>
        <row r="483">
          <cell r="CA483" t="str">
            <v>.</v>
          </cell>
        </row>
        <row r="484">
          <cell r="CA484" t="str">
            <v>.</v>
          </cell>
        </row>
        <row r="485">
          <cell r="CA485" t="str">
            <v>.</v>
          </cell>
        </row>
        <row r="486">
          <cell r="CA486" t="str">
            <v>.</v>
          </cell>
        </row>
        <row r="487">
          <cell r="CA487" t="str">
            <v>.</v>
          </cell>
        </row>
        <row r="488">
          <cell r="CA488" t="str">
            <v>.</v>
          </cell>
        </row>
        <row r="489">
          <cell r="CA489" t="str">
            <v>.</v>
          </cell>
        </row>
        <row r="490">
          <cell r="CA490" t="str">
            <v>.</v>
          </cell>
        </row>
        <row r="491">
          <cell r="CA491" t="str">
            <v>.</v>
          </cell>
        </row>
        <row r="492">
          <cell r="CA492" t="str">
            <v>.</v>
          </cell>
        </row>
        <row r="493">
          <cell r="CA493" t="str">
            <v>.</v>
          </cell>
        </row>
        <row r="494">
          <cell r="CA494" t="str">
            <v>.</v>
          </cell>
        </row>
        <row r="495">
          <cell r="CA495" t="str">
            <v>.</v>
          </cell>
        </row>
        <row r="496">
          <cell r="CA496" t="str">
            <v>.</v>
          </cell>
        </row>
        <row r="497">
          <cell r="CA497" t="str">
            <v>.</v>
          </cell>
        </row>
        <row r="498">
          <cell r="CA498" t="str">
            <v>.</v>
          </cell>
        </row>
        <row r="499">
          <cell r="CA499" t="str">
            <v>.</v>
          </cell>
        </row>
        <row r="500">
          <cell r="CA500" t="str">
            <v>.</v>
          </cell>
        </row>
        <row r="501">
          <cell r="CA501" t="str">
            <v>.</v>
          </cell>
        </row>
        <row r="502">
          <cell r="CA502" t="str">
            <v>.</v>
          </cell>
        </row>
        <row r="503">
          <cell r="CA503" t="str">
            <v>.</v>
          </cell>
        </row>
        <row r="504">
          <cell r="CA504" t="str">
            <v>.</v>
          </cell>
        </row>
        <row r="505">
          <cell r="CA505" t="str">
            <v>.</v>
          </cell>
        </row>
        <row r="506">
          <cell r="CA506" t="str">
            <v>.</v>
          </cell>
        </row>
        <row r="507">
          <cell r="CA507" t="str">
            <v>.</v>
          </cell>
        </row>
        <row r="508">
          <cell r="CA508" t="str">
            <v>.</v>
          </cell>
        </row>
        <row r="509">
          <cell r="CA509" t="str">
            <v>.</v>
          </cell>
        </row>
        <row r="510">
          <cell r="CA510" t="str">
            <v>.</v>
          </cell>
        </row>
        <row r="511">
          <cell r="CA511" t="str">
            <v>.</v>
          </cell>
        </row>
        <row r="512">
          <cell r="CA512" t="str">
            <v>.</v>
          </cell>
        </row>
        <row r="513">
          <cell r="CA513" t="str">
            <v>.</v>
          </cell>
        </row>
        <row r="514">
          <cell r="CA514" t="str">
            <v>.</v>
          </cell>
        </row>
        <row r="515">
          <cell r="CA515" t="str">
            <v>.</v>
          </cell>
        </row>
        <row r="516">
          <cell r="CA516" t="str">
            <v>.</v>
          </cell>
        </row>
        <row r="517">
          <cell r="CA517" t="str">
            <v>.</v>
          </cell>
        </row>
        <row r="518">
          <cell r="CA518" t="str">
            <v>.</v>
          </cell>
        </row>
        <row r="519">
          <cell r="CA519" t="str">
            <v>.</v>
          </cell>
        </row>
        <row r="520">
          <cell r="CA520" t="str">
            <v>.</v>
          </cell>
        </row>
        <row r="521">
          <cell r="CA521" t="str">
            <v>.</v>
          </cell>
        </row>
        <row r="522">
          <cell r="CA522" t="str">
            <v>.</v>
          </cell>
        </row>
        <row r="523">
          <cell r="CA523" t="str">
            <v>.</v>
          </cell>
        </row>
        <row r="524">
          <cell r="CA524" t="str">
            <v>.</v>
          </cell>
        </row>
        <row r="525">
          <cell r="CA525" t="str">
            <v>.</v>
          </cell>
        </row>
        <row r="526">
          <cell r="CA526" t="str">
            <v>.</v>
          </cell>
        </row>
        <row r="527">
          <cell r="CA527" t="str">
            <v>.</v>
          </cell>
        </row>
        <row r="528">
          <cell r="CA528" t="str">
            <v>.</v>
          </cell>
        </row>
        <row r="529">
          <cell r="CA529" t="str">
            <v>.</v>
          </cell>
        </row>
        <row r="530">
          <cell r="CA530" t="str">
            <v>.</v>
          </cell>
        </row>
        <row r="531">
          <cell r="CA531" t="str">
            <v>.</v>
          </cell>
        </row>
        <row r="532">
          <cell r="CA532" t="str">
            <v>.</v>
          </cell>
        </row>
        <row r="533">
          <cell r="CA533" t="str">
            <v>.</v>
          </cell>
        </row>
        <row r="534">
          <cell r="CA534" t="str">
            <v>.</v>
          </cell>
        </row>
        <row r="535">
          <cell r="CA535" t="str">
            <v>.</v>
          </cell>
        </row>
        <row r="536">
          <cell r="CA536" t="str">
            <v>.</v>
          </cell>
        </row>
        <row r="537">
          <cell r="CA537" t="str">
            <v>.</v>
          </cell>
        </row>
        <row r="538">
          <cell r="CA538" t="str">
            <v>.</v>
          </cell>
        </row>
        <row r="539">
          <cell r="CA539" t="str">
            <v>.</v>
          </cell>
        </row>
        <row r="540">
          <cell r="CA540" t="str">
            <v>.</v>
          </cell>
        </row>
        <row r="541">
          <cell r="CA541" t="str">
            <v>.</v>
          </cell>
        </row>
        <row r="542">
          <cell r="CA542" t="str">
            <v>.</v>
          </cell>
        </row>
        <row r="543">
          <cell r="CA543" t="str">
            <v>.</v>
          </cell>
        </row>
        <row r="544">
          <cell r="CA544" t="str">
            <v>.</v>
          </cell>
        </row>
        <row r="545">
          <cell r="CA545" t="str">
            <v>.</v>
          </cell>
        </row>
        <row r="546">
          <cell r="CA546" t="str">
            <v>.</v>
          </cell>
        </row>
        <row r="547">
          <cell r="CA547" t="str">
            <v>.</v>
          </cell>
        </row>
        <row r="548">
          <cell r="CA548" t="str">
            <v>.</v>
          </cell>
        </row>
        <row r="549">
          <cell r="CA549" t="str">
            <v>.</v>
          </cell>
        </row>
        <row r="550">
          <cell r="CA550" t="str">
            <v>.</v>
          </cell>
        </row>
        <row r="551">
          <cell r="CA551" t="str">
            <v>.</v>
          </cell>
        </row>
        <row r="552">
          <cell r="CA552" t="str">
            <v>.</v>
          </cell>
        </row>
        <row r="553">
          <cell r="CA553" t="str">
            <v>.</v>
          </cell>
        </row>
        <row r="554">
          <cell r="CA554" t="str">
            <v>.</v>
          </cell>
        </row>
        <row r="555">
          <cell r="CA555" t="str">
            <v>.</v>
          </cell>
        </row>
        <row r="556">
          <cell r="CA556" t="str">
            <v>.</v>
          </cell>
        </row>
        <row r="557">
          <cell r="CA557" t="str">
            <v>.</v>
          </cell>
        </row>
        <row r="558">
          <cell r="CA558" t="str">
            <v>.</v>
          </cell>
        </row>
        <row r="559">
          <cell r="CA559" t="str">
            <v>.</v>
          </cell>
        </row>
        <row r="560">
          <cell r="CA560" t="str">
            <v>.</v>
          </cell>
        </row>
        <row r="561">
          <cell r="CA561" t="str">
            <v>.</v>
          </cell>
        </row>
        <row r="562">
          <cell r="CA562" t="str">
            <v>.</v>
          </cell>
        </row>
        <row r="563">
          <cell r="CA563" t="str">
            <v>.</v>
          </cell>
        </row>
        <row r="564">
          <cell r="CA564" t="str">
            <v>.</v>
          </cell>
        </row>
        <row r="565">
          <cell r="CA565" t="str">
            <v>.</v>
          </cell>
        </row>
        <row r="566">
          <cell r="CA566" t="str">
            <v>.</v>
          </cell>
        </row>
        <row r="567">
          <cell r="CA567" t="str">
            <v>.</v>
          </cell>
        </row>
        <row r="568">
          <cell r="CA568" t="str">
            <v>.</v>
          </cell>
        </row>
        <row r="569">
          <cell r="CA569" t="str">
            <v>.</v>
          </cell>
        </row>
        <row r="570">
          <cell r="CA570" t="str">
            <v>.</v>
          </cell>
        </row>
        <row r="571">
          <cell r="CA571" t="str">
            <v>.</v>
          </cell>
        </row>
        <row r="572">
          <cell r="CA572" t="str">
            <v>.</v>
          </cell>
        </row>
        <row r="573">
          <cell r="CA573" t="str">
            <v>.</v>
          </cell>
        </row>
        <row r="574">
          <cell r="CA574" t="str">
            <v>.</v>
          </cell>
        </row>
        <row r="575">
          <cell r="CA575" t="str">
            <v>.</v>
          </cell>
        </row>
        <row r="576">
          <cell r="CA576" t="str">
            <v>.</v>
          </cell>
        </row>
        <row r="577">
          <cell r="CA577" t="str">
            <v>.</v>
          </cell>
        </row>
        <row r="578">
          <cell r="CA578" t="str">
            <v>.</v>
          </cell>
        </row>
        <row r="579">
          <cell r="CA579" t="str">
            <v>.</v>
          </cell>
        </row>
        <row r="580">
          <cell r="CA580" t="str">
            <v>.</v>
          </cell>
        </row>
        <row r="581">
          <cell r="CA581" t="str">
            <v>.</v>
          </cell>
        </row>
        <row r="582">
          <cell r="CA582" t="str">
            <v>.</v>
          </cell>
        </row>
        <row r="583">
          <cell r="CA583" t="str">
            <v>.</v>
          </cell>
        </row>
        <row r="584">
          <cell r="CA584" t="str">
            <v>.</v>
          </cell>
        </row>
        <row r="585">
          <cell r="CA585" t="str">
            <v>.</v>
          </cell>
        </row>
        <row r="586">
          <cell r="CA586" t="str">
            <v>.</v>
          </cell>
        </row>
        <row r="587">
          <cell r="CA587" t="str">
            <v>.</v>
          </cell>
        </row>
        <row r="588">
          <cell r="CA588" t="str">
            <v>.</v>
          </cell>
        </row>
        <row r="589">
          <cell r="CA589" t="str">
            <v>.</v>
          </cell>
        </row>
        <row r="590">
          <cell r="CA590" t="str">
            <v>.</v>
          </cell>
        </row>
        <row r="591">
          <cell r="CA591" t="str">
            <v>.</v>
          </cell>
        </row>
        <row r="592">
          <cell r="CA592" t="str">
            <v>.</v>
          </cell>
        </row>
        <row r="593">
          <cell r="CA593" t="str">
            <v>.</v>
          </cell>
        </row>
        <row r="594">
          <cell r="CA594" t="str">
            <v>.</v>
          </cell>
        </row>
        <row r="595">
          <cell r="CA595" t="str">
            <v>.</v>
          </cell>
        </row>
        <row r="596">
          <cell r="CA596" t="str">
            <v>.</v>
          </cell>
        </row>
        <row r="597">
          <cell r="CA597" t="str">
            <v>.</v>
          </cell>
        </row>
        <row r="598">
          <cell r="CA598" t="str">
            <v>.</v>
          </cell>
        </row>
        <row r="599">
          <cell r="CA599" t="str">
            <v>.</v>
          </cell>
        </row>
        <row r="600">
          <cell r="CA600" t="str">
            <v>.</v>
          </cell>
        </row>
        <row r="601">
          <cell r="CA601" t="str">
            <v>.</v>
          </cell>
        </row>
        <row r="602">
          <cell r="CA602" t="str">
            <v>.</v>
          </cell>
        </row>
        <row r="603">
          <cell r="CA603" t="str">
            <v>.</v>
          </cell>
        </row>
        <row r="604">
          <cell r="CA604" t="str">
            <v>.</v>
          </cell>
        </row>
        <row r="605">
          <cell r="CA605" t="str">
            <v>.</v>
          </cell>
        </row>
        <row r="606">
          <cell r="CA606" t="str">
            <v>.</v>
          </cell>
        </row>
        <row r="607">
          <cell r="CA607" t="str">
            <v>.</v>
          </cell>
        </row>
        <row r="608">
          <cell r="CA608" t="str">
            <v>.</v>
          </cell>
        </row>
        <row r="609">
          <cell r="CA609" t="str">
            <v>.</v>
          </cell>
        </row>
        <row r="610">
          <cell r="CA610" t="str">
            <v>.</v>
          </cell>
        </row>
        <row r="611">
          <cell r="CA611" t="str">
            <v>.</v>
          </cell>
        </row>
        <row r="612">
          <cell r="CA612" t="str">
            <v>.</v>
          </cell>
        </row>
        <row r="613">
          <cell r="CA613" t="str">
            <v>.</v>
          </cell>
        </row>
        <row r="614">
          <cell r="CA614" t="str">
            <v>.</v>
          </cell>
        </row>
        <row r="615">
          <cell r="CA615" t="str">
            <v>.</v>
          </cell>
        </row>
        <row r="616">
          <cell r="CA616" t="str">
            <v>.</v>
          </cell>
        </row>
        <row r="617">
          <cell r="CA617" t="str">
            <v>.</v>
          </cell>
        </row>
        <row r="618">
          <cell r="CA618" t="str">
            <v>.</v>
          </cell>
        </row>
        <row r="619">
          <cell r="CA619" t="str">
            <v>.</v>
          </cell>
        </row>
        <row r="620">
          <cell r="CA620" t="str">
            <v>.</v>
          </cell>
        </row>
        <row r="621">
          <cell r="CA621" t="str">
            <v>.</v>
          </cell>
        </row>
        <row r="622">
          <cell r="CA622" t="str">
            <v>.</v>
          </cell>
        </row>
        <row r="623">
          <cell r="CA623" t="str">
            <v>.</v>
          </cell>
        </row>
        <row r="624">
          <cell r="CA624" t="str">
            <v>.</v>
          </cell>
        </row>
        <row r="625">
          <cell r="CA625" t="str">
            <v>.</v>
          </cell>
        </row>
        <row r="626">
          <cell r="CA626" t="str">
            <v>.</v>
          </cell>
        </row>
        <row r="627">
          <cell r="CA627" t="str">
            <v>.</v>
          </cell>
        </row>
        <row r="628">
          <cell r="CA628" t="str">
            <v>.</v>
          </cell>
        </row>
        <row r="629">
          <cell r="CA629" t="str">
            <v>.</v>
          </cell>
        </row>
        <row r="630">
          <cell r="CA630" t="str">
            <v>.</v>
          </cell>
        </row>
        <row r="631">
          <cell r="CA631" t="str">
            <v>.</v>
          </cell>
        </row>
        <row r="632">
          <cell r="CA632" t="str">
            <v>.</v>
          </cell>
        </row>
        <row r="633">
          <cell r="CA633" t="str">
            <v>.</v>
          </cell>
        </row>
        <row r="634">
          <cell r="CA634" t="str">
            <v>.</v>
          </cell>
        </row>
        <row r="635">
          <cell r="CA635" t="str">
            <v>.</v>
          </cell>
        </row>
        <row r="636">
          <cell r="CA636" t="str">
            <v>.</v>
          </cell>
        </row>
        <row r="637">
          <cell r="CA637" t="str">
            <v>.</v>
          </cell>
        </row>
        <row r="638">
          <cell r="CA638" t="str">
            <v>.</v>
          </cell>
        </row>
        <row r="639">
          <cell r="CA639" t="str">
            <v>.</v>
          </cell>
        </row>
        <row r="640">
          <cell r="CA640" t="str">
            <v>.</v>
          </cell>
        </row>
        <row r="641">
          <cell r="CA641" t="str">
            <v>.</v>
          </cell>
        </row>
        <row r="642">
          <cell r="CA642" t="str">
            <v>.</v>
          </cell>
        </row>
        <row r="643">
          <cell r="CA643" t="str">
            <v>.</v>
          </cell>
        </row>
        <row r="644">
          <cell r="CA644" t="str">
            <v>.</v>
          </cell>
        </row>
        <row r="645">
          <cell r="CA645" t="str">
            <v>.</v>
          </cell>
        </row>
        <row r="646">
          <cell r="CA646" t="str">
            <v>.</v>
          </cell>
        </row>
        <row r="647">
          <cell r="CA647" t="str">
            <v>.</v>
          </cell>
        </row>
        <row r="648">
          <cell r="CA648" t="str">
            <v>.</v>
          </cell>
        </row>
        <row r="649">
          <cell r="CA649" t="str">
            <v>.</v>
          </cell>
        </row>
        <row r="650">
          <cell r="CA650" t="str">
            <v>.</v>
          </cell>
        </row>
        <row r="651">
          <cell r="CA651" t="str">
            <v>.</v>
          </cell>
        </row>
        <row r="652">
          <cell r="CA652" t="str">
            <v>.</v>
          </cell>
        </row>
        <row r="653">
          <cell r="CA653" t="str">
            <v>.</v>
          </cell>
        </row>
        <row r="654">
          <cell r="CA654" t="str">
            <v>.</v>
          </cell>
        </row>
        <row r="655">
          <cell r="CA655" t="str">
            <v>.</v>
          </cell>
        </row>
        <row r="656">
          <cell r="CA656" t="str">
            <v>.</v>
          </cell>
        </row>
        <row r="657">
          <cell r="CA657" t="str">
            <v>.</v>
          </cell>
        </row>
        <row r="658">
          <cell r="CA658" t="str">
            <v>.</v>
          </cell>
        </row>
        <row r="659">
          <cell r="CA659" t="str">
            <v>.</v>
          </cell>
        </row>
        <row r="660">
          <cell r="CA660" t="str">
            <v>.</v>
          </cell>
        </row>
        <row r="661">
          <cell r="CA661" t="str">
            <v>.</v>
          </cell>
        </row>
        <row r="662">
          <cell r="CA662" t="str">
            <v>.</v>
          </cell>
        </row>
        <row r="663">
          <cell r="CA663" t="str">
            <v>.</v>
          </cell>
        </row>
        <row r="664">
          <cell r="CA664" t="str">
            <v>.</v>
          </cell>
        </row>
        <row r="665">
          <cell r="CA665" t="str">
            <v>.</v>
          </cell>
        </row>
        <row r="666">
          <cell r="CA666" t="str">
            <v>.</v>
          </cell>
        </row>
        <row r="667">
          <cell r="CA667" t="str">
            <v>.</v>
          </cell>
        </row>
        <row r="668">
          <cell r="CA668" t="str">
            <v>.</v>
          </cell>
        </row>
        <row r="669">
          <cell r="CA669" t="str">
            <v>.</v>
          </cell>
        </row>
        <row r="670">
          <cell r="CA670" t="str">
            <v>.</v>
          </cell>
        </row>
        <row r="671">
          <cell r="CA671" t="str">
            <v>.</v>
          </cell>
        </row>
        <row r="672">
          <cell r="CA672" t="str">
            <v>.</v>
          </cell>
        </row>
        <row r="673">
          <cell r="CA673" t="str">
            <v>.</v>
          </cell>
        </row>
        <row r="674">
          <cell r="CA674" t="str">
            <v>.</v>
          </cell>
        </row>
        <row r="675">
          <cell r="CA675" t="str">
            <v>.</v>
          </cell>
        </row>
        <row r="676">
          <cell r="CA676" t="str">
            <v>.</v>
          </cell>
        </row>
        <row r="677">
          <cell r="CA677" t="str">
            <v>.</v>
          </cell>
        </row>
        <row r="678">
          <cell r="CA678" t="str">
            <v>.</v>
          </cell>
        </row>
        <row r="679">
          <cell r="CA679" t="str">
            <v>.</v>
          </cell>
        </row>
        <row r="680">
          <cell r="CA680" t="str">
            <v>.</v>
          </cell>
        </row>
        <row r="681">
          <cell r="CA681" t="str">
            <v>.</v>
          </cell>
        </row>
        <row r="682">
          <cell r="CA682" t="str">
            <v>.</v>
          </cell>
        </row>
        <row r="683">
          <cell r="CA683" t="str">
            <v>.</v>
          </cell>
        </row>
        <row r="684">
          <cell r="CA684" t="str">
            <v>.</v>
          </cell>
        </row>
        <row r="685">
          <cell r="CA685" t="str">
            <v>.</v>
          </cell>
        </row>
        <row r="686">
          <cell r="CA686" t="str">
            <v>.</v>
          </cell>
        </row>
        <row r="687">
          <cell r="CA687" t="str">
            <v>.</v>
          </cell>
        </row>
        <row r="688">
          <cell r="CA688" t="str">
            <v>.</v>
          </cell>
        </row>
        <row r="689">
          <cell r="CA689" t="str">
            <v>.</v>
          </cell>
        </row>
        <row r="690">
          <cell r="CA690" t="str">
            <v>.</v>
          </cell>
        </row>
        <row r="691">
          <cell r="CA691" t="str">
            <v>.</v>
          </cell>
        </row>
        <row r="692">
          <cell r="CA692" t="str">
            <v>.</v>
          </cell>
        </row>
        <row r="693">
          <cell r="CA693" t="str">
            <v>.</v>
          </cell>
        </row>
        <row r="694">
          <cell r="CA694" t="str">
            <v>.</v>
          </cell>
        </row>
        <row r="695">
          <cell r="CA695" t="str">
            <v>.</v>
          </cell>
        </row>
        <row r="696">
          <cell r="CA696" t="str">
            <v>.</v>
          </cell>
        </row>
        <row r="697">
          <cell r="CA697" t="str">
            <v>.</v>
          </cell>
        </row>
        <row r="698">
          <cell r="CA698" t="str">
            <v>.</v>
          </cell>
        </row>
        <row r="699">
          <cell r="CA699" t="str">
            <v>.</v>
          </cell>
        </row>
        <row r="700">
          <cell r="CA700" t="str">
            <v>.</v>
          </cell>
        </row>
        <row r="701">
          <cell r="CA701" t="str">
            <v>.</v>
          </cell>
        </row>
        <row r="702">
          <cell r="CA702" t="str">
            <v>.</v>
          </cell>
        </row>
        <row r="703">
          <cell r="CA703" t="str">
            <v>.</v>
          </cell>
        </row>
        <row r="704">
          <cell r="CA704" t="str">
            <v>.</v>
          </cell>
        </row>
        <row r="705">
          <cell r="CA705" t="str">
            <v>.</v>
          </cell>
        </row>
        <row r="706">
          <cell r="CA706" t="str">
            <v>.</v>
          </cell>
        </row>
        <row r="707">
          <cell r="CA707" t="str">
            <v>.</v>
          </cell>
        </row>
        <row r="708">
          <cell r="CA708" t="str">
            <v>.</v>
          </cell>
        </row>
        <row r="709">
          <cell r="CA709" t="str">
            <v>.</v>
          </cell>
        </row>
        <row r="710">
          <cell r="CA710" t="str">
            <v>.</v>
          </cell>
        </row>
        <row r="711">
          <cell r="CA711" t="str">
            <v>.</v>
          </cell>
        </row>
        <row r="712">
          <cell r="CA712" t="str">
            <v>.</v>
          </cell>
        </row>
        <row r="713">
          <cell r="CA713" t="str">
            <v>.</v>
          </cell>
        </row>
        <row r="714">
          <cell r="CA714" t="str">
            <v>.</v>
          </cell>
        </row>
        <row r="715">
          <cell r="CA715" t="str">
            <v>.</v>
          </cell>
        </row>
        <row r="716">
          <cell r="CA716" t="str">
            <v>.</v>
          </cell>
        </row>
        <row r="717">
          <cell r="CA717" t="str">
            <v>.</v>
          </cell>
        </row>
        <row r="718">
          <cell r="CA718" t="str">
            <v>.</v>
          </cell>
        </row>
        <row r="719">
          <cell r="CA719" t="str">
            <v>.</v>
          </cell>
        </row>
        <row r="720">
          <cell r="CA720" t="str">
            <v>.</v>
          </cell>
        </row>
        <row r="721">
          <cell r="CA721" t="str">
            <v>.</v>
          </cell>
        </row>
        <row r="722">
          <cell r="CA722" t="str">
            <v>.</v>
          </cell>
        </row>
        <row r="723">
          <cell r="CA723" t="str">
            <v>.</v>
          </cell>
        </row>
        <row r="724">
          <cell r="CA724" t="str">
            <v>.</v>
          </cell>
        </row>
        <row r="725">
          <cell r="CA725" t="str">
            <v>.</v>
          </cell>
        </row>
        <row r="726">
          <cell r="CA726" t="str">
            <v>.</v>
          </cell>
        </row>
        <row r="727">
          <cell r="CA727" t="str">
            <v>.</v>
          </cell>
        </row>
        <row r="728">
          <cell r="CA728" t="str">
            <v>.</v>
          </cell>
        </row>
        <row r="729">
          <cell r="CA729" t="str">
            <v>.</v>
          </cell>
        </row>
        <row r="730">
          <cell r="CA730" t="str">
            <v>.</v>
          </cell>
        </row>
        <row r="731">
          <cell r="CA731" t="str">
            <v>.</v>
          </cell>
        </row>
        <row r="732">
          <cell r="CA732" t="str">
            <v>.</v>
          </cell>
        </row>
        <row r="733">
          <cell r="CA733" t="str">
            <v>.</v>
          </cell>
        </row>
        <row r="734">
          <cell r="CA734" t="str">
            <v>.</v>
          </cell>
        </row>
        <row r="735">
          <cell r="CA735" t="str">
            <v>.</v>
          </cell>
        </row>
        <row r="736">
          <cell r="CA736" t="str">
            <v>.</v>
          </cell>
        </row>
        <row r="737">
          <cell r="CA737" t="str">
            <v>.</v>
          </cell>
        </row>
        <row r="738">
          <cell r="CA738" t="str">
            <v>.</v>
          </cell>
        </row>
        <row r="739">
          <cell r="CA739" t="str">
            <v>.</v>
          </cell>
        </row>
        <row r="740">
          <cell r="CA740" t="str">
            <v>.</v>
          </cell>
        </row>
        <row r="741">
          <cell r="CA741" t="str">
            <v>.</v>
          </cell>
        </row>
        <row r="742">
          <cell r="CA742" t="str">
            <v>.</v>
          </cell>
        </row>
        <row r="743">
          <cell r="CA743" t="str">
            <v>.</v>
          </cell>
        </row>
        <row r="744">
          <cell r="CA744" t="str">
            <v>.</v>
          </cell>
        </row>
        <row r="745">
          <cell r="CA745" t="str">
            <v>.</v>
          </cell>
        </row>
        <row r="746">
          <cell r="CA746" t="str">
            <v>.</v>
          </cell>
        </row>
        <row r="747">
          <cell r="CA747" t="str">
            <v>.</v>
          </cell>
        </row>
        <row r="748">
          <cell r="CA748" t="str">
            <v>.</v>
          </cell>
        </row>
        <row r="749">
          <cell r="CA749" t="str">
            <v>.</v>
          </cell>
        </row>
        <row r="750">
          <cell r="CA750" t="str">
            <v>.</v>
          </cell>
        </row>
        <row r="751">
          <cell r="CA751" t="str">
            <v>.</v>
          </cell>
        </row>
        <row r="752">
          <cell r="CA752" t="str">
            <v>.</v>
          </cell>
        </row>
        <row r="753">
          <cell r="CA753" t="str">
            <v>.</v>
          </cell>
        </row>
        <row r="754">
          <cell r="CA754" t="str">
            <v>.</v>
          </cell>
        </row>
        <row r="755">
          <cell r="CA755" t="str">
            <v>.</v>
          </cell>
        </row>
        <row r="756">
          <cell r="CA756" t="str">
            <v>.</v>
          </cell>
        </row>
        <row r="757">
          <cell r="CA757" t="str">
            <v>.</v>
          </cell>
        </row>
        <row r="758">
          <cell r="CA758" t="str">
            <v>.</v>
          </cell>
        </row>
        <row r="759">
          <cell r="CA759" t="str">
            <v>.</v>
          </cell>
        </row>
        <row r="760">
          <cell r="CA760" t="str">
            <v>.</v>
          </cell>
        </row>
        <row r="761">
          <cell r="CA761" t="str">
            <v>.</v>
          </cell>
        </row>
        <row r="762">
          <cell r="CA762" t="str">
            <v>.</v>
          </cell>
        </row>
        <row r="763">
          <cell r="CA763" t="str">
            <v>.</v>
          </cell>
        </row>
        <row r="764">
          <cell r="CA764" t="str">
            <v>.</v>
          </cell>
        </row>
        <row r="765">
          <cell r="CA765" t="str">
            <v>.</v>
          </cell>
        </row>
        <row r="766">
          <cell r="CA766" t="str">
            <v>.</v>
          </cell>
        </row>
        <row r="767">
          <cell r="CA767" t="str">
            <v>.</v>
          </cell>
        </row>
        <row r="768">
          <cell r="CA768" t="str">
            <v>.</v>
          </cell>
        </row>
        <row r="769">
          <cell r="CA769" t="str">
            <v>.</v>
          </cell>
        </row>
        <row r="770">
          <cell r="CA770" t="str">
            <v>.</v>
          </cell>
        </row>
        <row r="771">
          <cell r="CA771" t="str">
            <v>.</v>
          </cell>
        </row>
        <row r="772">
          <cell r="CA772" t="str">
            <v>.</v>
          </cell>
        </row>
        <row r="773">
          <cell r="CA773" t="str">
            <v>.</v>
          </cell>
        </row>
        <row r="774">
          <cell r="CA774" t="str">
            <v>.</v>
          </cell>
        </row>
        <row r="775">
          <cell r="CA775" t="str">
            <v>.</v>
          </cell>
        </row>
        <row r="776">
          <cell r="CA776" t="str">
            <v>.</v>
          </cell>
        </row>
        <row r="777">
          <cell r="CA777" t="str">
            <v>.</v>
          </cell>
        </row>
        <row r="778">
          <cell r="CA778" t="str">
            <v>.</v>
          </cell>
        </row>
        <row r="779">
          <cell r="CA779" t="str">
            <v>.</v>
          </cell>
        </row>
        <row r="780">
          <cell r="CA780" t="str">
            <v>.</v>
          </cell>
        </row>
        <row r="781">
          <cell r="CA781" t="str">
            <v>.</v>
          </cell>
        </row>
        <row r="782">
          <cell r="CA782" t="str">
            <v>.</v>
          </cell>
        </row>
        <row r="783">
          <cell r="CA783" t="str">
            <v>.</v>
          </cell>
        </row>
        <row r="784">
          <cell r="CA784" t="str">
            <v>.</v>
          </cell>
        </row>
        <row r="785">
          <cell r="CA785" t="str">
            <v>.</v>
          </cell>
        </row>
        <row r="786">
          <cell r="CA786" t="str">
            <v>.</v>
          </cell>
        </row>
        <row r="787">
          <cell r="CA787" t="str">
            <v>.</v>
          </cell>
        </row>
        <row r="788">
          <cell r="CA788" t="str">
            <v>.</v>
          </cell>
        </row>
        <row r="789">
          <cell r="CA789" t="str">
            <v>.</v>
          </cell>
        </row>
        <row r="790">
          <cell r="CA790" t="str">
            <v>.</v>
          </cell>
        </row>
        <row r="791">
          <cell r="CA791" t="str">
            <v>.</v>
          </cell>
        </row>
        <row r="792">
          <cell r="CA792" t="str">
            <v>.</v>
          </cell>
        </row>
        <row r="793">
          <cell r="CA793" t="str">
            <v>.</v>
          </cell>
        </row>
        <row r="794">
          <cell r="CA794" t="str">
            <v>.</v>
          </cell>
        </row>
        <row r="795">
          <cell r="CA795" t="str">
            <v>.</v>
          </cell>
        </row>
        <row r="796">
          <cell r="CA796" t="str">
            <v>.</v>
          </cell>
        </row>
        <row r="797">
          <cell r="CA797" t="str">
            <v>.</v>
          </cell>
        </row>
        <row r="798">
          <cell r="CA798" t="str">
            <v>.</v>
          </cell>
        </row>
        <row r="799">
          <cell r="CA799" t="str">
            <v>.</v>
          </cell>
        </row>
        <row r="800">
          <cell r="CA800" t="str">
            <v>.</v>
          </cell>
        </row>
        <row r="801">
          <cell r="CA801" t="str">
            <v>.</v>
          </cell>
        </row>
        <row r="802">
          <cell r="CA802" t="str">
            <v>.</v>
          </cell>
        </row>
        <row r="803">
          <cell r="CA803" t="str">
            <v>.</v>
          </cell>
        </row>
        <row r="804">
          <cell r="CA804" t="str">
            <v>.</v>
          </cell>
        </row>
        <row r="805">
          <cell r="CA805" t="str">
            <v>.</v>
          </cell>
        </row>
        <row r="806">
          <cell r="CA806" t="str">
            <v>.</v>
          </cell>
        </row>
        <row r="807">
          <cell r="CA807" t="str">
            <v>.</v>
          </cell>
        </row>
        <row r="808">
          <cell r="CA808" t="str">
            <v>.</v>
          </cell>
        </row>
        <row r="809">
          <cell r="CA809" t="str">
            <v>.</v>
          </cell>
        </row>
        <row r="810">
          <cell r="CA810" t="str">
            <v>.</v>
          </cell>
        </row>
        <row r="811">
          <cell r="CA811" t="str">
            <v>.</v>
          </cell>
        </row>
        <row r="812">
          <cell r="CA812" t="str">
            <v>.</v>
          </cell>
        </row>
        <row r="813">
          <cell r="CA813" t="str">
            <v>.</v>
          </cell>
        </row>
        <row r="814">
          <cell r="CA814" t="str">
            <v>.</v>
          </cell>
        </row>
        <row r="815">
          <cell r="CA815" t="str">
            <v>.</v>
          </cell>
        </row>
        <row r="816">
          <cell r="CA816" t="str">
            <v>.</v>
          </cell>
        </row>
        <row r="817">
          <cell r="CA817" t="str">
            <v>.</v>
          </cell>
        </row>
        <row r="818">
          <cell r="CA818" t="str">
            <v>.</v>
          </cell>
        </row>
        <row r="819">
          <cell r="CA819" t="str">
            <v>.</v>
          </cell>
        </row>
        <row r="820">
          <cell r="CA820" t="str">
            <v>.</v>
          </cell>
        </row>
        <row r="821">
          <cell r="CA821" t="str">
            <v>.</v>
          </cell>
        </row>
        <row r="822">
          <cell r="CA822" t="str">
            <v>.</v>
          </cell>
        </row>
        <row r="823">
          <cell r="CA823" t="str">
            <v>.</v>
          </cell>
        </row>
        <row r="824">
          <cell r="CA824" t="str">
            <v>.</v>
          </cell>
        </row>
        <row r="825">
          <cell r="CA825" t="str">
            <v>.</v>
          </cell>
        </row>
        <row r="826">
          <cell r="CA826" t="str">
            <v>.</v>
          </cell>
        </row>
        <row r="827">
          <cell r="CA827" t="str">
            <v>.</v>
          </cell>
        </row>
        <row r="828">
          <cell r="CA828" t="str">
            <v>.</v>
          </cell>
        </row>
        <row r="829">
          <cell r="CA829" t="str">
            <v>.</v>
          </cell>
        </row>
        <row r="830">
          <cell r="CA830" t="str">
            <v>.</v>
          </cell>
        </row>
        <row r="831">
          <cell r="CA831" t="str">
            <v>.</v>
          </cell>
        </row>
        <row r="832">
          <cell r="CA832" t="str">
            <v>.</v>
          </cell>
        </row>
        <row r="833">
          <cell r="CA833" t="str">
            <v>.</v>
          </cell>
        </row>
        <row r="834">
          <cell r="CA834" t="str">
            <v>.</v>
          </cell>
        </row>
        <row r="835">
          <cell r="CA835" t="str">
            <v>.</v>
          </cell>
        </row>
        <row r="836">
          <cell r="CA836" t="str">
            <v>.</v>
          </cell>
        </row>
        <row r="837">
          <cell r="CA837" t="str">
            <v>.</v>
          </cell>
        </row>
        <row r="838">
          <cell r="CA838" t="str">
            <v>.</v>
          </cell>
        </row>
        <row r="839">
          <cell r="CA839" t="str">
            <v>.</v>
          </cell>
        </row>
        <row r="840">
          <cell r="CA840" t="str">
            <v>.</v>
          </cell>
        </row>
        <row r="841">
          <cell r="CA841" t="str">
            <v>.</v>
          </cell>
        </row>
        <row r="842">
          <cell r="CA842" t="str">
            <v>.</v>
          </cell>
        </row>
        <row r="843">
          <cell r="CA843" t="str">
            <v>.</v>
          </cell>
        </row>
        <row r="844">
          <cell r="CA844" t="str">
            <v>.</v>
          </cell>
        </row>
        <row r="845">
          <cell r="CA845" t="str">
            <v>.</v>
          </cell>
        </row>
        <row r="846">
          <cell r="CA846" t="str">
            <v>.</v>
          </cell>
        </row>
        <row r="847">
          <cell r="CA847" t="str">
            <v>.</v>
          </cell>
        </row>
        <row r="848">
          <cell r="CA848" t="str">
            <v>.</v>
          </cell>
        </row>
        <row r="849">
          <cell r="CA849" t="str">
            <v>.</v>
          </cell>
        </row>
        <row r="850">
          <cell r="CA850" t="str">
            <v>.</v>
          </cell>
        </row>
        <row r="851">
          <cell r="CA851" t="str">
            <v>.</v>
          </cell>
        </row>
        <row r="852">
          <cell r="CA852" t="str">
            <v>.</v>
          </cell>
        </row>
        <row r="853">
          <cell r="CA853" t="str">
            <v>.</v>
          </cell>
        </row>
        <row r="854">
          <cell r="CA854" t="str">
            <v>.</v>
          </cell>
        </row>
        <row r="855">
          <cell r="CA855" t="str">
            <v>.</v>
          </cell>
        </row>
        <row r="856">
          <cell r="CA856" t="str">
            <v>.</v>
          </cell>
        </row>
        <row r="857">
          <cell r="CA857" t="str">
            <v>.</v>
          </cell>
        </row>
        <row r="858">
          <cell r="CA858" t="str">
            <v>.</v>
          </cell>
        </row>
        <row r="859">
          <cell r="CA859" t="str">
            <v>.</v>
          </cell>
        </row>
        <row r="860">
          <cell r="CA860" t="str">
            <v>.</v>
          </cell>
        </row>
        <row r="861">
          <cell r="CA861" t="str">
            <v>.</v>
          </cell>
        </row>
        <row r="862">
          <cell r="CA862" t="str">
            <v>.</v>
          </cell>
        </row>
        <row r="863">
          <cell r="CA863" t="str">
            <v>.</v>
          </cell>
        </row>
        <row r="864">
          <cell r="CA864" t="str">
            <v>.</v>
          </cell>
        </row>
        <row r="865">
          <cell r="CA865" t="str">
            <v>.</v>
          </cell>
        </row>
        <row r="866">
          <cell r="CA866" t="str">
            <v>.</v>
          </cell>
        </row>
        <row r="867">
          <cell r="CA867" t="str">
            <v>.</v>
          </cell>
        </row>
        <row r="868">
          <cell r="CA868" t="str">
            <v>.</v>
          </cell>
        </row>
        <row r="869">
          <cell r="CA869" t="str">
            <v>.</v>
          </cell>
        </row>
        <row r="870">
          <cell r="CA870" t="str">
            <v>.</v>
          </cell>
        </row>
        <row r="871">
          <cell r="CA871" t="str">
            <v>.</v>
          </cell>
        </row>
        <row r="872">
          <cell r="CA872" t="str">
            <v>.</v>
          </cell>
        </row>
        <row r="873">
          <cell r="CA873" t="str">
            <v>.</v>
          </cell>
        </row>
        <row r="874">
          <cell r="CA874" t="str">
            <v>.</v>
          </cell>
        </row>
        <row r="875">
          <cell r="CA875" t="str">
            <v>.</v>
          </cell>
        </row>
        <row r="876">
          <cell r="CA876" t="str">
            <v>.</v>
          </cell>
        </row>
        <row r="877">
          <cell r="CA877" t="str">
            <v>.</v>
          </cell>
        </row>
        <row r="878">
          <cell r="CA878" t="str">
            <v>.</v>
          </cell>
        </row>
        <row r="879">
          <cell r="CA879" t="str">
            <v>.</v>
          </cell>
        </row>
        <row r="880">
          <cell r="CA880" t="str">
            <v>.</v>
          </cell>
        </row>
        <row r="881">
          <cell r="CA881" t="str">
            <v>.</v>
          </cell>
        </row>
        <row r="882">
          <cell r="CA882" t="str">
            <v>.</v>
          </cell>
        </row>
        <row r="883">
          <cell r="CA883" t="str">
            <v>.</v>
          </cell>
        </row>
        <row r="884">
          <cell r="CA884" t="str">
            <v>.</v>
          </cell>
        </row>
        <row r="885">
          <cell r="CA885" t="str">
            <v>.</v>
          </cell>
        </row>
        <row r="886">
          <cell r="CA886" t="str">
            <v>.</v>
          </cell>
        </row>
        <row r="887">
          <cell r="CA887" t="str">
            <v>.</v>
          </cell>
        </row>
        <row r="888">
          <cell r="CA888" t="str">
            <v>.</v>
          </cell>
        </row>
        <row r="889">
          <cell r="CA889" t="str">
            <v>.</v>
          </cell>
        </row>
        <row r="890">
          <cell r="CA890" t="str">
            <v>.</v>
          </cell>
        </row>
        <row r="891">
          <cell r="CA891" t="str">
            <v>.</v>
          </cell>
        </row>
        <row r="892">
          <cell r="CA892" t="str">
            <v>.</v>
          </cell>
        </row>
        <row r="893">
          <cell r="CA893" t="str">
            <v>.</v>
          </cell>
        </row>
        <row r="894">
          <cell r="CA894" t="str">
            <v>.</v>
          </cell>
        </row>
        <row r="895">
          <cell r="CA895" t="str">
            <v>.</v>
          </cell>
        </row>
        <row r="896">
          <cell r="CA896" t="str">
            <v>.</v>
          </cell>
        </row>
        <row r="897">
          <cell r="CA897" t="str">
            <v>.</v>
          </cell>
        </row>
        <row r="898">
          <cell r="CA898" t="str">
            <v>.</v>
          </cell>
        </row>
        <row r="899">
          <cell r="CA899" t="str">
            <v>.</v>
          </cell>
        </row>
        <row r="900">
          <cell r="CA900" t="str">
            <v>.</v>
          </cell>
        </row>
        <row r="901">
          <cell r="CA901" t="str">
            <v>.</v>
          </cell>
        </row>
        <row r="902">
          <cell r="CA902" t="str">
            <v>.</v>
          </cell>
        </row>
        <row r="903">
          <cell r="CA903" t="str">
            <v>.</v>
          </cell>
        </row>
        <row r="904">
          <cell r="CA904" t="str">
            <v>.</v>
          </cell>
        </row>
        <row r="905">
          <cell r="CA905" t="str">
            <v>.</v>
          </cell>
        </row>
        <row r="906">
          <cell r="CA906" t="str">
            <v>.</v>
          </cell>
        </row>
        <row r="907">
          <cell r="CA907" t="str">
            <v>.</v>
          </cell>
        </row>
        <row r="908">
          <cell r="CA908" t="str">
            <v>.</v>
          </cell>
        </row>
        <row r="909">
          <cell r="CA909" t="str">
            <v>.</v>
          </cell>
        </row>
        <row r="910">
          <cell r="CA910" t="str">
            <v>.</v>
          </cell>
        </row>
        <row r="911">
          <cell r="CA911" t="str">
            <v>.</v>
          </cell>
        </row>
        <row r="912">
          <cell r="CA912" t="str">
            <v>.</v>
          </cell>
        </row>
        <row r="913">
          <cell r="CA913" t="str">
            <v>.</v>
          </cell>
        </row>
        <row r="914">
          <cell r="CA914" t="str">
            <v>.</v>
          </cell>
        </row>
        <row r="915">
          <cell r="CA915" t="str">
            <v>.</v>
          </cell>
        </row>
        <row r="916">
          <cell r="CA916" t="str">
            <v>.</v>
          </cell>
        </row>
        <row r="917">
          <cell r="CA917" t="str">
            <v>.</v>
          </cell>
        </row>
        <row r="918">
          <cell r="CA918" t="str">
            <v>.</v>
          </cell>
        </row>
        <row r="919">
          <cell r="CA919" t="str">
            <v>.</v>
          </cell>
        </row>
        <row r="920">
          <cell r="CA920" t="str">
            <v>.</v>
          </cell>
        </row>
        <row r="921">
          <cell r="CA921" t="str">
            <v>.</v>
          </cell>
        </row>
        <row r="922">
          <cell r="CA922" t="str">
            <v>.</v>
          </cell>
        </row>
        <row r="923">
          <cell r="CA923" t="str">
            <v>.</v>
          </cell>
        </row>
        <row r="924">
          <cell r="CA924" t="str">
            <v>.</v>
          </cell>
        </row>
        <row r="925">
          <cell r="CA925" t="str">
            <v>.</v>
          </cell>
        </row>
        <row r="926">
          <cell r="CA926" t="str">
            <v>.</v>
          </cell>
        </row>
        <row r="927">
          <cell r="CA927" t="str">
            <v>.</v>
          </cell>
        </row>
        <row r="928">
          <cell r="CA928" t="str">
            <v>.</v>
          </cell>
        </row>
        <row r="929">
          <cell r="CA929" t="str">
            <v>.</v>
          </cell>
        </row>
        <row r="930">
          <cell r="CA930" t="str">
            <v>.</v>
          </cell>
        </row>
        <row r="931">
          <cell r="CA931" t="str">
            <v>.</v>
          </cell>
        </row>
        <row r="932">
          <cell r="CA932" t="str">
            <v>.</v>
          </cell>
        </row>
        <row r="933">
          <cell r="CA933" t="str">
            <v>.</v>
          </cell>
        </row>
        <row r="934">
          <cell r="CA934" t="str">
            <v>.</v>
          </cell>
        </row>
        <row r="935">
          <cell r="CA935" t="str">
            <v>.</v>
          </cell>
        </row>
        <row r="936">
          <cell r="CA936" t="str">
            <v>.</v>
          </cell>
        </row>
        <row r="937">
          <cell r="CA937" t="str">
            <v>.</v>
          </cell>
        </row>
        <row r="938">
          <cell r="CA938" t="str">
            <v>.</v>
          </cell>
        </row>
        <row r="939">
          <cell r="CA939" t="str">
            <v>.</v>
          </cell>
        </row>
        <row r="940">
          <cell r="CA940" t="str">
            <v>.</v>
          </cell>
        </row>
        <row r="941">
          <cell r="CA941" t="str">
            <v>.</v>
          </cell>
        </row>
        <row r="942">
          <cell r="CA942" t="str">
            <v>.</v>
          </cell>
        </row>
        <row r="943">
          <cell r="CA943" t="str">
            <v>.</v>
          </cell>
        </row>
        <row r="944">
          <cell r="CA944" t="str">
            <v>.</v>
          </cell>
        </row>
        <row r="945">
          <cell r="CA945" t="str">
            <v>.</v>
          </cell>
        </row>
        <row r="946">
          <cell r="CA946" t="str">
            <v>.</v>
          </cell>
        </row>
        <row r="947">
          <cell r="CA947" t="str">
            <v>.</v>
          </cell>
        </row>
        <row r="948">
          <cell r="CA948" t="str">
            <v>.</v>
          </cell>
        </row>
        <row r="949">
          <cell r="CA949" t="str">
            <v>.</v>
          </cell>
        </row>
        <row r="950">
          <cell r="CA950" t="str">
            <v>.</v>
          </cell>
        </row>
        <row r="951">
          <cell r="CA951" t="str">
            <v>.</v>
          </cell>
        </row>
        <row r="952">
          <cell r="CA952" t="str">
            <v>.</v>
          </cell>
        </row>
        <row r="953">
          <cell r="CA953" t="str">
            <v>.</v>
          </cell>
        </row>
        <row r="954">
          <cell r="CA954" t="str">
            <v>.</v>
          </cell>
        </row>
        <row r="955">
          <cell r="CA955" t="str">
            <v>.</v>
          </cell>
        </row>
        <row r="956">
          <cell r="CA956" t="str">
            <v>.</v>
          </cell>
        </row>
        <row r="957">
          <cell r="CA957" t="str">
            <v>.</v>
          </cell>
        </row>
        <row r="958">
          <cell r="CA958" t="str">
            <v>.</v>
          </cell>
        </row>
        <row r="959">
          <cell r="CA959" t="str">
            <v>.</v>
          </cell>
        </row>
        <row r="960">
          <cell r="CA960" t="str">
            <v>.</v>
          </cell>
        </row>
        <row r="961">
          <cell r="CA961" t="str">
            <v>.</v>
          </cell>
        </row>
        <row r="962">
          <cell r="CA962" t="str">
            <v>.</v>
          </cell>
        </row>
        <row r="963">
          <cell r="CA963" t="str">
            <v>.</v>
          </cell>
        </row>
        <row r="964">
          <cell r="CA964" t="str">
            <v>.</v>
          </cell>
        </row>
        <row r="965">
          <cell r="CA965" t="str">
            <v>.</v>
          </cell>
        </row>
        <row r="966">
          <cell r="CA966" t="str">
            <v>.</v>
          </cell>
        </row>
        <row r="967">
          <cell r="CA967" t="str">
            <v>.</v>
          </cell>
        </row>
        <row r="968">
          <cell r="CA968" t="str">
            <v>.</v>
          </cell>
        </row>
        <row r="969">
          <cell r="CA969" t="str">
            <v>.</v>
          </cell>
        </row>
        <row r="970">
          <cell r="CA970" t="str">
            <v>.</v>
          </cell>
        </row>
        <row r="971">
          <cell r="CA971" t="str">
            <v>.</v>
          </cell>
        </row>
        <row r="972">
          <cell r="CA972" t="str">
            <v>.</v>
          </cell>
        </row>
        <row r="973">
          <cell r="CA973" t="str">
            <v>.</v>
          </cell>
        </row>
        <row r="974">
          <cell r="CA974" t="str">
            <v>.</v>
          </cell>
        </row>
        <row r="975">
          <cell r="CA975" t="str">
            <v>.</v>
          </cell>
        </row>
        <row r="976">
          <cell r="CA976" t="str">
            <v>.</v>
          </cell>
        </row>
        <row r="977">
          <cell r="CA977" t="str">
            <v>.</v>
          </cell>
        </row>
        <row r="978">
          <cell r="CA978" t="str">
            <v>.</v>
          </cell>
        </row>
        <row r="979">
          <cell r="CA979" t="str">
            <v>.</v>
          </cell>
        </row>
        <row r="980">
          <cell r="CA980" t="str">
            <v>.</v>
          </cell>
        </row>
        <row r="981">
          <cell r="CA981" t="str">
            <v>.</v>
          </cell>
        </row>
        <row r="982">
          <cell r="CA982" t="str">
            <v>.</v>
          </cell>
        </row>
        <row r="983">
          <cell r="CA983" t="str">
            <v>.</v>
          </cell>
        </row>
        <row r="984">
          <cell r="CA984" t="str">
            <v>.</v>
          </cell>
        </row>
        <row r="985">
          <cell r="CA985" t="str">
            <v>.</v>
          </cell>
        </row>
        <row r="986">
          <cell r="CA986" t="str">
            <v>.</v>
          </cell>
        </row>
        <row r="987">
          <cell r="CA987" t="str">
            <v>.</v>
          </cell>
        </row>
        <row r="988">
          <cell r="CA988" t="str">
            <v>.</v>
          </cell>
        </row>
        <row r="989">
          <cell r="CA989" t="str">
            <v>.</v>
          </cell>
        </row>
        <row r="990">
          <cell r="CA990" t="str">
            <v>.</v>
          </cell>
        </row>
        <row r="991">
          <cell r="CA991" t="str">
            <v>.</v>
          </cell>
        </row>
        <row r="992">
          <cell r="CA992" t="str">
            <v>.</v>
          </cell>
        </row>
        <row r="993">
          <cell r="CA993" t="str">
            <v>.</v>
          </cell>
        </row>
        <row r="994">
          <cell r="CA994" t="str">
            <v>.</v>
          </cell>
        </row>
        <row r="995">
          <cell r="CA995" t="str">
            <v>.</v>
          </cell>
        </row>
        <row r="996">
          <cell r="CA996" t="str">
            <v>.</v>
          </cell>
        </row>
        <row r="997">
          <cell r="CA997" t="str">
            <v>.</v>
          </cell>
        </row>
        <row r="998">
          <cell r="CA998" t="str">
            <v>.</v>
          </cell>
        </row>
        <row r="999">
          <cell r="A999" t="str">
            <v>.</v>
          </cell>
          <cell r="B999" t="str">
            <v>.</v>
          </cell>
          <cell r="G999" t="str">
            <v>.</v>
          </cell>
          <cell r="I999" t="str">
            <v>.</v>
          </cell>
          <cell r="W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cell r="BD999" t="str">
            <v>.</v>
          </cell>
          <cell r="BE999" t="str">
            <v>.</v>
          </cell>
          <cell r="BF999" t="str">
            <v>.</v>
          </cell>
          <cell r="BG999" t="str">
            <v>.</v>
          </cell>
          <cell r="BH999" t="str">
            <v>.</v>
          </cell>
          <cell r="BI999" t="str">
            <v>.</v>
          </cell>
          <cell r="BJ999" t="str">
            <v>.</v>
          </cell>
          <cell r="BK999" t="str">
            <v>.</v>
          </cell>
          <cell r="BL999" t="str">
            <v>.</v>
          </cell>
          <cell r="BM999" t="str">
            <v>.</v>
          </cell>
          <cell r="BN999" t="str">
            <v>.</v>
          </cell>
          <cell r="BO999" t="str">
            <v>.</v>
          </cell>
          <cell r="BP999" t="str">
            <v>.</v>
          </cell>
          <cell r="BQ999" t="str">
            <v>.</v>
          </cell>
          <cell r="BR999" t="str">
            <v>.</v>
          </cell>
          <cell r="BS999" t="str">
            <v>.</v>
          </cell>
          <cell r="BT999" t="str">
            <v>.</v>
          </cell>
          <cell r="BU999" t="str">
            <v>.</v>
          </cell>
          <cell r="BV999" t="str">
            <v>.</v>
          </cell>
          <cell r="BW999" t="str">
            <v>.</v>
          </cell>
          <cell r="BX999" t="str">
            <v>.</v>
          </cell>
          <cell r="BY999" t="str">
            <v>.</v>
          </cell>
          <cell r="BZ999" t="str">
            <v>.</v>
          </cell>
          <cell r="CA999" t="str">
            <v>.</v>
          </cell>
        </row>
      </sheetData>
      <sheetData sheetId="13">
        <row r="1">
          <cell r="C1" t="str">
            <v>mstag:revenueNet</v>
          </cell>
          <cell r="G1" t="str">
            <v>Total Sales % Change</v>
          </cell>
          <cell r="K1" t="str">
            <v>Operating Margin</v>
          </cell>
          <cell r="O1" t="str">
            <v>mstag:adjEpsForConsensus</v>
          </cell>
        </row>
        <row r="2">
          <cell r="C2" t="str">
            <v>Sales</v>
          </cell>
          <cell r="G2" t="str">
            <v>Sales Growth</v>
          </cell>
          <cell r="K2" t="str">
            <v>Operating Margin</v>
          </cell>
          <cell r="O2" t="str">
            <v>EPS</v>
          </cell>
        </row>
        <row r="3">
          <cell r="A3" t="str">
            <v>Name</v>
          </cell>
          <cell r="B3" t="str">
            <v>Ticker</v>
          </cell>
          <cell r="C3" t="str">
            <v>MS</v>
          </cell>
          <cell r="D3" t="str">
            <v>Cons.</v>
          </cell>
          <cell r="E3" t="str">
            <v>MS vs C</v>
          </cell>
          <cell r="G3" t="str">
            <v>MS</v>
          </cell>
          <cell r="H3" t="str">
            <v>Cons.</v>
          </cell>
          <cell r="I3" t="str">
            <v>MS vs C</v>
          </cell>
          <cell r="K3" t="str">
            <v>MS</v>
          </cell>
          <cell r="L3" t="str">
            <v>Cons.</v>
          </cell>
          <cell r="M3" t="str">
            <v>MS vs C</v>
          </cell>
          <cell r="O3" t="str">
            <v>MS</v>
          </cell>
          <cell r="P3" t="str">
            <v>Cons.</v>
          </cell>
          <cell r="Q3" t="str">
            <v>MS vs C</v>
          </cell>
          <cell r="S3" t="str">
            <v>Name</v>
          </cell>
          <cell r="T3" t="str">
            <v>Ticker</v>
          </cell>
          <cell r="U3" t="str">
            <v>Release Date</v>
          </cell>
          <cell r="V3" t="str">
            <v>Release Time</v>
          </cell>
          <cell r="W3" t="str">
            <v>Conf Call Date</v>
          </cell>
          <cell r="X3" t="str">
            <v>Conf Call Time</v>
          </cell>
          <cell r="Y3" t="str">
            <v>Confirmed/Projected</v>
          </cell>
          <cell r="AB3" t="str">
            <v>UA</v>
          </cell>
          <cell r="AC3" t="str">
            <v>JNY</v>
          </cell>
          <cell r="AD3" t="str">
            <v>RL</v>
          </cell>
          <cell r="AE3" t="str">
            <v>WRC</v>
          </cell>
          <cell r="AF3" t="str">
            <v>LIZ</v>
          </cell>
          <cell r="AG3" t="str">
            <v>PVH</v>
          </cell>
          <cell r="AH3" t="str">
            <v>GES</v>
          </cell>
          <cell r="AI3" t="str">
            <v>Group Average</v>
          </cell>
        </row>
        <row r="4">
          <cell r="A4" t="str">
            <v>3Q09</v>
          </cell>
          <cell r="S4" t="str">
            <v>Under Armour</v>
          </cell>
          <cell r="T4" t="str">
            <v>UA</v>
          </cell>
          <cell r="U4" t="str">
            <v>7:00am</v>
          </cell>
          <cell r="V4">
            <v>0</v>
          </cell>
          <cell r="W4" t="str">
            <v>7:00am</v>
          </cell>
          <cell r="X4">
            <v>0</v>
          </cell>
          <cell r="Y4" t="str">
            <v>Confirmed</v>
          </cell>
          <cell r="AA4" t="str">
            <v>Sales</v>
          </cell>
          <cell r="AB4">
            <v>214.78640832525764</v>
          </cell>
          <cell r="AC4">
            <v>866.81399336316736</v>
          </cell>
          <cell r="AD4">
            <v>1269.2502193813905</v>
          </cell>
          <cell r="AE4">
            <v>597.08067638411103</v>
          </cell>
          <cell r="AF4">
            <v>628.96346254952391</v>
          </cell>
          <cell r="AG4">
            <v>599.47275927416752</v>
          </cell>
          <cell r="AH4">
            <v>512.7152527089213</v>
          </cell>
        </row>
        <row r="5">
          <cell r="A5" t="str">
            <v>Under Armour</v>
          </cell>
          <cell r="B5" t="str">
            <v>UA</v>
          </cell>
          <cell r="C5" t="e">
            <v>#N/A</v>
          </cell>
          <cell r="D5">
            <v>214.86</v>
          </cell>
          <cell r="E5" t="e">
            <v>#N/A</v>
          </cell>
          <cell r="G5" t="e">
            <v>#N/A</v>
          </cell>
          <cell r="H5">
            <v>7.4300000000000033E-2</v>
          </cell>
          <cell r="I5" t="e">
            <v>#N/A</v>
          </cell>
          <cell r="K5" t="e">
            <v>#N/A</v>
          </cell>
          <cell r="L5">
            <v>4.3015768407335002E-2</v>
          </cell>
          <cell r="M5" t="e">
            <v>#N/A</v>
          </cell>
          <cell r="O5" t="e">
            <v>#N/A</v>
          </cell>
          <cell r="P5">
            <v>0.10034075000000001</v>
          </cell>
          <cell r="Q5" t="e">
            <v>#N/A</v>
          </cell>
          <cell r="S5" t="str">
            <v>Jones Apparel Group</v>
          </cell>
          <cell r="T5" t="str">
            <v>JNY</v>
          </cell>
          <cell r="U5" t="str">
            <v>7:00am</v>
          </cell>
          <cell r="V5">
            <v>0</v>
          </cell>
          <cell r="W5" t="str">
            <v>7:00am</v>
          </cell>
          <cell r="X5">
            <v>0</v>
          </cell>
          <cell r="Y5" t="str">
            <v>Confirmed</v>
          </cell>
          <cell r="AA5" t="str">
            <v>Sales Growth</v>
          </cell>
          <cell r="AB5">
            <v>7.3932041626288303E-2</v>
          </cell>
          <cell r="AC5">
            <v>-2.8997430981105077E-2</v>
          </cell>
          <cell r="AD5">
            <v>3.663036538826403E-2</v>
          </cell>
          <cell r="AE5">
            <v>0.11013728215637064</v>
          </cell>
          <cell r="AF5">
            <v>-0.19329011492176262</v>
          </cell>
          <cell r="AG5">
            <v>7.5432137550643708E-2</v>
          </cell>
          <cell r="AH5">
            <v>0.16208996060507874</v>
          </cell>
          <cell r="AI5">
            <v>3.3704891631968249E-2</v>
          </cell>
        </row>
        <row r="6">
          <cell r="A6" t="str">
            <v>Jones Apparel</v>
          </cell>
          <cell r="B6" t="str">
            <v>JNY</v>
          </cell>
          <cell r="C6" t="e">
            <v>#N/A</v>
          </cell>
          <cell r="D6">
            <v>864.08680000000004</v>
          </cell>
          <cell r="E6" t="e">
            <v>#N/A</v>
          </cell>
          <cell r="G6" t="e">
            <v>#N/A</v>
          </cell>
          <cell r="H6">
            <v>-3.2052425226839709E-2</v>
          </cell>
          <cell r="I6" t="e">
            <v>#N/A</v>
          </cell>
          <cell r="K6" t="e">
            <v>#N/A</v>
          </cell>
          <cell r="L6">
            <v>6.2044600148966518E-2</v>
          </cell>
          <cell r="M6" t="e">
            <v>#N/A</v>
          </cell>
          <cell r="O6" t="e">
            <v>#N/A</v>
          </cell>
          <cell r="P6">
            <v>0.3370881</v>
          </cell>
          <cell r="Q6" t="e">
            <v>#N/A</v>
          </cell>
          <cell r="S6" t="str">
            <v>Polo Ralph Lauren</v>
          </cell>
          <cell r="T6" t="str">
            <v>RL</v>
          </cell>
          <cell r="U6" t="str">
            <v>8:00am</v>
          </cell>
          <cell r="V6">
            <v>0</v>
          </cell>
          <cell r="W6" t="str">
            <v>8:00am</v>
          </cell>
          <cell r="X6">
            <v>0</v>
          </cell>
          <cell r="Y6" t="str">
            <v>Confirmed</v>
          </cell>
        </row>
        <row r="7">
          <cell r="A7" t="str">
            <v>Ralph Lauren</v>
          </cell>
          <cell r="B7" t="str">
            <v>RL</v>
          </cell>
          <cell r="C7" t="e">
            <v>#N/A</v>
          </cell>
          <cell r="D7">
            <v>1236.9849999999999</v>
          </cell>
          <cell r="E7" t="e">
            <v>#N/A</v>
          </cell>
          <cell r="G7" t="e">
            <v>#N/A</v>
          </cell>
          <cell r="H7">
            <v>1.0278503756941948E-2</v>
          </cell>
          <cell r="I7" t="e">
            <v>#N/A</v>
          </cell>
          <cell r="K7" t="e">
            <v>#N/A</v>
          </cell>
          <cell r="L7">
            <v>7.646775021524109E-2</v>
          </cell>
          <cell r="M7" t="e">
            <v>#N/A</v>
          </cell>
          <cell r="O7" t="e">
            <v>#N/A</v>
          </cell>
          <cell r="P7">
            <v>0.61383189999999999</v>
          </cell>
          <cell r="Q7" t="e">
            <v>#N/A</v>
          </cell>
          <cell r="S7" t="str">
            <v>Warnaco</v>
          </cell>
          <cell r="T7" t="str">
            <v>WRC</v>
          </cell>
          <cell r="U7" t="str">
            <v>7:30am</v>
          </cell>
          <cell r="V7">
            <v>0</v>
          </cell>
          <cell r="W7" t="str">
            <v>7:30am</v>
          </cell>
          <cell r="X7">
            <v>0</v>
          </cell>
          <cell r="Y7" t="str">
            <v>Projected</v>
          </cell>
          <cell r="AA7" t="str">
            <v>Gross Profit</v>
          </cell>
          <cell r="AB7">
            <v>101.32656205948193</v>
          </cell>
          <cell r="AC7">
            <v>307.8665876663847</v>
          </cell>
          <cell r="AD7">
            <v>723.63931521014706</v>
          </cell>
          <cell r="AE7">
            <v>263.80059562174603</v>
          </cell>
          <cell r="AF7">
            <v>318.17316651223837</v>
          </cell>
          <cell r="AG7">
            <v>296.78759848752674</v>
          </cell>
          <cell r="AH7">
            <v>221.18263057082578</v>
          </cell>
        </row>
        <row r="8">
          <cell r="A8" t="str">
            <v>Warnaco</v>
          </cell>
          <cell r="B8" t="str">
            <v>WRC</v>
          </cell>
          <cell r="C8" t="e">
            <v>#N/A</v>
          </cell>
          <cell r="D8">
            <v>576.10699999999997</v>
          </cell>
          <cell r="E8" t="e">
            <v>#N/A</v>
          </cell>
          <cell r="G8" t="e">
            <v>#N/A</v>
          </cell>
          <cell r="H8">
            <v>7.1141446218605964E-2</v>
          </cell>
          <cell r="I8" t="e">
            <v>#N/A</v>
          </cell>
          <cell r="K8" t="e">
            <v>#N/A</v>
          </cell>
          <cell r="L8">
            <v>0.13685265063607979</v>
          </cell>
          <cell r="M8" t="e">
            <v>#N/A</v>
          </cell>
          <cell r="O8" t="e">
            <v>#N/A</v>
          </cell>
          <cell r="P8">
            <v>1.0554539999999999</v>
          </cell>
          <cell r="Q8" t="e">
            <v>#N/A</v>
          </cell>
          <cell r="S8" t="str">
            <v>Liz Claiborne</v>
          </cell>
          <cell r="T8" t="str">
            <v>LIZ</v>
          </cell>
          <cell r="U8" t="str">
            <v>7:00am</v>
          </cell>
          <cell r="V8">
            <v>0</v>
          </cell>
          <cell r="W8" t="str">
            <v>7:00am</v>
          </cell>
          <cell r="X8">
            <v>0</v>
          </cell>
          <cell r="Y8" t="str">
            <v>Projected</v>
          </cell>
          <cell r="AA8" t="str">
            <v>Gross Margin</v>
          </cell>
          <cell r="AB8">
            <v>0.47175500000000004</v>
          </cell>
          <cell r="AC8">
            <v>0.35517030184513698</v>
          </cell>
          <cell r="AD8">
            <v>0.57013132963083968</v>
          </cell>
          <cell r="AE8">
            <v>0.44181733902243908</v>
          </cell>
          <cell r="AF8">
            <v>0.5058690773904625</v>
          </cell>
          <cell r="AG8">
            <v>0.49508104229268507</v>
          </cell>
          <cell r="AH8">
            <v>0.43139467648409435</v>
          </cell>
          <cell r="AI8">
            <v>0.46731696666652262</v>
          </cell>
        </row>
        <row r="9">
          <cell r="A9" t="str">
            <v>Liz Claiborne</v>
          </cell>
          <cell r="B9" t="str">
            <v>LIZ</v>
          </cell>
          <cell r="C9" t="e">
            <v>#N/A</v>
          </cell>
          <cell r="D9">
            <v>833.25</v>
          </cell>
          <cell r="E9" t="e">
            <v>#N/A</v>
          </cell>
          <cell r="G9" t="e">
            <v>#N/A</v>
          </cell>
          <cell r="H9">
            <v>6.8728235844882191E-2</v>
          </cell>
          <cell r="I9" t="e">
            <v>#N/A</v>
          </cell>
          <cell r="K9" t="e">
            <v>#N/A</v>
          </cell>
          <cell r="L9" t="str">
            <v>NA</v>
          </cell>
          <cell r="M9" t="e">
            <v>#N/A</v>
          </cell>
          <cell r="O9" t="e">
            <v>#N/A</v>
          </cell>
          <cell r="P9">
            <v>-0.19700000000000001</v>
          </cell>
          <cell r="Q9" t="e">
            <v>#N/A</v>
          </cell>
          <cell r="S9" t="str">
            <v>Phillips-Van Heusen</v>
          </cell>
          <cell r="T9" t="str">
            <v>PVH</v>
          </cell>
          <cell r="U9" t="str">
            <v>4:00pm</v>
          </cell>
          <cell r="V9">
            <v>0</v>
          </cell>
          <cell r="W9" t="e">
            <v>#VALUE!</v>
          </cell>
          <cell r="X9">
            <v>0</v>
          </cell>
          <cell r="Y9" t="str">
            <v>Confirmed</v>
          </cell>
          <cell r="AA9" t="str">
            <v>Gross Margin ∆</v>
          </cell>
          <cell r="AB9">
            <v>190.00000000000017</v>
          </cell>
          <cell r="AC9">
            <v>260.26546935474846</v>
          </cell>
          <cell r="AD9">
            <v>520.00000000000045</v>
          </cell>
          <cell r="AE9">
            <v>201.9322496706244</v>
          </cell>
          <cell r="AF9">
            <v>580.13908824475823</v>
          </cell>
          <cell r="AG9">
            <v>59.999999999999496</v>
          </cell>
          <cell r="AH9">
            <v>290.76912018465293</v>
          </cell>
          <cell r="AI9">
            <v>300.44370392211198</v>
          </cell>
        </row>
        <row r="10">
          <cell r="A10" t="str">
            <v>Phillips Van Heusen</v>
          </cell>
          <cell r="B10" t="str">
            <v>PVH</v>
          </cell>
          <cell r="C10" t="e">
            <v>#N/A</v>
          </cell>
          <cell r="D10">
            <v>582.41770000000008</v>
          </cell>
          <cell r="E10" t="e">
            <v>#N/A</v>
          </cell>
          <cell r="G10" t="e">
            <v>#N/A</v>
          </cell>
          <cell r="H10">
            <v>4.4835986904067981E-2</v>
          </cell>
          <cell r="I10" t="e">
            <v>#N/A</v>
          </cell>
          <cell r="K10" t="e">
            <v>#N/A</v>
          </cell>
          <cell r="L10">
            <v>0.12305821062787069</v>
          </cell>
          <cell r="M10" t="e">
            <v>#N/A</v>
          </cell>
          <cell r="O10" t="e">
            <v>#N/A</v>
          </cell>
          <cell r="P10">
            <v>0.73555549999999992</v>
          </cell>
          <cell r="Q10" t="e">
            <v>#N/A</v>
          </cell>
          <cell r="S10" t="str">
            <v>Guess</v>
          </cell>
          <cell r="T10" t="str">
            <v>GES</v>
          </cell>
          <cell r="U10" t="str">
            <v>4:00pm</v>
          </cell>
          <cell r="V10">
            <v>0</v>
          </cell>
          <cell r="W10" t="str">
            <v>4:00pm</v>
          </cell>
          <cell r="X10">
            <v>0</v>
          </cell>
          <cell r="Y10" t="str">
            <v>Projected</v>
          </cell>
        </row>
        <row r="11">
          <cell r="A11" t="str">
            <v>Guess</v>
          </cell>
          <cell r="B11" t="str">
            <v>GES</v>
          </cell>
          <cell r="C11" t="e">
            <v>#N/A</v>
          </cell>
          <cell r="D11">
            <v>505.16060000000004</v>
          </cell>
          <cell r="E11" t="e">
            <v>#N/A</v>
          </cell>
          <cell r="G11" t="e">
            <v>#N/A</v>
          </cell>
          <cell r="H11">
            <v>0.14496703316628956</v>
          </cell>
          <cell r="I11" t="e">
            <v>#N/A</v>
          </cell>
          <cell r="K11" t="e">
            <v>#N/A</v>
          </cell>
          <cell r="L11">
            <v>0.13145639228395881</v>
          </cell>
          <cell r="M11" t="e">
            <v>#N/A</v>
          </cell>
          <cell r="O11" t="e">
            <v>#N/A</v>
          </cell>
          <cell r="P11">
            <v>0.48545459999999996</v>
          </cell>
          <cell r="Q11" t="e">
            <v>#N/A</v>
          </cell>
          <cell r="AA11" t="str">
            <v>SG&amp;A</v>
          </cell>
          <cell r="AB11">
            <v>91.201999999999998</v>
          </cell>
          <cell r="AC11">
            <v>242.72567459367625</v>
          </cell>
          <cell r="AD11">
            <v>617.58926113190068</v>
          </cell>
          <cell r="AE11">
            <v>179.21286391771531</v>
          </cell>
          <cell r="AF11">
            <v>349.54764148875796</v>
          </cell>
          <cell r="AG11">
            <v>225.35576</v>
          </cell>
          <cell r="AH11">
            <v>152.75932179216377</v>
          </cell>
        </row>
        <row r="12">
          <cell r="AA12" t="str">
            <v>SG&amp;A Growth</v>
          </cell>
          <cell r="AB12">
            <v>0.10340572258181591</v>
          </cell>
          <cell r="AC12">
            <v>-7.6710589627362324E-3</v>
          </cell>
          <cell r="AD12">
            <v>0.18607501657749315</v>
          </cell>
          <cell r="AE12">
            <v>0.18480010523413548</v>
          </cell>
          <cell r="AF12">
            <v>-0.11021486466988772</v>
          </cell>
          <cell r="AG12">
            <v>3.0000000000000027E-2</v>
          </cell>
          <cell r="AH12">
            <v>0.17989110746328296</v>
          </cell>
          <cell r="AI12">
            <v>8.0898004032014789E-2</v>
          </cell>
        </row>
        <row r="13">
          <cell r="A13" t="str">
            <v>4Q09</v>
          </cell>
          <cell r="AA13" t="str">
            <v>Expense Ratio</v>
          </cell>
          <cell r="AB13">
            <v>0.42461718463064951</v>
          </cell>
          <cell r="AC13">
            <v>0.28002048473158642</v>
          </cell>
          <cell r="AD13">
            <v>0.4865780219702483</v>
          </cell>
          <cell r="AE13">
            <v>0.30014849082542566</v>
          </cell>
          <cell r="AF13">
            <v>0.55575190341240999</v>
          </cell>
          <cell r="AG13">
            <v>0.37592327009630483</v>
          </cell>
          <cell r="AH13">
            <v>0.29794183220620568</v>
          </cell>
          <cell r="AI13">
            <v>0.3887115982675472</v>
          </cell>
        </row>
        <row r="14">
          <cell r="A14" t="str">
            <v>Under Armour</v>
          </cell>
          <cell r="B14" t="str">
            <v>UA</v>
          </cell>
          <cell r="C14" t="e">
            <v>#N/A</v>
          </cell>
          <cell r="D14">
            <v>187.67500000000001</v>
          </cell>
          <cell r="E14" t="e">
            <v>#N/A</v>
          </cell>
          <cell r="G14" t="e">
            <v>#N/A</v>
          </cell>
          <cell r="H14">
            <v>4.6832032753417963E-2</v>
          </cell>
          <cell r="I14" t="e">
            <v>#N/A</v>
          </cell>
          <cell r="K14" t="e">
            <v>#N/A</v>
          </cell>
          <cell r="L14">
            <v>2.0807481017716796E-2</v>
          </cell>
          <cell r="M14" t="e">
            <v>#N/A</v>
          </cell>
          <cell r="O14" t="e">
            <v>#N/A</v>
          </cell>
          <cell r="P14">
            <v>3.6795920000000003E-2</v>
          </cell>
          <cell r="Q14" t="e">
            <v>#N/A</v>
          </cell>
          <cell r="AA14" t="str">
            <v>Expense Ratio ∆</v>
          </cell>
          <cell r="AB14">
            <v>113.4218463064951</v>
          </cell>
          <cell r="AC14">
            <v>60.179853506112103</v>
          </cell>
          <cell r="AD14">
            <v>613.08502205465516</v>
          </cell>
          <cell r="AE14">
            <v>189.14527073854603</v>
          </cell>
          <cell r="AF14">
            <v>518.8806445593508</v>
          </cell>
          <cell r="AG14">
            <v>-165.81551180100129</v>
          </cell>
          <cell r="AH14">
            <v>44.950811788961317</v>
          </cell>
          <cell r="AI14">
            <v>196.2639910218742</v>
          </cell>
        </row>
        <row r="15">
          <cell r="A15" t="str">
            <v>Jones Apparel</v>
          </cell>
          <cell r="B15" t="str">
            <v>JNY</v>
          </cell>
          <cell r="C15" t="e">
            <v>#N/A</v>
          </cell>
          <cell r="D15">
            <v>798.6</v>
          </cell>
          <cell r="E15" t="e">
            <v>#N/A</v>
          </cell>
          <cell r="G15" t="e">
            <v>#N/A</v>
          </cell>
          <cell r="H15">
            <v>-5.8032554847841422E-2</v>
          </cell>
          <cell r="I15" t="e">
            <v>#N/A</v>
          </cell>
          <cell r="K15" t="e">
            <v>#N/A</v>
          </cell>
          <cell r="L15">
            <v>2.8737791134485349E-2</v>
          </cell>
          <cell r="M15" t="e">
            <v>#N/A</v>
          </cell>
          <cell r="O15" t="e">
            <v>#N/A</v>
          </cell>
          <cell r="P15">
            <v>8.1000000000000003E-2</v>
          </cell>
          <cell r="Q15" t="e">
            <v>#N/A</v>
          </cell>
        </row>
        <row r="16">
          <cell r="A16" t="str">
            <v>Ralph Lauren</v>
          </cell>
          <cell r="B16" t="str">
            <v>RL</v>
          </cell>
          <cell r="C16" t="e">
            <v>#N/A</v>
          </cell>
          <cell r="D16">
            <v>1108.462</v>
          </cell>
          <cell r="E16" t="e">
            <v>#N/A</v>
          </cell>
          <cell r="G16" t="e">
            <v>#N/A</v>
          </cell>
          <cell r="H16">
            <v>-0.10888174290537811</v>
          </cell>
          <cell r="I16" t="e">
            <v>#N/A</v>
          </cell>
          <cell r="K16" t="e">
            <v>#N/A</v>
          </cell>
          <cell r="L16">
            <v>0.112385900463886</v>
          </cell>
          <cell r="M16" t="e">
            <v>#N/A</v>
          </cell>
          <cell r="O16" t="e">
            <v>#N/A</v>
          </cell>
          <cell r="P16">
            <v>0.82237299999999991</v>
          </cell>
          <cell r="Q16" t="e">
            <v>#N/A</v>
          </cell>
          <cell r="AA16" t="str">
            <v>Operating Income</v>
          </cell>
          <cell r="AB16">
            <v>10.124562059481931</v>
          </cell>
          <cell r="AC16">
            <v>65.140913072708457</v>
          </cell>
          <cell r="AD16">
            <v>100.75005407824642</v>
          </cell>
          <cell r="AE16">
            <v>81.937834011523449</v>
          </cell>
          <cell r="AF16">
            <v>-31.374474976519593</v>
          </cell>
          <cell r="AG16">
            <v>71.431838487526733</v>
          </cell>
          <cell r="AH16">
            <v>68.423308778662005</v>
          </cell>
        </row>
        <row r="17">
          <cell r="A17" t="str">
            <v>Warnaco</v>
          </cell>
          <cell r="B17" t="str">
            <v>WRC</v>
          </cell>
          <cell r="C17" t="e">
            <v>#N/A</v>
          </cell>
          <cell r="D17">
            <v>0.10290132050622826</v>
          </cell>
          <cell r="E17" t="e">
            <v>#N/A</v>
          </cell>
          <cell r="G17" t="e">
            <v>#N/A</v>
          </cell>
          <cell r="H17">
            <v>-0.99976890544669572</v>
          </cell>
          <cell r="I17" t="e">
            <v>#N/A</v>
          </cell>
          <cell r="K17" t="e">
            <v>#N/A</v>
          </cell>
          <cell r="L17">
            <v>15</v>
          </cell>
          <cell r="M17" t="e">
            <v>#N/A</v>
          </cell>
          <cell r="O17" t="e">
            <v>#N/A</v>
          </cell>
          <cell r="P17">
            <v>6.2026000000000039</v>
          </cell>
          <cell r="Q17" t="e">
            <v>#N/A</v>
          </cell>
          <cell r="AA17" t="str">
            <v>Operating Margin</v>
          </cell>
          <cell r="AB17">
            <v>4.7137815369350543E-2</v>
          </cell>
          <cell r="AC17">
            <v>7.5149817113550565E-2</v>
          </cell>
          <cell r="AD17">
            <v>7.9377614074670144E-2</v>
          </cell>
          <cell r="AE17">
            <v>0.13723075834196249</v>
          </cell>
          <cell r="AF17">
            <v>-4.9882826021947498E-2</v>
          </cell>
          <cell r="AG17">
            <v>0.11915777219638023</v>
          </cell>
          <cell r="AH17">
            <v>0.13345284427788864</v>
          </cell>
          <cell r="AI17">
            <v>7.7374827907407878E-2</v>
          </cell>
        </row>
        <row r="18">
          <cell r="A18" t="str">
            <v>Liz Claiborne</v>
          </cell>
          <cell r="B18" t="str">
            <v>LIZ</v>
          </cell>
          <cell r="C18">
            <v>829.95670917128177</v>
          </cell>
          <cell r="D18">
            <v>586.43330000000003</v>
          </cell>
          <cell r="E18">
            <v>0.41526190475759428</v>
          </cell>
          <cell r="G18">
            <v>-9.9423699661363663E-2</v>
          </cell>
          <cell r="H18">
            <v>-0.35639741300499461</v>
          </cell>
          <cell r="I18">
            <v>2569.7371334363097</v>
          </cell>
          <cell r="K18">
            <v>-2.3757520567743219E-3</v>
          </cell>
          <cell r="L18">
            <v>-2.6772013117263294E-2</v>
          </cell>
          <cell r="M18">
            <v>243.9626106048897</v>
          </cell>
          <cell r="O18">
            <v>-9.6899689599035332E-2</v>
          </cell>
          <cell r="P18">
            <v>-0.28250000000000003</v>
          </cell>
          <cell r="Q18">
            <v>0.1856003104009647</v>
          </cell>
          <cell r="AA18" t="str">
            <v>Operating Margin ∆</v>
          </cell>
          <cell r="AB18">
            <v>76.578153693505413</v>
          </cell>
          <cell r="AC18">
            <v>200.08561584863631</v>
          </cell>
          <cell r="AD18">
            <v>-92.372176796585023</v>
          </cell>
          <cell r="AE18">
            <v>12.786978932077808</v>
          </cell>
          <cell r="AF18">
            <v>61.258443685408075</v>
          </cell>
          <cell r="AG18">
            <v>225.81551180100053</v>
          </cell>
          <cell r="AH18">
            <v>245.81830839569164</v>
          </cell>
          <cell r="AI18">
            <v>104.28154793710496</v>
          </cell>
        </row>
        <row r="19">
          <cell r="A19" t="str">
            <v>Phillips Van Heusen</v>
          </cell>
          <cell r="B19" t="str">
            <v>PVH</v>
          </cell>
          <cell r="C19" t="e">
            <v>#N/A</v>
          </cell>
          <cell r="D19">
            <v>576.50450000000001</v>
          </cell>
          <cell r="E19" t="e">
            <v>#N/A</v>
          </cell>
          <cell r="G19" t="e">
            <v>#N/A</v>
          </cell>
          <cell r="H19">
            <v>2.7115458278771154E-2</v>
          </cell>
          <cell r="I19" t="e">
            <v>#N/A</v>
          </cell>
          <cell r="K19" t="e">
            <v>#N/A</v>
          </cell>
          <cell r="L19">
            <v>0.12509456561050261</v>
          </cell>
          <cell r="M19" t="e">
            <v>#N/A</v>
          </cell>
          <cell r="O19" t="e">
            <v>#N/A</v>
          </cell>
          <cell r="P19">
            <v>0.68888879999999997</v>
          </cell>
          <cell r="Q19" t="e">
            <v>#N/A</v>
          </cell>
        </row>
        <row r="20">
          <cell r="A20" t="str">
            <v>Guess</v>
          </cell>
          <cell r="B20" t="str">
            <v>GES</v>
          </cell>
          <cell r="C20">
            <v>617.47692860256416</v>
          </cell>
          <cell r="D20">
            <v>590.62139999999999</v>
          </cell>
          <cell r="E20">
            <v>4.5469955207454671E-2</v>
          </cell>
          <cell r="G20">
            <v>0.10053456538856853</v>
          </cell>
          <cell r="H20">
            <v>5.2669720355748684E-2</v>
          </cell>
          <cell r="I20">
            <v>478.64845032819846</v>
          </cell>
          <cell r="K20">
            <v>0.1883119414517091</v>
          </cell>
          <cell r="L20">
            <v>0.18074387416371979</v>
          </cell>
          <cell r="M20">
            <v>75.680672879893109</v>
          </cell>
          <cell r="O20">
            <v>0.84066480668887278</v>
          </cell>
          <cell r="P20">
            <v>0.77545449999999994</v>
          </cell>
          <cell r="Q20">
            <v>6.5210306688872843E-2</v>
          </cell>
          <cell r="AA20" t="str">
            <v>EPS</v>
          </cell>
          <cell r="AB20">
            <v>0.10824466868765577</v>
          </cell>
          <cell r="AC20">
            <v>0.38370956721072103</v>
          </cell>
          <cell r="AD20">
            <v>0.63294858177896596</v>
          </cell>
          <cell r="AE20">
            <v>1.0792630922177753</v>
          </cell>
          <cell r="AF20">
            <v>-0.40562658531416712</v>
          </cell>
          <cell r="AG20">
            <v>0.55991220629973937</v>
          </cell>
          <cell r="AH20">
            <v>0.5042002207324322</v>
          </cell>
        </row>
        <row r="21">
          <cell r="AA21" t="str">
            <v>EPS Growth</v>
          </cell>
          <cell r="AB21">
            <v>0</v>
          </cell>
          <cell r="AC21">
            <v>0.36798361325009821</v>
          </cell>
          <cell r="AD21">
            <v>0.18607501657749315</v>
          </cell>
          <cell r="AE21">
            <v>0.11505908224347494</v>
          </cell>
          <cell r="AF21">
            <v>8.8453585105013444E-2</v>
          </cell>
          <cell r="AG21">
            <v>5.1789170036681265E-2</v>
          </cell>
          <cell r="AH21">
            <v>0.43586015999772165</v>
          </cell>
          <cell r="AI21">
            <v>0.17788866103006895</v>
          </cell>
        </row>
        <row r="22">
          <cell r="A22">
            <v>2009</v>
          </cell>
        </row>
        <row r="23">
          <cell r="A23" t="str">
            <v>Under Armour</v>
          </cell>
          <cell r="B23" t="str">
            <v>UA</v>
          </cell>
          <cell r="C23">
            <v>955.61670873865933</v>
          </cell>
          <cell r="D23">
            <v>953.822</v>
          </cell>
          <cell r="E23">
            <v>1.8815971309733559E-3</v>
          </cell>
          <cell r="G23">
            <v>0.11583890064310176</v>
          </cell>
          <cell r="H23">
            <v>0.31470985527222606</v>
          </cell>
          <cell r="I23">
            <v>-1988.709546291243</v>
          </cell>
          <cell r="K23">
            <v>9.9650993469039648E-2</v>
          </cell>
          <cell r="L23">
            <v>9.9845065431495614E-2</v>
          </cell>
          <cell r="M23">
            <v>-1.9407196245596614</v>
          </cell>
          <cell r="O23">
            <v>1.0485101164267066</v>
          </cell>
          <cell r="P23">
            <v>1.0471139999999999</v>
          </cell>
          <cell r="Q23">
            <v>1.3961164267066728E-3</v>
          </cell>
        </row>
        <row r="24">
          <cell r="A24" t="str">
            <v>Jones Apparel</v>
          </cell>
          <cell r="B24" t="str">
            <v>JNY</v>
          </cell>
          <cell r="C24">
            <v>3407.1067162675386</v>
          </cell>
          <cell r="D24">
            <v>3381.18</v>
          </cell>
          <cell r="E24">
            <v>7.6679491383300213E-3</v>
          </cell>
          <cell r="G24">
            <v>2.3032283289556199E-2</v>
          </cell>
          <cell r="H24">
            <v>1.5247417727600077E-2</v>
          </cell>
          <cell r="I24">
            <v>77.848655619561228</v>
          </cell>
          <cell r="K24">
            <v>7.1075925880296348E-2</v>
          </cell>
          <cell r="L24">
            <v>6.9552345630815277E-2</v>
          </cell>
          <cell r="M24">
            <v>15.235802494810713</v>
          </cell>
          <cell r="O24">
            <v>1.3645274997482593</v>
          </cell>
          <cell r="P24">
            <v>1.3541859999999999</v>
          </cell>
          <cell r="Q24">
            <v>1.0341499748259375E-2</v>
          </cell>
        </row>
        <row r="25">
          <cell r="A25" t="str">
            <v>Ralph Lauren</v>
          </cell>
          <cell r="B25" t="str">
            <v>RL</v>
          </cell>
          <cell r="C25">
            <v>4911.05021938139</v>
          </cell>
          <cell r="D25">
            <v>4875.2759999999998</v>
          </cell>
          <cell r="E25">
            <v>7.3378859743304936E-3</v>
          </cell>
          <cell r="G25">
            <v>-2.1488728729125883E-2</v>
          </cell>
          <cell r="H25">
            <v>-2.8616629141843819E-2</v>
          </cell>
          <cell r="I25">
            <v>71.279004127179363</v>
          </cell>
          <cell r="K25">
            <v>0.13230368761329642</v>
          </cell>
          <cell r="L25">
            <v>0.13159769826364703</v>
          </cell>
          <cell r="M25">
            <v>7.0598934964938298</v>
          </cell>
          <cell r="O25">
            <v>4.3340293193425694</v>
          </cell>
          <cell r="P25">
            <v>4.2647000000000004</v>
          </cell>
          <cell r="Q25">
            <v>6.9329319342569029E-2</v>
          </cell>
        </row>
        <row r="26">
          <cell r="A26" t="str">
            <v>Warnaco</v>
          </cell>
          <cell r="B26" t="str">
            <v>WRC</v>
          </cell>
          <cell r="C26">
            <v>2019.626</v>
          </cell>
          <cell r="D26">
            <v>2178.1950000000002</v>
          </cell>
          <cell r="E26">
            <v>-7.2798349091793946E-2</v>
          </cell>
          <cell r="G26">
            <v>-2.0953060548784763E-2</v>
          </cell>
          <cell r="H26">
            <v>5.591587169007517E-2</v>
          </cell>
          <cell r="I26">
            <v>-768.68932238859929</v>
          </cell>
          <cell r="K26">
            <v>0.11270849157220193</v>
          </cell>
          <cell r="L26">
            <v>0.11457160630705698</v>
          </cell>
          <cell r="M26">
            <v>-18.63114734855051</v>
          </cell>
          <cell r="O26">
            <v>2.8241511390163154</v>
          </cell>
          <cell r="P26">
            <v>3.2527269999999997</v>
          </cell>
          <cell r="Q26">
            <v>-0.42857586098368428</v>
          </cell>
        </row>
        <row r="27">
          <cell r="A27" t="str">
            <v>Liz Claiborne</v>
          </cell>
          <cell r="B27" t="str">
            <v>LIZ</v>
          </cell>
          <cell r="C27">
            <v>3011.8590000000004</v>
          </cell>
          <cell r="D27">
            <v>2703.2330000000002</v>
          </cell>
          <cell r="E27">
            <v>0.11416921885756803</v>
          </cell>
          <cell r="G27">
            <v>-0.24419076193253286</v>
          </cell>
          <cell r="H27">
            <v>-0.32163873738816018</v>
          </cell>
          <cell r="I27">
            <v>774.47975455627318</v>
          </cell>
          <cell r="K27">
            <v>-4.5223896603393245E-2</v>
          </cell>
          <cell r="L27">
            <v>4.7474017223080658E-3</v>
          </cell>
          <cell r="M27">
            <v>-499.71298325701309</v>
          </cell>
          <cell r="O27">
            <v>-1.4655063139449973</v>
          </cell>
          <cell r="P27">
            <v>-0.43044179999999999</v>
          </cell>
          <cell r="Q27">
            <v>-1.0350645139449974</v>
          </cell>
        </row>
        <row r="28">
          <cell r="A28" t="str">
            <v>Phillips Van Heusen</v>
          </cell>
          <cell r="B28" t="str">
            <v>PVH</v>
          </cell>
          <cell r="C28">
            <v>3749.1064498860405</v>
          </cell>
          <cell r="D28">
            <v>3066.89</v>
          </cell>
          <cell r="E28">
            <v>0.22244568598353398</v>
          </cell>
          <cell r="G28">
            <v>0.56295409943259211</v>
          </cell>
          <cell r="H28">
            <v>0.27854686498819592</v>
          </cell>
          <cell r="I28">
            <v>2844.0723444439618</v>
          </cell>
          <cell r="K28">
            <v>0.12811321863881991</v>
          </cell>
          <cell r="L28">
            <v>0.12899083436314965</v>
          </cell>
          <cell r="M28">
            <v>-8.7761572432973338</v>
          </cell>
          <cell r="O28">
            <v>3.6497830573148669</v>
          </cell>
          <cell r="P28">
            <v>3.4630000000000001</v>
          </cell>
          <cell r="Q28">
            <v>0.18678305731486677</v>
          </cell>
        </row>
        <row r="29">
          <cell r="A29" t="str">
            <v>Guess</v>
          </cell>
          <cell r="B29" t="str">
            <v>GES</v>
          </cell>
          <cell r="C29">
            <v>2339.5358472059361</v>
          </cell>
          <cell r="D29">
            <v>2363.75</v>
          </cell>
          <cell r="E29">
            <v>-1.0243956761105788E-2</v>
          </cell>
          <cell r="G29">
            <v>9.9165242576548573E-2</v>
          </cell>
          <cell r="H29">
            <v>0.11054158252938984</v>
          </cell>
          <cell r="I29">
            <v>-113.76339952841263</v>
          </cell>
          <cell r="K29">
            <v>0.1733295159390906</v>
          </cell>
          <cell r="L29">
            <v>0.17557652035959809</v>
          </cell>
          <cell r="M29">
            <v>-22.470044205074867</v>
          </cell>
          <cell r="O29">
            <v>2.9820721986947794</v>
          </cell>
          <cell r="P29">
            <v>3.0154540000000001</v>
          </cell>
          <cell r="Q29">
            <v>-3.3381801305220726E-2</v>
          </cell>
        </row>
        <row r="30">
          <cell r="A30" t="str">
            <v>Q2E2009E</v>
          </cell>
        </row>
        <row r="31">
          <cell r="A31" t="str">
            <v>Q3E2009E</v>
          </cell>
        </row>
        <row r="32">
          <cell r="A32" t="str">
            <v>Q4E2009E</v>
          </cell>
        </row>
      </sheetData>
      <sheetData sheetId="14"/>
      <sheetData sheetId="15">
        <row r="2">
          <cell r="A2" t="str">
            <v>Comps - 1H vs 2H</v>
          </cell>
        </row>
        <row r="4">
          <cell r="A4" t="str">
            <v>All</v>
          </cell>
        </row>
        <row r="5">
          <cell r="B5">
            <v>2005</v>
          </cell>
          <cell r="C5">
            <v>2006</v>
          </cell>
          <cell r="D5">
            <v>2007</v>
          </cell>
          <cell r="E5">
            <v>2008</v>
          </cell>
          <cell r="F5">
            <v>2009</v>
          </cell>
        </row>
        <row r="6">
          <cell r="A6" t="str">
            <v>1H Average</v>
          </cell>
          <cell r="B6">
            <v>7.343394807078546E-2</v>
          </cell>
          <cell r="C6">
            <v>3.6103699295473378E-2</v>
          </cell>
          <cell r="D6">
            <v>3.5750000000000004E-2</v>
          </cell>
          <cell r="E6">
            <v>-6.4642857142857158E-3</v>
          </cell>
          <cell r="F6">
            <v>-7.9104931190213501E-2</v>
          </cell>
          <cell r="I6" t="str">
            <v>adjust for COH, TJX</v>
          </cell>
        </row>
        <row r="7">
          <cell r="A7" t="str">
            <v>2H Average</v>
          </cell>
          <cell r="B7">
            <v>6.6390123171896021E-2</v>
          </cell>
          <cell r="C7">
            <v>5.727112891066783E-2</v>
          </cell>
          <cell r="D7">
            <v>1.8832722098564406E-2</v>
          </cell>
          <cell r="E7">
            <v>-7.3265786902211694E-2</v>
          </cell>
          <cell r="F7">
            <v>-3.1323701477169409E-3</v>
          </cell>
        </row>
        <row r="10">
          <cell r="A10" t="str">
            <v>Inventory performance - Gross Margin perf</v>
          </cell>
        </row>
        <row r="11">
          <cell r="B11">
            <v>2005</v>
          </cell>
          <cell r="C11">
            <v>2006</v>
          </cell>
          <cell r="D11">
            <v>2007</v>
          </cell>
          <cell r="E11">
            <v>2008</v>
          </cell>
          <cell r="F11">
            <v>2009</v>
          </cell>
        </row>
        <row r="12">
          <cell r="A12" t="str">
            <v>Avg. y/y inventory change</v>
          </cell>
          <cell r="B12">
            <v>5.7284524754549301E-2</v>
          </cell>
          <cell r="C12">
            <v>0.16859864286702</v>
          </cell>
          <cell r="D12">
            <v>-3.0164244389156207E-2</v>
          </cell>
          <cell r="E12">
            <v>-8.3614642141829371E-2</v>
          </cell>
          <cell r="F12">
            <v>-8.9823836642227775E-2</v>
          </cell>
          <cell r="G12" t="str">
            <v>inv</v>
          </cell>
        </row>
        <row r="13">
          <cell r="A13" t="str">
            <v>Avg. GM change, bps</v>
          </cell>
          <cell r="B13">
            <v>-46.259275288913322</v>
          </cell>
          <cell r="C13">
            <v>43.577692302823763</v>
          </cell>
          <cell r="D13">
            <v>2.0201815697073249</v>
          </cell>
          <cell r="E13">
            <v>-136.05015774008214</v>
          </cell>
          <cell r="F13">
            <v>115.57467902423799</v>
          </cell>
          <cell r="G13" t="str">
            <v>gm chg</v>
          </cell>
        </row>
        <row r="14">
          <cell r="B14">
            <v>2005</v>
          </cell>
          <cell r="C14">
            <v>2006</v>
          </cell>
          <cell r="D14">
            <v>2007</v>
          </cell>
          <cell r="E14">
            <v>2008</v>
          </cell>
          <cell r="F14">
            <v>2009</v>
          </cell>
        </row>
        <row r="15">
          <cell r="A15" t="str">
            <v>Avg. y/y inventory change - dept store</v>
          </cell>
          <cell r="B15">
            <v>6.4354638711914907E-4</v>
          </cell>
          <cell r="C15">
            <v>0.22375429462687266</v>
          </cell>
          <cell r="D15">
            <v>-7.9138376331201309E-3</v>
          </cell>
          <cell r="E15">
            <v>-0.11582389939374201</v>
          </cell>
          <cell r="F15">
            <v>-7.9383150790566556E-2</v>
          </cell>
          <cell r="G15" t="str">
            <v>inv</v>
          </cell>
        </row>
        <row r="16">
          <cell r="A16" t="str">
            <v>Avg. GM change, bps</v>
          </cell>
          <cell r="B16">
            <v>-20.136216979536993</v>
          </cell>
          <cell r="C16">
            <v>74.57171959282671</v>
          </cell>
          <cell r="D16">
            <v>3.9521848350601987</v>
          </cell>
          <cell r="E16">
            <v>-154.32368383100911</v>
          </cell>
          <cell r="F16">
            <v>191.11845927863604</v>
          </cell>
          <cell r="G16" t="str">
            <v>gm chg</v>
          </cell>
        </row>
        <row r="17">
          <cell r="B17">
            <v>2005</v>
          </cell>
          <cell r="C17">
            <v>2006</v>
          </cell>
          <cell r="D17">
            <v>2007</v>
          </cell>
          <cell r="E17">
            <v>2008</v>
          </cell>
          <cell r="F17">
            <v>2009</v>
          </cell>
        </row>
        <row r="18">
          <cell r="A18" t="str">
            <v>Avg. y/y inventory change - spec</v>
          </cell>
          <cell r="B18">
            <v>0.11392550312197945</v>
          </cell>
          <cell r="C18">
            <v>0.11344299110716731</v>
          </cell>
          <cell r="D18">
            <v>-5.2414651145192281E-2</v>
          </cell>
          <cell r="E18">
            <v>-5.140538488991675E-2</v>
          </cell>
          <cell r="F18">
            <v>-0.10026452249388899</v>
          </cell>
          <cell r="G18" t="str">
            <v>inv</v>
          </cell>
        </row>
        <row r="19">
          <cell r="A19" t="str">
            <v>Avg. GM change, bps</v>
          </cell>
          <cell r="B19">
            <v>-72.382333598289662</v>
          </cell>
          <cell r="C19">
            <v>12.583665012820811</v>
          </cell>
          <cell r="D19">
            <v>8.8178304354443071E-2</v>
          </cell>
          <cell r="E19">
            <v>-117.77663164915512</v>
          </cell>
          <cell r="F19">
            <v>40.030898769839915</v>
          </cell>
          <cell r="G19" t="str">
            <v>gm chg</v>
          </cell>
        </row>
        <row r="24">
          <cell r="A24" t="str">
            <v>Gross margins over past five years: peak (shaded), trough (outlined)</v>
          </cell>
        </row>
        <row r="25">
          <cell r="B25" t="str">
            <v>High</v>
          </cell>
          <cell r="C25" t="str">
            <v>Low</v>
          </cell>
        </row>
        <row r="27">
          <cell r="B27">
            <v>2005</v>
          </cell>
          <cell r="C27">
            <v>2006</v>
          </cell>
          <cell r="D27">
            <v>2007</v>
          </cell>
          <cell r="E27">
            <v>2008</v>
          </cell>
          <cell r="F27">
            <v>2009</v>
          </cell>
          <cell r="G27">
            <v>2010</v>
          </cell>
          <cell r="I27" t="str">
            <v>max</v>
          </cell>
          <cell r="J27" t="str">
            <v>min</v>
          </cell>
          <cell r="K27" t="str">
            <v>2010 vs peak</v>
          </cell>
        </row>
        <row r="28">
          <cell r="A28" t="str">
            <v>JCP</v>
          </cell>
          <cell r="B28">
            <v>0.3828337149246579</v>
          </cell>
          <cell r="C28">
            <v>0.39235117686260546</v>
          </cell>
          <cell r="D28">
            <v>0.38593358921258969</v>
          </cell>
          <cell r="E28">
            <v>0.37411138446832803</v>
          </cell>
          <cell r="F28">
            <v>0.39356446279921997</v>
          </cell>
          <cell r="G28">
            <v>0.39605323146481297</v>
          </cell>
          <cell r="I28">
            <v>0.39605323146481297</v>
          </cell>
          <cell r="J28">
            <v>0.37411138446832803</v>
          </cell>
          <cell r="K28">
            <v>0</v>
          </cell>
        </row>
        <row r="29">
          <cell r="A29" t="str">
            <v>JWN</v>
          </cell>
          <cell r="B29">
            <v>0.36705055232607831</v>
          </cell>
          <cell r="C29">
            <v>0.37458966546886718</v>
          </cell>
          <cell r="D29">
            <v>0.37400380207376371</v>
          </cell>
          <cell r="E29">
            <v>0.34513532746351461</v>
          </cell>
          <cell r="F29">
            <v>0.35480745943327685</v>
          </cell>
          <cell r="G29">
            <v>0.36371218664159566</v>
          </cell>
          <cell r="I29">
            <v>0.37458966546886718</v>
          </cell>
          <cell r="J29">
            <v>0.34513532746351461</v>
          </cell>
          <cell r="K29">
            <v>-108.77478827271526</v>
          </cell>
        </row>
        <row r="30">
          <cell r="A30" t="str">
            <v>KSS</v>
          </cell>
          <cell r="B30">
            <v>0.35521033860112516</v>
          </cell>
          <cell r="C30">
            <v>0.3636492487376406</v>
          </cell>
          <cell r="D30">
            <v>0.36507281302925265</v>
          </cell>
          <cell r="E30">
            <v>0.36947488849160115</v>
          </cell>
          <cell r="F30">
            <v>0.37823834196891193</v>
          </cell>
          <cell r="G30">
            <v>0.38389063407855639</v>
          </cell>
          <cell r="I30">
            <v>0.38389063407855639</v>
          </cell>
          <cell r="J30">
            <v>0.35521033860112516</v>
          </cell>
          <cell r="K30">
            <v>0</v>
          </cell>
        </row>
        <row r="31">
          <cell r="A31" t="str">
            <v>M</v>
          </cell>
          <cell r="B31">
            <v>0.40723537293434564</v>
          </cell>
          <cell r="C31">
            <v>0.40604375231738965</v>
          </cell>
          <cell r="D31">
            <v>0.40421084634971305</v>
          </cell>
          <cell r="E31">
            <v>0.39703519202956772</v>
          </cell>
          <cell r="F31">
            <v>0.4051258035676274</v>
          </cell>
          <cell r="G31">
            <v>0.40740177504153008</v>
          </cell>
          <cell r="I31">
            <v>0.40740177504153008</v>
          </cell>
          <cell r="J31">
            <v>0.39703519202956772</v>
          </cell>
          <cell r="K31">
            <v>0</v>
          </cell>
        </row>
        <row r="32">
          <cell r="A32" t="str">
            <v>SKS</v>
          </cell>
          <cell r="B32">
            <v>0.36838636693297744</v>
          </cell>
          <cell r="C32">
            <v>0.38629518405253327</v>
          </cell>
          <cell r="D32">
            <v>0.39013022290713839</v>
          </cell>
          <cell r="E32">
            <v>0.32085279404442968</v>
          </cell>
          <cell r="F32">
            <v>0.36470630800811976</v>
          </cell>
          <cell r="G32">
            <v>0.38074593530189327</v>
          </cell>
          <cell r="I32">
            <v>0.39013022290713839</v>
          </cell>
          <cell r="J32">
            <v>0.32085279404442968</v>
          </cell>
          <cell r="K32">
            <v>-93.842876052451231</v>
          </cell>
        </row>
        <row r="33">
          <cell r="A33" t="str">
            <v>Dept. store avg</v>
          </cell>
          <cell r="B33">
            <v>0.37614326914383689</v>
          </cell>
          <cell r="C33">
            <v>0.38458580548780724</v>
          </cell>
          <cell r="D33">
            <v>0.38387025471449154</v>
          </cell>
          <cell r="E33">
            <v>0.36132191729948826</v>
          </cell>
          <cell r="F33">
            <v>0.37928847515543118</v>
          </cell>
          <cell r="G33">
            <v>0.3863607525056777</v>
          </cell>
          <cell r="I33">
            <v>0.26466022730826666</v>
          </cell>
          <cell r="J33">
            <v>0.22078245953473774</v>
          </cell>
          <cell r="K33">
            <v>0</v>
          </cell>
        </row>
        <row r="34">
          <cell r="I34">
            <v>0.26683303831625027</v>
          </cell>
          <cell r="J34">
            <v>0.23491384996800246</v>
          </cell>
          <cell r="K34">
            <v>0</v>
          </cell>
        </row>
        <row r="35">
          <cell r="A35" t="str">
            <v>ROST</v>
          </cell>
          <cell r="B35">
            <v>0.22078245953473774</v>
          </cell>
          <cell r="C35">
            <v>0.22488972588107092</v>
          </cell>
          <cell r="D35">
            <v>0.22710357389829849</v>
          </cell>
          <cell r="E35">
            <v>0.2358202622546326</v>
          </cell>
          <cell r="F35">
            <v>0.25847437986596433</v>
          </cell>
          <cell r="G35">
            <v>0.26466022730826666</v>
          </cell>
          <cell r="I35">
            <v>0.67253982532430046</v>
          </cell>
          <cell r="J35">
            <v>0.64275377929795496</v>
          </cell>
          <cell r="K35">
            <v>-297.86046026345491</v>
          </cell>
        </row>
        <row r="36">
          <cell r="A36" t="str">
            <v>TJX</v>
          </cell>
          <cell r="B36">
            <v>0.23491384996800246</v>
          </cell>
          <cell r="C36">
            <v>0.24079410561679626</v>
          </cell>
          <cell r="D36">
            <v>0.24492454085068949</v>
          </cell>
          <cell r="E36">
            <v>0.24092296088766529</v>
          </cell>
          <cell r="F36">
            <v>0.26221897549166406</v>
          </cell>
          <cell r="G36">
            <v>0.26683303831625027</v>
          </cell>
          <cell r="I36">
            <v>0.38266153944036096</v>
          </cell>
          <cell r="J36">
            <v>0.30097222810369439</v>
          </cell>
          <cell r="K36">
            <v>0</v>
          </cell>
        </row>
        <row r="37">
          <cell r="A37" t="str">
            <v>Off-price avg</v>
          </cell>
          <cell r="B37">
            <v>0.2278481547513701</v>
          </cell>
          <cell r="C37">
            <v>0.23284191574893359</v>
          </cell>
          <cell r="D37">
            <v>0.23601405737449399</v>
          </cell>
          <cell r="E37">
            <v>0.23837161157114894</v>
          </cell>
          <cell r="F37">
            <v>0.2603466776788142</v>
          </cell>
          <cell r="G37">
            <v>0.26574663281225847</v>
          </cell>
          <cell r="I37">
            <v>0.47968246595255026</v>
          </cell>
          <cell r="J37">
            <v>0.38724779790259878</v>
          </cell>
          <cell r="K37">
            <v>-557.89561500711568</v>
          </cell>
        </row>
        <row r="38">
          <cell r="I38">
            <v>0.38266153944036096</v>
          </cell>
          <cell r="J38">
            <v>0.30097222810369439</v>
          </cell>
          <cell r="K38">
            <v>0</v>
          </cell>
        </row>
        <row r="39">
          <cell r="A39" t="str">
            <v>ANF</v>
          </cell>
          <cell r="B39">
            <v>0.66982483696775197</v>
          </cell>
          <cell r="C39">
            <v>0.67008193227159563</v>
          </cell>
          <cell r="D39">
            <v>0.67253982532430046</v>
          </cell>
          <cell r="E39">
            <v>0.66907487449258141</v>
          </cell>
          <cell r="F39">
            <v>0.6431673566946946</v>
          </cell>
          <cell r="G39">
            <v>0.64275377929795496</v>
          </cell>
          <cell r="I39">
            <v>0.77715250839458938</v>
          </cell>
          <cell r="J39">
            <v>0.7189701306436096</v>
          </cell>
          <cell r="K39">
            <v>-534.41365481116327</v>
          </cell>
        </row>
        <row r="40">
          <cell r="A40" t="str">
            <v>ARO</v>
          </cell>
          <cell r="B40">
            <v>0.30097222810369439</v>
          </cell>
          <cell r="C40">
            <v>0.31702127358463861</v>
          </cell>
          <cell r="D40">
            <v>0.34456092567946972</v>
          </cell>
          <cell r="E40">
            <v>0.34694841930469456</v>
          </cell>
          <cell r="F40">
            <v>0.38094484340423429</v>
          </cell>
          <cell r="G40">
            <v>0.38266153944036096</v>
          </cell>
          <cell r="I40">
            <v>0.40988133878454813</v>
          </cell>
          <cell r="J40">
            <v>0.35527224769201782</v>
          </cell>
          <cell r="K40">
            <v>0</v>
          </cell>
        </row>
        <row r="41">
          <cell r="A41" t="str">
            <v>AEO</v>
          </cell>
          <cell r="B41">
            <v>0.46338441369841543</v>
          </cell>
          <cell r="C41">
            <v>0.47968246595255026</v>
          </cell>
          <cell r="D41">
            <v>0.46577507045678512</v>
          </cell>
          <cell r="E41">
            <v>0.39281461528089534</v>
          </cell>
          <cell r="F41">
            <v>0.38724779790259878</v>
          </cell>
          <cell r="G41">
            <v>0.42389290445183869</v>
          </cell>
          <cell r="I41">
            <v>0.37612621984111183</v>
          </cell>
          <cell r="J41">
            <v>0.33246659377546584</v>
          </cell>
          <cell r="K41">
            <v>-160.31477906032765</v>
          </cell>
        </row>
        <row r="42">
          <cell r="A42" t="str">
            <v>COH</v>
          </cell>
          <cell r="B42">
            <v>0.76742019151131191</v>
          </cell>
          <cell r="C42">
            <v>0.77715250839458938</v>
          </cell>
          <cell r="D42">
            <v>0.77436175001607688</v>
          </cell>
          <cell r="E42">
            <v>0.75677047948019927</v>
          </cell>
          <cell r="F42">
            <v>0.7189701306436096</v>
          </cell>
          <cell r="G42">
            <v>0.72371114291347305</v>
          </cell>
          <cell r="I42">
            <v>0.41328451675268396</v>
          </cell>
          <cell r="J42">
            <v>0.36900034865197429</v>
          </cell>
          <cell r="K42">
            <v>0</v>
          </cell>
        </row>
        <row r="43">
          <cell r="A43" t="str">
            <v>GPS</v>
          </cell>
          <cell r="B43">
            <v>0.36634837421207012</v>
          </cell>
          <cell r="C43">
            <v>0.35527224769201782</v>
          </cell>
          <cell r="D43">
            <v>0.36122565501490833</v>
          </cell>
          <cell r="E43">
            <v>0.37498278948093078</v>
          </cell>
          <cell r="F43">
            <v>0.40318377121927162</v>
          </cell>
          <cell r="G43">
            <v>0.40988133878454813</v>
          </cell>
        </row>
        <row r="44">
          <cell r="A44" t="str">
            <v>LTD</v>
          </cell>
          <cell r="B44">
            <v>0.35680728062464451</v>
          </cell>
          <cell r="C44">
            <v>0.37612621984111183</v>
          </cell>
          <cell r="D44">
            <v>0.34339067881529917</v>
          </cell>
          <cell r="E44">
            <v>0.33246659377546584</v>
          </cell>
          <cell r="F44">
            <v>0.35077650699768259</v>
          </cell>
          <cell r="G44">
            <v>0.36009474193507907</v>
          </cell>
        </row>
        <row r="45">
          <cell r="A45" t="str">
            <v>URBN</v>
          </cell>
          <cell r="B45">
            <v>0.41077110576161491</v>
          </cell>
          <cell r="C45">
            <v>0.36900034865197429</v>
          </cell>
          <cell r="D45">
            <v>0.38254481589468625</v>
          </cell>
          <cell r="E45">
            <v>0.38889730723235016</v>
          </cell>
          <cell r="F45">
            <v>0.40568630132391381</v>
          </cell>
          <cell r="G45">
            <v>0.41328451675268396</v>
          </cell>
        </row>
        <row r="46">
          <cell r="A46" t="str">
            <v>Specialty avg</v>
          </cell>
          <cell r="B46">
            <v>0.47650406155421482</v>
          </cell>
          <cell r="C46">
            <v>0.47776242805549679</v>
          </cell>
          <cell r="D46">
            <v>0.47777124588593228</v>
          </cell>
          <cell r="E46">
            <v>0.46599358272101682</v>
          </cell>
          <cell r="F46">
            <v>0.46999667259800076</v>
          </cell>
          <cell r="G46">
            <v>0.47946856622513412</v>
          </cell>
        </row>
        <row r="57">
          <cell r="A57" t="str">
            <v>SG&amp;A Growth vs Sales Growth - Comps Growth</v>
          </cell>
        </row>
        <row r="58">
          <cell r="A58" t="str">
            <v>SG&amp;A growth</v>
          </cell>
          <cell r="B58">
            <v>2005</v>
          </cell>
          <cell r="C58">
            <v>2006</v>
          </cell>
          <cell r="D58">
            <v>2007</v>
          </cell>
          <cell r="E58">
            <v>2008</v>
          </cell>
          <cell r="F58">
            <v>2009</v>
          </cell>
          <cell r="G58">
            <v>2010</v>
          </cell>
        </row>
        <row r="59">
          <cell r="A59" t="str">
            <v>JCP</v>
          </cell>
          <cell r="B59">
            <v>1.9800181653042648E-2</v>
          </cell>
          <cell r="C59">
            <v>5.753473459209113E-2</v>
          </cell>
          <cell r="D59">
            <v>-1.8191005558362838E-2</v>
          </cell>
          <cell r="E59">
            <v>-4.1173443129182141E-3</v>
          </cell>
          <cell r="F59">
            <v>7.5279931093884533E-2</v>
          </cell>
          <cell r="G59">
            <v>7.7272891567914392E-4</v>
          </cell>
        </row>
        <row r="60">
          <cell r="A60" t="str">
            <v>JWN</v>
          </cell>
          <cell r="B60">
            <v>3.9813724456535526E-2</v>
          </cell>
          <cell r="C60">
            <v>9.3397522500006991E-2</v>
          </cell>
          <cell r="D60">
            <v>2.7392578486396646E-2</v>
          </cell>
          <cell r="E60">
            <v>1.1944333793828088E-2</v>
          </cell>
          <cell r="F60">
            <v>3.2259253272450383E-2</v>
          </cell>
          <cell r="G60">
            <v>5.0834702266653098E-2</v>
          </cell>
        </row>
        <row r="61">
          <cell r="A61" t="str">
            <v>KSS</v>
          </cell>
          <cell r="B61">
            <v>0.14732221151534408</v>
          </cell>
          <cell r="C61">
            <v>0.15252033069006243</v>
          </cell>
          <cell r="D61">
            <v>8.2391009909547508E-2</v>
          </cell>
          <cell r="E61">
            <v>6.4681760393843435E-2</v>
          </cell>
          <cell r="F61">
            <v>5.2839643680853365E-2</v>
          </cell>
          <cell r="G61">
            <v>6.0426926393679858E-2</v>
          </cell>
        </row>
        <row r="62">
          <cell r="A62" t="str">
            <v>M</v>
          </cell>
          <cell r="B62">
            <v>0.41553437436625429</v>
          </cell>
          <cell r="C62">
            <v>0.24326647564469916</v>
          </cell>
          <cell r="D62">
            <v>-1.4289006683567695E-2</v>
          </cell>
          <cell r="E62">
            <v>-1.1222819733458067E-2</v>
          </cell>
          <cell r="F62">
            <v>-4.6819579096713193E-2</v>
          </cell>
          <cell r="G62">
            <v>2.3079369153637952E-2</v>
          </cell>
        </row>
        <row r="63">
          <cell r="A63" t="str">
            <v>SKS</v>
          </cell>
          <cell r="B63">
            <v>6.2793070223896574E-3</v>
          </cell>
          <cell r="C63">
            <v>-6.4508354494813736E-2</v>
          </cell>
          <cell r="D63">
            <v>7.7426248732044733E-2</v>
          </cell>
          <cell r="E63">
            <v>-5.5058117202405166E-2</v>
          </cell>
          <cell r="F63">
            <v>-0.13106406133853599</v>
          </cell>
          <cell r="G63">
            <v>4.8787028931422949E-2</v>
          </cell>
        </row>
        <row r="64">
          <cell r="A64" t="str">
            <v>ROST</v>
          </cell>
          <cell r="B64">
            <v>0.16494036504740994</v>
          </cell>
          <cell r="C64">
            <v>0.12646317141425123</v>
          </cell>
          <cell r="D64">
            <v>8.4432460867660764E-2</v>
          </cell>
          <cell r="E64">
            <v>0.10981272658003349</v>
          </cell>
          <cell r="F64">
            <v>8.8707414272316543E-2</v>
          </cell>
          <cell r="G64">
            <v>7.1078079459742538E-2</v>
          </cell>
        </row>
        <row r="65">
          <cell r="A65" t="str">
            <v>TJX</v>
          </cell>
          <cell r="B65">
            <v>6.6846265118965631E-2</v>
          </cell>
          <cell r="C65">
            <v>8.4496792669717324E-2</v>
          </cell>
          <cell r="D65">
            <v>4.0062234300518362E-2</v>
          </cell>
          <cell r="E65">
            <v>3.6026224389584804E-2</v>
          </cell>
          <cell r="F65">
            <v>5.9267136455885217E-2</v>
          </cell>
          <cell r="G65">
            <v>6.6782449189689119E-2</v>
          </cell>
        </row>
        <row r="66">
          <cell r="A66" t="str">
            <v>ANF</v>
          </cell>
          <cell r="B66">
            <v>0.32517499320921894</v>
          </cell>
          <cell r="C66">
            <v>0.19254496302912805</v>
          </cell>
          <cell r="D66">
            <v>0.13770236688854931</v>
          </cell>
          <cell r="E66">
            <v>6.9262730911323844E-2</v>
          </cell>
          <cell r="F66">
            <v>-5.1157205166412423E-2</v>
          </cell>
          <cell r="G66">
            <v>2.6799926349323933E-2</v>
          </cell>
        </row>
        <row r="67">
          <cell r="A67" t="str">
            <v>ARO</v>
          </cell>
          <cell r="B67">
            <v>0.23408904373916317</v>
          </cell>
          <cell r="C67">
            <v>0.27612268987509014</v>
          </cell>
          <cell r="D67">
            <v>0.19351754700831103</v>
          </cell>
          <cell r="E67">
            <v>0.17373375168086058</v>
          </cell>
          <cell r="F67">
            <v>0.14210745461130436</v>
          </cell>
          <cell r="G67">
            <v>8.7894294822347341E-2</v>
          </cell>
        </row>
        <row r="68">
          <cell r="A68" t="str">
            <v>AEO</v>
          </cell>
          <cell r="B68">
            <v>0.21365220252042727</v>
          </cell>
          <cell r="C68">
            <v>0.22738915166099627</v>
          </cell>
          <cell r="D68">
            <v>7.4477882594383704E-2</v>
          </cell>
          <cell r="E68">
            <v>2.6372381778014153E-2</v>
          </cell>
          <cell r="F68">
            <v>3.0263977080299265E-2</v>
          </cell>
          <cell r="G68">
            <v>-3.6504660730932281E-2</v>
          </cell>
        </row>
        <row r="69">
          <cell r="A69" t="str">
            <v>COH</v>
          </cell>
          <cell r="B69">
            <v>0.26445354341591498</v>
          </cell>
          <cell r="C69">
            <v>0.18441894189124874</v>
          </cell>
          <cell r="D69">
            <v>0.18771473109049008</v>
          </cell>
          <cell r="E69">
            <v>0.19258655638317834</v>
          </cell>
          <cell r="F69">
            <v>7.6928088712685527E-2</v>
          </cell>
          <cell r="G69">
            <v>7.5120685716945523E-2</v>
          </cell>
        </row>
        <row r="70">
          <cell r="A70" t="str">
            <v>GPS</v>
          </cell>
          <cell r="B70">
            <v>-2.583798882681565E-2</v>
          </cell>
          <cell r="C70">
            <v>6.9772998805256892E-2</v>
          </cell>
          <cell r="D70">
            <v>-2.9484029484029506E-2</v>
          </cell>
          <cell r="E70">
            <v>-0.10264672036823941</v>
          </cell>
          <cell r="F70">
            <v>3.5906642728904536E-3</v>
          </cell>
          <cell r="G70">
            <v>1.8430965572890257E-2</v>
          </cell>
        </row>
        <row r="71">
          <cell r="A71" t="str">
            <v>LTD</v>
          </cell>
          <cell r="B71">
            <v>5.3515321049683484E-2</v>
          </cell>
          <cell r="C71">
            <v>0.13772363610993166</v>
          </cell>
          <cell r="D71">
            <v>-8.2824685886191962E-2</v>
          </cell>
          <cell r="E71">
            <v>-0.12049140453224649</v>
          </cell>
          <cell r="F71">
            <v>-5.3496757540580586E-2</v>
          </cell>
          <cell r="G71">
            <v>2.7337611856118382E-2</v>
          </cell>
        </row>
        <row r="72">
          <cell r="A72" t="str">
            <v>URBN</v>
          </cell>
          <cell r="B72">
            <v>0.27377825867719996</v>
          </cell>
          <cell r="C72">
            <v>0.18731418062159033</v>
          </cell>
          <cell r="D72">
            <v>0.2219100343136573</v>
          </cell>
          <cell r="E72">
            <v>0.17683691132289447</v>
          </cell>
          <cell r="F72">
            <v>7.9986861268032561E-2</v>
          </cell>
          <cell r="G72">
            <v>0.13189366124946944</v>
          </cell>
        </row>
        <row r="73">
          <cell r="A73" t="str">
            <v>Average</v>
          </cell>
          <cell r="B73">
            <v>0.15709727164033813</v>
          </cell>
          <cell r="C73">
            <v>0.14060408821494691</v>
          </cell>
          <cell r="D73">
            <v>7.0159883327100533E-2</v>
          </cell>
          <cell r="E73">
            <v>4.0551497934592416E-2</v>
          </cell>
          <cell r="F73">
            <v>2.5620915827025716E-2</v>
          </cell>
          <cell r="G73">
            <v>4.6623840653333373E-2</v>
          </cell>
        </row>
        <row r="75">
          <cell r="A75" t="str">
            <v>Total Sales</v>
          </cell>
          <cell r="B75">
            <v>2005</v>
          </cell>
          <cell r="C75">
            <v>2006</v>
          </cell>
          <cell r="D75">
            <v>2007</v>
          </cell>
          <cell r="E75">
            <v>2008</v>
          </cell>
          <cell r="F75">
            <v>2009</v>
          </cell>
          <cell r="G75">
            <v>2010</v>
          </cell>
        </row>
        <row r="76">
          <cell r="A76" t="str">
            <v>JCP</v>
          </cell>
          <cell r="B76">
            <v>3.7853669319186656E-2</v>
          </cell>
          <cell r="C76">
            <v>5.9745913423140395E-2</v>
          </cell>
          <cell r="D76">
            <v>-2.1181637743851178E-3</v>
          </cell>
          <cell r="E76">
            <v>-6.9204061506389691E-2</v>
          </cell>
          <cell r="F76">
            <v>-5.0252606220807183E-2</v>
          </cell>
          <cell r="G76">
            <v>1.4165050052032502E-2</v>
          </cell>
        </row>
        <row r="77">
          <cell r="A77" t="str">
            <v>JWN</v>
          </cell>
          <cell r="B77">
            <v>8.2900681814389365E-2</v>
          </cell>
          <cell r="C77">
            <v>0.10852364459071628</v>
          </cell>
          <cell r="D77">
            <v>3.1202595863094373E-2</v>
          </cell>
          <cell r="E77">
            <v>-6.0809391770148324E-2</v>
          </cell>
          <cell r="F77">
            <v>-3.9802195151369402E-3</v>
          </cell>
          <cell r="G77">
            <v>8.1553241749334093E-2</v>
          </cell>
        </row>
        <row r="78">
          <cell r="A78" t="str">
            <v>KSS</v>
          </cell>
          <cell r="B78">
            <v>0.14541865016622935</v>
          </cell>
          <cell r="C78">
            <v>0.16289124173643121</v>
          </cell>
          <cell r="D78">
            <v>5.7002363958193802E-2</v>
          </cell>
          <cell r="E78">
            <v>-5.147598900064887E-3</v>
          </cell>
          <cell r="F78">
            <v>4.8087425025474362E-2</v>
          </cell>
          <cell r="G78">
            <v>7.6911540806537948E-2</v>
          </cell>
        </row>
        <row r="79">
          <cell r="A79" t="str">
            <v>M</v>
          </cell>
          <cell r="B79">
            <v>0.41924442190669375</v>
          </cell>
          <cell r="C79">
            <v>0.20455560518088434</v>
          </cell>
          <cell r="D79">
            <v>-2.4360400444938812E-2</v>
          </cell>
          <cell r="E79">
            <v>-5.4003724394785846E-2</v>
          </cell>
          <cell r="F79">
            <v>-5.6363490278000916E-2</v>
          </cell>
          <cell r="G79">
            <v>4.4939125238239175E-2</v>
          </cell>
        </row>
        <row r="80">
          <cell r="A80" t="str">
            <v>SKS</v>
          </cell>
          <cell r="B80">
            <v>4.1041179597807176E-3</v>
          </cell>
          <cell r="C80">
            <v>5.8189569068934466E-2</v>
          </cell>
          <cell r="D80">
            <v>0.11041825467525013</v>
          </cell>
          <cell r="E80">
            <v>-6.9761287103328296E-2</v>
          </cell>
          <cell r="F80">
            <v>-0.13539452228728877</v>
          </cell>
          <cell r="G80">
            <v>4.2572459349391245E-2</v>
          </cell>
        </row>
        <row r="81">
          <cell r="A81" t="str">
            <v>ROST</v>
          </cell>
          <cell r="B81">
            <v>0.16608270302524297</v>
          </cell>
          <cell r="C81">
            <v>0.12661980887018864</v>
          </cell>
          <cell r="D81">
            <v>7.270856933580605E-2</v>
          </cell>
          <cell r="E81">
            <v>8.5507761063540411E-2</v>
          </cell>
          <cell r="F81">
            <v>0.10762550725477826</v>
          </cell>
          <cell r="G81">
            <v>8.6251364890475912E-2</v>
          </cell>
        </row>
        <row r="82">
          <cell r="A82" t="str">
            <v>TJX</v>
          </cell>
          <cell r="B82">
            <v>6.990050546877602E-2</v>
          </cell>
          <cell r="C82">
            <v>9.07933802470966E-2</v>
          </cell>
          <cell r="D82">
            <v>5.3554061483729987E-2</v>
          </cell>
          <cell r="E82">
            <v>3.6144893041429649E-2</v>
          </cell>
          <cell r="F82">
            <v>6.7840662164619481E-2</v>
          </cell>
          <cell r="G82">
            <v>8.7128931474232285E-2</v>
          </cell>
        </row>
        <row r="83">
          <cell r="A83" t="str">
            <v>ANF</v>
          </cell>
          <cell r="B83">
            <v>0.36952802567119236</v>
          </cell>
          <cell r="C83">
            <v>0.18640947573915412</v>
          </cell>
          <cell r="D83">
            <v>0.12650966330671687</v>
          </cell>
          <cell r="E83">
            <v>-5.8275418038866378E-2</v>
          </cell>
          <cell r="F83">
            <v>-0.1594210427670959</v>
          </cell>
          <cell r="G83">
            <v>7.9942840110693636E-2</v>
          </cell>
        </row>
        <row r="84">
          <cell r="A84" t="str">
            <v>ARO</v>
          </cell>
          <cell r="B84">
            <v>0.24904792721932512</v>
          </cell>
          <cell r="C84">
            <v>0.17342260992886604</v>
          </cell>
          <cell r="D84">
            <v>0.12027599617324558</v>
          </cell>
          <cell r="E84">
            <v>0.1909747641302364</v>
          </cell>
          <cell r="F84">
            <v>0.1827463987598188</v>
          </cell>
          <cell r="G84">
            <v>8.975332030843397E-2</v>
          </cell>
        </row>
        <row r="85">
          <cell r="A85" t="str">
            <v>AEO</v>
          </cell>
          <cell r="B85">
            <v>0.23427141977024735</v>
          </cell>
          <cell r="C85">
            <v>0.20346887675164371</v>
          </cell>
          <cell r="D85">
            <v>9.3404365645830545E-2</v>
          </cell>
          <cell r="E85">
            <v>-2.1797992353912776E-2</v>
          </cell>
          <cell r="F85">
            <v>5.8250471674914372E-4</v>
          </cell>
          <cell r="G85">
            <v>-5.5028288935698999E-4</v>
          </cell>
        </row>
        <row r="86">
          <cell r="A86" t="str">
            <v>COH</v>
          </cell>
          <cell r="B86">
            <v>0.29820325394954028</v>
          </cell>
          <cell r="C86">
            <v>0.23211241239350389</v>
          </cell>
          <cell r="D86">
            <v>0.283708542886415</v>
          </cell>
          <cell r="E86">
            <v>0.21753514700343279</v>
          </cell>
          <cell r="F86">
            <v>1.5628669527411265E-2</v>
          </cell>
          <cell r="G86">
            <v>7.6036142797213824E-2</v>
          </cell>
        </row>
        <row r="87">
          <cell r="A87" t="str">
            <v>GPS</v>
          </cell>
          <cell r="B87">
            <v>-1.4999692629249384E-2</v>
          </cell>
          <cell r="C87">
            <v>-6.2410285215003247E-3</v>
          </cell>
          <cell r="D87">
            <v>-1.0048357721534895E-2</v>
          </cell>
          <cell r="E87">
            <v>-7.8474909598426734E-2</v>
          </cell>
          <cell r="F87">
            <v>-2.2649043095139709E-2</v>
          </cell>
          <cell r="G87">
            <v>-9.811269648707488E-3</v>
          </cell>
          <cell r="M87">
            <v>2005</v>
          </cell>
          <cell r="N87">
            <v>2006</v>
          </cell>
          <cell r="O87">
            <v>2007</v>
          </cell>
          <cell r="P87">
            <v>2008</v>
          </cell>
          <cell r="Q87">
            <v>2009</v>
          </cell>
          <cell r="R87">
            <v>2010</v>
          </cell>
        </row>
        <row r="88">
          <cell r="A88" t="str">
            <v>LTD</v>
          </cell>
          <cell r="B88">
            <v>2.7761409272991866E-2</v>
          </cell>
          <cell r="C88">
            <v>0.10353710119447745</v>
          </cell>
          <cell r="D88">
            <v>-5.476319535113694E-2</v>
          </cell>
          <cell r="E88">
            <v>-0.10346635775899038</v>
          </cell>
          <cell r="F88">
            <v>-4.5358626808516544E-2</v>
          </cell>
          <cell r="G88">
            <v>5.5396224187859611E-2</v>
          </cell>
          <cell r="L88" t="str">
            <v>Avg - Dept Stores SG&amp;A growth</v>
          </cell>
          <cell r="M88">
            <v>0.12293377559713455</v>
          </cell>
          <cell r="N88">
            <v>9.9024381859430646E-2</v>
          </cell>
          <cell r="O88">
            <v>3.9889217150605352E-2</v>
          </cell>
          <cell r="P88">
            <v>2.1723823415501196E-2</v>
          </cell>
          <cell r="Q88">
            <v>1.8638534048591553E-2</v>
          </cell>
          <cell r="R88">
            <v>4.5965897758643522E-2</v>
          </cell>
        </row>
        <row r="89">
          <cell r="A89" t="str">
            <v>URBN</v>
          </cell>
          <cell r="B89">
            <v>0.31936816671700385</v>
          </cell>
          <cell r="C89">
            <v>0.12142583098542548</v>
          </cell>
          <cell r="D89">
            <v>0.23107950653089637</v>
          </cell>
          <cell r="E89">
            <v>0.21681289148411786</v>
          </cell>
          <cell r="F89">
            <v>5.6249856918443086E-2</v>
          </cell>
          <cell r="G89">
            <v>0.16704157529874619</v>
          </cell>
          <cell r="L89" t="str">
            <v>Avg - Dept Stores comps</v>
          </cell>
          <cell r="M89">
            <v>3.700780088861149E-2</v>
          </cell>
          <cell r="N89">
            <v>4.9142857142857134E-2</v>
          </cell>
          <cell r="O89">
            <v>2.4985142157499068E-2</v>
          </cell>
          <cell r="P89">
            <v>-4.8227770048997518E-2</v>
          </cell>
          <cell r="Q89">
            <v>-2.4653980686388615E-2</v>
          </cell>
          <cell r="R89">
            <v>4.1239107147145793E-2</v>
          </cell>
        </row>
        <row r="90">
          <cell r="A90" t="str">
            <v>Average</v>
          </cell>
          <cell r="B90">
            <v>0.17204894711652502</v>
          </cell>
          <cell r="C90">
            <v>0.13038960297064014</v>
          </cell>
          <cell r="D90">
            <v>7.7755271611941637E-2</v>
          </cell>
          <cell r="E90">
            <v>1.6145336806988844E-2</v>
          </cell>
          <cell r="F90">
            <v>3.815338139506027E-4</v>
          </cell>
          <cell r="G90">
            <v>6.3666447408937565E-2</v>
          </cell>
          <cell r="M90">
            <v>2005</v>
          </cell>
          <cell r="N90">
            <v>2006</v>
          </cell>
          <cell r="O90">
            <v>2007</v>
          </cell>
          <cell r="P90">
            <v>2008</v>
          </cell>
          <cell r="Q90">
            <v>2009</v>
          </cell>
          <cell r="R90">
            <v>2010</v>
          </cell>
        </row>
        <row r="91">
          <cell r="L91" t="str">
            <v>Avg - Specialty SG&amp;A growth</v>
          </cell>
          <cell r="M91">
            <v>0.19126076768354175</v>
          </cell>
          <cell r="N91">
            <v>0.18218379457046316</v>
          </cell>
          <cell r="O91">
            <v>0.10043054950359571</v>
          </cell>
          <cell r="P91">
            <v>5.937917245368364E-2</v>
          </cell>
          <cell r="Q91">
            <v>3.260329760545988E-2</v>
          </cell>
          <cell r="R91">
            <v>4.7281783548023225E-2</v>
          </cell>
        </row>
        <row r="92">
          <cell r="L92" t="str">
            <v>Avg - Specialty comps</v>
          </cell>
          <cell r="M92">
            <v>9.7285714285714295E-2</v>
          </cell>
          <cell r="N92">
            <v>4.2153599874490209E-2</v>
          </cell>
          <cell r="O92">
            <v>3.5857142857142858E-2</v>
          </cell>
          <cell r="P92">
            <v>-2.5435212735340273E-2</v>
          </cell>
          <cell r="Q92">
            <v>-4.6189359134132642E-2</v>
          </cell>
          <cell r="R92">
            <v>2.7112424455829794E-2</v>
          </cell>
        </row>
        <row r="93">
          <cell r="A93" t="str">
            <v>SG&amp;A growth less sales growth</v>
          </cell>
        </row>
        <row r="94">
          <cell r="B94">
            <v>2005</v>
          </cell>
          <cell r="C94">
            <v>2006</v>
          </cell>
          <cell r="D94">
            <v>2007</v>
          </cell>
          <cell r="E94">
            <v>2008</v>
          </cell>
          <cell r="F94">
            <v>2009</v>
          </cell>
          <cell r="G94">
            <v>2010</v>
          </cell>
        </row>
        <row r="95">
          <cell r="A95" t="str">
            <v>JCP</v>
          </cell>
          <cell r="B95">
            <v>-180.53487666144008</v>
          </cell>
          <cell r="C95">
            <v>-22.111788310492653</v>
          </cell>
          <cell r="D95">
            <v>-160.72841783977719</v>
          </cell>
          <cell r="E95">
            <v>650.86717193471475</v>
          </cell>
          <cell r="F95">
            <v>1255.3253731469172</v>
          </cell>
          <cell r="G95">
            <v>-133.92321136353357</v>
          </cell>
        </row>
        <row r="96">
          <cell r="A96" t="str">
            <v>JWN</v>
          </cell>
          <cell r="B96">
            <v>-430.86957357853839</v>
          </cell>
          <cell r="C96">
            <v>-151.26122090709293</v>
          </cell>
          <cell r="D96">
            <v>-38.100173766977278</v>
          </cell>
          <cell r="E96">
            <v>727.53725563976411</v>
          </cell>
          <cell r="F96">
            <v>362.39472787587323</v>
          </cell>
          <cell r="G96">
            <v>-307.18539482680995</v>
          </cell>
        </row>
        <row r="97">
          <cell r="A97" t="str">
            <v>KSS</v>
          </cell>
          <cell r="B97">
            <v>19.035613491147352</v>
          </cell>
          <cell r="C97">
            <v>-103.70911046368781</v>
          </cell>
          <cell r="D97">
            <v>253.88645951353706</v>
          </cell>
          <cell r="E97">
            <v>698.29359293908317</v>
          </cell>
          <cell r="F97">
            <v>47.522186553790036</v>
          </cell>
          <cell r="G97">
            <v>-164.8461441285809</v>
          </cell>
        </row>
        <row r="98">
          <cell r="A98" t="str">
            <v>M</v>
          </cell>
          <cell r="B98">
            <v>-37.100475404394651</v>
          </cell>
          <cell r="C98">
            <v>387.10870463814831</v>
          </cell>
          <cell r="D98">
            <v>100.71393761371117</v>
          </cell>
          <cell r="E98">
            <v>427.80904661327781</v>
          </cell>
          <cell r="F98">
            <v>95.439111812877229</v>
          </cell>
          <cell r="G98">
            <v>-218.59756084601224</v>
          </cell>
        </row>
        <row r="99">
          <cell r="A99" t="str">
            <v>SKS</v>
          </cell>
          <cell r="B99">
            <v>21.751890626089398</v>
          </cell>
          <cell r="C99">
            <v>-1226.9792356374819</v>
          </cell>
          <cell r="D99">
            <v>-329.92005943205396</v>
          </cell>
          <cell r="E99">
            <v>147.03169900923129</v>
          </cell>
          <cell r="F99">
            <v>43.304609487527792</v>
          </cell>
          <cell r="G99">
            <v>62.145695820317037</v>
          </cell>
        </row>
        <row r="100">
          <cell r="A100" t="str">
            <v>ROST</v>
          </cell>
          <cell r="B100">
            <v>-11.4233797783303</v>
          </cell>
          <cell r="C100">
            <v>-1.5663745593741396</v>
          </cell>
          <cell r="D100">
            <v>117.23891531854713</v>
          </cell>
          <cell r="E100">
            <v>243.04965516493081</v>
          </cell>
          <cell r="F100">
            <v>-189.18092982461721</v>
          </cell>
          <cell r="G100">
            <v>-151.73285430733375</v>
          </cell>
        </row>
        <row r="101">
          <cell r="A101" t="str">
            <v>TJX</v>
          </cell>
          <cell r="B101">
            <v>-30.542403498103887</v>
          </cell>
          <cell r="C101">
            <v>-62.96587577379276</v>
          </cell>
          <cell r="D101">
            <v>-134.91827183211623</v>
          </cell>
          <cell r="E101">
            <v>-1.1866865184484432</v>
          </cell>
          <cell r="F101">
            <v>-85.735257087342646</v>
          </cell>
          <cell r="G101">
            <v>-203.46482284543166</v>
          </cell>
        </row>
        <row r="102">
          <cell r="A102" t="str">
            <v>ANF</v>
          </cell>
          <cell r="B102">
            <v>-443.53032461973419</v>
          </cell>
          <cell r="C102">
            <v>61.354872899739291</v>
          </cell>
          <cell r="D102">
            <v>111.92703581832441</v>
          </cell>
          <cell r="E102">
            <v>1275.3814895019023</v>
          </cell>
          <cell r="F102">
            <v>1082.6383760068347</v>
          </cell>
          <cell r="G102">
            <v>-531.42913761369698</v>
          </cell>
        </row>
        <row r="103">
          <cell r="A103" t="str">
            <v>ARO</v>
          </cell>
          <cell r="B103">
            <v>-149.58883480161944</v>
          </cell>
          <cell r="C103">
            <v>1027.000799462241</v>
          </cell>
          <cell r="D103">
            <v>732.41550835065448</v>
          </cell>
          <cell r="E103">
            <v>-172.41012449375813</v>
          </cell>
          <cell r="F103">
            <v>-406.38944148514435</v>
          </cell>
          <cell r="G103">
            <v>-18.590254860866295</v>
          </cell>
        </row>
        <row r="104">
          <cell r="A104" t="str">
            <v>AEO</v>
          </cell>
          <cell r="B104">
            <v>-206.19217249820076</v>
          </cell>
          <cell r="C104">
            <v>239.20274909352557</v>
          </cell>
          <cell r="D104">
            <v>-189.2648305144684</v>
          </cell>
          <cell r="E104">
            <v>481.70374131926928</v>
          </cell>
          <cell r="F104">
            <v>296.8147236355012</v>
          </cell>
          <cell r="G104">
            <v>-359.54377841575291</v>
          </cell>
        </row>
        <row r="105">
          <cell r="A105" t="str">
            <v>COH</v>
          </cell>
          <cell r="B105">
            <v>-337.49710533625301</v>
          </cell>
          <cell r="C105">
            <v>-476.93470502255144</v>
          </cell>
          <cell r="D105">
            <v>-959.93811795924921</v>
          </cell>
          <cell r="E105">
            <v>-249.48590620254453</v>
          </cell>
          <cell r="F105">
            <v>612.99419185274257</v>
          </cell>
          <cell r="G105">
            <v>-9.1545708026830042</v>
          </cell>
        </row>
        <row r="106">
          <cell r="A106" t="str">
            <v>GPS</v>
          </cell>
          <cell r="B106">
            <v>-108.38296197566267</v>
          </cell>
          <cell r="C106">
            <v>760.14027326757218</v>
          </cell>
          <cell r="D106">
            <v>-194.3567176249461</v>
          </cell>
          <cell r="E106">
            <v>-241.71810769812674</v>
          </cell>
          <cell r="F106">
            <v>262.39707368030162</v>
          </cell>
          <cell r="G106">
            <v>282.42235221597747</v>
          </cell>
        </row>
        <row r="107">
          <cell r="A107" t="str">
            <v>LTD</v>
          </cell>
          <cell r="B107">
            <v>257.53911776691621</v>
          </cell>
          <cell r="C107">
            <v>341.86534915454206</v>
          </cell>
          <cell r="D107">
            <v>-280.6149053505502</v>
          </cell>
          <cell r="E107">
            <v>-170.25046773256113</v>
          </cell>
          <cell r="F107">
            <v>-81.381307320640417</v>
          </cell>
          <cell r="G107">
            <v>-280.58612331741227</v>
          </cell>
        </row>
        <row r="108">
          <cell r="A108" t="str">
            <v>URBN</v>
          </cell>
          <cell r="B108">
            <v>-455.89908039803896</v>
          </cell>
          <cell r="C108">
            <v>658.88349636164855</v>
          </cell>
          <cell r="D108">
            <v>-91.694722172390726</v>
          </cell>
          <cell r="E108">
            <v>-399.7598016122339</v>
          </cell>
          <cell r="F108">
            <v>237.37004349589475</v>
          </cell>
          <cell r="G108">
            <v>-351.4791404927675</v>
          </cell>
        </row>
        <row r="109">
          <cell r="A109" t="str">
            <v>Average</v>
          </cell>
          <cell r="B109">
            <v>-149.51675476186884</v>
          </cell>
          <cell r="C109">
            <v>102.14485244306739</v>
          </cell>
          <cell r="D109">
            <v>-75.953882848411084</v>
          </cell>
          <cell r="E109">
            <v>244.06161127603579</v>
          </cell>
          <cell r="F109">
            <v>252.39382013075115</v>
          </cell>
          <cell r="G109">
            <v>-170.42606755604191</v>
          </cell>
        </row>
        <row r="111">
          <cell r="A111" t="str">
            <v>Avg - Dept Stores</v>
          </cell>
          <cell r="B111">
            <v>-92.811886400510062</v>
          </cell>
          <cell r="C111">
            <v>-168.78355728768199</v>
          </cell>
          <cell r="D111">
            <v>-27.403944346447041</v>
          </cell>
          <cell r="E111">
            <v>413.34310496893619</v>
          </cell>
          <cell r="F111">
            <v>218.43854599500369</v>
          </cell>
          <cell r="G111">
            <v>-159.65775607105499</v>
          </cell>
        </row>
        <row r="113">
          <cell r="A113" t="str">
            <v>Avg - Spec</v>
          </cell>
          <cell r="B113">
            <v>-206.22162312322754</v>
          </cell>
          <cell r="C113">
            <v>373.07326217381677</v>
          </cell>
          <cell r="D113">
            <v>-124.50382135037511</v>
          </cell>
          <cell r="E113">
            <v>74.780117583135308</v>
          </cell>
          <cell r="F113">
            <v>286.34909426649858</v>
          </cell>
          <cell r="G113">
            <v>-181.19437904102878</v>
          </cell>
        </row>
        <row r="116">
          <cell r="A116" t="str">
            <v>2009 - in Order</v>
          </cell>
          <cell r="B116" t="str">
            <v>(hardcoded)</v>
          </cell>
        </row>
        <row r="117">
          <cell r="A117" t="str">
            <v>TJX</v>
          </cell>
          <cell r="B117">
            <v>-214.23431782687351</v>
          </cell>
        </row>
        <row r="118">
          <cell r="A118" t="str">
            <v>ARO</v>
          </cell>
          <cell r="B118">
            <v>-160.93243556556169</v>
          </cell>
        </row>
        <row r="119">
          <cell r="A119" t="str">
            <v>ROST</v>
          </cell>
          <cell r="B119">
            <v>-139.48426974530469</v>
          </cell>
        </row>
        <row r="120">
          <cell r="A120" t="str">
            <v>LTD</v>
          </cell>
          <cell r="B120">
            <v>-26.472566827170361</v>
          </cell>
        </row>
        <row r="121">
          <cell r="A121" t="str">
            <v>KSS</v>
          </cell>
          <cell r="B121">
            <v>19.20113782717614</v>
          </cell>
        </row>
        <row r="122">
          <cell r="A122" t="str">
            <v>SKS</v>
          </cell>
          <cell r="B122">
            <v>187.91141726734796</v>
          </cell>
        </row>
        <row r="123">
          <cell r="A123" t="str">
            <v>URBN</v>
          </cell>
          <cell r="B123">
            <v>210.07871886226326</v>
          </cell>
        </row>
        <row r="124">
          <cell r="A124" t="str">
            <v>AEO</v>
          </cell>
          <cell r="B124">
            <v>211.26231705635544</v>
          </cell>
        </row>
        <row r="125">
          <cell r="A125" t="str">
            <v>M</v>
          </cell>
          <cell r="B125">
            <v>256.49965099774573</v>
          </cell>
        </row>
        <row r="126">
          <cell r="A126" t="str">
            <v>GPS</v>
          </cell>
          <cell r="B126">
            <v>265.45830679659764</v>
          </cell>
        </row>
        <row r="127">
          <cell r="A127" t="str">
            <v>JWN</v>
          </cell>
          <cell r="B127">
            <v>341.94187585199984</v>
          </cell>
        </row>
        <row r="128">
          <cell r="A128" t="str">
            <v>COH</v>
          </cell>
          <cell r="B128">
            <v>612.99419185274257</v>
          </cell>
        </row>
        <row r="129">
          <cell r="A129" t="str">
            <v>ANF</v>
          </cell>
          <cell r="B129">
            <v>1018.4323376746818</v>
          </cell>
        </row>
        <row r="130">
          <cell r="A130" t="str">
            <v>JCP</v>
          </cell>
          <cell r="B130">
            <v>1358.9998352094078</v>
          </cell>
        </row>
        <row r="132">
          <cell r="A132" t="str">
            <v>2008 - in Order</v>
          </cell>
          <cell r="B132" t="str">
            <v>(hardcoded)</v>
          </cell>
        </row>
        <row r="133">
          <cell r="A133" t="str">
            <v>URBN</v>
          </cell>
          <cell r="B133">
            <v>-399.7598016122339</v>
          </cell>
        </row>
        <row r="134">
          <cell r="A134" t="str">
            <v>COH</v>
          </cell>
          <cell r="B134">
            <v>-249.48590620254453</v>
          </cell>
        </row>
        <row r="135">
          <cell r="A135" t="str">
            <v>GPS</v>
          </cell>
          <cell r="B135">
            <v>-241.71810769812674</v>
          </cell>
        </row>
        <row r="136">
          <cell r="A136" t="str">
            <v>ARO</v>
          </cell>
          <cell r="B136">
            <v>-172.41012449375813</v>
          </cell>
        </row>
        <row r="137">
          <cell r="A137" t="str">
            <v>LTD</v>
          </cell>
          <cell r="B137">
            <v>-170.25046773256113</v>
          </cell>
        </row>
        <row r="138">
          <cell r="A138" t="str">
            <v>TJX</v>
          </cell>
          <cell r="B138">
            <v>-1.1866865184484432</v>
          </cell>
        </row>
        <row r="139">
          <cell r="A139" t="str">
            <v>SKS</v>
          </cell>
          <cell r="B139">
            <v>159.52008591213817</v>
          </cell>
        </row>
        <row r="140">
          <cell r="A140" t="str">
            <v>ROST</v>
          </cell>
          <cell r="B140">
            <v>243.04965516493081</v>
          </cell>
        </row>
        <row r="141">
          <cell r="A141" t="str">
            <v>M</v>
          </cell>
          <cell r="B141">
            <v>427.80904661327781</v>
          </cell>
        </row>
        <row r="142">
          <cell r="A142" t="str">
            <v>AEO</v>
          </cell>
          <cell r="B142">
            <v>481.70374131926928</v>
          </cell>
        </row>
        <row r="143">
          <cell r="A143" t="str">
            <v>JCP</v>
          </cell>
          <cell r="B143">
            <v>650.86717193471475</v>
          </cell>
        </row>
        <row r="144">
          <cell r="A144" t="str">
            <v>KSS</v>
          </cell>
          <cell r="B144">
            <v>698.29359293908317</v>
          </cell>
        </row>
        <row r="145">
          <cell r="A145" t="str">
            <v>JWN</v>
          </cell>
          <cell r="B145">
            <v>727.53725563976411</v>
          </cell>
        </row>
        <row r="146">
          <cell r="A146" t="str">
            <v>ANF</v>
          </cell>
          <cell r="B146">
            <v>1212.4880986772769</v>
          </cell>
        </row>
        <row r="148">
          <cell r="A148" t="str">
            <v>2007 - in Order</v>
          </cell>
          <cell r="B148" t="str">
            <v>(hardcoded)</v>
          </cell>
        </row>
        <row r="149">
          <cell r="A149" t="str">
            <v>COH</v>
          </cell>
          <cell r="B149">
            <v>-959.93811795924921</v>
          </cell>
        </row>
        <row r="150">
          <cell r="A150" t="str">
            <v>SKS</v>
          </cell>
          <cell r="B150">
            <v>-329.92005943205396</v>
          </cell>
        </row>
        <row r="151">
          <cell r="A151" t="str">
            <v>LTD</v>
          </cell>
          <cell r="B151">
            <v>-280.6149053505502</v>
          </cell>
        </row>
        <row r="152">
          <cell r="A152" t="str">
            <v>GPS</v>
          </cell>
          <cell r="B152">
            <v>-194.3567176249461</v>
          </cell>
        </row>
        <row r="153">
          <cell r="A153" t="str">
            <v>AEO</v>
          </cell>
          <cell r="B153">
            <v>-189.2648305144684</v>
          </cell>
        </row>
        <row r="154">
          <cell r="A154" t="str">
            <v>JCP</v>
          </cell>
          <cell r="B154">
            <v>-160.72841783977719</v>
          </cell>
        </row>
        <row r="155">
          <cell r="A155" t="str">
            <v>TJX</v>
          </cell>
          <cell r="B155">
            <v>-134.91827183211623</v>
          </cell>
        </row>
        <row r="156">
          <cell r="A156" t="str">
            <v>URBN</v>
          </cell>
          <cell r="B156">
            <v>-91.694722172390726</v>
          </cell>
        </row>
        <row r="157">
          <cell r="A157" t="str">
            <v>JWN</v>
          </cell>
          <cell r="B157">
            <v>-38.100173766977278</v>
          </cell>
        </row>
        <row r="158">
          <cell r="A158" t="str">
            <v>M</v>
          </cell>
          <cell r="B158">
            <v>100.71393761371117</v>
          </cell>
        </row>
        <row r="159">
          <cell r="A159" t="str">
            <v>ROST</v>
          </cell>
          <cell r="B159">
            <v>117.23891531854713</v>
          </cell>
        </row>
        <row r="160">
          <cell r="A160" t="str">
            <v>ANF</v>
          </cell>
          <cell r="B160">
            <v>119.36625141564683</v>
          </cell>
        </row>
        <row r="161">
          <cell r="A161" t="str">
            <v>KSS</v>
          </cell>
          <cell r="B161">
            <v>253.88645951353706</v>
          </cell>
        </row>
        <row r="162">
          <cell r="A162" t="str">
            <v>ARO</v>
          </cell>
          <cell r="B162">
            <v>732.41550835065448</v>
          </cell>
        </row>
        <row r="165">
          <cell r="A165" t="str">
            <v>Operating margin per quarter - dept store and softines averages</v>
          </cell>
        </row>
        <row r="166">
          <cell r="B166" t="str">
            <v>1Q05</v>
          </cell>
          <cell r="C166" t="str">
            <v>2Q05</v>
          </cell>
          <cell r="D166" t="str">
            <v>3Q05</v>
          </cell>
          <cell r="E166" t="str">
            <v>4Q05</v>
          </cell>
          <cell r="F166" t="str">
            <v>1Q06</v>
          </cell>
          <cell r="G166" t="str">
            <v>2Q06</v>
          </cell>
          <cell r="H166" t="str">
            <v>3Q06</v>
          </cell>
          <cell r="I166" t="str">
            <v>4Q06</v>
          </cell>
          <cell r="J166" t="str">
            <v>1Q07</v>
          </cell>
          <cell r="K166" t="str">
            <v>2Q07</v>
          </cell>
          <cell r="L166" t="str">
            <v>3Q07</v>
          </cell>
          <cell r="M166" t="str">
            <v>4Q07</v>
          </cell>
          <cell r="N166" t="str">
            <v>1Q08</v>
          </cell>
          <cell r="O166" t="str">
            <v>2Q08</v>
          </cell>
          <cell r="P166" t="str">
            <v>3Q08</v>
          </cell>
          <cell r="Q166" t="str">
            <v>4Q08</v>
          </cell>
          <cell r="R166" t="str">
            <v>1Q09</v>
          </cell>
          <cell r="S166" t="str">
            <v>2Q09</v>
          </cell>
          <cell r="T166" t="str">
            <v>3Q09</v>
          </cell>
          <cell r="U166" t="str">
            <v>4Q09</v>
          </cell>
        </row>
        <row r="167">
          <cell r="A167" t="str">
            <v>Department Stores Average</v>
          </cell>
          <cell r="B167">
            <v>6.8895458045228869E-2</v>
          </cell>
          <cell r="C167">
            <v>5.0381614729388138E-2</v>
          </cell>
          <cell r="D167">
            <v>5.8850908929155663E-2</v>
          </cell>
          <cell r="E167">
            <v>9.61852868874606E-2</v>
          </cell>
          <cell r="F167">
            <v>7.2635663425478267E-2</v>
          </cell>
          <cell r="G167">
            <v>5.944892792875256E-2</v>
          </cell>
          <cell r="H167">
            <v>8.0497421892793006E-2</v>
          </cell>
          <cell r="I167">
            <v>0.1127214661643382</v>
          </cell>
          <cell r="J167">
            <v>8.4050034085017683E-2</v>
          </cell>
          <cell r="K167">
            <v>6.804467912976582E-2</v>
          </cell>
          <cell r="L167">
            <v>7.7674969272626404E-2</v>
          </cell>
          <cell r="M167">
            <v>0.11086515574020774</v>
          </cell>
          <cell r="N167">
            <v>6.8356473350861688E-2</v>
          </cell>
          <cell r="O167">
            <v>6.0966790403798217E-2</v>
          </cell>
          <cell r="P167">
            <v>4.9309735773725973E-2</v>
          </cell>
          <cell r="Q167">
            <v>5.6946938565969989E-2</v>
          </cell>
          <cell r="R167">
            <v>5.1272690672644061E-2</v>
          </cell>
          <cell r="S167">
            <v>4.8279382532345698E-2</v>
          </cell>
          <cell r="T167">
            <v>6.4633547072114189E-2</v>
          </cell>
          <cell r="U167">
            <v>0.1020897665719154</v>
          </cell>
        </row>
        <row r="168">
          <cell r="B168" t="str">
            <v>1Q05</v>
          </cell>
          <cell r="C168" t="str">
            <v>2Q05</v>
          </cell>
          <cell r="D168" t="str">
            <v>3Q05</v>
          </cell>
          <cell r="E168" t="str">
            <v>4Q05</v>
          </cell>
          <cell r="F168" t="str">
            <v>1Q06</v>
          </cell>
          <cell r="G168" t="str">
            <v>2Q06</v>
          </cell>
          <cell r="H168" t="str">
            <v>3Q06</v>
          </cell>
          <cell r="I168" t="str">
            <v>4Q06</v>
          </cell>
          <cell r="J168" t="str">
            <v>1Q07</v>
          </cell>
          <cell r="K168" t="str">
            <v>2Q07</v>
          </cell>
          <cell r="L168" t="str">
            <v>3Q07</v>
          </cell>
          <cell r="M168" t="str">
            <v>4Q07</v>
          </cell>
          <cell r="N168" t="str">
            <v>1Q08</v>
          </cell>
          <cell r="O168" t="str">
            <v>2Q08</v>
          </cell>
          <cell r="P168" t="str">
            <v>3Q08</v>
          </cell>
          <cell r="Q168" t="str">
            <v>4Q08</v>
          </cell>
          <cell r="R168" t="str">
            <v>1Q09</v>
          </cell>
          <cell r="S168" t="str">
            <v>2Q09</v>
          </cell>
          <cell r="T168" t="str">
            <v>3Q09</v>
          </cell>
          <cell r="U168" t="str">
            <v>4Q09</v>
          </cell>
        </row>
        <row r="169">
          <cell r="A169" t="str">
            <v>Specialty Stores</v>
          </cell>
          <cell r="B169">
            <v>0.15422920734198622</v>
          </cell>
          <cell r="C169">
            <v>0.14889808899378965</v>
          </cell>
          <cell r="D169">
            <v>0.1604035975191784</v>
          </cell>
          <cell r="E169">
            <v>0.21862254168681086</v>
          </cell>
          <cell r="F169">
            <v>0.14336442322773496</v>
          </cell>
          <cell r="G169">
            <v>0.13910215874741497</v>
          </cell>
          <cell r="H169">
            <v>0.16214181785163623</v>
          </cell>
          <cell r="I169">
            <v>0.21167570055926174</v>
          </cell>
          <cell r="J169">
            <v>0.14278819378862215</v>
          </cell>
          <cell r="K169">
            <v>0.14759061099706394</v>
          </cell>
          <cell r="L169">
            <v>0.16636766252483629</v>
          </cell>
          <cell r="M169">
            <v>0.21528973973658486</v>
          </cell>
          <cell r="N169">
            <v>0.13864206934579909</v>
          </cell>
          <cell r="O169">
            <v>0.15729483083185869</v>
          </cell>
          <cell r="P169">
            <v>0.14512414393148346</v>
          </cell>
          <cell r="Q169">
            <v>0.1573688038954609</v>
          </cell>
          <cell r="R169">
            <v>9.5018026082193244E-2</v>
          </cell>
          <cell r="S169">
            <v>0.12412464617273845</v>
          </cell>
          <cell r="T169">
            <v>0.14216244672037553</v>
          </cell>
          <cell r="U169">
            <v>0.19155284062283701</v>
          </cell>
        </row>
        <row r="171">
          <cell r="A171" t="str">
            <v>Group by quarter</v>
          </cell>
        </row>
        <row r="172">
          <cell r="B172" t="str">
            <v>1Q05</v>
          </cell>
          <cell r="C172" t="str">
            <v>1Q06</v>
          </cell>
          <cell r="D172" t="str">
            <v>1Q07</v>
          </cell>
          <cell r="E172" t="str">
            <v>1Q08</v>
          </cell>
          <cell r="F172" t="str">
            <v>1Q09</v>
          </cell>
          <cell r="G172" t="str">
            <v>2Q05</v>
          </cell>
          <cell r="H172" t="str">
            <v>2Q06</v>
          </cell>
          <cell r="I172" t="str">
            <v>2Q07</v>
          </cell>
          <cell r="J172" t="str">
            <v>2Q08</v>
          </cell>
          <cell r="K172" t="str">
            <v>2Q09</v>
          </cell>
          <cell r="L172" t="str">
            <v>3Q05</v>
          </cell>
          <cell r="M172" t="str">
            <v>3Q06</v>
          </cell>
          <cell r="N172" t="str">
            <v>3Q07</v>
          </cell>
          <cell r="O172" t="str">
            <v>3Q08</v>
          </cell>
          <cell r="P172" t="str">
            <v>3Q09</v>
          </cell>
          <cell r="Q172" t="str">
            <v>4Q05</v>
          </cell>
          <cell r="R172" t="str">
            <v>4Q06</v>
          </cell>
          <cell r="S172" t="str">
            <v>4Q07</v>
          </cell>
          <cell r="T172" t="str">
            <v>4Q08</v>
          </cell>
          <cell r="U172" t="str">
            <v>4Q09</v>
          </cell>
        </row>
        <row r="173">
          <cell r="A173" t="str">
            <v>Department Stores Average</v>
          </cell>
          <cell r="B173">
            <v>6.8895458045228869E-2</v>
          </cell>
          <cell r="C173">
            <v>7.2635663425478267E-2</v>
          </cell>
          <cell r="D173">
            <v>8.4050034085017683E-2</v>
          </cell>
          <cell r="E173">
            <v>6.8356473350861688E-2</v>
          </cell>
          <cell r="F173">
            <v>5.1272690672644061E-2</v>
          </cell>
          <cell r="G173">
            <v>5.0381614729388138E-2</v>
          </cell>
          <cell r="H173">
            <v>5.944892792875256E-2</v>
          </cell>
          <cell r="I173">
            <v>6.804467912976582E-2</v>
          </cell>
          <cell r="J173">
            <v>6.0966790403798217E-2</v>
          </cell>
          <cell r="K173">
            <v>4.8279382532345698E-2</v>
          </cell>
          <cell r="L173">
            <v>5.8850908929155663E-2</v>
          </cell>
          <cell r="M173">
            <v>8.0497421892793006E-2</v>
          </cell>
          <cell r="N173">
            <v>7.7674969272626404E-2</v>
          </cell>
          <cell r="O173">
            <v>4.9309735773725973E-2</v>
          </cell>
          <cell r="P173">
            <v>6.4633547072114189E-2</v>
          </cell>
          <cell r="Q173">
            <v>9.61852868874606E-2</v>
          </cell>
          <cell r="R173">
            <v>0.1127214661643382</v>
          </cell>
          <cell r="S173">
            <v>0.11086515574020774</v>
          </cell>
          <cell r="T173">
            <v>5.6946938565969989E-2</v>
          </cell>
          <cell r="U173">
            <v>0.1020897665719154</v>
          </cell>
        </row>
        <row r="174">
          <cell r="B174" t="str">
            <v>1Q05</v>
          </cell>
          <cell r="C174" t="str">
            <v>1Q06</v>
          </cell>
          <cell r="D174" t="str">
            <v>1Q07</v>
          </cell>
          <cell r="E174" t="str">
            <v>1Q08</v>
          </cell>
          <cell r="F174" t="str">
            <v>1Q09</v>
          </cell>
          <cell r="G174" t="str">
            <v>2Q05</v>
          </cell>
          <cell r="H174" t="str">
            <v>2Q06</v>
          </cell>
          <cell r="I174" t="str">
            <v>2Q07</v>
          </cell>
          <cell r="J174" t="str">
            <v>2Q08</v>
          </cell>
          <cell r="K174" t="str">
            <v>2Q09</v>
          </cell>
          <cell r="L174" t="str">
            <v>3Q05</v>
          </cell>
          <cell r="M174" t="str">
            <v>3Q06</v>
          </cell>
          <cell r="N174" t="str">
            <v>3Q07</v>
          </cell>
          <cell r="O174" t="str">
            <v>3Q08</v>
          </cell>
          <cell r="P174" t="str">
            <v>3Q09</v>
          </cell>
          <cell r="Q174" t="str">
            <v>4Q05</v>
          </cell>
          <cell r="R174" t="str">
            <v>4Q06</v>
          </cell>
          <cell r="S174" t="str">
            <v>4Q07</v>
          </cell>
          <cell r="T174" t="str">
            <v>4Q08</v>
          </cell>
          <cell r="U174" t="str">
            <v>4Q09</v>
          </cell>
        </row>
        <row r="175">
          <cell r="A175" t="str">
            <v>Specialty Stores</v>
          </cell>
          <cell r="B175">
            <v>0.15422920734198622</v>
          </cell>
          <cell r="C175">
            <v>0.14336442322773496</v>
          </cell>
          <cell r="D175">
            <v>0.14278819378862215</v>
          </cell>
          <cell r="E175">
            <v>0.13864206934579909</v>
          </cell>
          <cell r="F175">
            <v>9.5018026082193244E-2</v>
          </cell>
          <cell r="G175">
            <v>0.14889808899378965</v>
          </cell>
          <cell r="H175">
            <v>0.13910215874741497</v>
          </cell>
          <cell r="I175">
            <v>0.14759061099706394</v>
          </cell>
          <cell r="J175">
            <v>0.15729483083185869</v>
          </cell>
          <cell r="K175">
            <v>0.12412464617273845</v>
          </cell>
          <cell r="L175">
            <v>0.1604035975191784</v>
          </cell>
          <cell r="M175">
            <v>0.16214181785163623</v>
          </cell>
          <cell r="N175">
            <v>0.16636766252483629</v>
          </cell>
          <cell r="O175">
            <v>0.14512414393148346</v>
          </cell>
          <cell r="P175">
            <v>0.14216244672037553</v>
          </cell>
          <cell r="Q175">
            <v>0.21862254168681086</v>
          </cell>
          <cell r="R175">
            <v>0.21167570055926174</v>
          </cell>
          <cell r="S175">
            <v>0.21528973973658486</v>
          </cell>
          <cell r="T175">
            <v>0.1573688038954609</v>
          </cell>
          <cell r="U175">
            <v>0.19155284062283701</v>
          </cell>
        </row>
        <row r="177">
          <cell r="A177" t="str">
            <v>Teen retail comps - monthly</v>
          </cell>
        </row>
        <row r="178">
          <cell r="B178">
            <v>38353</v>
          </cell>
          <cell r="C178">
            <v>38384</v>
          </cell>
          <cell r="D178">
            <v>38415</v>
          </cell>
          <cell r="E178">
            <v>38446</v>
          </cell>
          <cell r="F178">
            <v>38477</v>
          </cell>
          <cell r="G178">
            <v>38508</v>
          </cell>
          <cell r="H178">
            <v>38539</v>
          </cell>
          <cell r="I178">
            <v>38570</v>
          </cell>
          <cell r="J178">
            <v>38601</v>
          </cell>
          <cell r="K178">
            <v>38632</v>
          </cell>
          <cell r="L178">
            <v>38663</v>
          </cell>
          <cell r="M178">
            <v>38694</v>
          </cell>
          <cell r="N178">
            <v>38725</v>
          </cell>
          <cell r="O178">
            <v>38756</v>
          </cell>
          <cell r="P178">
            <v>38787</v>
          </cell>
          <cell r="Q178">
            <v>38818</v>
          </cell>
          <cell r="R178">
            <v>38849</v>
          </cell>
          <cell r="S178">
            <v>38880</v>
          </cell>
          <cell r="T178">
            <v>38911</v>
          </cell>
          <cell r="U178">
            <v>38942</v>
          </cell>
          <cell r="V178">
            <v>38973</v>
          </cell>
          <cell r="W178">
            <v>39004</v>
          </cell>
          <cell r="X178">
            <v>39035</v>
          </cell>
          <cell r="Y178">
            <v>39066</v>
          </cell>
          <cell r="Z178">
            <v>39097</v>
          </cell>
          <cell r="AA178">
            <v>39128</v>
          </cell>
          <cell r="AB178">
            <v>39159</v>
          </cell>
          <cell r="AC178">
            <v>39190</v>
          </cell>
          <cell r="AD178">
            <v>39221</v>
          </cell>
          <cell r="AE178">
            <v>39252</v>
          </cell>
          <cell r="AF178">
            <v>39283</v>
          </cell>
          <cell r="AG178">
            <v>39314</v>
          </cell>
          <cell r="AH178">
            <v>39345</v>
          </cell>
          <cell r="AI178">
            <v>39376</v>
          </cell>
          <cell r="AJ178">
            <v>39407</v>
          </cell>
          <cell r="AK178">
            <v>39438</v>
          </cell>
          <cell r="AL178">
            <v>39469</v>
          </cell>
          <cell r="AM178">
            <v>39500</v>
          </cell>
          <cell r="AN178">
            <v>39531</v>
          </cell>
          <cell r="AO178">
            <v>39562</v>
          </cell>
          <cell r="AP178">
            <v>39593</v>
          </cell>
          <cell r="AQ178">
            <v>39624</v>
          </cell>
          <cell r="AR178">
            <v>39655</v>
          </cell>
          <cell r="AS178">
            <v>39686</v>
          </cell>
          <cell r="AT178">
            <v>39717</v>
          </cell>
          <cell r="AU178">
            <v>39748</v>
          </cell>
          <cell r="AV178">
            <v>39779</v>
          </cell>
          <cell r="AW178">
            <v>39810</v>
          </cell>
          <cell r="AX178">
            <v>39841</v>
          </cell>
          <cell r="AY178">
            <v>39872</v>
          </cell>
          <cell r="AZ178">
            <v>39903</v>
          </cell>
          <cell r="BA178">
            <v>39933</v>
          </cell>
          <cell r="BB178">
            <v>39964</v>
          </cell>
          <cell r="BC178">
            <v>39994</v>
          </cell>
          <cell r="BD178">
            <v>40024</v>
          </cell>
          <cell r="BE178">
            <v>40054</v>
          </cell>
          <cell r="BF178">
            <v>40084</v>
          </cell>
          <cell r="BG178">
            <v>40114</v>
          </cell>
          <cell r="BH178">
            <v>40144</v>
          </cell>
          <cell r="BI178">
            <v>40174</v>
          </cell>
          <cell r="IV178">
            <v>31</v>
          </cell>
        </row>
        <row r="179">
          <cell r="A179" t="str">
            <v>ARO</v>
          </cell>
          <cell r="B179">
            <v>9.0999999999999998E-2</v>
          </cell>
          <cell r="C179">
            <v>0</v>
          </cell>
          <cell r="D179">
            <v>0</v>
          </cell>
          <cell r="E179">
            <v>0</v>
          </cell>
          <cell r="F179">
            <v>0.13400000000000001</v>
          </cell>
          <cell r="G179">
            <v>6.8000000000000005E-2</v>
          </cell>
          <cell r="H179">
            <v>-5.7000000000000002E-2</v>
          </cell>
          <cell r="I179">
            <v>-4.9000000000000002E-2</v>
          </cell>
          <cell r="J179">
            <v>0.02</v>
          </cell>
          <cell r="K179">
            <v>-4.2000000000000003E-2</v>
          </cell>
          <cell r="L179">
            <v>1.2999999999999999E-2</v>
          </cell>
          <cell r="M179">
            <v>-4.2000000000000003E-2</v>
          </cell>
          <cell r="N179">
            <v>-2.5000000000000001E-2</v>
          </cell>
          <cell r="O179">
            <v>0</v>
          </cell>
          <cell r="P179">
            <v>0</v>
          </cell>
          <cell r="Q179">
            <v>0</v>
          </cell>
          <cell r="R179">
            <v>-5.3999999999999999E-2</v>
          </cell>
          <cell r="S179">
            <v>-9.2999999999999999E-2</v>
          </cell>
          <cell r="T179">
            <v>8.4000000000000005E-2</v>
          </cell>
          <cell r="U179">
            <v>-1.0999999999999999E-2</v>
          </cell>
          <cell r="V179">
            <v>5.2999999999999999E-2</v>
          </cell>
          <cell r="W179">
            <v>-1.9E-2</v>
          </cell>
          <cell r="X179">
            <v>3.3000000000000002E-2</v>
          </cell>
          <cell r="Y179">
            <v>8.5000000000000006E-2</v>
          </cell>
          <cell r="Z179">
            <v>5.6000000000000001E-2</v>
          </cell>
          <cell r="AA179">
            <v>0</v>
          </cell>
          <cell r="AB179">
            <v>0</v>
          </cell>
          <cell r="AC179">
            <v>0</v>
          </cell>
          <cell r="AD179">
            <v>2.3E-2</v>
          </cell>
          <cell r="AE179">
            <v>0.159</v>
          </cell>
          <cell r="AF179">
            <v>-0.14000000000000001</v>
          </cell>
          <cell r="AG179">
            <v>1.9E-2</v>
          </cell>
          <cell r="AH179">
            <v>2E-3</v>
          </cell>
          <cell r="AI179">
            <v>-0.11899999999999999</v>
          </cell>
          <cell r="AJ179">
            <v>1.7000000000000001E-2</v>
          </cell>
          <cell r="AK179">
            <v>1.2999999999999999E-2</v>
          </cell>
          <cell r="AL179">
            <v>0.03</v>
          </cell>
          <cell r="AM179">
            <v>0</v>
          </cell>
          <cell r="AN179">
            <v>0</v>
          </cell>
          <cell r="AO179">
            <v>0</v>
          </cell>
          <cell r="AP179">
            <v>7.0000000000000007E-2</v>
          </cell>
          <cell r="AQ179">
            <v>2.5000000000000001E-2</v>
          </cell>
          <cell r="AR179">
            <v>0.25</v>
          </cell>
          <cell r="AS179">
            <v>0.06</v>
          </cell>
          <cell r="AT179">
            <v>0.12</v>
          </cell>
          <cell r="AU179">
            <v>0.13</v>
          </cell>
          <cell r="AV179">
            <v>0.13</v>
          </cell>
          <cell r="AW179">
            <v>0.05</v>
          </cell>
          <cell r="AX179">
            <v>0.01</v>
          </cell>
          <cell r="AY179">
            <v>0</v>
          </cell>
          <cell r="AZ179">
            <v>0</v>
          </cell>
          <cell r="BA179">
            <v>0</v>
          </cell>
          <cell r="BB179">
            <v>0.11</v>
          </cell>
          <cell r="BC179">
            <v>0.03</v>
          </cell>
          <cell r="BD179">
            <v>0.2</v>
          </cell>
          <cell r="BE179">
            <v>0.19</v>
          </cell>
          <cell r="BF179">
            <v>0.12</v>
          </cell>
          <cell r="BG179">
            <v>0.06</v>
          </cell>
          <cell r="BH179">
            <v>0.19</v>
          </cell>
          <cell r="BI179">
            <v>0.12</v>
          </cell>
        </row>
        <row r="182">
          <cell r="A182" t="str">
            <v>URBN sales productivity by division</v>
          </cell>
        </row>
        <row r="183">
          <cell r="A183" t="str">
            <v>LTM Sales/Gross Average Sq. Ft.</v>
          </cell>
          <cell r="N183" t="str">
            <v>2000-2009</v>
          </cell>
        </row>
        <row r="184">
          <cell r="B184">
            <v>2000</v>
          </cell>
          <cell r="C184">
            <v>2001</v>
          </cell>
          <cell r="D184">
            <v>2002</v>
          </cell>
          <cell r="E184">
            <v>2003</v>
          </cell>
          <cell r="F184">
            <v>2004</v>
          </cell>
          <cell r="G184">
            <v>2005</v>
          </cell>
          <cell r="H184">
            <v>2006</v>
          </cell>
          <cell r="I184">
            <v>2007</v>
          </cell>
          <cell r="J184">
            <v>2008</v>
          </cell>
          <cell r="K184" t="str">
            <v>2009</v>
          </cell>
          <cell r="L184">
            <v>2010</v>
          </cell>
          <cell r="N184" t="str">
            <v>Max</v>
          </cell>
          <cell r="O184" t="str">
            <v>Min</v>
          </cell>
          <cell r="P184" t="str">
            <v>2010 vs max</v>
          </cell>
        </row>
        <row r="185">
          <cell r="A185" t="str">
            <v>Urban Outfitters (division)</v>
          </cell>
          <cell r="B185">
            <v>270.96178184451503</v>
          </cell>
          <cell r="C185">
            <v>264.44541967873494</v>
          </cell>
          <cell r="D185">
            <v>284.4972339992741</v>
          </cell>
          <cell r="E185">
            <v>318.46555482575133</v>
          </cell>
          <cell r="F185">
            <v>382.65593609442482</v>
          </cell>
          <cell r="G185">
            <v>421.72142644903295</v>
          </cell>
          <cell r="H185">
            <v>387.50814312663522</v>
          </cell>
          <cell r="I185">
            <v>387.49369418039146</v>
          </cell>
          <cell r="J185">
            <v>408.70311941571555</v>
          </cell>
          <cell r="K185">
            <v>368.97415400758092</v>
          </cell>
          <cell r="L185">
            <v>394.65492014811076</v>
          </cell>
          <cell r="N185">
            <v>421.72142644903295</v>
          </cell>
          <cell r="O185">
            <v>264.44541967873494</v>
          </cell>
          <cell r="P185">
            <v>-6.4181008133323503E-2</v>
          </cell>
        </row>
        <row r="186">
          <cell r="A186" t="str">
            <v>Anthropologie</v>
          </cell>
          <cell r="B186">
            <v>280.14666638523443</v>
          </cell>
          <cell r="C186">
            <v>307.40807612789365</v>
          </cell>
          <cell r="D186">
            <v>330.99998331831983</v>
          </cell>
          <cell r="E186">
            <v>348.37875117971998</v>
          </cell>
          <cell r="F186">
            <v>432.85046981315469</v>
          </cell>
          <cell r="G186">
            <v>442.81396763923766</v>
          </cell>
          <cell r="H186">
            <v>413.58764694304784</v>
          </cell>
          <cell r="I186">
            <v>459.54237922896903</v>
          </cell>
          <cell r="J186">
            <v>468.68309808032865</v>
          </cell>
          <cell r="K186">
            <v>454.35598884429891</v>
          </cell>
          <cell r="L186">
            <v>466.43259180928817</v>
          </cell>
          <cell r="N186">
            <v>468.68309808032865</v>
          </cell>
          <cell r="O186">
            <v>280.14666638523443</v>
          </cell>
          <cell r="P186">
            <v>-4.8017653725049847E-3</v>
          </cell>
        </row>
        <row r="187">
          <cell r="A187" t="str">
            <v>Free People (Retail)</v>
          </cell>
          <cell r="B187" t="str">
            <v>NM</v>
          </cell>
          <cell r="C187" t="str">
            <v>NM</v>
          </cell>
          <cell r="D187">
            <v>82.727272727267646</v>
          </cell>
          <cell r="E187">
            <v>394.54545454548133</v>
          </cell>
          <cell r="F187">
            <v>312.64762722782973</v>
          </cell>
          <cell r="G187">
            <v>306.08120521771826</v>
          </cell>
          <cell r="H187">
            <v>444.39894439894516</v>
          </cell>
          <cell r="I187">
            <v>408.45371602356954</v>
          </cell>
          <cell r="J187">
            <v>412.08895647215564</v>
          </cell>
          <cell r="K187">
            <v>406.20772163645915</v>
          </cell>
          <cell r="L187">
            <v>357.74086573642296</v>
          </cell>
          <cell r="N187">
            <v>444.39894439894516</v>
          </cell>
          <cell r="O187">
            <v>82.727272727267646</v>
          </cell>
          <cell r="P187">
            <v>-0.19500064020117847</v>
          </cell>
        </row>
        <row r="188">
          <cell r="A188" t="str">
            <v>Terrain</v>
          </cell>
          <cell r="B188" t="str">
            <v>NM</v>
          </cell>
          <cell r="C188" t="str">
            <v>NM</v>
          </cell>
          <cell r="D188" t="str">
            <v>NM</v>
          </cell>
          <cell r="E188" t="str">
            <v>NM</v>
          </cell>
          <cell r="F188" t="str">
            <v>NM</v>
          </cell>
          <cell r="G188" t="str">
            <v>NM</v>
          </cell>
          <cell r="H188" t="str">
            <v>NM</v>
          </cell>
          <cell r="I188" t="str">
            <v>NM</v>
          </cell>
          <cell r="J188">
            <v>297.68421052631578</v>
          </cell>
          <cell r="K188">
            <v>329.4736842105263</v>
          </cell>
          <cell r="L188">
            <v>152.85087719298247</v>
          </cell>
          <cell r="N188">
            <v>329.4736842105263</v>
          </cell>
          <cell r="O188">
            <v>297.68421052631578</v>
          </cell>
          <cell r="P188">
            <v>-0.5360756123535676</v>
          </cell>
        </row>
        <row r="190">
          <cell r="A190" t="str">
            <v>Urban Outfitters (division)</v>
          </cell>
          <cell r="C190">
            <v>-2.4049008393070559E-2</v>
          </cell>
          <cell r="D190">
            <v>7.5825908971686395E-2</v>
          </cell>
          <cell r="E190">
            <v>0.1193977190884179</v>
          </cell>
          <cell r="F190">
            <v>0.20156145710576245</v>
          </cell>
          <cell r="G190">
            <v>0.10209038112234659</v>
          </cell>
          <cell r="H190">
            <v>-8.1127685663210158E-2</v>
          </cell>
          <cell r="I190">
            <v>-3.7286819645099278E-5</v>
          </cell>
          <cell r="J190">
            <v>5.4734891312709699E-2</v>
          </cell>
          <cell r="K190">
            <v>-9.7207394611842912E-2</v>
          </cell>
          <cell r="L190">
            <v>6.9600447244340558E-2</v>
          </cell>
        </row>
        <row r="191">
          <cell r="A191" t="str">
            <v>Anthropologie</v>
          </cell>
          <cell r="C191">
            <v>9.731120521409875E-2</v>
          </cell>
          <cell r="D191">
            <v>7.6744591383510086E-2</v>
          </cell>
          <cell r="E191">
            <v>5.2503833043058279E-2</v>
          </cell>
          <cell r="F191">
            <v>0.24247092667789549</v>
          </cell>
          <cell r="G191">
            <v>2.3018336633396475E-2</v>
          </cell>
          <cell r="H191">
            <v>-6.6001352333132868E-2</v>
          </cell>
          <cell r="I191">
            <v>0.11111243922681591</v>
          </cell>
          <cell r="J191">
            <v>1.9890915973182155E-2</v>
          </cell>
          <cell r="K191">
            <v>-3.056886261679137E-2</v>
          </cell>
          <cell r="L191">
            <v>2.6579605554902797E-2</v>
          </cell>
        </row>
        <row r="192">
          <cell r="A192" t="str">
            <v>Free People (Retail)</v>
          </cell>
          <cell r="C192" t="e">
            <v>#VALUE!</v>
          </cell>
          <cell r="D192" t="e">
            <v>#VALUE!</v>
          </cell>
          <cell r="E192">
            <v>3.7692307692313856</v>
          </cell>
          <cell r="F192">
            <v>-0.20757513836269736</v>
          </cell>
          <cell r="G192">
            <v>-2.100262864085789E-2</v>
          </cell>
          <cell r="H192">
            <v>0.4518988321509001</v>
          </cell>
          <cell r="I192">
            <v>-8.0885044459302113E-2</v>
          </cell>
          <cell r="J192">
            <v>8.9000058170025653E-3</v>
          </cell>
          <cell r="K192">
            <v>-1.4271760364667485E-2</v>
          </cell>
          <cell r="L192">
            <v>-0.11931544704463359</v>
          </cell>
        </row>
        <row r="193">
          <cell r="A193" t="str">
            <v>Terrain</v>
          </cell>
          <cell r="C193" t="e">
            <v>#VALUE!</v>
          </cell>
          <cell r="D193" t="e">
            <v>#VALUE!</v>
          </cell>
          <cell r="E193" t="e">
            <v>#VALUE!</v>
          </cell>
          <cell r="F193" t="e">
            <v>#VALUE!</v>
          </cell>
          <cell r="G193" t="e">
            <v>#VALUE!</v>
          </cell>
          <cell r="H193" t="e">
            <v>#VALUE!</v>
          </cell>
          <cell r="I193" t="e">
            <v>#VALUE!</v>
          </cell>
          <cell r="J193" t="e">
            <v>#VALUE!</v>
          </cell>
          <cell r="K193">
            <v>0.10678925035360676</v>
          </cell>
          <cell r="L193">
            <v>-0.5360756123535676</v>
          </cell>
        </row>
        <row r="196">
          <cell r="A196" t="str">
            <v>GAP - Gap division sales productivity</v>
          </cell>
          <cell r="B196">
            <v>2000</v>
          </cell>
          <cell r="C196">
            <v>2001</v>
          </cell>
          <cell r="D196">
            <v>2002</v>
          </cell>
          <cell r="E196">
            <v>2003</v>
          </cell>
          <cell r="F196">
            <v>2004</v>
          </cell>
          <cell r="G196">
            <v>2005</v>
          </cell>
          <cell r="H196">
            <v>2006</v>
          </cell>
          <cell r="I196">
            <v>2007</v>
          </cell>
          <cell r="J196">
            <v>2008</v>
          </cell>
          <cell r="K196" t="str">
            <v>2009</v>
          </cell>
          <cell r="L196">
            <v>2010</v>
          </cell>
          <cell r="N196" t="str">
            <v>Max</v>
          </cell>
          <cell r="O196" t="str">
            <v>Min</v>
          </cell>
          <cell r="P196" t="str">
            <v>2010 vs max</v>
          </cell>
        </row>
        <row r="197">
          <cell r="A197" t="str">
            <v>Gap (division)</v>
          </cell>
          <cell r="B197" t="str">
            <v>NM</v>
          </cell>
          <cell r="C197">
            <v>395.07042253521126</v>
          </cell>
          <cell r="D197">
            <v>380.1398601398601</v>
          </cell>
          <cell r="E197">
            <v>414.12186379928318</v>
          </cell>
          <cell r="F197">
            <v>429.60747663551405</v>
          </cell>
          <cell r="G197">
            <v>420.11650485436894</v>
          </cell>
          <cell r="H197">
            <v>408.27037773359842</v>
          </cell>
          <cell r="I197">
            <v>392.63157894736844</v>
          </cell>
          <cell r="J197">
            <v>373.60995850622402</v>
          </cell>
          <cell r="K197">
            <v>354.94646680942179</v>
          </cell>
          <cell r="L197">
            <v>354.82623096253781</v>
          </cell>
          <cell r="N197">
            <v>429.60747663551405</v>
          </cell>
          <cell r="O197">
            <v>354.94646680942179</v>
          </cell>
          <cell r="P197">
            <v>-0.17406877147164235</v>
          </cell>
        </row>
        <row r="199">
          <cell r="A199" t="str">
            <v>VS calculations</v>
          </cell>
          <cell r="C199">
            <v>2001</v>
          </cell>
          <cell r="D199">
            <v>2002</v>
          </cell>
          <cell r="E199">
            <v>2003</v>
          </cell>
          <cell r="F199">
            <v>2004</v>
          </cell>
          <cell r="G199">
            <v>2005</v>
          </cell>
          <cell r="H199">
            <v>2006</v>
          </cell>
          <cell r="I199">
            <v>2007</v>
          </cell>
          <cell r="J199">
            <v>2008</v>
          </cell>
          <cell r="K199">
            <v>2009</v>
          </cell>
          <cell r="L199" t="str">
            <v>2010E</v>
          </cell>
          <cell r="N199" t="str">
            <v>Max</v>
          </cell>
          <cell r="O199" t="str">
            <v>Min</v>
          </cell>
          <cell r="P199" t="str">
            <v>2010 vs max</v>
          </cell>
        </row>
        <row r="200">
          <cell r="A200" t="str">
            <v>Victoria's Secret Stores</v>
          </cell>
          <cell r="C200">
            <v>550.8625136110951</v>
          </cell>
          <cell r="D200">
            <v>577.77050253724008</v>
          </cell>
          <cell r="E200">
            <v>601.54543032240872</v>
          </cell>
          <cell r="F200">
            <v>648.74439929144523</v>
          </cell>
          <cell r="G200">
            <v>652.34070550129047</v>
          </cell>
          <cell r="H200">
            <v>731.47827806059399</v>
          </cell>
          <cell r="I200">
            <v>682.69936370814185</v>
          </cell>
          <cell r="J200">
            <v>613.98471323961724</v>
          </cell>
          <cell r="K200">
            <v>578.92143670427492</v>
          </cell>
          <cell r="L200">
            <v>627.9275198661386</v>
          </cell>
          <cell r="N200">
            <v>731.47827806059399</v>
          </cell>
          <cell r="O200">
            <v>550.8625136110951</v>
          </cell>
          <cell r="P200">
            <v>-0.14156368179381196</v>
          </cell>
        </row>
        <row r="202">
          <cell r="A202" t="str">
            <v>AEO calculations</v>
          </cell>
          <cell r="B202">
            <v>2000</v>
          </cell>
          <cell r="C202">
            <v>2001</v>
          </cell>
          <cell r="D202">
            <v>2002</v>
          </cell>
          <cell r="E202">
            <v>2003</v>
          </cell>
          <cell r="F202">
            <v>2004</v>
          </cell>
          <cell r="G202">
            <v>2005</v>
          </cell>
          <cell r="H202">
            <v>2006</v>
          </cell>
          <cell r="I202">
            <v>2007</v>
          </cell>
          <cell r="J202">
            <v>2008</v>
          </cell>
          <cell r="K202" t="str">
            <v>2009</v>
          </cell>
          <cell r="L202">
            <v>2010</v>
          </cell>
          <cell r="N202" t="str">
            <v>Max</v>
          </cell>
          <cell r="O202" t="str">
            <v>Min</v>
          </cell>
          <cell r="P202" t="str">
            <v>2010 vs max</v>
          </cell>
        </row>
        <row r="203">
          <cell r="A203" t="str">
            <v>aerie</v>
          </cell>
          <cell r="B203" t="str">
            <v>NA</v>
          </cell>
          <cell r="C203" t="str">
            <v>NA</v>
          </cell>
          <cell r="D203" t="str">
            <v>NA</v>
          </cell>
          <cell r="E203" t="str">
            <v>NA</v>
          </cell>
          <cell r="F203" t="str">
            <v>NA</v>
          </cell>
          <cell r="G203" t="str">
            <v>NA</v>
          </cell>
          <cell r="H203" t="str">
            <v>NA</v>
          </cell>
          <cell r="I203">
            <v>65.076999999999998</v>
          </cell>
          <cell r="J203">
            <v>338.88775000000004</v>
          </cell>
          <cell r="K203">
            <v>514.66875000000005</v>
          </cell>
          <cell r="L203">
            <v>567.74511678832118</v>
          </cell>
          <cell r="N203">
            <v>514.66875000000005</v>
          </cell>
          <cell r="O203">
            <v>65.076999999999998</v>
          </cell>
          <cell r="P203">
            <v>0.10312723822521019</v>
          </cell>
        </row>
      </sheetData>
      <sheetData sheetId="16"/>
      <sheetData sheetId="1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nalysis"/>
      <sheetName val="For Inv. Report"/>
      <sheetName val="Inv"/>
      <sheetName val="Debt"/>
      <sheetName val="  "/>
      <sheetName val="JCP"/>
      <sheetName val="JWN"/>
      <sheetName val="KSS"/>
      <sheetName val="M"/>
      <sheetName val="SKS"/>
      <sheetName val="CapEx"/>
      <sheetName val="__FDSCACHE__"/>
      <sheetName val="MW-Cache"/>
    </sheetNames>
    <sheetDataSet>
      <sheetData sheetId="0"/>
      <sheetData sheetId="1"/>
      <sheetData sheetId="2"/>
      <sheetData sheetId="3"/>
      <sheetData sheetId="4"/>
      <sheetData sheetId="5"/>
      <sheetData sheetId="6">
        <row r="54">
          <cell r="A54" t="str">
            <v>1 Yr Comps</v>
          </cell>
          <cell r="B54" t="str">
            <v>2007Q1</v>
          </cell>
          <cell r="C54" t="str">
            <v>2007Q2</v>
          </cell>
          <cell r="D54" t="str">
            <v>2007Q3</v>
          </cell>
          <cell r="E54" t="str">
            <v>2007Q4</v>
          </cell>
          <cell r="F54" t="str">
            <v>2008Q1</v>
          </cell>
          <cell r="G54" t="str">
            <v>2008Q2</v>
          </cell>
          <cell r="H54" t="str">
            <v>2008Q3</v>
          </cell>
          <cell r="I54" t="str">
            <v>2008Q4</v>
          </cell>
          <cell r="J54" t="str">
            <v>2009Q1</v>
          </cell>
          <cell r="K54" t="str">
            <v>2009Q2</v>
          </cell>
          <cell r="L54" t="str">
            <v>2009Q3</v>
          </cell>
          <cell r="M54" t="str">
            <v>2009Q4</v>
          </cell>
          <cell r="N54" t="str">
            <v>2010Q1</v>
          </cell>
          <cell r="O54" t="str">
            <v>2010Q2</v>
          </cell>
          <cell r="P54" t="str">
            <v>2010Q3</v>
          </cell>
          <cell r="Q54" t="str">
            <v>2010Q4</v>
          </cell>
          <cell r="R54" t="str">
            <v>2011Q1</v>
          </cell>
          <cell r="S54" t="str">
            <v>2011Q2</v>
          </cell>
          <cell r="T54" t="str">
            <v>2011Q3</v>
          </cell>
          <cell r="U54" t="str">
            <v>2011Q4e</v>
          </cell>
          <cell r="V54" t="str">
            <v>2012Q1e</v>
          </cell>
          <cell r="W54" t="str">
            <v>2012Q2e</v>
          </cell>
          <cell r="X54" t="str">
            <v>2012Q3e</v>
          </cell>
          <cell r="Y54" t="str">
            <v>2012Q4e</v>
          </cell>
        </row>
        <row r="55">
          <cell r="A55" t="str">
            <v>JCP</v>
          </cell>
          <cell r="B55">
            <v>2.1999999999999999E-2</v>
          </cell>
          <cell r="C55">
            <v>1.9E-2</v>
          </cell>
          <cell r="D55">
            <v>-3.5000000000000003E-2</v>
          </cell>
          <cell r="E55">
            <v>-3.5999999999999997E-2</v>
          </cell>
          <cell r="F55">
            <v>-7.3999999999999996E-2</v>
          </cell>
          <cell r="G55">
            <v>-4.2999999999999997E-2</v>
          </cell>
          <cell r="H55">
            <v>-0.10100000000000001</v>
          </cell>
          <cell r="I55">
            <v>-0.108</v>
          </cell>
          <cell r="J55">
            <v>-7.4999999999999997E-2</v>
          </cell>
          <cell r="K55">
            <v>-9.5000000000000001E-2</v>
          </cell>
          <cell r="L55">
            <v>-4.5999999999999999E-2</v>
          </cell>
          <cell r="M55">
            <v>-4.4999999999999998E-2</v>
          </cell>
          <cell r="N55">
            <v>1.6E-2</v>
          </cell>
          <cell r="O55">
            <v>8.9999999999999993E-3</v>
          </cell>
          <cell r="P55">
            <v>1.9E-2</v>
          </cell>
          <cell r="Q55">
            <v>4.4999999999999998E-2</v>
          </cell>
          <cell r="R55">
            <v>3.7999999999999999E-2</v>
          </cell>
          <cell r="S55">
            <v>1.4999999999999999E-2</v>
          </cell>
          <cell r="T55">
            <v>0</v>
          </cell>
          <cell r="U55">
            <v>0</v>
          </cell>
          <cell r="V55">
            <v>-2.1608157959071499E-2</v>
          </cell>
          <cell r="W55">
            <v>-1.1378008352056337E-2</v>
          </cell>
          <cell r="X55">
            <v>4.2433391807850905E-3</v>
          </cell>
          <cell r="Y55">
            <v>3.161220202750066E-3</v>
          </cell>
        </row>
        <row r="56">
          <cell r="A56" t="str">
            <v>M</v>
          </cell>
          <cell r="B56">
            <v>6.0000000000000001E-3</v>
          </cell>
          <cell r="C56">
            <v>-2.5999999999999999E-2</v>
          </cell>
          <cell r="D56">
            <v>-8.0000000000000002E-3</v>
          </cell>
          <cell r="E56">
            <v>-0.02</v>
          </cell>
          <cell r="F56">
            <v>-2.5999999999999999E-2</v>
          </cell>
          <cell r="G56">
            <v>-2.1000000000000001E-2</v>
          </cell>
          <cell r="H56">
            <v>-0.06</v>
          </cell>
          <cell r="I56">
            <v>-7.0000000000000007E-2</v>
          </cell>
          <cell r="J56">
            <v>-0.09</v>
          </cell>
          <cell r="K56">
            <v>-9.5000000000000001E-2</v>
          </cell>
          <cell r="L56">
            <v>-3.5999999999999997E-2</v>
          </cell>
          <cell r="M56">
            <v>-8.0000000000000002E-3</v>
          </cell>
          <cell r="N56">
            <v>5.5E-2</v>
          </cell>
          <cell r="O56">
            <v>4.9000000000000002E-2</v>
          </cell>
          <cell r="P56">
            <v>3.9E-2</v>
          </cell>
          <cell r="Q56">
            <v>4.2999999999999997E-2</v>
          </cell>
          <cell r="R56">
            <v>5.3999999999999999E-2</v>
          </cell>
          <cell r="S56">
            <v>6.4000000000000001E-2</v>
          </cell>
          <cell r="T56">
            <v>0.04</v>
          </cell>
          <cell r="U56">
            <v>5.1999999999999998E-2</v>
          </cell>
          <cell r="V56">
            <v>3.1230920582903131E-2</v>
          </cell>
          <cell r="W56">
            <v>2.9742596430138542E-2</v>
          </cell>
          <cell r="X56">
            <v>4.4925303944057193E-2</v>
          </cell>
          <cell r="Y56">
            <v>3.4620305559042677E-2</v>
          </cell>
        </row>
        <row r="57">
          <cell r="A57" t="str">
            <v>KSS</v>
          </cell>
          <cell r="B57">
            <v>3.9E-2</v>
          </cell>
          <cell r="C57">
            <v>1.2999999999999999E-2</v>
          </cell>
          <cell r="D57">
            <v>-2.5683781240196588E-2</v>
          </cell>
          <cell r="E57">
            <v>-0.04</v>
          </cell>
          <cell r="F57">
            <v>-6.7000000000000004E-2</v>
          </cell>
          <cell r="G57">
            <v>-4.5999999999999999E-2</v>
          </cell>
          <cell r="H57">
            <v>-6.7000000000000004E-2</v>
          </cell>
          <cell r="I57">
            <v>-9.0999999999999998E-2</v>
          </cell>
          <cell r="J57">
            <v>-4.2000000000000003E-2</v>
          </cell>
          <cell r="K57">
            <v>-2.3E-2</v>
          </cell>
          <cell r="L57">
            <v>2.4E-2</v>
          </cell>
          <cell r="M57">
            <v>4.4999999999999998E-2</v>
          </cell>
          <cell r="N57">
            <v>7.3999999999999996E-2</v>
          </cell>
          <cell r="O57">
            <v>4.5999999999999999E-2</v>
          </cell>
          <cell r="P57">
            <v>1.7999999999999999E-2</v>
          </cell>
          <cell r="Q57">
            <v>4.2999999999999997E-2</v>
          </cell>
          <cell r="R57">
            <v>1.2999999999999999E-2</v>
          </cell>
          <cell r="S57">
            <v>1.9E-2</v>
          </cell>
          <cell r="T57">
            <v>2.1000000000000001E-2</v>
          </cell>
          <cell r="U57">
            <v>-2.1000000000000001E-2</v>
          </cell>
          <cell r="V57">
            <v>-2.8459367930321836E-3</v>
          </cell>
          <cell r="W57">
            <v>3.7799915846087641E-3</v>
          </cell>
          <cell r="X57">
            <v>8.2509903068364102E-3</v>
          </cell>
          <cell r="Y57">
            <v>2.2272400277867151E-2</v>
          </cell>
        </row>
        <row r="58">
          <cell r="A58" t="str">
            <v>BONT</v>
          </cell>
          <cell r="B58">
            <v>-2.5000000000000001E-2</v>
          </cell>
          <cell r="C58">
            <v>-0.05</v>
          </cell>
          <cell r="D58">
            <v>-0.03</v>
          </cell>
          <cell r="E58">
            <v>-3.5999999999999997E-2</v>
          </cell>
          <cell r="F58">
            <v>-4.5999999999999999E-2</v>
          </cell>
          <cell r="G58">
            <v>-5.7000000000000002E-2</v>
          </cell>
          <cell r="H58">
            <v>-8.3000000000000004E-2</v>
          </cell>
          <cell r="I58">
            <v>-9.7000000000000003E-2</v>
          </cell>
          <cell r="J58">
            <v>-8.5999999999999993E-2</v>
          </cell>
          <cell r="K58">
            <v>-9.8000000000000004E-2</v>
          </cell>
          <cell r="L58">
            <v>-2.5999999999999999E-2</v>
          </cell>
          <cell r="M58">
            <v>-2.4E-2</v>
          </cell>
          <cell r="N58">
            <v>0.03</v>
          </cell>
          <cell r="O58">
            <v>2E-3</v>
          </cell>
          <cell r="P58">
            <v>-3.0000000000000001E-3</v>
          </cell>
          <cell r="Q58">
            <v>8.0000000000000002E-3</v>
          </cell>
          <cell r="R58">
            <v>-1.2E-2</v>
          </cell>
          <cell r="S58">
            <v>-1.4999999999999999E-2</v>
          </cell>
          <cell r="T58">
            <v>-5.8999999999999997E-2</v>
          </cell>
          <cell r="U58">
            <v>-0.03</v>
          </cell>
        </row>
        <row r="59">
          <cell r="A59" t="str">
            <v>DDS</v>
          </cell>
          <cell r="B59">
            <v>-0.05</v>
          </cell>
          <cell r="C59">
            <v>-0.03</v>
          </cell>
          <cell r="D59">
            <v>-0.06</v>
          </cell>
          <cell r="E59">
            <v>-0.05</v>
          </cell>
          <cell r="F59">
            <v>-0.06</v>
          </cell>
          <cell r="G59">
            <v>-0.04</v>
          </cell>
          <cell r="H59">
            <v>-0.09</v>
          </cell>
          <cell r="I59">
            <v>-0.08</v>
          </cell>
          <cell r="J59">
            <v>-0.13</v>
          </cell>
          <cell r="K59">
            <v>-0.13</v>
          </cell>
          <cell r="L59">
            <v>-0.09</v>
          </cell>
          <cell r="M59">
            <v>-0.08</v>
          </cell>
          <cell r="N59">
            <v>0.02</v>
          </cell>
          <cell r="O59">
            <v>0</v>
          </cell>
          <cell r="P59">
            <v>0.01</v>
          </cell>
          <cell r="Q59">
            <v>7.0000000000000007E-2</v>
          </cell>
          <cell r="R59">
            <v>0.02</v>
          </cell>
          <cell r="S59">
            <v>0.06</v>
          </cell>
          <cell r="T59">
            <v>0.05</v>
          </cell>
          <cell r="U59">
            <v>0.02</v>
          </cell>
        </row>
        <row r="60">
          <cell r="A60" t="str">
            <v>Spread</v>
          </cell>
          <cell r="B60">
            <v>-5.0000000000000044E-4</v>
          </cell>
          <cell r="C60">
            <v>2.5499999999999998E-2</v>
          </cell>
          <cell r="D60">
            <v>-1.8158109379901709E-2</v>
          </cell>
          <cell r="E60">
            <v>-5.9999999999999984E-3</v>
          </cell>
          <cell r="F60">
            <v>-2.7499999999999997E-2</v>
          </cell>
          <cell r="G60">
            <v>-9.4999999999999946E-3</v>
          </cell>
          <cell r="H60">
            <v>-3.7500000000000006E-2</v>
          </cell>
          <cell r="I60">
            <v>-2.7499999999999997E-2</v>
          </cell>
          <cell r="J60">
            <v>-8.9999999999999941E-3</v>
          </cell>
          <cell r="K60">
            <v>-3.6000000000000004E-2</v>
          </cell>
          <cell r="L60">
            <v>-0.04</v>
          </cell>
          <cell r="M60">
            <v>-6.3500000000000001E-2</v>
          </cell>
          <cell r="N60">
            <v>-4.8500000000000001E-2</v>
          </cell>
          <cell r="O60">
            <v>-3.85E-2</v>
          </cell>
          <cell r="P60">
            <v>-9.499999999999998E-3</v>
          </cell>
          <cell r="Q60">
            <v>2.0000000000000018E-3</v>
          </cell>
          <cell r="R60">
            <v>4.4999999999999971E-3</v>
          </cell>
          <cell r="S60">
            <v>-2.6500000000000003E-2</v>
          </cell>
          <cell r="T60">
            <v>-3.0499999999999999E-2</v>
          </cell>
          <cell r="U60">
            <v>-1.5499999999999998E-2</v>
          </cell>
          <cell r="V60">
            <v>-3.5800649854006973E-2</v>
          </cell>
          <cell r="W60">
            <v>-2.8139302359429991E-2</v>
          </cell>
          <cell r="X60">
            <v>-2.2344807944661711E-2</v>
          </cell>
          <cell r="Y60">
            <v>-2.5285132715704848E-2</v>
          </cell>
        </row>
        <row r="61">
          <cell r="G61" t="str">
            <v>2Q08</v>
          </cell>
          <cell r="H61" t="str">
            <v>3Q08</v>
          </cell>
          <cell r="I61" t="str">
            <v>4Q08</v>
          </cell>
          <cell r="J61" t="str">
            <v>1Q09</v>
          </cell>
          <cell r="K61" t="str">
            <v>2Q09</v>
          </cell>
          <cell r="L61" t="str">
            <v>3Q09</v>
          </cell>
          <cell r="M61" t="str">
            <v>4Q09</v>
          </cell>
          <cell r="N61" t="str">
            <v>1Q10</v>
          </cell>
          <cell r="O61" t="str">
            <v>2Q10</v>
          </cell>
          <cell r="P61" t="str">
            <v>3Q10</v>
          </cell>
          <cell r="Q61" t="str">
            <v>4Q10</v>
          </cell>
          <cell r="R61" t="str">
            <v>1Q11</v>
          </cell>
          <cell r="S61" t="str">
            <v>2Q11</v>
          </cell>
          <cell r="T61" t="str">
            <v xml:space="preserve">3Q11 </v>
          </cell>
          <cell r="U61" t="str">
            <v>4Q11e</v>
          </cell>
          <cell r="V61" t="str">
            <v>1Q12e</v>
          </cell>
          <cell r="W61" t="str">
            <v>2Q12e</v>
          </cell>
          <cell r="X61" t="str">
            <v>3Q12e</v>
          </cell>
          <cell r="Y61" t="str">
            <v>4Q11e</v>
          </cell>
        </row>
        <row r="62">
          <cell r="A62" t="str">
            <v>2 Yr Comps</v>
          </cell>
          <cell r="B62" t="str">
            <v>2007Q1</v>
          </cell>
          <cell r="C62" t="str">
            <v>2007Q2</v>
          </cell>
          <cell r="D62" t="str">
            <v>2007Q3</v>
          </cell>
          <cell r="E62" t="str">
            <v>2007Q4</v>
          </cell>
          <cell r="F62" t="str">
            <v>2008Q1</v>
          </cell>
          <cell r="G62" t="str">
            <v>2008Q2</v>
          </cell>
          <cell r="H62" t="str">
            <v>2008Q3</v>
          </cell>
          <cell r="I62" t="str">
            <v>2008Q4</v>
          </cell>
          <cell r="J62" t="str">
            <v>2009Q1</v>
          </cell>
          <cell r="K62" t="str">
            <v>2009Q2</v>
          </cell>
          <cell r="L62" t="str">
            <v>2009Q3</v>
          </cell>
          <cell r="M62" t="str">
            <v>2009Q4</v>
          </cell>
          <cell r="N62" t="str">
            <v>2010Q1</v>
          </cell>
          <cell r="O62" t="str">
            <v>2010Q2</v>
          </cell>
          <cell r="P62" t="str">
            <v>2010Q3</v>
          </cell>
          <cell r="Q62" t="str">
            <v>2010Q4</v>
          </cell>
          <cell r="R62" t="str">
            <v>2011Q1</v>
          </cell>
          <cell r="S62" t="str">
            <v>2011Q2</v>
          </cell>
          <cell r="T62" t="str">
            <v>2011Q3</v>
          </cell>
          <cell r="U62" t="str">
            <v>2011Q4e</v>
          </cell>
          <cell r="V62" t="str">
            <v>2012Q1e</v>
          </cell>
          <cell r="W62" t="str">
            <v>2012Q2e</v>
          </cell>
          <cell r="X62" t="str">
            <v>2012Q3e</v>
          </cell>
          <cell r="Y62" t="str">
            <v>2012Q4e</v>
          </cell>
        </row>
        <row r="63">
          <cell r="A63" t="str">
            <v>JCP</v>
          </cell>
          <cell r="F63">
            <v>-2.5999999999999999E-2</v>
          </cell>
          <cell r="G63">
            <v>-1.1999999999999999E-2</v>
          </cell>
          <cell r="H63">
            <v>-6.8000000000000005E-2</v>
          </cell>
          <cell r="I63">
            <v>-7.1999999999999995E-2</v>
          </cell>
          <cell r="J63">
            <v>-7.4499999999999997E-2</v>
          </cell>
          <cell r="K63">
            <v>-6.9000000000000006E-2</v>
          </cell>
          <cell r="L63">
            <v>-7.350000000000001E-2</v>
          </cell>
          <cell r="M63">
            <v>-7.6499999999999999E-2</v>
          </cell>
          <cell r="N63">
            <v>-2.9499999999999998E-2</v>
          </cell>
          <cell r="O63">
            <v>-4.3000000000000003E-2</v>
          </cell>
          <cell r="P63">
            <v>-1.35E-2</v>
          </cell>
          <cell r="Q63">
            <v>0</v>
          </cell>
          <cell r="R63">
            <v>2.7E-2</v>
          </cell>
          <cell r="S63">
            <v>1.2E-2</v>
          </cell>
          <cell r="T63">
            <v>9.4999999999999998E-3</v>
          </cell>
          <cell r="U63">
            <v>2.2499999999999999E-2</v>
          </cell>
          <cell r="V63">
            <v>8.1959210204642502E-3</v>
          </cell>
          <cell r="W63">
            <v>1.810995823971831E-3</v>
          </cell>
          <cell r="X63">
            <v>2.1216695903925453E-3</v>
          </cell>
          <cell r="Y63">
            <v>1.580610101375033E-3</v>
          </cell>
        </row>
        <row r="64">
          <cell r="A64" t="str">
            <v>M</v>
          </cell>
          <cell r="F64">
            <v>-9.9999999999999985E-3</v>
          </cell>
          <cell r="G64">
            <v>-2.35E-2</v>
          </cell>
          <cell r="H64">
            <v>-3.4000000000000002E-2</v>
          </cell>
          <cell r="I64">
            <v>-4.5000000000000005E-2</v>
          </cell>
          <cell r="J64">
            <v>-5.7999999999999996E-2</v>
          </cell>
          <cell r="K64">
            <v>-5.8000000000000003E-2</v>
          </cell>
          <cell r="L64">
            <v>-4.8000000000000001E-2</v>
          </cell>
          <cell r="M64">
            <v>-3.9000000000000007E-2</v>
          </cell>
          <cell r="N64">
            <v>-1.7499999999999998E-2</v>
          </cell>
          <cell r="O64">
            <v>-2.3E-2</v>
          </cell>
          <cell r="P64">
            <v>1.5000000000000013E-3</v>
          </cell>
          <cell r="Q64">
            <v>1.7499999999999998E-2</v>
          </cell>
          <cell r="R64">
            <v>5.45E-2</v>
          </cell>
          <cell r="S64">
            <v>5.6500000000000002E-2</v>
          </cell>
          <cell r="T64">
            <v>3.95E-2</v>
          </cell>
          <cell r="U64">
            <v>4.7500000000000001E-2</v>
          </cell>
          <cell r="V64">
            <v>4.2615460291451565E-2</v>
          </cell>
          <cell r="W64">
            <v>4.6871298215069274E-2</v>
          </cell>
          <cell r="X64">
            <v>4.2462651972028601E-2</v>
          </cell>
          <cell r="Y64">
            <v>4.3310152779521341E-2</v>
          </cell>
        </row>
        <row r="65">
          <cell r="A65" t="str">
            <v>KSS</v>
          </cell>
          <cell r="F65">
            <v>-1.4000000000000002E-2</v>
          </cell>
          <cell r="G65">
            <v>-1.6500000000000001E-2</v>
          </cell>
          <cell r="H65">
            <v>-4.6341890620098296E-2</v>
          </cell>
          <cell r="I65">
            <v>-6.5500000000000003E-2</v>
          </cell>
          <cell r="J65">
            <v>-5.4500000000000007E-2</v>
          </cell>
          <cell r="K65">
            <v>-3.4500000000000003E-2</v>
          </cell>
          <cell r="L65">
            <v>-2.1500000000000002E-2</v>
          </cell>
          <cell r="M65">
            <v>-2.3E-2</v>
          </cell>
          <cell r="N65">
            <v>1.5999999999999997E-2</v>
          </cell>
          <cell r="O65">
            <v>1.15E-2</v>
          </cell>
          <cell r="P65">
            <v>2.0999999999999998E-2</v>
          </cell>
          <cell r="Q65">
            <v>4.3999999999999997E-2</v>
          </cell>
          <cell r="R65">
            <v>4.3499999999999997E-2</v>
          </cell>
          <cell r="S65">
            <v>3.2500000000000001E-2</v>
          </cell>
          <cell r="T65">
            <v>1.95E-2</v>
          </cell>
          <cell r="U65">
            <v>1.0999999999999998E-2</v>
          </cell>
          <cell r="V65">
            <v>5.0770316034839079E-3</v>
          </cell>
          <cell r="W65">
            <v>1.1389995792304382E-2</v>
          </cell>
          <cell r="X65">
            <v>1.4625495153418206E-2</v>
          </cell>
          <cell r="Y65">
            <v>6.3620013893357467E-4</v>
          </cell>
        </row>
        <row r="68">
          <cell r="A68" t="str">
            <v>Spread</v>
          </cell>
          <cell r="F68">
            <v>-1.3999999999999999E-2</v>
          </cell>
          <cell r="G68">
            <v>8.0000000000000019E-3</v>
          </cell>
          <cell r="H68">
            <v>-2.7829054689950852E-2</v>
          </cell>
          <cell r="I68">
            <v>-1.6749999999999987E-2</v>
          </cell>
          <cell r="J68">
            <v>-1.8249999999999995E-2</v>
          </cell>
          <cell r="K68">
            <v>-2.2750000000000006E-2</v>
          </cell>
          <cell r="L68">
            <v>-3.8750000000000007E-2</v>
          </cell>
          <cell r="M68">
            <v>-4.5499999999999999E-2</v>
          </cell>
          <cell r="N68">
            <v>-2.8749999999999998E-2</v>
          </cell>
          <cell r="O68">
            <v>-3.7250000000000005E-2</v>
          </cell>
          <cell r="P68">
            <v>-2.4750000000000001E-2</v>
          </cell>
          <cell r="Q68">
            <v>-3.075E-2</v>
          </cell>
          <cell r="R68">
            <v>-2.2000000000000002E-2</v>
          </cell>
          <cell r="S68">
            <v>-3.2500000000000001E-2</v>
          </cell>
          <cell r="T68">
            <v>-1.9999999999999997E-2</v>
          </cell>
          <cell r="U68">
            <v>-6.7499999999999991E-3</v>
          </cell>
          <cell r="V68">
            <v>-1.5650324927003488E-2</v>
          </cell>
          <cell r="W68">
            <v>-2.7319651179714997E-2</v>
          </cell>
          <cell r="X68">
            <v>-2.6422403972330859E-2</v>
          </cell>
          <cell r="Y68">
            <v>-2.0392566357852426E-2</v>
          </cell>
        </row>
        <row r="90">
          <cell r="K90">
            <v>2000</v>
          </cell>
          <cell r="L90">
            <v>2001</v>
          </cell>
          <cell r="M90">
            <v>2002</v>
          </cell>
          <cell r="N90">
            <v>2003</v>
          </cell>
          <cell r="O90">
            <v>2004</v>
          </cell>
          <cell r="P90">
            <v>2005</v>
          </cell>
          <cell r="Q90">
            <v>2006</v>
          </cell>
          <cell r="R90">
            <v>2007</v>
          </cell>
          <cell r="S90">
            <v>2008</v>
          </cell>
          <cell r="T90">
            <v>2009</v>
          </cell>
          <cell r="U90">
            <v>2010</v>
          </cell>
          <cell r="V90" t="str">
            <v>1H11</v>
          </cell>
        </row>
        <row r="91">
          <cell r="C91" t="str">
            <v>2Q10</v>
          </cell>
          <cell r="D91" t="str">
            <v>3Q10</v>
          </cell>
          <cell r="E91" t="str">
            <v>4Q10</v>
          </cell>
          <cell r="F91" t="str">
            <v>1Q11</v>
          </cell>
          <cell r="G91" t="str">
            <v>2Q11</v>
          </cell>
          <cell r="H91" t="str">
            <v>3Q11</v>
          </cell>
          <cell r="J91" t="str">
            <v>JCP</v>
          </cell>
          <cell r="K91">
            <v>-2.4E-2</v>
          </cell>
          <cell r="L91">
            <v>3.125E-2</v>
          </cell>
          <cell r="M91">
            <v>2.8250000000000001E-2</v>
          </cell>
          <cell r="N91">
            <v>8.0000000000000002E-3</v>
          </cell>
          <cell r="O91">
            <v>4.9000000000000002E-2</v>
          </cell>
          <cell r="P91">
            <v>2.9000000000000001E-2</v>
          </cell>
          <cell r="Q91">
            <v>3.6999999999999998E-2</v>
          </cell>
          <cell r="R91">
            <v>-1.0999999999999999E-2</v>
          </cell>
          <cell r="S91">
            <v>-8.5000000000000006E-2</v>
          </cell>
          <cell r="T91">
            <v>-6.3078925007644338E-2</v>
          </cell>
          <cell r="U91">
            <v>0</v>
          </cell>
          <cell r="V91">
            <v>2.6499999999999999E-2</v>
          </cell>
        </row>
        <row r="92">
          <cell r="A92" t="str">
            <v>JCP</v>
          </cell>
          <cell r="C92">
            <v>-2.5000000000000001E-2</v>
          </cell>
          <cell r="D92">
            <v>-2.5000000000000001E-2</v>
          </cell>
          <cell r="E92">
            <v>-2.5000000000000001E-2</v>
          </cell>
          <cell r="F92">
            <v>-0.01</v>
          </cell>
          <cell r="G92">
            <v>-2.5000000000000001E-3</v>
          </cell>
          <cell r="H92">
            <v>2.5000000000000001E-3</v>
          </cell>
          <cell r="J92" t="str">
            <v>M</v>
          </cell>
          <cell r="K92">
            <v>0.02</v>
          </cell>
          <cell r="L92">
            <v>-5.2999999999999999E-2</v>
          </cell>
          <cell r="M92">
            <v>-0.03</v>
          </cell>
          <cell r="N92">
            <v>-9.0000000000000011E-3</v>
          </cell>
          <cell r="O92">
            <v>2.5999999999999999E-2</v>
          </cell>
          <cell r="P92">
            <v>1.2999999999999999E-2</v>
          </cell>
          <cell r="Q92">
            <v>4.3999999999999997E-2</v>
          </cell>
          <cell r="R92">
            <v>-1.2999999999999999E-2</v>
          </cell>
          <cell r="S92">
            <v>-4.4999999999999998E-2</v>
          </cell>
          <cell r="T92">
            <v>-5.2999999999999999E-2</v>
          </cell>
          <cell r="U92">
            <v>4.610434747830261E-2</v>
          </cell>
          <cell r="V92">
            <v>5.8999999999999997E-2</v>
          </cell>
        </row>
        <row r="93">
          <cell r="C93" t="str">
            <v>(LSD)</v>
          </cell>
          <cell r="D93" t="str">
            <v>(LSD)</v>
          </cell>
          <cell r="E93" t="str">
            <v>(LSD)</v>
          </cell>
          <cell r="F93">
            <v>-0.01</v>
          </cell>
          <cell r="G93" t="str">
            <v>Down slightly</v>
          </cell>
          <cell r="H93" t="str">
            <v>Up slightly</v>
          </cell>
          <cell r="J93" t="str">
            <v>KSS</v>
          </cell>
          <cell r="K93">
            <v>9.5515620428464607E-2</v>
          </cell>
          <cell r="L93">
            <v>6.8000000000000005E-2</v>
          </cell>
          <cell r="M93">
            <v>5.9056288469869427E-2</v>
          </cell>
          <cell r="N93">
            <v>-1.2342184383842436E-2</v>
          </cell>
          <cell r="O93">
            <v>5.4574854495884851E-3</v>
          </cell>
          <cell r="P93">
            <v>3.6890876124815335E-2</v>
          </cell>
          <cell r="Q93">
            <v>5.8999999999999997E-2</v>
          </cell>
          <cell r="R93">
            <v>-7.9988102247825314E-3</v>
          </cell>
          <cell r="S93">
            <v>-6.9000000000000006E-2</v>
          </cell>
          <cell r="T93">
            <v>6.5541130581591653E-3</v>
          </cell>
          <cell r="U93">
            <v>4.4736447175248759E-2</v>
          </cell>
          <cell r="V93">
            <v>1.6E-2</v>
          </cell>
        </row>
        <row r="94">
          <cell r="J94" t="str">
            <v>DDS</v>
          </cell>
          <cell r="L94">
            <v>-0.05</v>
          </cell>
          <cell r="M94">
            <v>-0.03</v>
          </cell>
          <cell r="N94">
            <v>-0.04</v>
          </cell>
          <cell r="O94">
            <v>-0.01</v>
          </cell>
          <cell r="P94">
            <v>0</v>
          </cell>
          <cell r="Q94">
            <v>0</v>
          </cell>
          <cell r="R94">
            <v>-0.06</v>
          </cell>
          <cell r="S94">
            <v>-7.0000000000000007E-2</v>
          </cell>
          <cell r="T94">
            <v>-0.1</v>
          </cell>
          <cell r="U94">
            <v>0.03</v>
          </cell>
          <cell r="V94">
            <v>0.04</v>
          </cell>
        </row>
        <row r="95">
          <cell r="J95" t="str">
            <v>Spread</v>
          </cell>
          <cell r="K95">
            <v>-8.1757810214232313E-2</v>
          </cell>
          <cell r="L95">
            <v>4.2916666666666665E-2</v>
          </cell>
          <cell r="M95">
            <v>2.8564570510043526E-2</v>
          </cell>
          <cell r="N95">
            <v>2.8447394794614146E-2</v>
          </cell>
          <cell r="O95">
            <v>4.1847504850137177E-2</v>
          </cell>
          <cell r="P95">
            <v>1.2369707958394892E-2</v>
          </cell>
          <cell r="Q95">
            <v>2.6666666666666644E-3</v>
          </cell>
          <cell r="R95">
            <v>1.5999603408260843E-2</v>
          </cell>
          <cell r="S95">
            <v>-2.3666666666666676E-2</v>
          </cell>
          <cell r="T95">
            <v>-1.4263629360364051E-2</v>
          </cell>
          <cell r="U95">
            <v>-4.0280264884517122E-2</v>
          </cell>
          <cell r="V95">
            <v>-1.1833333333333331E-2</v>
          </cell>
        </row>
        <row r="99">
          <cell r="K99" t="str">
            <v>2010Q3</v>
          </cell>
          <cell r="L99" t="str">
            <v>2010Q4</v>
          </cell>
          <cell r="M99" t="str">
            <v>2011Q1</v>
          </cell>
          <cell r="N99" t="str">
            <v>2011Q2</v>
          </cell>
        </row>
        <row r="100">
          <cell r="J100" t="str">
            <v>JCP</v>
          </cell>
          <cell r="K100">
            <v>1.9E-2</v>
          </cell>
          <cell r="L100">
            <v>4.4999999999999998E-2</v>
          </cell>
          <cell r="M100">
            <v>3.7999999999999999E-2</v>
          </cell>
          <cell r="N100">
            <v>1.4999999999999999E-2</v>
          </cell>
        </row>
        <row r="101">
          <cell r="J101" t="str">
            <v>KSS</v>
          </cell>
          <cell r="K101">
            <v>1.7999999999999999E-2</v>
          </cell>
          <cell r="L101">
            <v>4.2999999999999997E-2</v>
          </cell>
          <cell r="M101">
            <v>1.2999999999999999E-2</v>
          </cell>
          <cell r="N101">
            <v>1.9E-2</v>
          </cell>
        </row>
        <row r="102">
          <cell r="J102" t="str">
            <v>M</v>
          </cell>
          <cell r="K102">
            <v>3.9E-2</v>
          </cell>
          <cell r="L102">
            <v>4.2999999999999997E-2</v>
          </cell>
          <cell r="M102">
            <v>5.3999999999999999E-2</v>
          </cell>
          <cell r="N102">
            <v>6.4000000000000001E-2</v>
          </cell>
        </row>
        <row r="103">
          <cell r="J103" t="str">
            <v>DDS</v>
          </cell>
          <cell r="K103">
            <v>0.01</v>
          </cell>
          <cell r="L103">
            <v>7.0000000000000007E-2</v>
          </cell>
          <cell r="M103">
            <v>0.02</v>
          </cell>
          <cell r="N103">
            <v>3.6999999999999998E-2</v>
          </cell>
        </row>
        <row r="104">
          <cell r="J104" t="str">
            <v>Mid-Tier Avg</v>
          </cell>
          <cell r="K104">
            <v>2.233333333333333E-2</v>
          </cell>
          <cell r="L104">
            <v>5.1999999999999998E-2</v>
          </cell>
          <cell r="M104">
            <v>2.9000000000000001E-2</v>
          </cell>
          <cell r="N104">
            <v>0.04</v>
          </cell>
        </row>
        <row r="106">
          <cell r="K106" t="str">
            <v>2010Q3</v>
          </cell>
          <cell r="L106" t="str">
            <v>2010Q4</v>
          </cell>
          <cell r="M106" t="str">
            <v>2011Q1</v>
          </cell>
          <cell r="N106" t="str">
            <v>2011Q2</v>
          </cell>
          <cell r="O106" t="str">
            <v>2011Q3</v>
          </cell>
        </row>
        <row r="107">
          <cell r="J107" t="str">
            <v>JCP Comps</v>
          </cell>
          <cell r="K107">
            <v>1.9E-2</v>
          </cell>
          <cell r="L107">
            <v>4.4999999999999998E-2</v>
          </cell>
          <cell r="M107">
            <v>3.7999999999999999E-2</v>
          </cell>
          <cell r="N107">
            <v>1.4999999999999999E-2</v>
          </cell>
          <cell r="O107">
            <v>0</v>
          </cell>
        </row>
        <row r="108">
          <cell r="J108" t="str">
            <v>Inv/Sq Ft Growth</v>
          </cell>
          <cell r="K108">
            <v>5.4328650481654694E-2</v>
          </cell>
          <cell r="L108">
            <v>5.4855434578787277E-2</v>
          </cell>
          <cell r="M108">
            <v>6.4199331544402716E-2</v>
          </cell>
          <cell r="N108">
            <v>-0.9183550471876234</v>
          </cell>
          <cell r="O108">
            <v>-0.9182500174951681</v>
          </cell>
        </row>
        <row r="109">
          <cell r="J109" t="str">
            <v>Spread</v>
          </cell>
          <cell r="K109">
            <v>-353.28650481654694</v>
          </cell>
          <cell r="L109">
            <v>-98.554345787872776</v>
          </cell>
          <cell r="M109">
            <v>-261.99331544402719</v>
          </cell>
          <cell r="N109">
            <v>9333.550471876235</v>
          </cell>
          <cell r="O109">
            <v>9182.5001749516814</v>
          </cell>
        </row>
      </sheetData>
      <sheetData sheetId="7">
        <row r="20">
          <cell r="M20" t="str">
            <v>Valuation</v>
          </cell>
        </row>
        <row r="53">
          <cell r="B53" t="str">
            <v>2010Q1</v>
          </cell>
          <cell r="C53" t="str">
            <v>2010Q2</v>
          </cell>
          <cell r="D53" t="str">
            <v>2010Q3</v>
          </cell>
          <cell r="E53" t="str">
            <v>2010Q4</v>
          </cell>
          <cell r="F53" t="str">
            <v>2011Q1</v>
          </cell>
          <cell r="G53" t="str">
            <v>2011Q2E</v>
          </cell>
        </row>
        <row r="54">
          <cell r="A54" t="str">
            <v>JWN</v>
          </cell>
          <cell r="B54">
            <v>-1.2000000000000011E-2</v>
          </cell>
          <cell r="C54">
            <v>-1.3999999999999999E-2</v>
          </cell>
          <cell r="D54">
            <v>4.5999999999999999E-2</v>
          </cell>
          <cell r="E54">
            <v>0.13600000000000001</v>
          </cell>
          <cell r="F54">
            <v>0.185</v>
          </cell>
          <cell r="G54">
            <v>0.157</v>
          </cell>
        </row>
        <row r="55">
          <cell r="A55" t="str">
            <v>JCP</v>
          </cell>
          <cell r="B55">
            <v>-5.8999999999999997E-2</v>
          </cell>
          <cell r="C55">
            <v>-8.6000000000000007E-2</v>
          </cell>
          <cell r="D55">
            <v>-2.7E-2</v>
          </cell>
          <cell r="E55">
            <v>0</v>
          </cell>
          <cell r="F55">
            <v>5.3999999999999999E-2</v>
          </cell>
          <cell r="G55">
            <v>2.4E-2</v>
          </cell>
          <cell r="J55">
            <v>0.01</v>
          </cell>
        </row>
        <row r="56">
          <cell r="A56" t="str">
            <v>M</v>
          </cell>
          <cell r="B56">
            <v>-3.4999999999999996E-2</v>
          </cell>
          <cell r="C56">
            <v>-4.5999999999999999E-2</v>
          </cell>
          <cell r="D56">
            <v>3.0000000000000027E-3</v>
          </cell>
          <cell r="E56">
            <v>3.4999999999999996E-2</v>
          </cell>
          <cell r="F56">
            <v>0.109</v>
          </cell>
          <cell r="G56">
            <v>0.113</v>
          </cell>
          <cell r="J56" t="str">
            <v>+MSD</v>
          </cell>
        </row>
        <row r="57">
          <cell r="A57" t="str">
            <v>KSS</v>
          </cell>
          <cell r="B57">
            <v>3.1999999999999994E-2</v>
          </cell>
          <cell r="C57">
            <v>2.3E-2</v>
          </cell>
          <cell r="D57">
            <v>4.1999999999999996E-2</v>
          </cell>
          <cell r="E57">
            <v>8.7999999999999995E-2</v>
          </cell>
          <cell r="F57">
            <v>8.6999999999999994E-2</v>
          </cell>
          <cell r="G57">
            <v>6.5000000000000002E-2</v>
          </cell>
          <cell r="J57" t="str">
            <v>+LSD</v>
          </cell>
        </row>
        <row r="58">
          <cell r="A58" t="str">
            <v>Spread</v>
          </cell>
          <cell r="B58">
            <v>8.6666666666666593E-3</v>
          </cell>
          <cell r="C58">
            <v>2.2333333333333337E-2</v>
          </cell>
          <cell r="D58">
            <v>0.04</v>
          </cell>
          <cell r="E58">
            <v>9.5000000000000001E-2</v>
          </cell>
          <cell r="F58">
            <v>0.10166666666666667</v>
          </cell>
          <cell r="G58">
            <v>8.9666666666666658E-2</v>
          </cell>
          <cell r="J58" t="str">
            <v>+MSD</v>
          </cell>
        </row>
        <row r="60">
          <cell r="L60" t="str">
            <v>Feb '11</v>
          </cell>
          <cell r="M60" t="str">
            <v>Mar '11</v>
          </cell>
          <cell r="N60" t="str">
            <v>Apr '11</v>
          </cell>
          <cell r="O60" t="str">
            <v>May '11</v>
          </cell>
        </row>
        <row r="61">
          <cell r="J61" t="str">
            <v>JWN</v>
          </cell>
          <cell r="L61">
            <v>0.01</v>
          </cell>
          <cell r="M61">
            <v>0.05</v>
          </cell>
          <cell r="N61">
            <v>0.01</v>
          </cell>
          <cell r="O61">
            <v>0.05</v>
          </cell>
        </row>
      </sheetData>
      <sheetData sheetId="8"/>
      <sheetData sheetId="9"/>
      <sheetData sheetId="10"/>
      <sheetData sheetId="11"/>
      <sheetData sheetId="12"/>
      <sheetData sheetId="1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sk-Reward_View_Chart"/>
      <sheetName val="Bear_to_Bull_Data"/>
      <sheetName val="Comparative_Risk-Reward_Chart"/>
      <sheetName val="Comparative_Risk-Reward_Data"/>
      <sheetName val="Value_of_Growth_Chart"/>
      <sheetName val="Value_of_Growth_Data"/>
    </sheetNames>
    <sheetDataSet>
      <sheetData sheetId="0"/>
      <sheetData sheetId="1"/>
      <sheetData sheetId="2">
        <row r="1">
          <cell r="C1" t="str">
            <v>Please Enter
POSITIVE
Nos. Only</v>
          </cell>
        </row>
        <row r="2">
          <cell r="R2" t="str">
            <v>Old</v>
          </cell>
          <cell r="S2" t="str">
            <v>New</v>
          </cell>
        </row>
        <row r="3">
          <cell r="R3">
            <v>0.125</v>
          </cell>
          <cell r="S3">
            <v>0.14285714285714285</v>
          </cell>
        </row>
        <row r="4">
          <cell r="R4">
            <v>0.5</v>
          </cell>
          <cell r="S4">
            <v>0.5</v>
          </cell>
        </row>
        <row r="5">
          <cell r="A5" t="str">
            <v>X-Axis Labels</v>
          </cell>
          <cell r="B5" t="str">
            <v>Cases</v>
          </cell>
          <cell r="C5" t="str">
            <v>Positive
Increments</v>
          </cell>
          <cell r="D5" t="str">
            <v>Price Target</v>
          </cell>
          <cell r="E5" t="str">
            <v>Invisible</v>
          </cell>
          <cell r="F5" t="str">
            <v>Labels</v>
          </cell>
          <cell r="R5">
            <v>0.375</v>
          </cell>
          <cell r="S5">
            <v>0.35714285714285715</v>
          </cell>
        </row>
        <row r="6">
          <cell r="A6" t="str">
            <v>Bear
Case</v>
          </cell>
          <cell r="B6">
            <v>10</v>
          </cell>
          <cell r="D6">
            <v>16</v>
          </cell>
        </row>
        <row r="7">
          <cell r="A7" t="str">
            <v>Label</v>
          </cell>
          <cell r="D7">
            <v>16</v>
          </cell>
          <cell r="E7">
            <v>10</v>
          </cell>
          <cell r="F7">
            <v>0</v>
          </cell>
        </row>
        <row r="8">
          <cell r="A8" t="str">
            <v>Optional</v>
          </cell>
          <cell r="D8">
            <v>16</v>
          </cell>
          <cell r="E8">
            <v>10</v>
          </cell>
          <cell r="F8">
            <v>0</v>
          </cell>
        </row>
        <row r="9">
          <cell r="A9" t="str">
            <v>Optional</v>
          </cell>
          <cell r="D9">
            <v>16</v>
          </cell>
          <cell r="E9">
            <v>10</v>
          </cell>
          <cell r="F9">
            <v>0</v>
          </cell>
        </row>
        <row r="10">
          <cell r="A10" t="str">
            <v>Comps further decline</v>
          </cell>
          <cell r="C10">
            <v>2.85</v>
          </cell>
          <cell r="D10">
            <v>16</v>
          </cell>
          <cell r="E10">
            <v>10</v>
          </cell>
          <cell r="F10">
            <v>2.85</v>
          </cell>
        </row>
        <row r="11">
          <cell r="A11" t="str">
            <v>Increased gross margin pressure</v>
          </cell>
          <cell r="C11">
            <v>3.05</v>
          </cell>
          <cell r="D11">
            <v>16</v>
          </cell>
          <cell r="E11">
            <v>12.85</v>
          </cell>
          <cell r="F11">
            <v>3.05</v>
          </cell>
        </row>
        <row r="12">
          <cell r="A12" t="str">
            <v>Expense deleverage</v>
          </cell>
          <cell r="C12">
            <v>0.1</v>
          </cell>
          <cell r="D12">
            <v>16</v>
          </cell>
          <cell r="E12">
            <v>15.899999999999999</v>
          </cell>
          <cell r="F12">
            <v>0.1</v>
          </cell>
        </row>
        <row r="13">
          <cell r="A13" t="str">
            <v>Base
Case</v>
          </cell>
          <cell r="B13">
            <v>15.999999999999998</v>
          </cell>
          <cell r="D13">
            <v>16</v>
          </cell>
        </row>
        <row r="14">
          <cell r="A14" t="str">
            <v>Comps increase</v>
          </cell>
          <cell r="C14">
            <v>2.2000000000000002</v>
          </cell>
          <cell r="D14">
            <v>16</v>
          </cell>
          <cell r="E14">
            <v>15.999999999999998</v>
          </cell>
          <cell r="F14">
            <v>2.2000000000000002</v>
          </cell>
          <cell r="R14">
            <v>0.33333333333333331</v>
          </cell>
          <cell r="S14">
            <v>0.31818181818181818</v>
          </cell>
        </row>
        <row r="15">
          <cell r="A15" t="str">
            <v>Less pressure from gross margin</v>
          </cell>
          <cell r="C15">
            <v>1.5</v>
          </cell>
          <cell r="D15">
            <v>16</v>
          </cell>
          <cell r="E15">
            <v>18.2</v>
          </cell>
          <cell r="F15">
            <v>1.5</v>
          </cell>
          <cell r="R15">
            <v>0.5</v>
          </cell>
          <cell r="S15">
            <v>0.5</v>
          </cell>
        </row>
        <row r="16">
          <cell r="A16" t="str">
            <v>Less expense deleverage</v>
          </cell>
          <cell r="C16">
            <v>0.3</v>
          </cell>
          <cell r="D16">
            <v>16</v>
          </cell>
          <cell r="E16">
            <v>19.7</v>
          </cell>
          <cell r="F16">
            <v>0.3</v>
          </cell>
          <cell r="R16">
            <v>0.16666666666666666</v>
          </cell>
          <cell r="S16">
            <v>0.18181818181818182</v>
          </cell>
        </row>
        <row r="17">
          <cell r="A17" t="str">
            <v>Optional</v>
          </cell>
          <cell r="D17">
            <v>16</v>
          </cell>
          <cell r="E17">
            <v>20</v>
          </cell>
          <cell r="F17">
            <v>0</v>
          </cell>
        </row>
        <row r="18">
          <cell r="A18" t="str">
            <v>Optional</v>
          </cell>
          <cell r="D18">
            <v>16</v>
          </cell>
          <cell r="E18">
            <v>20</v>
          </cell>
          <cell r="F18">
            <v>0</v>
          </cell>
        </row>
        <row r="19">
          <cell r="A19" t="str">
            <v>Optional</v>
          </cell>
          <cell r="D19">
            <v>16</v>
          </cell>
          <cell r="E19">
            <v>20</v>
          </cell>
          <cell r="F19">
            <v>0</v>
          </cell>
        </row>
        <row r="20">
          <cell r="A20" t="str">
            <v>Bull
Case</v>
          </cell>
          <cell r="B20">
            <v>20</v>
          </cell>
          <cell r="D20">
            <v>16</v>
          </cell>
        </row>
      </sheetData>
      <sheetData sheetId="3" refreshError="1"/>
      <sheetData sheetId="4">
        <row r="2">
          <cell r="B2" t="str">
            <v>Stock B</v>
          </cell>
          <cell r="C2" t="str">
            <v>Stock B</v>
          </cell>
          <cell r="D2" t="str">
            <v>Stock B</v>
          </cell>
          <cell r="E2">
            <v>0</v>
          </cell>
          <cell r="F2">
            <v>0</v>
          </cell>
          <cell r="G2">
            <v>0</v>
          </cell>
        </row>
        <row r="3">
          <cell r="B3" t="str">
            <v>Stock C</v>
          </cell>
          <cell r="C3" t="str">
            <v>Stock C</v>
          </cell>
          <cell r="D3" t="str">
            <v>Stock C</v>
          </cell>
          <cell r="E3">
            <v>0</v>
          </cell>
          <cell r="F3">
            <v>-9.9999999999999978E-2</v>
          </cell>
          <cell r="G3">
            <v>-0.4</v>
          </cell>
        </row>
        <row r="4">
          <cell r="A4" t="str">
            <v>Stock D</v>
          </cell>
          <cell r="B4" t="str">
            <v>Stock D</v>
          </cell>
          <cell r="C4" t="str">
            <v>Stock D</v>
          </cell>
          <cell r="D4" t="str">
            <v>Stock D</v>
          </cell>
          <cell r="E4">
            <v>0</v>
          </cell>
          <cell r="F4">
            <v>0</v>
          </cell>
          <cell r="G4">
            <v>-0.30000000000000004</v>
          </cell>
        </row>
        <row r="5">
          <cell r="B5" t="str">
            <v>Current
Price</v>
          </cell>
          <cell r="C5" t="str">
            <v>Bear 
Case</v>
          </cell>
          <cell r="D5" t="str">
            <v>Base 
Case</v>
          </cell>
          <cell r="E5" t="str">
            <v>Bull 
Case</v>
          </cell>
          <cell r="F5" t="str">
            <v>Price Target</v>
          </cell>
          <cell r="G5" t="str">
            <v>Bear 
Case</v>
          </cell>
          <cell r="H5" t="str">
            <v>Base 
Case</v>
          </cell>
          <cell r="I5" t="str">
            <v>Bull 
Case</v>
          </cell>
          <cell r="J5" t="str">
            <v>Price 
Target</v>
          </cell>
          <cell r="K5" t="str">
            <v>+ Bear 
Data</v>
          </cell>
          <cell r="L5" t="str">
            <v>+ Base 
Data</v>
          </cell>
          <cell r="M5" t="str">
            <v>+ Bull 
Data</v>
          </cell>
          <cell r="N5" t="str">
            <v>- Bear 
Data</v>
          </cell>
          <cell r="O5" t="str">
            <v>- Base 
Data</v>
          </cell>
          <cell r="P5" t="str">
            <v>- Bull 
Data</v>
          </cell>
        </row>
        <row r="6">
          <cell r="A6" t="str">
            <v>Stock A</v>
          </cell>
          <cell r="B6">
            <v>50</v>
          </cell>
          <cell r="C6">
            <v>30</v>
          </cell>
          <cell r="D6">
            <v>40</v>
          </cell>
          <cell r="E6">
            <v>45</v>
          </cell>
          <cell r="F6">
            <v>50</v>
          </cell>
          <cell r="G6">
            <v>-0.4</v>
          </cell>
          <cell r="H6">
            <v>-0.19999999999999996</v>
          </cell>
          <cell r="I6">
            <v>-9.9999999999999978E-2</v>
          </cell>
          <cell r="J6">
            <v>0</v>
          </cell>
          <cell r="K6">
            <v>0</v>
          </cell>
          <cell r="L6">
            <v>0</v>
          </cell>
          <cell r="M6">
            <v>0</v>
          </cell>
          <cell r="N6">
            <v>-0.20000000000000007</v>
          </cell>
          <cell r="O6">
            <v>-9.9999999999999978E-2</v>
          </cell>
          <cell r="P6">
            <v>-9.9999999999999978E-2</v>
          </cell>
        </row>
        <row r="7">
          <cell r="A7" t="str">
            <v>Stock B</v>
          </cell>
          <cell r="B7">
            <v>100</v>
          </cell>
          <cell r="C7">
            <v>110</v>
          </cell>
          <cell r="D7">
            <v>120</v>
          </cell>
          <cell r="E7">
            <v>150</v>
          </cell>
          <cell r="F7">
            <v>115</v>
          </cell>
          <cell r="G7">
            <v>0.10000000000000009</v>
          </cell>
          <cell r="H7">
            <v>0.19999999999999996</v>
          </cell>
          <cell r="I7">
            <v>0.5</v>
          </cell>
          <cell r="J7">
            <v>0.14999999999999991</v>
          </cell>
          <cell r="K7">
            <v>0.10000000000000009</v>
          </cell>
          <cell r="L7">
            <v>9.9999999999999867E-2</v>
          </cell>
          <cell r="M7">
            <v>0.30000000000000004</v>
          </cell>
          <cell r="N7">
            <v>0</v>
          </cell>
          <cell r="O7">
            <v>0</v>
          </cell>
          <cell r="P7">
            <v>0</v>
          </cell>
        </row>
        <row r="8">
          <cell r="A8" t="str">
            <v>Stock C</v>
          </cell>
          <cell r="B8">
            <v>60</v>
          </cell>
          <cell r="C8">
            <v>30</v>
          </cell>
          <cell r="D8">
            <v>54</v>
          </cell>
          <cell r="E8">
            <v>78</v>
          </cell>
          <cell r="F8">
            <v>69</v>
          </cell>
          <cell r="G8">
            <v>-0.5</v>
          </cell>
          <cell r="H8">
            <v>-9.9999999999999978E-2</v>
          </cell>
          <cell r="I8">
            <v>0.30000000000000004</v>
          </cell>
          <cell r="J8">
            <v>0.14999999999999991</v>
          </cell>
          <cell r="K8">
            <v>0</v>
          </cell>
          <cell r="L8">
            <v>0</v>
          </cell>
          <cell r="M8">
            <v>0.30000000000000004</v>
          </cell>
          <cell r="N8">
            <v>-0.4</v>
          </cell>
          <cell r="O8">
            <v>-9.9999999999999978E-2</v>
          </cell>
          <cell r="P8">
            <v>0</v>
          </cell>
        </row>
        <row r="9">
          <cell r="A9" t="str">
            <v>Stock D</v>
          </cell>
          <cell r="B9">
            <v>80</v>
          </cell>
          <cell r="C9">
            <v>56</v>
          </cell>
          <cell r="D9">
            <v>90</v>
          </cell>
          <cell r="E9">
            <v>104</v>
          </cell>
          <cell r="F9">
            <v>85</v>
          </cell>
          <cell r="G9">
            <v>-0.30000000000000004</v>
          </cell>
          <cell r="H9">
            <v>0.125</v>
          </cell>
          <cell r="I9">
            <v>0.30000000000000004</v>
          </cell>
          <cell r="J9">
            <v>6.25E-2</v>
          </cell>
          <cell r="K9">
            <v>0</v>
          </cell>
          <cell r="L9">
            <v>0.125</v>
          </cell>
          <cell r="M9">
            <v>0.17500000000000004</v>
          </cell>
          <cell r="N9">
            <v>-0.30000000000000004</v>
          </cell>
          <cell r="O9">
            <v>0</v>
          </cell>
          <cell r="P9">
            <v>0</v>
          </cell>
        </row>
        <row r="10">
          <cell r="A10" t="str">
            <v>Stock E</v>
          </cell>
          <cell r="B10">
            <v>40</v>
          </cell>
          <cell r="C10">
            <v>20</v>
          </cell>
          <cell r="D10">
            <v>60</v>
          </cell>
          <cell r="E10">
            <v>70</v>
          </cell>
          <cell r="F10">
            <v>49</v>
          </cell>
          <cell r="G10">
            <v>-0.5</v>
          </cell>
          <cell r="H10">
            <v>0.5</v>
          </cell>
          <cell r="I10">
            <v>0.75</v>
          </cell>
          <cell r="J10">
            <v>0.22500000000000009</v>
          </cell>
          <cell r="K10">
            <v>0</v>
          </cell>
          <cell r="L10">
            <v>0.5</v>
          </cell>
          <cell r="M10">
            <v>0.25</v>
          </cell>
          <cell r="N10">
            <v>-0.5</v>
          </cell>
          <cell r="O10">
            <v>0</v>
          </cell>
          <cell r="P10">
            <v>0</v>
          </cell>
        </row>
        <row r="11">
          <cell r="A11" t="str">
            <v>Stock F</v>
          </cell>
          <cell r="B11">
            <v>20</v>
          </cell>
          <cell r="C11">
            <v>10</v>
          </cell>
          <cell r="D11">
            <v>30</v>
          </cell>
          <cell r="E11">
            <v>35</v>
          </cell>
          <cell r="F11">
            <v>23</v>
          </cell>
          <cell r="G11">
            <v>-0.5</v>
          </cell>
          <cell r="H11">
            <v>0.5</v>
          </cell>
          <cell r="I11">
            <v>0.75</v>
          </cell>
          <cell r="J11">
            <v>0.14999999999999991</v>
          </cell>
          <cell r="K11">
            <v>0</v>
          </cell>
          <cell r="L11">
            <v>0.5</v>
          </cell>
          <cell r="M11">
            <v>0.25</v>
          </cell>
          <cell r="N11">
            <v>-0.5</v>
          </cell>
          <cell r="O11">
            <v>0</v>
          </cell>
          <cell r="P11">
            <v>0</v>
          </cell>
        </row>
        <row r="12">
          <cell r="A12" t="str">
            <v>Stock G</v>
          </cell>
          <cell r="B12">
            <v>65</v>
          </cell>
          <cell r="C12">
            <v>35</v>
          </cell>
          <cell r="D12">
            <v>75</v>
          </cell>
          <cell r="E12">
            <v>85</v>
          </cell>
          <cell r="F12">
            <v>64</v>
          </cell>
          <cell r="G12">
            <v>-0.46153846153846156</v>
          </cell>
          <cell r="H12">
            <v>0.15384615384615374</v>
          </cell>
          <cell r="I12">
            <v>0.30769230769230771</v>
          </cell>
          <cell r="J12">
            <v>-1.538461538461533E-2</v>
          </cell>
          <cell r="K12">
            <v>0</v>
          </cell>
          <cell r="L12">
            <v>0.15384615384615374</v>
          </cell>
          <cell r="M12">
            <v>0.15384615384615397</v>
          </cell>
          <cell r="N12">
            <v>-0.46153846153846156</v>
          </cell>
          <cell r="O12">
            <v>0</v>
          </cell>
          <cell r="P12">
            <v>0</v>
          </cell>
        </row>
        <row r="13">
          <cell r="A13" t="str">
            <v>Stock H</v>
          </cell>
          <cell r="B13">
            <v>35</v>
          </cell>
          <cell r="C13">
            <v>20</v>
          </cell>
          <cell r="D13">
            <v>45</v>
          </cell>
          <cell r="E13">
            <v>50</v>
          </cell>
          <cell r="F13">
            <v>30</v>
          </cell>
          <cell r="G13">
            <v>-0.4285714285714286</v>
          </cell>
          <cell r="H13">
            <v>0.28571428571428581</v>
          </cell>
          <cell r="I13">
            <v>0.4285714285714286</v>
          </cell>
          <cell r="J13">
            <v>-0.1428571428571429</v>
          </cell>
          <cell r="K13">
            <v>0</v>
          </cell>
          <cell r="L13">
            <v>0.28571428571428581</v>
          </cell>
          <cell r="M13">
            <v>0.14285714285714279</v>
          </cell>
          <cell r="N13">
            <v>-0.4285714285714286</v>
          </cell>
          <cell r="O13">
            <v>0</v>
          </cell>
          <cell r="P13">
            <v>0</v>
          </cell>
        </row>
        <row r="14">
          <cell r="A14" t="str">
            <v>Stock I</v>
          </cell>
          <cell r="B14">
            <v>16</v>
          </cell>
          <cell r="C14">
            <v>10</v>
          </cell>
          <cell r="D14">
            <v>20</v>
          </cell>
          <cell r="E14">
            <v>23</v>
          </cell>
          <cell r="F14">
            <v>22</v>
          </cell>
          <cell r="G14">
            <v>-0.375</v>
          </cell>
          <cell r="H14">
            <v>0.25</v>
          </cell>
          <cell r="I14">
            <v>0.4375</v>
          </cell>
          <cell r="J14">
            <v>0.375</v>
          </cell>
          <cell r="K14">
            <v>0</v>
          </cell>
          <cell r="L14">
            <v>0.25</v>
          </cell>
          <cell r="M14">
            <v>0.1875</v>
          </cell>
          <cell r="N14">
            <v>-0.375</v>
          </cell>
          <cell r="O14">
            <v>0</v>
          </cell>
          <cell r="P14">
            <v>0</v>
          </cell>
        </row>
      </sheetData>
      <sheetData sheetId="5" refreshError="1"/>
      <sheetData sheetId="6">
        <row r="5">
          <cell r="A5" t="str">
            <v>X-Axis Labels</v>
          </cell>
          <cell r="B5" t="str">
            <v>Invisible</v>
          </cell>
          <cell r="C5" t="str">
            <v>Input
Bases</v>
          </cell>
          <cell r="D5" t="str">
            <v>Input
Increments</v>
          </cell>
          <cell r="E5" t="str">
            <v>Value
Gap</v>
          </cell>
          <cell r="F5" t="str">
            <v>+ Data</v>
          </cell>
          <cell r="G5" t="str">
            <v>- Data</v>
          </cell>
          <cell r="H5" t="str">
            <v>Increment
Labels</v>
          </cell>
        </row>
        <row r="6">
          <cell r="A6" t="str">
            <v>Current
Earnings</v>
          </cell>
          <cell r="C6">
            <v>26</v>
          </cell>
        </row>
        <row r="7">
          <cell r="A7" t="str">
            <v>Growth in
Explicit
Forecast
Period</v>
          </cell>
          <cell r="B7">
            <v>22</v>
          </cell>
          <cell r="D7">
            <v>-4</v>
          </cell>
          <cell r="F7">
            <v>0</v>
          </cell>
          <cell r="G7">
            <v>4</v>
          </cell>
          <cell r="H7">
            <v>4</v>
          </cell>
        </row>
        <row r="8">
          <cell r="A8" t="str">
            <v>Growth in
Terminal
Forecast
Period</v>
          </cell>
          <cell r="B8">
            <v>22</v>
          </cell>
          <cell r="D8">
            <v>8</v>
          </cell>
          <cell r="F8">
            <v>8</v>
          </cell>
          <cell r="G8">
            <v>0</v>
          </cell>
          <cell r="H8">
            <v>8</v>
          </cell>
        </row>
        <row r="9">
          <cell r="A9" t="str">
            <v>Estimated
Intrinsic
Value</v>
          </cell>
          <cell r="C9">
            <v>30</v>
          </cell>
        </row>
        <row r="10">
          <cell r="A10" t="str">
            <v>Value
Gap</v>
          </cell>
          <cell r="B10">
            <v>30</v>
          </cell>
          <cell r="E10">
            <v>10</v>
          </cell>
        </row>
        <row r="11">
          <cell r="A11" t="str">
            <v>Current
Price</v>
          </cell>
          <cell r="C11">
            <v>20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Summary"/>
      <sheetName val="Balance Sheet"/>
      <sheetName val="Cash Flow"/>
      <sheetName val="Income"/>
      <sheetName val="May Co Acquisition"/>
      <sheetName val="Drivers"/>
      <sheetName val="__FDSCACHE__"/>
      <sheetName val="Trends"/>
      <sheetName val="Credit Income &amp; SG&amp;A Detail"/>
      <sheetName val="Variance-2Q12"/>
      <sheetName val="2012 Stores"/>
      <sheetName val="online"/>
      <sheetName val="PreFHT"/>
      <sheetName val="MainCode"/>
      <sheetName val="Debt"/>
      <sheetName val="CreditRatios"/>
      <sheetName val="Reported 2009"/>
      <sheetName val="Productivity"/>
      <sheetName val="MWA RR"/>
      <sheetName val="LEASES NEW"/>
      <sheetName val="RNOA - ROE"/>
      <sheetName val="Real Estate"/>
      <sheetName val="mwareValPrintout"/>
      <sheetName val="P Map"/>
      <sheetName val="Asset Sales"/>
      <sheetName val="Ledger"/>
      <sheetName val="Valuation "/>
      <sheetName val="MW-Cache"/>
      <sheetName val="LBO"/>
      <sheetName val="LINKED DATA"/>
      <sheetName val="mwareDates_38951_3819959"/>
      <sheetName val="mwareDates_38951_3889055"/>
      <sheetName val="mwareDates"/>
      <sheetName val="mwareSettings"/>
      <sheetName val="MacabacusCustomFormats"/>
      <sheetName val="Variance"/>
      <sheetName val="Disclosures"/>
      <sheetName val="Guidance"/>
      <sheetName val="Variance-1Q11"/>
      <sheetName val="Variance-2Q11"/>
      <sheetName val="LEASES"/>
      <sheetName val="Inv Turn"/>
      <sheetName val="msri"/>
      <sheetName val="Variance2"/>
      <sheetName val="NY UPLOAD shadow"/>
      <sheetName val="#REF"/>
      <sheetName val="M_working2"/>
      <sheetName val="Variance-1Q12"/>
      <sheetName val="Credit Income"/>
      <sheetName val="Variance-4Q11"/>
      <sheetName val="Variance-3Q11"/>
      <sheetName val="3Q EPS Cheat Sheet"/>
      <sheetName val="Shr Repo"/>
    </sheetNames>
    <sheetDataSet>
      <sheetData sheetId="0"/>
      <sheetData sheetId="1"/>
      <sheetData sheetId="2"/>
      <sheetData sheetId="3"/>
      <sheetData sheetId="4">
        <row r="1">
          <cell r="EX1" t="str">
            <v>Q1-07</v>
          </cell>
          <cell r="EY1" t="str">
            <v>Q2-07</v>
          </cell>
          <cell r="EZ1" t="str">
            <v>Q3-07</v>
          </cell>
          <cell r="FA1" t="str">
            <v>Q4-07</v>
          </cell>
          <cell r="FD1" t="str">
            <v>Q1-08</v>
          </cell>
          <cell r="FE1" t="str">
            <v>Q2-08</v>
          </cell>
          <cell r="FF1" t="str">
            <v>Q3-08</v>
          </cell>
          <cell r="FG1" t="str">
            <v>Q4-08</v>
          </cell>
          <cell r="FJ1" t="str">
            <v>Q1-09</v>
          </cell>
          <cell r="FK1" t="str">
            <v>Q2-09</v>
          </cell>
          <cell r="FL1" t="str">
            <v>Q3-09</v>
          </cell>
          <cell r="FM1" t="str">
            <v>Q4-09</v>
          </cell>
          <cell r="FP1" t="str">
            <v>Q1-10</v>
          </cell>
          <cell r="FQ1" t="str">
            <v>Q2-10</v>
          </cell>
          <cell r="FR1" t="str">
            <v>Q3-10</v>
          </cell>
          <cell r="FS1" t="str">
            <v>Q4-10</v>
          </cell>
          <cell r="FV1" t="str">
            <v>Q1-11</v>
          </cell>
          <cell r="FW1" t="str">
            <v>Q2-11</v>
          </cell>
          <cell r="FX1" t="str">
            <v>Q3-11</v>
          </cell>
          <cell r="FY1" t="str">
            <v>Q4-11</v>
          </cell>
          <cell r="GB1" t="str">
            <v>Q1-12</v>
          </cell>
          <cell r="GC1" t="str">
            <v>Q2-12</v>
          </cell>
          <cell r="GD1" t="str">
            <v>Q3-12</v>
          </cell>
          <cell r="GE1" t="str">
            <v>Q4-12</v>
          </cell>
          <cell r="GS1" t="str">
            <v>ElementName</v>
          </cell>
          <cell r="GT1" t="str">
            <v>ScaleOverride</v>
          </cell>
          <cell r="GU1" t="str">
            <v>UnitOverride</v>
          </cell>
          <cell r="GV1" t="str">
            <v>ReverseSign</v>
          </cell>
          <cell r="GW1" t="str">
            <v>IsDrivinFYssumption</v>
          </cell>
          <cell r="GX1" t="str">
            <v>SegmentID</v>
          </cell>
        </row>
        <row r="2">
          <cell r="A2" t="str">
            <v>Macy's Inc.</v>
          </cell>
          <cell r="F2" t="str">
            <v>Federated (Post-Bankruptcy)</v>
          </cell>
          <cell r="K2" t="str">
            <v>Combined Federated + Macy's;  Adjusted for Broadway</v>
          </cell>
          <cell r="R2" t="str">
            <v>Ex-Fingerhut</v>
          </cell>
          <cell r="X2" t="str">
            <v>Proforma -- May Department Stores</v>
          </cell>
          <cell r="AN2" t="str">
            <v>Macy's Inc.</v>
          </cell>
          <cell r="AO2" t="str">
            <v>Not Adjusted For Consistency</v>
          </cell>
          <cell r="DH2" t="str">
            <v>Adjusted -- Fingerhut Disposition</v>
          </cell>
          <cell r="EN2" t="str">
            <v>Proforma -- May Department Stores</v>
          </cell>
        </row>
        <row r="3">
          <cell r="A3" t="str">
            <v>Annual Income Statement: Base Case - 5/2/13</v>
          </cell>
          <cell r="E3" t="str">
            <v>RPT'D</v>
          </cell>
          <cell r="F3" t="str">
            <v>PFMA</v>
          </cell>
          <cell r="J3" t="str">
            <v>91P-94E</v>
          </cell>
          <cell r="K3" t="str">
            <v>PFMA</v>
          </cell>
          <cell r="L3" t="str">
            <v>FD+MCO</v>
          </cell>
          <cell r="AN3" t="str">
            <v>Quarterly Income Statement: Base Case - 5/2/13</v>
          </cell>
          <cell r="BY3" t="str">
            <v>1995A</v>
          </cell>
          <cell r="CJ3">
            <v>1996</v>
          </cell>
          <cell r="CR3">
            <v>1997</v>
          </cell>
          <cell r="CX3">
            <v>1998</v>
          </cell>
          <cell r="DD3">
            <v>1999</v>
          </cell>
          <cell r="DJ3">
            <v>2000</v>
          </cell>
          <cell r="DP3">
            <v>2001</v>
          </cell>
          <cell r="DV3">
            <v>2002</v>
          </cell>
          <cell r="EB3">
            <v>2003</v>
          </cell>
          <cell r="EH3">
            <v>2004</v>
          </cell>
          <cell r="EN3">
            <v>2005</v>
          </cell>
          <cell r="ET3">
            <v>2006</v>
          </cell>
          <cell r="EX3">
            <v>39447</v>
          </cell>
          <cell r="FD3">
            <v>39813</v>
          </cell>
          <cell r="FJ3">
            <v>40178</v>
          </cell>
          <cell r="FP3">
            <v>40543</v>
          </cell>
          <cell r="FV3">
            <v>40908</v>
          </cell>
          <cell r="FZ3" t="str">
            <v xml:space="preserve"> </v>
          </cell>
          <cell r="GB3">
            <v>41274</v>
          </cell>
          <cell r="GF3" t="str">
            <v xml:space="preserve"> </v>
          </cell>
        </row>
        <row r="4">
          <cell r="A4" t="str">
            <v>($ Millions)</v>
          </cell>
          <cell r="C4">
            <v>32873</v>
          </cell>
          <cell r="D4">
            <v>1990</v>
          </cell>
          <cell r="E4">
            <v>1991</v>
          </cell>
          <cell r="F4">
            <v>1991</v>
          </cell>
          <cell r="G4" t="str">
            <v>1992</v>
          </cell>
          <cell r="H4">
            <v>1993</v>
          </cell>
          <cell r="I4">
            <v>1994</v>
          </cell>
          <cell r="J4" t="str">
            <v>CAGR</v>
          </cell>
          <cell r="K4" t="str">
            <v>1994P</v>
          </cell>
          <cell r="L4">
            <v>1995</v>
          </cell>
          <cell r="N4">
            <v>1995</v>
          </cell>
          <cell r="O4">
            <v>1996</v>
          </cell>
          <cell r="P4">
            <v>1997</v>
          </cell>
          <cell r="Q4">
            <v>1998</v>
          </cell>
          <cell r="R4">
            <v>1999</v>
          </cell>
          <cell r="S4">
            <v>2000</v>
          </cell>
          <cell r="T4">
            <v>2001</v>
          </cell>
          <cell r="U4">
            <v>2002</v>
          </cell>
          <cell r="V4">
            <v>2003</v>
          </cell>
          <cell r="W4">
            <v>2004</v>
          </cell>
          <cell r="X4">
            <v>2005</v>
          </cell>
          <cell r="Y4">
            <v>2006</v>
          </cell>
          <cell r="Z4">
            <v>2007</v>
          </cell>
          <cell r="AA4">
            <v>2008</v>
          </cell>
          <cell r="AB4">
            <v>2009</v>
          </cell>
          <cell r="AC4">
            <v>2010</v>
          </cell>
          <cell r="AD4">
            <v>2011</v>
          </cell>
          <cell r="AE4" t="str">
            <v>2012E</v>
          </cell>
          <cell r="AF4" t="str">
            <v>2013E</v>
          </cell>
          <cell r="AG4" t="str">
            <v>2014E</v>
          </cell>
          <cell r="AH4" t="str">
            <v>2015E</v>
          </cell>
          <cell r="AI4" t="str">
            <v>2016E</v>
          </cell>
          <cell r="AJ4" t="str">
            <v>2017E</v>
          </cell>
          <cell r="AK4" t="str">
            <v>2018E</v>
          </cell>
          <cell r="AL4" t="str">
            <v>2019E</v>
          </cell>
          <cell r="AN4" t="str">
            <v>($ Millions)</v>
          </cell>
          <cell r="AO4" t="str">
            <v>Q1</v>
          </cell>
          <cell r="AP4" t="str">
            <v>Q2</v>
          </cell>
          <cell r="AQ4" t="str">
            <v>Q3</v>
          </cell>
          <cell r="AR4" t="str">
            <v>Q4</v>
          </cell>
          <cell r="AS4" t="str">
            <v>Year</v>
          </cell>
          <cell r="AU4" t="str">
            <v>Q1</v>
          </cell>
          <cell r="AV4" t="str">
            <v>Q2</v>
          </cell>
          <cell r="AW4" t="str">
            <v>Q3</v>
          </cell>
          <cell r="AX4" t="str">
            <v>Q4</v>
          </cell>
          <cell r="AY4" t="str">
            <v>Year</v>
          </cell>
          <cell r="BA4" t="str">
            <v>Q1</v>
          </cell>
          <cell r="BB4" t="str">
            <v>Q2</v>
          </cell>
          <cell r="BC4" t="str">
            <v>Q3</v>
          </cell>
          <cell r="BD4" t="str">
            <v>Q4</v>
          </cell>
          <cell r="BE4" t="str">
            <v>Year</v>
          </cell>
          <cell r="BG4" t="str">
            <v>Q1</v>
          </cell>
          <cell r="BH4" t="str">
            <v>Q2</v>
          </cell>
          <cell r="BI4" t="str">
            <v>Q3</v>
          </cell>
          <cell r="BJ4" t="str">
            <v>Q4</v>
          </cell>
          <cell r="BK4" t="str">
            <v>Year</v>
          </cell>
          <cell r="BM4" t="str">
            <v>Q1</v>
          </cell>
          <cell r="BN4" t="str">
            <v>Q2</v>
          </cell>
          <cell r="BO4" t="str">
            <v>Q3</v>
          </cell>
          <cell r="BP4" t="str">
            <v>Q4</v>
          </cell>
          <cell r="BQ4" t="str">
            <v>Year</v>
          </cell>
          <cell r="BS4" t="str">
            <v>Q1P</v>
          </cell>
          <cell r="BT4" t="str">
            <v>Q2P</v>
          </cell>
          <cell r="BU4" t="str">
            <v>Q3P</v>
          </cell>
          <cell r="BV4" t="str">
            <v>Q4P</v>
          </cell>
          <cell r="BW4" t="str">
            <v>Year P</v>
          </cell>
          <cell r="BY4" t="str">
            <v>Q1</v>
          </cell>
          <cell r="BZ4" t="str">
            <v>Q2</v>
          </cell>
          <cell r="CA4" t="str">
            <v>Q3</v>
          </cell>
          <cell r="CB4" t="str">
            <v>Q3</v>
          </cell>
          <cell r="CC4" t="str">
            <v>Q3</v>
          </cell>
          <cell r="CD4" t="str">
            <v>Q4</v>
          </cell>
          <cell r="CE4" t="str">
            <v>Q4</v>
          </cell>
          <cell r="CF4" t="str">
            <v>Year</v>
          </cell>
          <cell r="CG4" t="str">
            <v>Year</v>
          </cell>
          <cell r="CH4" t="str">
            <v>Year</v>
          </cell>
          <cell r="CJ4" t="str">
            <v>Q1</v>
          </cell>
          <cell r="CK4" t="str">
            <v>Q2</v>
          </cell>
          <cell r="CL4" t="str">
            <v>Q3</v>
          </cell>
          <cell r="CM4" t="str">
            <v>Q4</v>
          </cell>
          <cell r="CN4" t="str">
            <v>Year</v>
          </cell>
          <cell r="CP4" t="str">
            <v>Q1</v>
          </cell>
          <cell r="CQ4" t="str">
            <v>Q2</v>
          </cell>
          <cell r="CR4" t="str">
            <v>Q3</v>
          </cell>
          <cell r="CS4" t="str">
            <v>Q4</v>
          </cell>
          <cell r="CT4" t="str">
            <v>Year</v>
          </cell>
          <cell r="CV4" t="str">
            <v>Q1</v>
          </cell>
          <cell r="CW4" t="str">
            <v>Q2</v>
          </cell>
          <cell r="CX4" t="str">
            <v>Q3</v>
          </cell>
          <cell r="CY4" t="str">
            <v>Q4</v>
          </cell>
          <cell r="CZ4" t="str">
            <v>Year</v>
          </cell>
          <cell r="DB4" t="str">
            <v>Q1</v>
          </cell>
          <cell r="DC4" t="str">
            <v>Q2</v>
          </cell>
          <cell r="DD4" t="str">
            <v>Q3</v>
          </cell>
          <cell r="DE4" t="str">
            <v>Q4</v>
          </cell>
          <cell r="DF4" t="str">
            <v>Year</v>
          </cell>
          <cell r="DH4" t="str">
            <v>Q1</v>
          </cell>
          <cell r="DI4" t="str">
            <v>Q2</v>
          </cell>
          <cell r="DJ4" t="str">
            <v>Q3</v>
          </cell>
          <cell r="DK4" t="str">
            <v>Q4</v>
          </cell>
          <cell r="DL4">
            <v>2000</v>
          </cell>
          <cell r="DN4" t="str">
            <v>Q1A</v>
          </cell>
          <cell r="DO4" t="str">
            <v>Q2A</v>
          </cell>
          <cell r="DP4" t="str">
            <v>Q3A</v>
          </cell>
          <cell r="DQ4" t="str">
            <v>Q4A</v>
          </cell>
          <cell r="DR4">
            <v>2001</v>
          </cell>
          <cell r="DT4" t="str">
            <v>Q1A</v>
          </cell>
          <cell r="DU4" t="str">
            <v>Q2A</v>
          </cell>
          <cell r="DV4" t="str">
            <v>Q3A</v>
          </cell>
          <cell r="DW4" t="str">
            <v>Q4A</v>
          </cell>
          <cell r="DX4">
            <v>2002</v>
          </cell>
          <cell r="DZ4" t="str">
            <v>Q1A</v>
          </cell>
          <cell r="EA4" t="str">
            <v>Q2A</v>
          </cell>
          <cell r="EB4" t="str">
            <v>Q3A</v>
          </cell>
          <cell r="EC4" t="str">
            <v>Q4A</v>
          </cell>
          <cell r="ED4">
            <v>2003</v>
          </cell>
          <cell r="EF4" t="str">
            <v>Q1A</v>
          </cell>
          <cell r="EG4" t="str">
            <v>Q2A</v>
          </cell>
          <cell r="EH4" t="str">
            <v>Q3A</v>
          </cell>
          <cell r="EI4" t="str">
            <v>Q4A</v>
          </cell>
          <cell r="EJ4">
            <v>2004</v>
          </cell>
          <cell r="EL4" t="str">
            <v>Q1A</v>
          </cell>
          <cell r="EM4" t="str">
            <v>Q2A</v>
          </cell>
          <cell r="EN4" t="str">
            <v>Q3A</v>
          </cell>
          <cell r="EO4" t="str">
            <v>Q4A</v>
          </cell>
          <cell r="EP4">
            <v>2005</v>
          </cell>
          <cell r="ER4" t="str">
            <v>Q1A</v>
          </cell>
          <cell r="ES4" t="str">
            <v>Q2A</v>
          </cell>
          <cell r="ET4" t="str">
            <v>Q3A</v>
          </cell>
          <cell r="EU4" t="str">
            <v>Q4A</v>
          </cell>
          <cell r="EV4">
            <v>2006</v>
          </cell>
          <cell r="EX4">
            <v>1</v>
          </cell>
          <cell r="EY4">
            <v>2</v>
          </cell>
          <cell r="EZ4">
            <v>3</v>
          </cell>
          <cell r="FA4">
            <v>4</v>
          </cell>
          <cell r="FB4" t="str">
            <v>Year</v>
          </cell>
          <cell r="FD4">
            <v>1</v>
          </cell>
          <cell r="FE4">
            <v>2</v>
          </cell>
          <cell r="FF4">
            <v>3</v>
          </cell>
          <cell r="FG4">
            <v>4</v>
          </cell>
          <cell r="FH4" t="str">
            <v>Year</v>
          </cell>
          <cell r="FJ4">
            <v>1</v>
          </cell>
          <cell r="FK4">
            <v>2</v>
          </cell>
          <cell r="FL4">
            <v>3</v>
          </cell>
          <cell r="FM4">
            <v>4</v>
          </cell>
          <cell r="FN4" t="str">
            <v>Year</v>
          </cell>
          <cell r="FP4">
            <v>1</v>
          </cell>
          <cell r="FQ4">
            <v>2</v>
          </cell>
          <cell r="FR4">
            <v>3</v>
          </cell>
          <cell r="FS4">
            <v>4</v>
          </cell>
          <cell r="FT4" t="str">
            <v>Year</v>
          </cell>
          <cell r="FV4">
            <v>1</v>
          </cell>
          <cell r="FW4">
            <v>2</v>
          </cell>
          <cell r="FX4">
            <v>3</v>
          </cell>
          <cell r="FY4">
            <v>4</v>
          </cell>
          <cell r="FZ4" t="str">
            <v>Year</v>
          </cell>
          <cell r="GB4">
            <v>1</v>
          </cell>
          <cell r="GC4">
            <v>2</v>
          </cell>
          <cell r="GD4">
            <v>3</v>
          </cell>
          <cell r="GE4">
            <v>4</v>
          </cell>
          <cell r="GF4" t="str">
            <v>Year</v>
          </cell>
        </row>
        <row r="5">
          <cell r="A5" t="str">
            <v>R=Restated  O=Originally Reported</v>
          </cell>
          <cell r="N5" t="str">
            <v>R-1999</v>
          </cell>
          <cell r="O5" t="str">
            <v>R-2000</v>
          </cell>
          <cell r="P5" t="str">
            <v>R-2001</v>
          </cell>
          <cell r="Q5" t="str">
            <v>R-2001</v>
          </cell>
          <cell r="R5" t="str">
            <v>R-2001</v>
          </cell>
          <cell r="S5" t="str">
            <v>R-2001</v>
          </cell>
          <cell r="T5" t="str">
            <v>R-2005</v>
          </cell>
          <cell r="U5" t="str">
            <v>R-2005</v>
          </cell>
          <cell r="V5" t="str">
            <v>R-2005</v>
          </cell>
          <cell r="W5" t="str">
            <v>R-2005</v>
          </cell>
          <cell r="X5" t="str">
            <v>O-2005</v>
          </cell>
          <cell r="Y5" t="str">
            <v>O-Q406</v>
          </cell>
          <cell r="Z5" t="str">
            <v>O-Q407</v>
          </cell>
          <cell r="DH5" t="str">
            <v>R-2001</v>
          </cell>
          <cell r="DI5" t="str">
            <v>R-2001</v>
          </cell>
          <cell r="DJ5" t="str">
            <v>R-2001</v>
          </cell>
          <cell r="DK5" t="str">
            <v>R-Q401</v>
          </cell>
          <cell r="DL5" t="str">
            <v>R-2001</v>
          </cell>
          <cell r="DN5" t="str">
            <v>R-Q102</v>
          </cell>
          <cell r="DO5" t="str">
            <v>R-Q202</v>
          </cell>
          <cell r="DP5" t="str">
            <v>R-Q302</v>
          </cell>
          <cell r="DQ5" t="str">
            <v>O-Q402</v>
          </cell>
          <cell r="DR5" t="str">
            <v>R-2005</v>
          </cell>
          <cell r="DT5" t="str">
            <v>O-Q102</v>
          </cell>
          <cell r="DU5" t="str">
            <v>O-Q202</v>
          </cell>
          <cell r="DV5" t="str">
            <v>O-Q302</v>
          </cell>
          <cell r="DW5" t="str">
            <v>O-Q402</v>
          </cell>
          <cell r="DX5" t="str">
            <v>R-2005</v>
          </cell>
          <cell r="DZ5" t="str">
            <v>O-Q103</v>
          </cell>
          <cell r="EA5" t="str">
            <v>O-Q203</v>
          </cell>
          <cell r="EB5" t="str">
            <v>O-Q303</v>
          </cell>
          <cell r="EC5" t="str">
            <v>O-Q403</v>
          </cell>
          <cell r="ED5" t="str">
            <v>R-2005</v>
          </cell>
          <cell r="EF5" t="str">
            <v>R-Q105</v>
          </cell>
          <cell r="EG5" t="str">
            <v>R-Q205</v>
          </cell>
          <cell r="EH5" t="str">
            <v>R-Q305</v>
          </cell>
          <cell r="EI5" t="str">
            <v>R-Q405</v>
          </cell>
          <cell r="EJ5" t="str">
            <v>R-2005</v>
          </cell>
          <cell r="EL5" t="str">
            <v>O-Q105</v>
          </cell>
          <cell r="EM5" t="str">
            <v>O-Q205</v>
          </cell>
          <cell r="EN5" t="str">
            <v>R-2005</v>
          </cell>
          <cell r="EO5" t="str">
            <v>O-Q405</v>
          </cell>
          <cell r="EP5" t="str">
            <v>O-2005</v>
          </cell>
          <cell r="ER5" t="str">
            <v>O-Q106</v>
          </cell>
          <cell r="ES5" t="str">
            <v>O-Q206</v>
          </cell>
          <cell r="ET5" t="str">
            <v>O-Q306</v>
          </cell>
          <cell r="EU5" t="str">
            <v>O-Q406</v>
          </cell>
          <cell r="EV5" t="str">
            <v>O-Q406</v>
          </cell>
          <cell r="FB5" t="str">
            <v>O-Q407</v>
          </cell>
          <cell r="GE5" t="str">
            <v>53rd Week</v>
          </cell>
        </row>
        <row r="7">
          <cell r="A7" t="str">
            <v>Retail Revenues</v>
          </cell>
          <cell r="C7">
            <v>7577.5860000000002</v>
          </cell>
          <cell r="D7">
            <v>7141.9830000000002</v>
          </cell>
          <cell r="E7">
            <v>6932.3230000000003</v>
          </cell>
          <cell r="F7">
            <v>6932.3230000000003</v>
          </cell>
          <cell r="G7">
            <v>7079.9410000000007</v>
          </cell>
          <cell r="H7">
            <v>7229.4059999999999</v>
          </cell>
          <cell r="I7">
            <v>7707.476999999999</v>
          </cell>
          <cell r="J7">
            <v>3.5963567590107104E-2</v>
          </cell>
          <cell r="K7">
            <v>13701.5</v>
          </cell>
          <cell r="L7">
            <v>13998.034</v>
          </cell>
          <cell r="N7">
            <v>14614</v>
          </cell>
          <cell r="O7">
            <v>14833</v>
          </cell>
          <cell r="P7">
            <v>15220</v>
          </cell>
          <cell r="Q7">
            <v>15365</v>
          </cell>
          <cell r="R7">
            <v>16029</v>
          </cell>
          <cell r="S7">
            <v>16638</v>
          </cell>
          <cell r="T7">
            <v>15785</v>
          </cell>
          <cell r="U7">
            <v>15571</v>
          </cell>
          <cell r="V7">
            <v>15412</v>
          </cell>
          <cell r="W7">
            <v>15776</v>
          </cell>
          <cell r="X7">
            <v>22390</v>
          </cell>
          <cell r="Y7">
            <v>26970</v>
          </cell>
          <cell r="Z7">
            <v>26313</v>
          </cell>
          <cell r="AA7">
            <v>24892</v>
          </cell>
          <cell r="AB7">
            <v>23895</v>
          </cell>
          <cell r="AC7">
            <v>25003</v>
          </cell>
          <cell r="AD7">
            <v>26405</v>
          </cell>
          <cell r="AE7">
            <v>27697.820605365057</v>
          </cell>
          <cell r="AF7">
            <v>28358.892641397051</v>
          </cell>
          <cell r="AG7">
            <v>28905.408744504351</v>
          </cell>
          <cell r="AH7">
            <v>29204.897015558319</v>
          </cell>
          <cell r="AI7">
            <v>29496.945985713905</v>
          </cell>
          <cell r="AJ7">
            <v>29791.915445571045</v>
          </cell>
          <cell r="AK7">
            <v>30089.834600026756</v>
          </cell>
          <cell r="AL7">
            <v>30390.732946027023</v>
          </cell>
          <cell r="AN7" t="str">
            <v>Retail Revenues</v>
          </cell>
          <cell r="AO7">
            <v>1590.46</v>
          </cell>
          <cell r="AP7">
            <v>1525.692</v>
          </cell>
          <cell r="AQ7">
            <v>1767.327</v>
          </cell>
          <cell r="AR7">
            <v>2258.5039999999999</v>
          </cell>
          <cell r="AS7">
            <v>7141.9830000000002</v>
          </cell>
          <cell r="AU7">
            <v>1593.4190000000001</v>
          </cell>
          <cell r="AV7">
            <v>1495.7429999999999</v>
          </cell>
          <cell r="AW7">
            <v>1708.9010000000001</v>
          </cell>
          <cell r="AX7">
            <v>2134.2600000000002</v>
          </cell>
          <cell r="AY7">
            <v>6932.3230000000003</v>
          </cell>
          <cell r="BA7">
            <v>1571.7260000000001</v>
          </cell>
          <cell r="BB7">
            <v>1457.212</v>
          </cell>
          <cell r="BC7">
            <v>1788.9649999999999</v>
          </cell>
          <cell r="BD7">
            <v>2262.038</v>
          </cell>
          <cell r="BE7">
            <v>7079.9410000000007</v>
          </cell>
          <cell r="BG7">
            <v>1590.259</v>
          </cell>
          <cell r="BH7">
            <v>1502.288</v>
          </cell>
          <cell r="BI7">
            <v>1789.3150000000001</v>
          </cell>
          <cell r="BJ7">
            <v>2347.5439999999999</v>
          </cell>
          <cell r="BK7">
            <v>7229.4059999999999</v>
          </cell>
          <cell r="BM7">
            <v>1653.6310000000001</v>
          </cell>
          <cell r="BN7">
            <v>1596.1</v>
          </cell>
          <cell r="BO7">
            <v>1926.8109999999999</v>
          </cell>
          <cell r="BP7">
            <v>2530.9349999999999</v>
          </cell>
          <cell r="BQ7">
            <v>7707.476999999999</v>
          </cell>
          <cell r="BS7">
            <v>2938</v>
          </cell>
          <cell r="BT7">
            <v>2930.8</v>
          </cell>
          <cell r="BU7">
            <v>3352.6</v>
          </cell>
          <cell r="BV7">
            <v>4480.1000000000004</v>
          </cell>
          <cell r="BW7">
            <v>13701.5</v>
          </cell>
          <cell r="BY7">
            <v>2988.0059999999999</v>
          </cell>
          <cell r="BZ7">
            <v>3047</v>
          </cell>
          <cell r="CA7">
            <v>3333.5279999999998</v>
          </cell>
          <cell r="CB7">
            <v>414.8</v>
          </cell>
          <cell r="CC7">
            <v>3748.3690000000001</v>
          </cell>
          <cell r="CD7">
            <v>4629.5</v>
          </cell>
          <cell r="CE7">
            <v>5264.9</v>
          </cell>
          <cell r="CF7">
            <v>13998.034</v>
          </cell>
          <cell r="CG7">
            <v>14633.433999999999</v>
          </cell>
          <cell r="CH7">
            <v>15048.233999999999</v>
          </cell>
          <cell r="CJ7">
            <v>3300.7</v>
          </cell>
          <cell r="CK7">
            <v>3284.2280000000001</v>
          </cell>
          <cell r="CL7">
            <v>3609.1480000000001</v>
          </cell>
          <cell r="CM7">
            <v>5034.9579999999996</v>
          </cell>
          <cell r="CN7">
            <v>15229.034</v>
          </cell>
          <cell r="CP7">
            <v>3409.0909999999999</v>
          </cell>
          <cell r="CQ7">
            <v>3452.8290000000002</v>
          </cell>
          <cell r="CR7">
            <v>3746.2759999999998</v>
          </cell>
          <cell r="CS7">
            <v>5060.116</v>
          </cell>
          <cell r="CT7">
            <v>15668.312</v>
          </cell>
          <cell r="CV7">
            <v>3357</v>
          </cell>
          <cell r="CW7">
            <v>3426</v>
          </cell>
          <cell r="CX7">
            <v>3548</v>
          </cell>
          <cell r="CY7">
            <v>5034</v>
          </cell>
          <cell r="CZ7">
            <v>15365</v>
          </cell>
          <cell r="DB7">
            <v>3470</v>
          </cell>
          <cell r="DC7">
            <v>3609</v>
          </cell>
          <cell r="DD7">
            <v>3691</v>
          </cell>
          <cell r="DE7">
            <v>5259</v>
          </cell>
          <cell r="DF7">
            <v>16029</v>
          </cell>
          <cell r="DH7">
            <v>3573</v>
          </cell>
          <cell r="DI7">
            <v>3679</v>
          </cell>
          <cell r="DJ7">
            <v>3782</v>
          </cell>
          <cell r="DK7">
            <v>5604</v>
          </cell>
          <cell r="DL7">
            <v>16638</v>
          </cell>
          <cell r="DN7">
            <v>3556</v>
          </cell>
          <cell r="DO7">
            <v>3488</v>
          </cell>
          <cell r="DP7">
            <v>3475</v>
          </cell>
          <cell r="DQ7">
            <v>5132</v>
          </cell>
          <cell r="DR7">
            <v>15785</v>
          </cell>
          <cell r="DT7">
            <v>3453</v>
          </cell>
          <cell r="DU7">
            <v>3486</v>
          </cell>
          <cell r="DV7">
            <v>3479</v>
          </cell>
          <cell r="DW7">
            <v>5017</v>
          </cell>
          <cell r="DX7">
            <v>15571</v>
          </cell>
          <cell r="DZ7">
            <v>3291</v>
          </cell>
          <cell r="EA7">
            <v>3434</v>
          </cell>
          <cell r="EB7">
            <v>3486</v>
          </cell>
          <cell r="EC7">
            <v>5053</v>
          </cell>
          <cell r="ED7">
            <v>15412</v>
          </cell>
          <cell r="EF7">
            <v>3550</v>
          </cell>
          <cell r="EG7">
            <v>3581</v>
          </cell>
          <cell r="EH7">
            <v>3525</v>
          </cell>
          <cell r="EI7">
            <v>5120</v>
          </cell>
          <cell r="EJ7">
            <v>15776</v>
          </cell>
          <cell r="EL7">
            <v>3641</v>
          </cell>
          <cell r="EM7">
            <v>3623</v>
          </cell>
          <cell r="EN7">
            <v>5555</v>
          </cell>
          <cell r="EO7">
            <v>9571</v>
          </cell>
          <cell r="EP7">
            <v>22390</v>
          </cell>
          <cell r="ER7">
            <v>5930</v>
          </cell>
          <cell r="ES7">
            <v>5995</v>
          </cell>
          <cell r="ET7">
            <v>5886</v>
          </cell>
          <cell r="EU7">
            <v>9159</v>
          </cell>
          <cell r="EV7">
            <v>26970</v>
          </cell>
          <cell r="EX7">
            <v>5921</v>
          </cell>
          <cell r="EY7">
            <v>5892</v>
          </cell>
          <cell r="EZ7">
            <v>5906</v>
          </cell>
          <cell r="FA7">
            <v>8594</v>
          </cell>
          <cell r="FB7">
            <v>26313</v>
          </cell>
          <cell r="FD7">
            <v>5747</v>
          </cell>
          <cell r="FE7">
            <v>5718</v>
          </cell>
          <cell r="FF7">
            <v>5493</v>
          </cell>
          <cell r="FG7">
            <v>7934</v>
          </cell>
          <cell r="FH7">
            <v>24892</v>
          </cell>
          <cell r="FJ7">
            <v>5288</v>
          </cell>
          <cell r="FK7">
            <v>5285</v>
          </cell>
          <cell r="FL7">
            <v>5385</v>
          </cell>
          <cell r="FM7">
            <v>7937</v>
          </cell>
          <cell r="FN7">
            <v>23895</v>
          </cell>
          <cell r="FP7">
            <v>5574</v>
          </cell>
          <cell r="FQ7">
            <v>5537</v>
          </cell>
          <cell r="FR7">
            <v>5623</v>
          </cell>
          <cell r="FS7">
            <v>8269</v>
          </cell>
          <cell r="FT7">
            <v>25003</v>
          </cell>
          <cell r="FV7">
            <v>5889</v>
          </cell>
          <cell r="FW7">
            <v>5939</v>
          </cell>
          <cell r="FX7">
            <v>5853</v>
          </cell>
          <cell r="FY7">
            <v>8724</v>
          </cell>
          <cell r="FZ7">
            <v>26405</v>
          </cell>
          <cell r="GB7">
            <v>6143</v>
          </cell>
          <cell r="GC7">
            <v>6118</v>
          </cell>
          <cell r="GD7">
            <v>6069.6866469352608</v>
          </cell>
          <cell r="GE7">
            <v>9367.1339584297966</v>
          </cell>
          <cell r="GF7">
            <v>27697.820605365057</v>
          </cell>
        </row>
        <row r="8">
          <cell r="A8" t="str">
            <v>Direct-to-consumer</v>
          </cell>
          <cell r="AN8" t="str">
            <v>Direct-to-consumer</v>
          </cell>
          <cell r="CP8" t="str">
            <v>--</v>
          </cell>
          <cell r="CQ8" t="str">
            <v>--</v>
          </cell>
          <cell r="CR8" t="str">
            <v>--</v>
          </cell>
          <cell r="CS8" t="str">
            <v>--</v>
          </cell>
          <cell r="CT8" t="str">
            <v>--</v>
          </cell>
          <cell r="DB8">
            <v>130</v>
          </cell>
          <cell r="DC8">
            <v>397</v>
          </cell>
          <cell r="DD8">
            <v>446</v>
          </cell>
          <cell r="DE8">
            <v>714</v>
          </cell>
          <cell r="DF8">
            <v>1687</v>
          </cell>
        </row>
        <row r="9">
          <cell r="A9" t="str">
            <v>Total Revenues</v>
          </cell>
          <cell r="K9">
            <v>13701.5</v>
          </cell>
          <cell r="L9">
            <v>13998.034</v>
          </cell>
          <cell r="N9">
            <v>14614</v>
          </cell>
          <cell r="O9">
            <v>14833</v>
          </cell>
          <cell r="P9">
            <v>15220</v>
          </cell>
          <cell r="Q9">
            <v>15365</v>
          </cell>
          <cell r="R9">
            <v>16029</v>
          </cell>
          <cell r="S9">
            <v>16638</v>
          </cell>
          <cell r="T9">
            <v>15785</v>
          </cell>
          <cell r="U9">
            <v>15571</v>
          </cell>
          <cell r="V9">
            <v>15412</v>
          </cell>
          <cell r="W9">
            <v>15776</v>
          </cell>
          <cell r="X9">
            <v>22390</v>
          </cell>
          <cell r="Y9">
            <v>26970</v>
          </cell>
          <cell r="Z9">
            <v>26313</v>
          </cell>
          <cell r="AA9">
            <v>24892</v>
          </cell>
          <cell r="AB9">
            <v>23895</v>
          </cell>
          <cell r="AC9">
            <v>25003</v>
          </cell>
          <cell r="AD9">
            <v>26405</v>
          </cell>
          <cell r="AE9">
            <v>27697.820605365057</v>
          </cell>
          <cell r="AF9">
            <v>28358.892641397051</v>
          </cell>
          <cell r="AG9">
            <v>28905.408744504351</v>
          </cell>
          <cell r="AH9">
            <v>29204.897015558319</v>
          </cell>
          <cell r="AI9">
            <v>29496.945985713905</v>
          </cell>
          <cell r="AJ9">
            <v>29791.915445571045</v>
          </cell>
          <cell r="AK9">
            <v>30089.834600026756</v>
          </cell>
          <cell r="AL9">
            <v>30390.732946027023</v>
          </cell>
          <cell r="AN9" t="str">
            <v>Total Revenues</v>
          </cell>
          <cell r="AO9">
            <v>1590.46</v>
          </cell>
          <cell r="AP9">
            <v>1525.692</v>
          </cell>
          <cell r="AQ9">
            <v>1767.327</v>
          </cell>
          <cell r="AR9">
            <v>2258.5039999999999</v>
          </cell>
          <cell r="AS9">
            <v>7141.9830000000002</v>
          </cell>
          <cell r="AU9">
            <v>1593.4190000000001</v>
          </cell>
          <cell r="AV9">
            <v>1495.7429999999999</v>
          </cell>
          <cell r="AW9">
            <v>1708.9010000000001</v>
          </cell>
          <cell r="AX9">
            <v>2134.2600000000002</v>
          </cell>
          <cell r="AY9">
            <v>6932.3230000000003</v>
          </cell>
          <cell r="BA9">
            <v>1571.7260000000001</v>
          </cell>
          <cell r="BB9">
            <v>1457.212</v>
          </cell>
          <cell r="BC9">
            <v>1788.9649999999999</v>
          </cell>
          <cell r="BD9">
            <v>2262.038</v>
          </cell>
          <cell r="BE9">
            <v>7079.9410000000007</v>
          </cell>
          <cell r="BG9">
            <v>1590.259</v>
          </cell>
          <cell r="BH9">
            <v>1502.288</v>
          </cell>
          <cell r="BI9">
            <v>1789.3150000000001</v>
          </cell>
          <cell r="BJ9">
            <v>2347.5439999999999</v>
          </cell>
          <cell r="BK9">
            <v>7229.4059999999999</v>
          </cell>
          <cell r="BM9">
            <v>1653.6310000000001</v>
          </cell>
          <cell r="BN9">
            <v>1596.1</v>
          </cell>
          <cell r="BO9">
            <v>1926.8109999999999</v>
          </cell>
          <cell r="BP9">
            <v>2530.9349999999999</v>
          </cell>
          <cell r="BQ9">
            <v>7707.476999999999</v>
          </cell>
          <cell r="BS9">
            <v>2938</v>
          </cell>
          <cell r="BT9">
            <v>2930.8</v>
          </cell>
          <cell r="BU9">
            <v>3352.6</v>
          </cell>
          <cell r="BV9">
            <v>4480.1000000000004</v>
          </cell>
          <cell r="BW9">
            <v>13701.5</v>
          </cell>
          <cell r="BY9">
            <v>2988.0059999999999</v>
          </cell>
          <cell r="BZ9">
            <v>3047</v>
          </cell>
          <cell r="CA9">
            <v>3333.5279999999998</v>
          </cell>
          <cell r="CB9">
            <v>414.8</v>
          </cell>
          <cell r="CC9">
            <v>3748.3690000000001</v>
          </cell>
          <cell r="CD9">
            <v>4629.5</v>
          </cell>
          <cell r="CE9">
            <v>5264.9</v>
          </cell>
          <cell r="CF9">
            <v>13998.034</v>
          </cell>
          <cell r="CG9">
            <v>14633.433999999999</v>
          </cell>
          <cell r="CH9">
            <v>15048.233999999999</v>
          </cell>
          <cell r="CJ9">
            <v>3300.7</v>
          </cell>
          <cell r="CK9">
            <v>3284.2280000000001</v>
          </cell>
          <cell r="CL9">
            <v>3609.1480000000001</v>
          </cell>
          <cell r="CM9">
            <v>5034.9579999999996</v>
          </cell>
          <cell r="CN9">
            <v>15229.034</v>
          </cell>
          <cell r="CP9">
            <v>3409.0909999999999</v>
          </cell>
          <cell r="CQ9">
            <v>3452.8290000000002</v>
          </cell>
          <cell r="CR9">
            <v>3746.2759999999998</v>
          </cell>
          <cell r="CS9">
            <v>5060.116</v>
          </cell>
          <cell r="CT9">
            <v>15668.312</v>
          </cell>
          <cell r="CV9">
            <v>3357</v>
          </cell>
          <cell r="CW9">
            <v>3426</v>
          </cell>
          <cell r="CX9">
            <v>3548</v>
          </cell>
          <cell r="CY9">
            <v>5034</v>
          </cell>
          <cell r="CZ9">
            <v>15365</v>
          </cell>
          <cell r="DB9">
            <v>3600</v>
          </cell>
          <cell r="DC9">
            <v>4006</v>
          </cell>
          <cell r="DD9">
            <v>4137</v>
          </cell>
          <cell r="DE9">
            <v>5973</v>
          </cell>
          <cell r="DF9">
            <v>17716</v>
          </cell>
          <cell r="DH9">
            <v>3573</v>
          </cell>
          <cell r="DI9">
            <v>3679</v>
          </cell>
          <cell r="DJ9">
            <v>3782</v>
          </cell>
          <cell r="DK9">
            <v>5604</v>
          </cell>
          <cell r="DL9">
            <v>16638</v>
          </cell>
          <cell r="DN9">
            <v>3556</v>
          </cell>
          <cell r="DO9">
            <v>3488</v>
          </cell>
          <cell r="DP9">
            <v>3475</v>
          </cell>
          <cell r="DQ9">
            <v>5132</v>
          </cell>
          <cell r="DR9">
            <v>15785</v>
          </cell>
          <cell r="DT9">
            <v>3453</v>
          </cell>
          <cell r="DU9">
            <v>3486</v>
          </cell>
          <cell r="DV9">
            <v>3479</v>
          </cell>
          <cell r="DW9">
            <v>5017</v>
          </cell>
          <cell r="DX9">
            <v>15571</v>
          </cell>
          <cell r="DZ9">
            <v>3291</v>
          </cell>
          <cell r="EA9">
            <v>3434</v>
          </cell>
          <cell r="EB9">
            <v>3486</v>
          </cell>
          <cell r="EC9">
            <v>5053</v>
          </cell>
          <cell r="ED9">
            <v>15412</v>
          </cell>
          <cell r="EF9">
            <v>3550</v>
          </cell>
          <cell r="EG9">
            <v>3581</v>
          </cell>
          <cell r="EH9">
            <v>3525</v>
          </cell>
          <cell r="EI9">
            <v>5120</v>
          </cell>
          <cell r="EJ9">
            <v>15776</v>
          </cell>
          <cell r="EK9" t="str">
            <v>Total Revenues</v>
          </cell>
          <cell r="EL9">
            <v>3641</v>
          </cell>
          <cell r="EM9">
            <v>3623</v>
          </cell>
          <cell r="EN9">
            <v>5555</v>
          </cell>
          <cell r="EO9">
            <v>9571</v>
          </cell>
          <cell r="EP9">
            <v>22390</v>
          </cell>
          <cell r="ER9">
            <v>5930</v>
          </cell>
          <cell r="ES9">
            <v>5995</v>
          </cell>
          <cell r="ET9">
            <v>5886</v>
          </cell>
          <cell r="EU9">
            <v>9159</v>
          </cell>
          <cell r="EV9">
            <v>26970</v>
          </cell>
          <cell r="EX9">
            <v>5921</v>
          </cell>
          <cell r="EY9">
            <v>5892</v>
          </cell>
          <cell r="EZ9">
            <v>5906</v>
          </cell>
          <cell r="FA9">
            <v>8594</v>
          </cell>
          <cell r="FB9">
            <v>26313</v>
          </cell>
          <cell r="FD9">
            <v>5747</v>
          </cell>
          <cell r="FE9">
            <v>5718</v>
          </cell>
          <cell r="FF9">
            <v>5493</v>
          </cell>
          <cell r="FG9">
            <v>7934</v>
          </cell>
          <cell r="FH9">
            <v>24892</v>
          </cell>
          <cell r="FJ9">
            <v>5288</v>
          </cell>
          <cell r="FK9">
            <v>5285</v>
          </cell>
          <cell r="FL9">
            <v>5385</v>
          </cell>
          <cell r="FM9">
            <v>7937</v>
          </cell>
          <cell r="FN9">
            <v>23895</v>
          </cell>
          <cell r="FP9">
            <v>5574</v>
          </cell>
          <cell r="FQ9">
            <v>5537</v>
          </cell>
          <cell r="FR9">
            <v>5623</v>
          </cell>
          <cell r="FS9">
            <v>8269</v>
          </cell>
          <cell r="FT9">
            <v>25003</v>
          </cell>
          <cell r="FV9">
            <v>5889</v>
          </cell>
          <cell r="FW9">
            <v>5939</v>
          </cell>
          <cell r="FX9">
            <v>5853</v>
          </cell>
          <cell r="FY9">
            <v>8724</v>
          </cell>
          <cell r="FZ9">
            <v>26405</v>
          </cell>
          <cell r="GB9">
            <v>6143</v>
          </cell>
          <cell r="GC9">
            <v>6118</v>
          </cell>
          <cell r="GD9">
            <v>6069.6866469352608</v>
          </cell>
          <cell r="GE9">
            <v>9367.1339584297966</v>
          </cell>
          <cell r="GF9">
            <v>27697.820605365057</v>
          </cell>
          <cell r="GS9" t="str">
            <v>mstag:revenueNet</v>
          </cell>
          <cell r="GT9">
            <v>6</v>
          </cell>
          <cell r="GU9" t="str">
            <v>ISO4217:USD</v>
          </cell>
          <cell r="GV9" t="b">
            <v>0</v>
          </cell>
          <cell r="GW9" t="b">
            <v>0</v>
          </cell>
        </row>
        <row r="10">
          <cell r="A10" t="str">
            <v>Y/Y Growth</v>
          </cell>
          <cell r="C10" t="str">
            <v>--</v>
          </cell>
          <cell r="D10">
            <v>-5.7485721706094783E-2</v>
          </cell>
          <cell r="E10" t="str">
            <v>--</v>
          </cell>
          <cell r="F10">
            <v>-2.935599258637267E-2</v>
          </cell>
          <cell r="G10">
            <v>2.1294160701975429E-2</v>
          </cell>
          <cell r="H10">
            <v>2.1111051631644839E-2</v>
          </cell>
          <cell r="I10">
            <v>6.6128669492348191E-2</v>
          </cell>
          <cell r="K10" t="str">
            <v xml:space="preserve">--  </v>
          </cell>
          <cell r="L10">
            <v>2.164244790716352E-2</v>
          </cell>
          <cell r="N10" t="str">
            <v>NA</v>
          </cell>
          <cell r="O10">
            <v>1.4985630217599466E-2</v>
          </cell>
          <cell r="P10">
            <v>2.6090473943234604E-2</v>
          </cell>
          <cell r="Q10">
            <v>9.5269382391589552E-3</v>
          </cell>
          <cell r="R10">
            <v>4.3215099251545652E-2</v>
          </cell>
          <cell r="S10">
            <v>3.7993636533782515E-2</v>
          </cell>
          <cell r="T10">
            <v>-5.126818127178745E-2</v>
          </cell>
          <cell r="U10">
            <v>-1.3557174532784266E-2</v>
          </cell>
          <cell r="V10">
            <v>-1.0211290218996805E-2</v>
          </cell>
          <cell r="W10">
            <v>2.361796003114458E-2</v>
          </cell>
          <cell r="X10">
            <v>0.41924442190669375</v>
          </cell>
          <cell r="Y10">
            <v>0.20455560518088434</v>
          </cell>
          <cell r="Z10">
            <v>-2.4360400444938812E-2</v>
          </cell>
          <cell r="AA10">
            <v>-5.4003724394785846E-2</v>
          </cell>
          <cell r="AB10">
            <v>-4.0053029085650005E-2</v>
          </cell>
          <cell r="AC10">
            <v>4.6369533375183014E-2</v>
          </cell>
          <cell r="AD10">
            <v>5.60732712074552E-2</v>
          </cell>
          <cell r="AE10">
            <v>4.8961204520547419E-2</v>
          </cell>
          <cell r="AF10">
            <v>2.3867294306323394E-2</v>
          </cell>
          <cell r="AG10">
            <v>1.9271419022529823E-2</v>
          </cell>
          <cell r="AH10">
            <v>1.0360976857347159E-2</v>
          </cell>
          <cell r="AI10">
            <v>1.0000000000000009E-2</v>
          </cell>
          <cell r="AJ10">
            <v>1.0000000000000009E-2</v>
          </cell>
          <cell r="AK10">
            <v>1.0000000000000009E-2</v>
          </cell>
          <cell r="AL10">
            <v>1.0000000000000009E-2</v>
          </cell>
          <cell r="AN10" t="str">
            <v>Y/Y Growth</v>
          </cell>
          <cell r="AS10">
            <v>-5.7485721706094783E-2</v>
          </cell>
          <cell r="AU10">
            <v>1.86046804069262E-3</v>
          </cell>
          <cell r="AV10">
            <v>-1.9629781109162359E-2</v>
          </cell>
          <cell r="AW10">
            <v>-3.3058964187159479E-2</v>
          </cell>
          <cell r="AX10">
            <v>-5.5011636021012E-2</v>
          </cell>
          <cell r="AY10">
            <v>-2.935599258637267E-2</v>
          </cell>
          <cell r="BA10">
            <v>-1.3614121583839567E-2</v>
          </cell>
          <cell r="BB10">
            <v>-2.5760441466214368E-2</v>
          </cell>
          <cell r="BC10">
            <v>4.6851163408529795E-2</v>
          </cell>
          <cell r="BD10">
            <v>5.9869931498505169E-2</v>
          </cell>
          <cell r="BE10">
            <v>2.1294160701975429E-2</v>
          </cell>
          <cell r="BG10">
            <v>1.1791495464221979E-2</v>
          </cell>
          <cell r="BH10">
            <v>3.0933042000752087E-2</v>
          </cell>
          <cell r="BI10">
            <v>1.9564384993575601E-4</v>
          </cell>
          <cell r="BJ10">
            <v>3.7800425987538633E-2</v>
          </cell>
          <cell r="BK10">
            <v>2.1111051631644839E-2</v>
          </cell>
          <cell r="BM10">
            <v>3.9850112465956933E-2</v>
          </cell>
          <cell r="BN10">
            <v>6.2446082242552547E-2</v>
          </cell>
          <cell r="BO10">
            <v>7.6842814149548744E-2</v>
          </cell>
          <cell r="BP10">
            <v>7.8120367498969223E-2</v>
          </cell>
          <cell r="BQ10">
            <v>6.6128669492348191E-2</v>
          </cell>
          <cell r="BS10" t="str">
            <v xml:space="preserve"> --  </v>
          </cell>
          <cell r="BT10" t="str">
            <v xml:space="preserve"> --  </v>
          </cell>
          <cell r="BU10" t="str">
            <v xml:space="preserve"> --  </v>
          </cell>
          <cell r="BV10" t="str">
            <v xml:space="preserve"> --  </v>
          </cell>
          <cell r="BW10" t="str">
            <v xml:space="preserve"> --  </v>
          </cell>
          <cell r="BY10">
            <v>1.7020422055820328E-2</v>
          </cell>
          <cell r="BZ10">
            <v>3.9647877712569946E-2</v>
          </cell>
          <cell r="CA10">
            <v>-5.6887192030066203E-3</v>
          </cell>
          <cell r="CC10">
            <v>0.11804838036151044</v>
          </cell>
          <cell r="CD10">
            <v>3.3347469922546225E-2</v>
          </cell>
          <cell r="CE10">
            <v>0.1751746612798819</v>
          </cell>
          <cell r="CF10">
            <v>2.164244790716352E-2</v>
          </cell>
          <cell r="CG10">
            <v>6.8016932452651169E-2</v>
          </cell>
          <cell r="CH10">
            <v>9.8290990037587012E-2</v>
          </cell>
          <cell r="CJ10">
            <v>0.10464972292558983</v>
          </cell>
          <cell r="CK10">
            <v>7.7856252051197838E-2</v>
          </cell>
          <cell r="CL10">
            <v>-3.7141754186954423E-2</v>
          </cell>
          <cell r="CM10">
            <v>-4.3674523732644466E-2</v>
          </cell>
          <cell r="CN10">
            <v>1.2014698867654605E-2</v>
          </cell>
          <cell r="CP10">
            <v>3.2838791771442555E-2</v>
          </cell>
          <cell r="CQ10">
            <v>5.1336569811840205E-2</v>
          </cell>
          <cell r="CR10">
            <v>3.799456270565793E-2</v>
          </cell>
          <cell r="CS10">
            <v>4.9966653147852647E-3</v>
          </cell>
          <cell r="CT10">
            <v>2.8844771112862544E-2</v>
          </cell>
          <cell r="CV10">
            <v>-1.528002625919922E-2</v>
          </cell>
          <cell r="CW10">
            <v>-7.7701502159533975E-3</v>
          </cell>
          <cell r="CX10">
            <v>-5.2926159204500611E-2</v>
          </cell>
          <cell r="CY10">
            <v>-5.1611465033607473E-3</v>
          </cell>
          <cell r="CZ10">
            <v>-1.9358307391376894E-2</v>
          </cell>
          <cell r="DB10">
            <v>3.3661006851355424E-2</v>
          </cell>
          <cell r="DC10">
            <v>5.3415061295972066E-2</v>
          </cell>
          <cell r="DD10">
            <v>4.0304396843291901E-2</v>
          </cell>
          <cell r="DE10">
            <v>4.4696066746126251E-2</v>
          </cell>
          <cell r="DF10">
            <v>4.3215099251545652E-2</v>
          </cell>
          <cell r="DH10">
            <v>2.9682997118155585E-2</v>
          </cell>
          <cell r="DI10">
            <v>1.9395954558049322E-2</v>
          </cell>
          <cell r="DJ10">
            <v>2.4654565158493735E-2</v>
          </cell>
          <cell r="DK10">
            <v>6.560182544209936E-2</v>
          </cell>
          <cell r="DL10">
            <v>3.7993636533782515E-2</v>
          </cell>
          <cell r="DN10">
            <v>-4.7579065211307281E-3</v>
          </cell>
          <cell r="DO10">
            <v>-5.191628159826045E-2</v>
          </cell>
          <cell r="DP10">
            <v>-8.1173982020095181E-2</v>
          </cell>
          <cell r="DQ10">
            <v>-8.4225553176302648E-2</v>
          </cell>
          <cell r="DR10">
            <v>-5.126818127178745E-2</v>
          </cell>
          <cell r="DT10">
            <v>-2.8965129358830111E-2</v>
          </cell>
          <cell r="DU10">
            <v>-5.7339449541282672E-4</v>
          </cell>
          <cell r="DV10">
            <v>1.1510791366906581E-3</v>
          </cell>
          <cell r="DW10">
            <v>-2.2408417770849565E-2</v>
          </cell>
          <cell r="DX10">
            <v>-1.3557174532784266E-2</v>
          </cell>
          <cell r="DZ10">
            <v>-4.6915725456125101E-2</v>
          </cell>
          <cell r="EA10">
            <v>-1.4916810097532984E-2</v>
          </cell>
          <cell r="EB10">
            <v>2.012072434607548E-3</v>
          </cell>
          <cell r="EC10">
            <v>7.1756029499701057E-3</v>
          </cell>
          <cell r="ED10">
            <v>-1.0211290218996805E-2</v>
          </cell>
          <cell r="EF10">
            <v>7.8699483439683915E-2</v>
          </cell>
          <cell r="EG10">
            <v>4.2807221898660375E-2</v>
          </cell>
          <cell r="EH10">
            <v>1.1187607573149849E-2</v>
          </cell>
          <cell r="EI10">
            <v>1.3259449831783066E-2</v>
          </cell>
          <cell r="EJ10">
            <v>2.361796003114458E-2</v>
          </cell>
          <cell r="EK10" t="str">
            <v>Y/Y Growth</v>
          </cell>
          <cell r="EL10">
            <v>2.5633802816901419E-2</v>
          </cell>
          <cell r="EM10">
            <v>1.1728567439262871E-2</v>
          </cell>
          <cell r="EN10">
            <v>0.57588652482269498</v>
          </cell>
          <cell r="EO10">
            <v>0.86933593750000004</v>
          </cell>
          <cell r="EP10">
            <v>0.41924442190669375</v>
          </cell>
          <cell r="ER10">
            <v>0.62867344136226322</v>
          </cell>
          <cell r="ES10">
            <v>0.65470604471432514</v>
          </cell>
          <cell r="ET10">
            <v>5.9585958595859578E-2</v>
          </cell>
          <cell r="EU10">
            <v>-4.3046703583742518E-2</v>
          </cell>
          <cell r="EV10">
            <v>0.20455560518088434</v>
          </cell>
          <cell r="EX10">
            <v>-1.5177065767284503E-3</v>
          </cell>
          <cell r="EY10">
            <v>-1.7180984153461254E-2</v>
          </cell>
          <cell r="EZ10">
            <v>3.397893306150257E-3</v>
          </cell>
          <cell r="FA10">
            <v>-6.1687957200567745E-2</v>
          </cell>
          <cell r="FB10">
            <v>-2.4360400444938812E-2</v>
          </cell>
          <cell r="FD10">
            <v>-2.9386927883803371E-2</v>
          </cell>
          <cell r="FE10">
            <v>-2.9531568228105876E-2</v>
          </cell>
          <cell r="FF10">
            <v>-6.9928885878767333E-2</v>
          </cell>
          <cell r="FG10">
            <v>-7.6797765883174329E-2</v>
          </cell>
          <cell r="FH10">
            <v>-5.4003724394785846E-2</v>
          </cell>
          <cell r="FJ10">
            <v>-7.9867757090655966E-2</v>
          </cell>
          <cell r="FK10">
            <v>-7.5725778244141284E-2</v>
          </cell>
          <cell r="FL10">
            <v>-1.9661387220098359E-2</v>
          </cell>
          <cell r="FM10">
            <v>3.7811948575749987E-4</v>
          </cell>
          <cell r="FN10">
            <v>-4.0053029085650005E-2</v>
          </cell>
          <cell r="FP10">
            <v>5.4084720121028829E-2</v>
          </cell>
          <cell r="FQ10">
            <v>4.7682119205298079E-2</v>
          </cell>
          <cell r="FR10">
            <v>4.4196843082636939E-2</v>
          </cell>
          <cell r="FS10">
            <v>4.182940657679235E-2</v>
          </cell>
          <cell r="FT10">
            <v>4.6369533375183014E-2</v>
          </cell>
          <cell r="FV10">
            <v>5.6512378902045191E-2</v>
          </cell>
          <cell r="FW10">
            <v>7.2602492324363332E-2</v>
          </cell>
          <cell r="FX10">
            <v>4.0903432331495626E-2</v>
          </cell>
          <cell r="FY10">
            <v>5.5024791389527206E-2</v>
          </cell>
          <cell r="FZ10">
            <v>5.60732712074552E-2</v>
          </cell>
          <cell r="GB10">
            <v>4.313126167430803E-2</v>
          </cell>
          <cell r="GC10">
            <v>3.0139754167368249E-2</v>
          </cell>
          <cell r="GD10">
            <v>3.7021467099822347E-2</v>
          </cell>
          <cell r="GE10">
            <v>7.372007776590972E-2</v>
          </cell>
          <cell r="GF10">
            <v>4.8961204520547419E-2</v>
          </cell>
        </row>
        <row r="11">
          <cell r="A11" t="str">
            <v xml:space="preserve">  % Same-Store</v>
          </cell>
          <cell r="C11" t="str">
            <v>--</v>
          </cell>
          <cell r="D11">
            <v>-4.2999999999999997E-2</v>
          </cell>
          <cell r="E11" t="str">
            <v>--</v>
          </cell>
          <cell r="F11">
            <v>1.4E-2</v>
          </cell>
          <cell r="G11">
            <v>5.1999999999999998E-2</v>
          </cell>
          <cell r="H11">
            <v>1.9E-2</v>
          </cell>
          <cell r="I11">
            <v>3.1E-2</v>
          </cell>
          <cell r="K11">
            <v>3.0898675327518884E-2</v>
          </cell>
          <cell r="L11">
            <v>2.7118808112624956E-2</v>
          </cell>
          <cell r="N11">
            <v>2.7E-2</v>
          </cell>
          <cell r="O11">
            <v>3.1E-2</v>
          </cell>
          <cell r="P11">
            <v>2.7E-2</v>
          </cell>
          <cell r="Q11">
            <v>2.1999999999999999E-2</v>
          </cell>
          <cell r="R11">
            <v>4.4999999999999998E-2</v>
          </cell>
          <cell r="S11">
            <v>0.02</v>
          </cell>
          <cell r="T11">
            <v>-5.2999999999999999E-2</v>
          </cell>
          <cell r="U11">
            <v>-0.03</v>
          </cell>
          <cell r="V11">
            <v>-9.0000000000000011E-3</v>
          </cell>
          <cell r="W11">
            <v>2.5999999999999999E-2</v>
          </cell>
          <cell r="X11">
            <v>1.2999999999999999E-2</v>
          </cell>
          <cell r="Y11">
            <v>4.3999999999999997E-2</v>
          </cell>
          <cell r="Z11">
            <v>-1.2999999999999999E-2</v>
          </cell>
          <cell r="AA11">
            <v>-4.4999999999999998E-2</v>
          </cell>
          <cell r="AB11">
            <v>-5.2999999999999999E-2</v>
          </cell>
          <cell r="AC11">
            <v>4.610434747830261E-2</v>
          </cell>
          <cell r="AD11">
            <v>5.2999999999999999E-2</v>
          </cell>
          <cell r="AE11">
            <v>4.02253638971692E-2</v>
          </cell>
          <cell r="AF11">
            <v>3.5000000000000003E-2</v>
          </cell>
          <cell r="AG11">
            <v>0.02</v>
          </cell>
          <cell r="AH11">
            <v>0.01</v>
          </cell>
          <cell r="AI11">
            <v>0.01</v>
          </cell>
          <cell r="AJ11">
            <v>0.01</v>
          </cell>
          <cell r="AK11">
            <v>0.01</v>
          </cell>
          <cell r="AL11">
            <v>0.01</v>
          </cell>
          <cell r="AN11" t="str">
            <v xml:space="preserve">  % Same-Store</v>
          </cell>
          <cell r="AS11">
            <v>-4.2999999999999997E-2</v>
          </cell>
          <cell r="AU11">
            <v>2.9000000000000001E-2</v>
          </cell>
          <cell r="AV11">
            <v>1.4E-2</v>
          </cell>
          <cell r="AW11">
            <v>1.7999999999999999E-2</v>
          </cell>
          <cell r="AX11">
            <v>-1E-3</v>
          </cell>
          <cell r="AY11">
            <v>1.4E-2</v>
          </cell>
          <cell r="BA11">
            <v>4.3999999999999997E-2</v>
          </cell>
          <cell r="BB11">
            <v>1.7000000000000001E-2</v>
          </cell>
          <cell r="BC11">
            <v>5.7000000000000002E-2</v>
          </cell>
          <cell r="BD11">
            <v>7.4999999999999997E-2</v>
          </cell>
          <cell r="BE11">
            <v>5.1999999999999998E-2</v>
          </cell>
          <cell r="BG11">
            <v>0.02</v>
          </cell>
          <cell r="BH11">
            <v>0.04</v>
          </cell>
          <cell r="BI11">
            <v>0</v>
          </cell>
          <cell r="BJ11">
            <v>2.1000000000000001E-2</v>
          </cell>
          <cell r="BK11">
            <v>1.9E-2</v>
          </cell>
          <cell r="BM11">
            <v>2.1000000000000001E-2</v>
          </cell>
          <cell r="BN11">
            <v>2.1999999999999999E-2</v>
          </cell>
          <cell r="BO11">
            <v>3.4000000000000002E-2</v>
          </cell>
          <cell r="BP11">
            <v>4.1000000000000002E-2</v>
          </cell>
          <cell r="BQ11">
            <v>3.1E-2</v>
          </cell>
          <cell r="BS11">
            <v>3.9E-2</v>
          </cell>
          <cell r="BT11">
            <v>8.0000000000000002E-3</v>
          </cell>
          <cell r="BU11">
            <v>3.6999999999999998E-2</v>
          </cell>
          <cell r="BV11">
            <v>3.5999999999999997E-2</v>
          </cell>
          <cell r="BW11">
            <v>3.0898675327518884E-2</v>
          </cell>
          <cell r="BY11">
            <v>1.2999999999999999E-2</v>
          </cell>
          <cell r="BZ11">
            <v>6.2E-2</v>
          </cell>
          <cell r="CA11">
            <v>1.4999999999999999E-2</v>
          </cell>
          <cell r="CC11">
            <v>1.4999999999999999E-2</v>
          </cell>
          <cell r="CD11">
            <v>2.1999999999999999E-2</v>
          </cell>
          <cell r="CE11">
            <v>2.1999999999999999E-2</v>
          </cell>
          <cell r="CF11">
            <v>2.7118808112624956E-2</v>
          </cell>
          <cell r="CG11">
            <v>2.7118808112624956E-2</v>
          </cell>
          <cell r="CH11">
            <v>2.7118808112624956E-2</v>
          </cell>
          <cell r="CJ11">
            <v>4.5999999999999999E-2</v>
          </cell>
          <cell r="CK11">
            <v>8.0000000000000002E-3</v>
          </cell>
          <cell r="CL11">
            <v>2.5000000000000001E-2</v>
          </cell>
          <cell r="CM11">
            <v>0.04</v>
          </cell>
          <cell r="CN11">
            <v>3.0844572544785176E-2</v>
          </cell>
          <cell r="CP11">
            <v>2.5000000000000001E-2</v>
          </cell>
          <cell r="CQ11">
            <v>4.3999999999999997E-2</v>
          </cell>
          <cell r="CR11">
            <v>3.1E-2</v>
          </cell>
          <cell r="CS11">
            <v>1.4E-2</v>
          </cell>
          <cell r="CT11">
            <v>2.7069152758765591E-2</v>
          </cell>
          <cell r="CV11">
            <v>2.4E-2</v>
          </cell>
          <cell r="CW11">
            <v>3.0187969924812031E-2</v>
          </cell>
          <cell r="CX11">
            <v>-1.2999999999999999E-2</v>
          </cell>
          <cell r="CY11">
            <v>4.1000000000000002E-2</v>
          </cell>
          <cell r="CZ11">
            <v>4.4999999999999998E-2</v>
          </cell>
          <cell r="DB11">
            <v>0.04</v>
          </cell>
          <cell r="DC11">
            <v>5.8999999999999997E-2</v>
          </cell>
          <cell r="DD11">
            <v>3.9E-2</v>
          </cell>
          <cell r="DE11">
            <v>4.3999999999999997E-2</v>
          </cell>
          <cell r="DF11">
            <v>4.4999999999999998E-2</v>
          </cell>
          <cell r="DH11">
            <v>2.9000000000000001E-2</v>
          </cell>
          <cell r="DI11">
            <v>1.9E-2</v>
          </cell>
          <cell r="DJ11">
            <v>1.9E-2</v>
          </cell>
          <cell r="DK11">
            <v>1.6E-2</v>
          </cell>
          <cell r="DL11">
            <v>0.02</v>
          </cell>
          <cell r="DN11">
            <v>-1.4999999999999999E-2</v>
          </cell>
          <cell r="DO11">
            <v>-4.8000000000000001E-2</v>
          </cell>
          <cell r="DP11">
            <v>-8.5999999999999993E-2</v>
          </cell>
          <cell r="DQ11">
            <v>-0.06</v>
          </cell>
          <cell r="DR11">
            <v>-5.2999999999999999E-2</v>
          </cell>
          <cell r="DT11">
            <v>-2.9000000000000001E-2</v>
          </cell>
          <cell r="DU11">
            <v>-2.8000000000000001E-2</v>
          </cell>
          <cell r="DV11">
            <v>-0.02</v>
          </cell>
          <cell r="DW11">
            <v>-3.9E-2</v>
          </cell>
          <cell r="DX11">
            <v>-0.03</v>
          </cell>
          <cell r="DZ11">
            <v>-0.05</v>
          </cell>
          <cell r="EA11">
            <v>-1.2E-2</v>
          </cell>
          <cell r="EB11">
            <v>2E-3</v>
          </cell>
          <cell r="EC11">
            <v>1.3999999999999999E-2</v>
          </cell>
          <cell r="ED11">
            <v>-9.0000000000000011E-3</v>
          </cell>
          <cell r="EF11">
            <v>6.9000000000000006E-2</v>
          </cell>
          <cell r="EG11">
            <v>3.3000000000000002E-2</v>
          </cell>
          <cell r="EH11">
            <v>4.0000000000000001E-3</v>
          </cell>
          <cell r="EI11">
            <v>8.0000000000000002E-3</v>
          </cell>
          <cell r="EJ11">
            <v>2.5999999999999999E-2</v>
          </cell>
          <cell r="EK11" t="str">
            <v xml:space="preserve">  % Same-Store</v>
          </cell>
          <cell r="EL11">
            <v>2.5999999999999999E-2</v>
          </cell>
          <cell r="EM11">
            <v>1.0999999999999999E-2</v>
          </cell>
          <cell r="EN11">
            <v>6.0000000000000001E-3</v>
          </cell>
          <cell r="EO11">
            <v>1.0999999999999999E-2</v>
          </cell>
          <cell r="EP11">
            <v>1.2999999999999999E-2</v>
          </cell>
          <cell r="ER11">
            <v>0</v>
          </cell>
          <cell r="ES11">
            <v>4.5999999999999999E-2</v>
          </cell>
          <cell r="ET11">
            <v>5.8999999999999997E-2</v>
          </cell>
          <cell r="EU11">
            <v>6.0999999999999999E-2</v>
          </cell>
          <cell r="EV11">
            <v>4.3999999999999997E-2</v>
          </cell>
          <cell r="EX11">
            <v>6.0000000000000001E-3</v>
          </cell>
          <cell r="EY11">
            <v>-2.5999999999999999E-2</v>
          </cell>
          <cell r="EZ11">
            <v>-8.0000000000000002E-3</v>
          </cell>
          <cell r="FA11">
            <v>-0.02</v>
          </cell>
          <cell r="FB11">
            <v>-1.2999999999999999E-2</v>
          </cell>
          <cell r="FD11">
            <v>-2.5999999999999999E-2</v>
          </cell>
          <cell r="FE11">
            <v>-2.1000000000000001E-2</v>
          </cell>
          <cell r="FF11">
            <v>-0.06</v>
          </cell>
          <cell r="FG11">
            <v>-7.0000000000000007E-2</v>
          </cell>
          <cell r="FH11">
            <v>-4.4999999999999998E-2</v>
          </cell>
          <cell r="FJ11">
            <v>-0.09</v>
          </cell>
          <cell r="FK11">
            <v>-9.5000000000000001E-2</v>
          </cell>
          <cell r="FL11">
            <v>-3.5999999999999997E-2</v>
          </cell>
          <cell r="FM11">
            <v>-8.0000000000000002E-3</v>
          </cell>
          <cell r="FN11">
            <v>-5.2999999999999999E-2</v>
          </cell>
          <cell r="FP11">
            <v>5.5E-2</v>
          </cell>
          <cell r="FQ11">
            <v>4.9000000000000002E-2</v>
          </cell>
          <cell r="FR11">
            <v>3.9E-2</v>
          </cell>
          <cell r="FS11">
            <v>4.2999999999999997E-2</v>
          </cell>
          <cell r="FT11">
            <v>4.610434747830261E-2</v>
          </cell>
          <cell r="FV11">
            <v>5.3999999999999999E-2</v>
          </cell>
          <cell r="FW11">
            <v>6.4000000000000001E-2</v>
          </cell>
          <cell r="FX11">
            <v>0.04</v>
          </cell>
          <cell r="FY11">
            <v>5.1999999999999998E-2</v>
          </cell>
          <cell r="FZ11">
            <v>5.2999999999999999E-2</v>
          </cell>
          <cell r="GB11">
            <v>4.3999999999999997E-2</v>
          </cell>
          <cell r="GC11">
            <v>0.03</v>
          </cell>
          <cell r="GD11">
            <v>4.4170626829774157E-2</v>
          </cell>
          <cell r="GE11">
            <v>4.1872044415560798E-2</v>
          </cell>
          <cell r="GF11">
            <v>4.02253638971692E-2</v>
          </cell>
          <cell r="GS11" t="str">
            <v>mstag:comparableStoreSalesGrowth</v>
          </cell>
          <cell r="GT11">
            <v>0</v>
          </cell>
          <cell r="GU11" t="str">
            <v>ms_eqr_gcim_Decimal:ms_eqr_gcim_decimal</v>
          </cell>
          <cell r="GV11" t="b">
            <v>0</v>
          </cell>
          <cell r="GW11" t="b">
            <v>0</v>
          </cell>
        </row>
        <row r="13">
          <cell r="A13" t="str">
            <v>Cost of Goods Sold</v>
          </cell>
          <cell r="C13">
            <v>5447.1210000000001</v>
          </cell>
          <cell r="D13">
            <v>4394.9759999999997</v>
          </cell>
          <cell r="E13">
            <v>4202.223</v>
          </cell>
          <cell r="F13">
            <v>4173.2920000000004</v>
          </cell>
          <cell r="G13">
            <v>4220.8230000000003</v>
          </cell>
          <cell r="H13">
            <v>4371.2170000000006</v>
          </cell>
          <cell r="I13">
            <v>4738.326</v>
          </cell>
          <cell r="K13">
            <v>8409.8680000000004</v>
          </cell>
          <cell r="L13">
            <v>8578.85</v>
          </cell>
          <cell r="N13">
            <v>9038</v>
          </cell>
          <cell r="O13">
            <v>9018</v>
          </cell>
          <cell r="P13">
            <v>9200</v>
          </cell>
          <cell r="Q13">
            <v>9218</v>
          </cell>
          <cell r="R13">
            <v>9576</v>
          </cell>
          <cell r="S13">
            <v>9955</v>
          </cell>
          <cell r="T13">
            <v>9603</v>
          </cell>
          <cell r="U13">
            <v>9324</v>
          </cell>
          <cell r="V13">
            <v>9175</v>
          </cell>
          <cell r="W13">
            <v>9346</v>
          </cell>
          <cell r="X13">
            <v>13272</v>
          </cell>
          <cell r="Y13">
            <v>16019</v>
          </cell>
          <cell r="Z13">
            <v>15677</v>
          </cell>
          <cell r="AA13">
            <v>15009</v>
          </cell>
          <cell r="AB13">
            <v>14278</v>
          </cell>
          <cell r="AC13">
            <v>14824</v>
          </cell>
          <cell r="AD13">
            <v>15738</v>
          </cell>
          <cell r="AE13">
            <v>16473.116703251519</v>
          </cell>
          <cell r="AF13">
            <v>16781.208749826241</v>
          </cell>
          <cell r="AG13">
            <v>17061.248342231931</v>
          </cell>
          <cell r="AH13">
            <v>17267.224438478806</v>
          </cell>
          <cell r="AI13">
            <v>17498.890574835023</v>
          </cell>
          <cell r="AJ13">
            <v>17673.879480583375</v>
          </cell>
          <cell r="AK13">
            <v>17850.618275389206</v>
          </cell>
          <cell r="AL13">
            <v>18029.124458143102</v>
          </cell>
          <cell r="AN13" t="str">
            <v>Cost of Goods Sold</v>
          </cell>
          <cell r="AO13">
            <v>955.19299999999998</v>
          </cell>
          <cell r="AP13">
            <v>949.21100000000001</v>
          </cell>
          <cell r="AQ13">
            <v>1068.867</v>
          </cell>
          <cell r="AR13">
            <v>1421.7049999999999</v>
          </cell>
          <cell r="AS13">
            <v>4394.9759999999997</v>
          </cell>
          <cell r="AU13">
            <v>954.02099999999996</v>
          </cell>
          <cell r="AV13">
            <v>897.43100000000004</v>
          </cell>
          <cell r="AW13">
            <v>1031.549</v>
          </cell>
          <cell r="AX13">
            <v>1319.222</v>
          </cell>
          <cell r="AY13">
            <v>4202.223</v>
          </cell>
          <cell r="BA13">
            <v>924.86599999999999</v>
          </cell>
          <cell r="BB13">
            <v>867.78200000000004</v>
          </cell>
          <cell r="BC13">
            <v>1063.415</v>
          </cell>
          <cell r="BD13">
            <v>1364.76</v>
          </cell>
          <cell r="BE13">
            <v>4220.8230000000003</v>
          </cell>
          <cell r="BG13">
            <v>947.86799999999994</v>
          </cell>
          <cell r="BH13">
            <v>900.06400000000008</v>
          </cell>
          <cell r="BI13">
            <v>1077.3520000000001</v>
          </cell>
          <cell r="BJ13">
            <v>1445.933</v>
          </cell>
          <cell r="BK13">
            <v>4371.2170000000006</v>
          </cell>
          <cell r="BM13">
            <v>1002.9349999999999</v>
          </cell>
          <cell r="BN13">
            <v>974.73500000000001</v>
          </cell>
          <cell r="BO13">
            <v>1182.5509999999999</v>
          </cell>
          <cell r="BP13">
            <v>1578.105</v>
          </cell>
          <cell r="BQ13">
            <v>4738.326</v>
          </cell>
          <cell r="BS13">
            <v>1781.979</v>
          </cell>
          <cell r="BT13">
            <v>1814.82</v>
          </cell>
          <cell r="BU13">
            <v>2045.9162000000001</v>
          </cell>
          <cell r="BV13">
            <v>2767.1528000000003</v>
          </cell>
          <cell r="BW13">
            <v>8409.8680000000004</v>
          </cell>
          <cell r="BY13">
            <v>1822.16</v>
          </cell>
          <cell r="BZ13">
            <v>1862.915</v>
          </cell>
          <cell r="CA13">
            <v>2039.616</v>
          </cell>
          <cell r="CB13">
            <v>288.96100000000024</v>
          </cell>
          <cell r="CC13">
            <v>2328.5770000000002</v>
          </cell>
          <cell r="CD13">
            <v>2854.1590000000001</v>
          </cell>
          <cell r="CE13">
            <v>3304.3710000000001</v>
          </cell>
          <cell r="CF13">
            <v>8578.85</v>
          </cell>
          <cell r="CG13">
            <v>9029.0619999999999</v>
          </cell>
          <cell r="CH13">
            <v>9318.023000000001</v>
          </cell>
          <cell r="CJ13">
            <v>2014.6479999999999</v>
          </cell>
          <cell r="CK13">
            <v>1995.5730000000001</v>
          </cell>
          <cell r="CL13">
            <v>2189.9029999999998</v>
          </cell>
          <cell r="CM13">
            <v>3088.5619999999999</v>
          </cell>
          <cell r="CN13">
            <v>9288.6859999999997</v>
          </cell>
          <cell r="CP13">
            <v>2086.8649999999998</v>
          </cell>
          <cell r="CQ13">
            <v>2098.6709999999998</v>
          </cell>
          <cell r="CR13">
            <v>2286.9189999999999</v>
          </cell>
          <cell r="CS13">
            <v>3108.3119999999999</v>
          </cell>
          <cell r="CT13">
            <v>9580.7669999999998</v>
          </cell>
          <cell r="CV13">
            <v>2022</v>
          </cell>
          <cell r="CW13">
            <v>2017</v>
          </cell>
          <cell r="CX13">
            <v>2145</v>
          </cell>
          <cell r="CY13">
            <v>3034</v>
          </cell>
          <cell r="CZ13">
            <v>9218</v>
          </cell>
          <cell r="DB13">
            <v>2174</v>
          </cell>
          <cell r="DC13">
            <v>2319</v>
          </cell>
          <cell r="DD13">
            <v>2454</v>
          </cell>
          <cell r="DE13">
            <v>3496</v>
          </cell>
          <cell r="DF13">
            <v>10443</v>
          </cell>
          <cell r="DH13">
            <v>2152</v>
          </cell>
          <cell r="DI13">
            <v>2173</v>
          </cell>
          <cell r="DJ13">
            <v>2295</v>
          </cell>
          <cell r="DK13">
            <v>3335</v>
          </cell>
          <cell r="DL13">
            <v>9955</v>
          </cell>
          <cell r="DN13">
            <v>2158</v>
          </cell>
          <cell r="DO13">
            <v>2128</v>
          </cell>
          <cell r="DP13">
            <v>2134</v>
          </cell>
          <cell r="DQ13">
            <v>3111</v>
          </cell>
          <cell r="DR13">
            <v>9603</v>
          </cell>
          <cell r="DT13">
            <v>2078</v>
          </cell>
          <cell r="DU13">
            <v>2051</v>
          </cell>
          <cell r="DV13">
            <v>2112</v>
          </cell>
          <cell r="DW13">
            <v>3014</v>
          </cell>
          <cell r="DX13">
            <v>9324</v>
          </cell>
          <cell r="DZ13">
            <v>2002</v>
          </cell>
          <cell r="EA13">
            <v>2025</v>
          </cell>
          <cell r="EB13">
            <v>2091</v>
          </cell>
          <cell r="EC13">
            <v>2981</v>
          </cell>
          <cell r="ED13">
            <v>9175</v>
          </cell>
          <cell r="EF13">
            <v>2119</v>
          </cell>
          <cell r="EG13">
            <v>2098</v>
          </cell>
          <cell r="EH13">
            <v>2107</v>
          </cell>
          <cell r="EI13">
            <v>3022</v>
          </cell>
          <cell r="EJ13">
            <v>9346</v>
          </cell>
          <cell r="EK13" t="str">
            <v>Cost of Goods Sold</v>
          </cell>
          <cell r="EL13">
            <v>2176</v>
          </cell>
          <cell r="EM13">
            <v>2126</v>
          </cell>
          <cell r="EN13">
            <v>3312</v>
          </cell>
          <cell r="EO13">
            <v>5658</v>
          </cell>
          <cell r="EP13">
            <v>13272</v>
          </cell>
          <cell r="ER13">
            <v>3627</v>
          </cell>
          <cell r="ES13">
            <v>3470</v>
          </cell>
          <cell r="ET13">
            <v>3513</v>
          </cell>
          <cell r="EU13">
            <v>5409</v>
          </cell>
          <cell r="EV13">
            <v>16019</v>
          </cell>
          <cell r="EX13">
            <v>3564</v>
          </cell>
          <cell r="EY13">
            <v>3507</v>
          </cell>
          <cell r="EZ13">
            <v>3585</v>
          </cell>
          <cell r="FA13">
            <v>5021</v>
          </cell>
          <cell r="FB13">
            <v>15677</v>
          </cell>
          <cell r="FD13">
            <v>3527</v>
          </cell>
          <cell r="FE13">
            <v>3346</v>
          </cell>
          <cell r="FF13">
            <v>3324</v>
          </cell>
          <cell r="FG13">
            <v>4812</v>
          </cell>
          <cell r="FH13">
            <v>15009</v>
          </cell>
          <cell r="FJ13">
            <v>3279</v>
          </cell>
          <cell r="FK13">
            <v>3117</v>
          </cell>
          <cell r="FL13">
            <v>3241</v>
          </cell>
          <cell r="FM13">
            <v>4641</v>
          </cell>
          <cell r="FN13">
            <v>14278</v>
          </cell>
          <cell r="FP13">
            <v>3378</v>
          </cell>
          <cell r="FQ13">
            <v>3214</v>
          </cell>
          <cell r="FR13">
            <v>3377</v>
          </cell>
          <cell r="FS13">
            <v>4855</v>
          </cell>
          <cell r="FT13">
            <v>14824</v>
          </cell>
          <cell r="FV13">
            <v>3586</v>
          </cell>
          <cell r="FW13">
            <v>3457</v>
          </cell>
          <cell r="FX13">
            <v>3544</v>
          </cell>
          <cell r="FY13">
            <v>5151</v>
          </cell>
          <cell r="FZ13">
            <v>15738</v>
          </cell>
          <cell r="GB13">
            <v>3757</v>
          </cell>
          <cell r="GC13">
            <v>3555</v>
          </cell>
          <cell r="GD13">
            <v>3666.0995494313679</v>
          </cell>
          <cell r="GE13">
            <v>5495.0171538201503</v>
          </cell>
          <cell r="GF13">
            <v>16473.116703251519</v>
          </cell>
          <cell r="GS13" t="str">
            <v>mstag:costOfSalesWithoutDepreciation</v>
          </cell>
          <cell r="GT13">
            <v>6</v>
          </cell>
          <cell r="GU13" t="str">
            <v>ISO4217:USD</v>
          </cell>
          <cell r="GV13" t="b">
            <v>0</v>
          </cell>
          <cell r="GW13" t="b">
            <v>0</v>
          </cell>
        </row>
        <row r="14">
          <cell r="A14" t="str">
            <v>Gross Profit</v>
          </cell>
          <cell r="C14">
            <v>2130.4650000000001</v>
          </cell>
          <cell r="D14">
            <v>2747.0070000000005</v>
          </cell>
          <cell r="E14">
            <v>2730.1000000000004</v>
          </cell>
          <cell r="F14">
            <v>2759.0309999999999</v>
          </cell>
          <cell r="G14">
            <v>2859.1180000000004</v>
          </cell>
          <cell r="H14">
            <v>2858.1889999999994</v>
          </cell>
          <cell r="I14">
            <v>2969.1509999999989</v>
          </cell>
          <cell r="K14">
            <v>5291.6319999999996</v>
          </cell>
          <cell r="L14">
            <v>5419.1839999999993</v>
          </cell>
          <cell r="N14">
            <v>5576</v>
          </cell>
          <cell r="O14">
            <v>5815</v>
          </cell>
          <cell r="P14">
            <v>6020</v>
          </cell>
          <cell r="Q14">
            <v>6147</v>
          </cell>
          <cell r="R14">
            <v>6453</v>
          </cell>
          <cell r="S14">
            <v>6683</v>
          </cell>
          <cell r="T14">
            <v>6182</v>
          </cell>
          <cell r="U14">
            <v>6247</v>
          </cell>
          <cell r="V14">
            <v>6237</v>
          </cell>
          <cell r="W14">
            <v>6430</v>
          </cell>
          <cell r="X14">
            <v>9118</v>
          </cell>
          <cell r="Y14">
            <v>10951</v>
          </cell>
          <cell r="Z14">
            <v>10636</v>
          </cell>
          <cell r="AA14">
            <v>9883</v>
          </cell>
          <cell r="AB14">
            <v>9617</v>
          </cell>
          <cell r="AC14">
            <v>10179</v>
          </cell>
          <cell r="AD14">
            <v>10667</v>
          </cell>
          <cell r="AE14">
            <v>11224.703902113539</v>
          </cell>
          <cell r="AF14">
            <v>11577.68389157081</v>
          </cell>
          <cell r="AG14">
            <v>11844.16040227242</v>
          </cell>
          <cell r="AH14">
            <v>11937.672577079513</v>
          </cell>
          <cell r="AI14">
            <v>11998.055410878882</v>
          </cell>
          <cell r="AJ14">
            <v>12118.03596498767</v>
          </cell>
          <cell r="AK14">
            <v>12239.216324637549</v>
          </cell>
          <cell r="AL14">
            <v>12361.608487883921</v>
          </cell>
          <cell r="AN14" t="str">
            <v>Gross Profit</v>
          </cell>
          <cell r="AO14">
            <v>635.26700000000005</v>
          </cell>
          <cell r="AP14">
            <v>576.48099999999999</v>
          </cell>
          <cell r="AQ14">
            <v>698.46</v>
          </cell>
          <cell r="AR14">
            <v>836.79899999999998</v>
          </cell>
          <cell r="AS14">
            <v>2747.0070000000001</v>
          </cell>
          <cell r="AU14">
            <v>639.39800000000014</v>
          </cell>
          <cell r="AV14">
            <v>598.3119999999999</v>
          </cell>
          <cell r="AW14">
            <v>677.35200000000009</v>
          </cell>
          <cell r="AX14">
            <v>815.03800000000024</v>
          </cell>
          <cell r="AY14">
            <v>2730.1000000000004</v>
          </cell>
          <cell r="BA14">
            <v>646.86000000000013</v>
          </cell>
          <cell r="BB14">
            <v>589.42999999999995</v>
          </cell>
          <cell r="BC14">
            <v>725.55</v>
          </cell>
          <cell r="BD14">
            <v>897.27800000000002</v>
          </cell>
          <cell r="BE14">
            <v>2859.1179999999999</v>
          </cell>
          <cell r="BG14">
            <v>642.39100000000008</v>
          </cell>
          <cell r="BH14">
            <v>602.22399999999993</v>
          </cell>
          <cell r="BI14">
            <v>711.96299999999997</v>
          </cell>
          <cell r="BJ14">
            <v>901.61099999999988</v>
          </cell>
          <cell r="BK14">
            <v>2858.1889999999994</v>
          </cell>
          <cell r="BM14">
            <v>650.69600000000014</v>
          </cell>
          <cell r="BN14">
            <v>621.3649999999999</v>
          </cell>
          <cell r="BO14">
            <v>744.26</v>
          </cell>
          <cell r="BP14">
            <v>952.82999999999993</v>
          </cell>
          <cell r="BQ14">
            <v>2969.1509999999989</v>
          </cell>
          <cell r="BS14">
            <v>1156.021</v>
          </cell>
          <cell r="BT14">
            <v>1115.9800000000002</v>
          </cell>
          <cell r="BU14">
            <v>1306.6837999999998</v>
          </cell>
          <cell r="BV14">
            <v>1712.9472000000001</v>
          </cell>
          <cell r="BW14">
            <v>5291.6319999999996</v>
          </cell>
          <cell r="BY14">
            <v>1165.8459999999998</v>
          </cell>
          <cell r="BZ14">
            <v>1184.085</v>
          </cell>
          <cell r="CA14">
            <v>1293.9119999999998</v>
          </cell>
          <cell r="CB14">
            <v>125.83899999999977</v>
          </cell>
          <cell r="CC14">
            <v>1419.7919999999999</v>
          </cell>
          <cell r="CD14">
            <v>1775.3409999999999</v>
          </cell>
          <cell r="CE14">
            <v>1960.5289999999995</v>
          </cell>
          <cell r="CF14">
            <v>5419.1839999999993</v>
          </cell>
          <cell r="CG14">
            <v>5604.3719999999994</v>
          </cell>
          <cell r="CH14">
            <v>5730.2109999999975</v>
          </cell>
          <cell r="CJ14">
            <v>1286.0519999999999</v>
          </cell>
          <cell r="CK14">
            <v>1288.655</v>
          </cell>
          <cell r="CL14">
            <v>1419.2450000000003</v>
          </cell>
          <cell r="CM14">
            <v>1946.3959999999997</v>
          </cell>
          <cell r="CN14">
            <v>5940.348</v>
          </cell>
          <cell r="CP14">
            <v>1322.2260000000001</v>
          </cell>
          <cell r="CQ14">
            <v>1354.1580000000004</v>
          </cell>
          <cell r="CR14">
            <v>1459.357</v>
          </cell>
          <cell r="CS14">
            <v>1951.8040000000001</v>
          </cell>
          <cell r="CT14">
            <v>6087.5450000000001</v>
          </cell>
          <cell r="CV14">
            <v>1335</v>
          </cell>
          <cell r="CW14">
            <v>1409</v>
          </cell>
          <cell r="CX14">
            <v>1403</v>
          </cell>
          <cell r="CY14">
            <v>2000</v>
          </cell>
          <cell r="CZ14">
            <v>6147</v>
          </cell>
          <cell r="DB14">
            <v>1426</v>
          </cell>
          <cell r="DC14">
            <v>1687</v>
          </cell>
          <cell r="DD14">
            <v>1683</v>
          </cell>
          <cell r="DE14">
            <v>2477</v>
          </cell>
          <cell r="DF14">
            <v>7273</v>
          </cell>
          <cell r="DH14">
            <v>1421</v>
          </cell>
          <cell r="DI14">
            <v>1506</v>
          </cell>
          <cell r="DJ14">
            <v>1487</v>
          </cell>
          <cell r="DK14">
            <v>2269</v>
          </cell>
          <cell r="DL14">
            <v>6683</v>
          </cell>
          <cell r="DN14">
            <v>1398</v>
          </cell>
          <cell r="DO14">
            <v>1360</v>
          </cell>
          <cell r="DP14">
            <v>1341</v>
          </cell>
          <cell r="DQ14">
            <v>2021</v>
          </cell>
          <cell r="DR14">
            <v>6182</v>
          </cell>
          <cell r="DT14">
            <v>1375</v>
          </cell>
          <cell r="DU14">
            <v>1435</v>
          </cell>
          <cell r="DV14">
            <v>1367</v>
          </cell>
          <cell r="DW14">
            <v>2003</v>
          </cell>
          <cell r="DX14">
            <v>6247</v>
          </cell>
          <cell r="DZ14">
            <v>1289</v>
          </cell>
          <cell r="EA14">
            <v>1409</v>
          </cell>
          <cell r="EB14">
            <v>1395</v>
          </cell>
          <cell r="EC14">
            <v>2072</v>
          </cell>
          <cell r="ED14">
            <v>6237</v>
          </cell>
          <cell r="EF14">
            <v>1431</v>
          </cell>
          <cell r="EG14">
            <v>1483</v>
          </cell>
          <cell r="EH14">
            <v>1418</v>
          </cell>
          <cell r="EI14">
            <v>2098</v>
          </cell>
          <cell r="EJ14">
            <v>6430</v>
          </cell>
          <cell r="EK14" t="str">
            <v>Gross Profit</v>
          </cell>
          <cell r="EL14">
            <v>1465</v>
          </cell>
          <cell r="EM14">
            <v>1497</v>
          </cell>
          <cell r="EN14">
            <v>2243</v>
          </cell>
          <cell r="EO14">
            <v>3913</v>
          </cell>
          <cell r="EP14">
            <v>9118</v>
          </cell>
          <cell r="ER14">
            <v>2303</v>
          </cell>
          <cell r="ES14">
            <v>2525</v>
          </cell>
          <cell r="ET14">
            <v>2373</v>
          </cell>
          <cell r="EU14">
            <v>3750</v>
          </cell>
          <cell r="EV14">
            <v>10951</v>
          </cell>
          <cell r="EX14">
            <v>2357</v>
          </cell>
          <cell r="EY14">
            <v>2385</v>
          </cell>
          <cell r="EZ14">
            <v>2321</v>
          </cell>
          <cell r="FA14">
            <v>3573</v>
          </cell>
          <cell r="FB14">
            <v>10636</v>
          </cell>
          <cell r="FD14">
            <v>2220</v>
          </cell>
          <cell r="FE14">
            <v>2372</v>
          </cell>
          <cell r="FF14">
            <v>2169</v>
          </cell>
          <cell r="FG14">
            <v>3122</v>
          </cell>
          <cell r="FH14">
            <v>9883</v>
          </cell>
          <cell r="FJ14">
            <v>2009</v>
          </cell>
          <cell r="FK14">
            <v>2168</v>
          </cell>
          <cell r="FL14">
            <v>2144</v>
          </cell>
          <cell r="FM14">
            <v>3296</v>
          </cell>
          <cell r="FN14">
            <v>9617</v>
          </cell>
          <cell r="FP14">
            <v>2196</v>
          </cell>
          <cell r="FQ14">
            <v>2323</v>
          </cell>
          <cell r="FR14">
            <v>2246</v>
          </cell>
          <cell r="FS14">
            <v>3414</v>
          </cell>
          <cell r="FT14">
            <v>10179</v>
          </cell>
          <cell r="FV14">
            <v>2303</v>
          </cell>
          <cell r="FW14">
            <v>2482</v>
          </cell>
          <cell r="FX14">
            <v>2309</v>
          </cell>
          <cell r="FY14">
            <v>3573</v>
          </cell>
          <cell r="FZ14">
            <v>10667</v>
          </cell>
          <cell r="GB14">
            <v>2386</v>
          </cell>
          <cell r="GC14">
            <v>2563</v>
          </cell>
          <cell r="GD14">
            <v>2403.5870975038929</v>
          </cell>
          <cell r="GE14">
            <v>3872.1168046096464</v>
          </cell>
          <cell r="GF14">
            <v>11224.703902113539</v>
          </cell>
        </row>
        <row r="16">
          <cell r="A16" t="str">
            <v>SG&amp;A Expense</v>
          </cell>
          <cell r="C16">
            <v>1881.0170000000001</v>
          </cell>
          <cell r="D16">
            <v>2611.8339999999998</v>
          </cell>
          <cell r="E16">
            <v>2463.1280000000002</v>
          </cell>
          <cell r="F16">
            <v>2458.1280000000002</v>
          </cell>
          <cell r="G16">
            <v>2420.6839999999997</v>
          </cell>
          <cell r="H16">
            <v>2347.5460000000003</v>
          </cell>
          <cell r="I16">
            <v>2328.047</v>
          </cell>
          <cell r="K16">
            <v>4608.8310000000001</v>
          </cell>
          <cell r="L16">
            <v>4424.5330000000004</v>
          </cell>
          <cell r="N16">
            <v>4913</v>
          </cell>
          <cell r="O16">
            <v>4922</v>
          </cell>
          <cell r="P16">
            <v>4679</v>
          </cell>
          <cell r="Q16">
            <v>4692</v>
          </cell>
          <cell r="R16">
            <v>4760</v>
          </cell>
          <cell r="S16">
            <v>4912</v>
          </cell>
          <cell r="T16">
            <v>4806</v>
          </cell>
          <cell r="U16">
            <v>4836</v>
          </cell>
          <cell r="V16">
            <v>4837</v>
          </cell>
          <cell r="W16">
            <v>4931</v>
          </cell>
          <cell r="X16">
            <v>6980</v>
          </cell>
          <cell r="Y16">
            <v>8678</v>
          </cell>
          <cell r="Z16">
            <v>8554</v>
          </cell>
          <cell r="AA16">
            <v>8458</v>
          </cell>
          <cell r="AB16">
            <v>8163</v>
          </cell>
          <cell r="AC16">
            <v>8260</v>
          </cell>
          <cell r="AD16">
            <v>8281</v>
          </cell>
          <cell r="AE16">
            <v>8553.4072798862726</v>
          </cell>
          <cell r="AF16">
            <v>8800.0923077192638</v>
          </cell>
          <cell r="AG16">
            <v>8940.7771652737574</v>
          </cell>
          <cell r="AH16">
            <v>9004.2074535542979</v>
          </cell>
          <cell r="AI16">
            <v>9064.7525821041272</v>
          </cell>
          <cell r="AJ16">
            <v>9125.6081924795981</v>
          </cell>
          <cell r="AK16">
            <v>9186.7744398043687</v>
          </cell>
          <cell r="AL16">
            <v>9248.2514512563848</v>
          </cell>
          <cell r="AN16" t="str">
            <v>SG&amp;A Expense</v>
          </cell>
          <cell r="AO16">
            <v>608.81899999999996</v>
          </cell>
          <cell r="AP16">
            <v>616.54300000000001</v>
          </cell>
          <cell r="AQ16">
            <v>656.14200000000005</v>
          </cell>
          <cell r="AR16">
            <v>730.33</v>
          </cell>
          <cell r="AS16">
            <v>2611.8340000000003</v>
          </cell>
          <cell r="AU16">
            <v>597.87800000000004</v>
          </cell>
          <cell r="AV16">
            <v>589.803</v>
          </cell>
          <cell r="AW16">
            <v>624.08500000000004</v>
          </cell>
          <cell r="AX16">
            <v>651.36199999999997</v>
          </cell>
          <cell r="AY16">
            <v>2463.1280000000002</v>
          </cell>
          <cell r="BA16">
            <v>562.19899999999996</v>
          </cell>
          <cell r="BB16">
            <v>557.755</v>
          </cell>
          <cell r="BC16">
            <v>614.78200000000004</v>
          </cell>
          <cell r="BD16">
            <v>685.94799999999998</v>
          </cell>
          <cell r="BE16">
            <v>2420.6839999999997</v>
          </cell>
          <cell r="BG16">
            <v>555.61</v>
          </cell>
          <cell r="BH16">
            <v>540.18899999999996</v>
          </cell>
          <cell r="BI16">
            <v>604.58100000000002</v>
          </cell>
          <cell r="BJ16">
            <v>647.16600000000005</v>
          </cell>
          <cell r="BK16">
            <v>2347.5460000000003</v>
          </cell>
          <cell r="BM16">
            <v>542.08799999999997</v>
          </cell>
          <cell r="BN16">
            <v>534.79100000000005</v>
          </cell>
          <cell r="BO16">
            <v>611.56299999999999</v>
          </cell>
          <cell r="BP16">
            <v>639.6049999999999</v>
          </cell>
          <cell r="BQ16">
            <v>2328.047</v>
          </cell>
          <cell r="BS16">
            <v>1095.52</v>
          </cell>
          <cell r="BT16">
            <v>1083.9040000000002</v>
          </cell>
          <cell r="BU16">
            <v>1182.6087999999997</v>
          </cell>
          <cell r="BV16">
            <v>1246.7982</v>
          </cell>
          <cell r="BW16">
            <v>4608.8310000000001</v>
          </cell>
          <cell r="BY16">
            <v>1069.9590000000001</v>
          </cell>
          <cell r="BZ16">
            <v>1067.8869999999999</v>
          </cell>
          <cell r="CA16">
            <v>1107.3150000000001</v>
          </cell>
          <cell r="CB16">
            <v>168.36500000000001</v>
          </cell>
          <cell r="CC16">
            <v>1275.68</v>
          </cell>
          <cell r="CD16">
            <v>1179.3720000000001</v>
          </cell>
          <cell r="CE16">
            <v>1334.8050000000001</v>
          </cell>
          <cell r="CF16">
            <v>4424.5330000000004</v>
          </cell>
          <cell r="CG16">
            <v>4579.9660000000003</v>
          </cell>
          <cell r="CH16">
            <v>4748.3310000000001</v>
          </cell>
          <cell r="CJ16">
            <v>1153.0650000000001</v>
          </cell>
          <cell r="CK16">
            <v>1113.9839999999999</v>
          </cell>
          <cell r="CL16">
            <v>1187.6289999999999</v>
          </cell>
          <cell r="CM16">
            <v>1283.8050000000001</v>
          </cell>
          <cell r="CN16">
            <v>4738.4830000000002</v>
          </cell>
          <cell r="CP16">
            <v>1174.1659999999999</v>
          </cell>
          <cell r="CQ16">
            <v>1142.298</v>
          </cell>
          <cell r="CR16">
            <v>1191.396</v>
          </cell>
          <cell r="CS16">
            <v>1238.9000000000001</v>
          </cell>
          <cell r="CT16">
            <v>4746.76</v>
          </cell>
          <cell r="CV16">
            <v>1154</v>
          </cell>
          <cell r="CW16">
            <v>1142</v>
          </cell>
          <cell r="CX16">
            <v>1146</v>
          </cell>
          <cell r="CY16">
            <v>1250</v>
          </cell>
          <cell r="CZ16">
            <v>4692</v>
          </cell>
          <cell r="DB16">
            <v>1201</v>
          </cell>
          <cell r="DC16">
            <v>1369</v>
          </cell>
          <cell r="DD16">
            <v>1381</v>
          </cell>
          <cell r="DE16">
            <v>1621</v>
          </cell>
          <cell r="DF16">
            <v>5572</v>
          </cell>
          <cell r="DH16">
            <v>1152</v>
          </cell>
          <cell r="DI16">
            <v>1104</v>
          </cell>
          <cell r="DJ16">
            <v>1218</v>
          </cell>
          <cell r="DK16">
            <v>1438</v>
          </cell>
          <cell r="DL16">
            <v>4912</v>
          </cell>
          <cell r="DN16">
            <v>1168</v>
          </cell>
          <cell r="DO16">
            <v>1106</v>
          </cell>
          <cell r="DP16">
            <v>1185</v>
          </cell>
          <cell r="DQ16">
            <v>1285</v>
          </cell>
          <cell r="DR16">
            <v>4806</v>
          </cell>
          <cell r="DT16">
            <v>1154</v>
          </cell>
          <cell r="DU16">
            <v>1135</v>
          </cell>
          <cell r="DV16">
            <v>1179</v>
          </cell>
          <cell r="DW16">
            <v>1301</v>
          </cell>
          <cell r="DX16">
            <v>4836</v>
          </cell>
          <cell r="DZ16">
            <v>1135</v>
          </cell>
          <cell r="EA16">
            <v>1135</v>
          </cell>
          <cell r="EB16">
            <v>1193</v>
          </cell>
          <cell r="EC16">
            <v>1302</v>
          </cell>
          <cell r="ED16">
            <v>4837</v>
          </cell>
          <cell r="EF16">
            <v>1195</v>
          </cell>
          <cell r="EG16">
            <v>1207</v>
          </cell>
          <cell r="EH16">
            <v>1207</v>
          </cell>
          <cell r="EI16">
            <v>1322</v>
          </cell>
          <cell r="EJ16">
            <v>4931</v>
          </cell>
          <cell r="EK16" t="str">
            <v>SG&amp;A Expense</v>
          </cell>
          <cell r="EL16">
            <v>1213</v>
          </cell>
          <cell r="EM16">
            <v>1206</v>
          </cell>
          <cell r="EN16">
            <v>1973</v>
          </cell>
          <cell r="EO16">
            <v>2588</v>
          </cell>
          <cell r="EP16">
            <v>6980</v>
          </cell>
          <cell r="ER16">
            <v>2154</v>
          </cell>
          <cell r="ES16">
            <v>2117</v>
          </cell>
          <cell r="ET16">
            <v>2094</v>
          </cell>
          <cell r="EU16">
            <v>2313</v>
          </cell>
          <cell r="EV16">
            <v>8678</v>
          </cell>
          <cell r="EX16">
            <v>2113</v>
          </cell>
          <cell r="EY16">
            <v>2038</v>
          </cell>
          <cell r="EZ16">
            <v>2121</v>
          </cell>
          <cell r="FA16">
            <v>2282</v>
          </cell>
          <cell r="FB16">
            <v>8554</v>
          </cell>
          <cell r="FD16">
            <v>2080</v>
          </cell>
          <cell r="FE16">
            <v>2037</v>
          </cell>
          <cell r="FF16">
            <v>2085</v>
          </cell>
          <cell r="FG16">
            <v>2256</v>
          </cell>
          <cell r="FH16">
            <v>8458</v>
          </cell>
          <cell r="FJ16">
            <v>1985</v>
          </cell>
          <cell r="FK16">
            <v>1886</v>
          </cell>
          <cell r="FL16">
            <v>2056</v>
          </cell>
          <cell r="FM16">
            <v>2236</v>
          </cell>
          <cell r="FN16">
            <v>8163</v>
          </cell>
          <cell r="FP16">
            <v>1993</v>
          </cell>
          <cell r="FQ16">
            <v>1953</v>
          </cell>
          <cell r="FR16">
            <v>2069</v>
          </cell>
          <cell r="FS16">
            <v>2245</v>
          </cell>
          <cell r="FT16">
            <v>8260</v>
          </cell>
          <cell r="FV16">
            <v>1973</v>
          </cell>
          <cell r="FW16">
            <v>1976</v>
          </cell>
          <cell r="FX16">
            <v>2018</v>
          </cell>
          <cell r="FY16">
            <v>2314</v>
          </cell>
          <cell r="FZ16">
            <v>8281</v>
          </cell>
          <cell r="GB16">
            <v>1995</v>
          </cell>
          <cell r="GC16">
            <v>2009</v>
          </cell>
          <cell r="GD16">
            <v>2122.0121029772449</v>
          </cell>
          <cell r="GE16">
            <v>2427.3951769090281</v>
          </cell>
          <cell r="GF16">
            <v>8553.4072798862726</v>
          </cell>
          <cell r="GS16" t="str">
            <v>mstag:sellingGeneralAndAdministrativeExpenses</v>
          </cell>
          <cell r="GT16">
            <v>6</v>
          </cell>
          <cell r="GU16" t="str">
            <v>ISO4217:USD</v>
          </cell>
          <cell r="GV16" t="b">
            <v>0</v>
          </cell>
          <cell r="GW16" t="b">
            <v>0</v>
          </cell>
        </row>
        <row r="17">
          <cell r="A17" t="str">
            <v>Operating Income</v>
          </cell>
          <cell r="C17">
            <v>249.44800000000009</v>
          </cell>
          <cell r="D17">
            <v>135.17300000000068</v>
          </cell>
          <cell r="E17">
            <v>266.97200000000021</v>
          </cell>
          <cell r="F17">
            <v>300.90299999999979</v>
          </cell>
          <cell r="G17">
            <v>438.43400000000065</v>
          </cell>
          <cell r="H17">
            <v>510.64299999999912</v>
          </cell>
          <cell r="I17">
            <v>641.1039999999989</v>
          </cell>
          <cell r="J17">
            <v>0.28676919756182384</v>
          </cell>
          <cell r="K17">
            <v>682.80099999999948</v>
          </cell>
          <cell r="L17">
            <v>994.65099999999893</v>
          </cell>
          <cell r="N17">
            <v>663</v>
          </cell>
          <cell r="O17">
            <v>893</v>
          </cell>
          <cell r="P17">
            <v>1341</v>
          </cell>
          <cell r="Q17">
            <v>1455</v>
          </cell>
          <cell r="R17">
            <v>1693</v>
          </cell>
          <cell r="S17">
            <v>1771</v>
          </cell>
          <cell r="T17">
            <v>1376</v>
          </cell>
          <cell r="U17">
            <v>1411</v>
          </cell>
          <cell r="V17">
            <v>1400</v>
          </cell>
          <cell r="W17">
            <v>1499</v>
          </cell>
          <cell r="X17">
            <v>2138</v>
          </cell>
          <cell r="Y17">
            <v>2273</v>
          </cell>
          <cell r="Z17">
            <v>2082</v>
          </cell>
          <cell r="AA17">
            <v>1425</v>
          </cell>
          <cell r="AB17">
            <v>1454</v>
          </cell>
          <cell r="AC17">
            <v>1919</v>
          </cell>
          <cell r="AD17">
            <v>2386</v>
          </cell>
          <cell r="AE17">
            <v>2671.2966222272662</v>
          </cell>
          <cell r="AF17">
            <v>2777.5915838515466</v>
          </cell>
          <cell r="AG17">
            <v>2903.3832369986631</v>
          </cell>
          <cell r="AH17">
            <v>2933.4651235252149</v>
          </cell>
          <cell r="AI17">
            <v>2933.3028287747547</v>
          </cell>
          <cell r="AJ17">
            <v>2992.4277725080719</v>
          </cell>
          <cell r="AK17">
            <v>3052.4418848331807</v>
          </cell>
          <cell r="AL17">
            <v>3113.3570366275362</v>
          </cell>
          <cell r="AN17" t="str">
            <v>Operating Income</v>
          </cell>
          <cell r="AO17">
            <v>26.448000000000093</v>
          </cell>
          <cell r="AP17">
            <v>-40.062000000000012</v>
          </cell>
          <cell r="AQ17">
            <v>42.317999999999984</v>
          </cell>
          <cell r="AR17">
            <v>106.46899999999994</v>
          </cell>
          <cell r="AS17">
            <v>135.173</v>
          </cell>
          <cell r="AU17">
            <v>41.520000000000095</v>
          </cell>
          <cell r="AV17">
            <v>8.5089999999999009</v>
          </cell>
          <cell r="AW17">
            <v>53.267000000000053</v>
          </cell>
          <cell r="AX17">
            <v>163.67600000000027</v>
          </cell>
          <cell r="AY17">
            <v>266.97200000000032</v>
          </cell>
          <cell r="BA17">
            <v>84.661000000000172</v>
          </cell>
          <cell r="BB17">
            <v>31.674999999999955</v>
          </cell>
          <cell r="BC17">
            <v>110.76799999999992</v>
          </cell>
          <cell r="BD17">
            <v>211.33000000000004</v>
          </cell>
          <cell r="BE17">
            <v>438.43400000000008</v>
          </cell>
          <cell r="BG17">
            <v>86.781000000000063</v>
          </cell>
          <cell r="BH17">
            <v>62.034999999999968</v>
          </cell>
          <cell r="BI17">
            <v>107.38199999999995</v>
          </cell>
          <cell r="BJ17">
            <v>254.44499999999982</v>
          </cell>
          <cell r="BK17">
            <v>510.64299999999912</v>
          </cell>
          <cell r="BM17">
            <v>108.60800000000017</v>
          </cell>
          <cell r="BN17">
            <v>86.573999999999842</v>
          </cell>
          <cell r="BO17">
            <v>132.697</v>
          </cell>
          <cell r="BP17">
            <v>313.22500000000002</v>
          </cell>
          <cell r="BQ17">
            <v>641.1039999999989</v>
          </cell>
          <cell r="BS17">
            <v>60.500999999999976</v>
          </cell>
          <cell r="BT17">
            <v>32.076000000000022</v>
          </cell>
          <cell r="BU17">
            <v>124.07500000000005</v>
          </cell>
          <cell r="BV17">
            <v>466.14900000000011</v>
          </cell>
          <cell r="BW17">
            <v>682.80099999999948</v>
          </cell>
          <cell r="BY17">
            <v>95.886999999999716</v>
          </cell>
          <cell r="BZ17">
            <v>116.19800000000009</v>
          </cell>
          <cell r="CA17">
            <v>186.59699999999975</v>
          </cell>
          <cell r="CB17">
            <v>-42.526000000000238</v>
          </cell>
          <cell r="CC17">
            <v>144.11199999999985</v>
          </cell>
          <cell r="CD17">
            <v>595.96899999999982</v>
          </cell>
          <cell r="CE17">
            <v>625.72399999999948</v>
          </cell>
          <cell r="CF17">
            <v>994.65099999999893</v>
          </cell>
          <cell r="CG17">
            <v>1024.405999999999</v>
          </cell>
          <cell r="CH17">
            <v>981.87999999999738</v>
          </cell>
          <cell r="CJ17">
            <v>132.98699999999985</v>
          </cell>
          <cell r="CK17">
            <v>174.67100000000005</v>
          </cell>
          <cell r="CL17">
            <v>231.61600000000044</v>
          </cell>
          <cell r="CM17">
            <v>662.59099999999967</v>
          </cell>
          <cell r="CN17">
            <v>1201.8649999999998</v>
          </cell>
          <cell r="CP17">
            <v>148.06000000000017</v>
          </cell>
          <cell r="CQ17">
            <v>211.86000000000035</v>
          </cell>
          <cell r="CR17">
            <v>267.96100000000001</v>
          </cell>
          <cell r="CS17">
            <v>712.904</v>
          </cell>
          <cell r="CT17">
            <v>1340.7850000000005</v>
          </cell>
          <cell r="CV17">
            <v>181</v>
          </cell>
          <cell r="CW17">
            <v>267</v>
          </cell>
          <cell r="CX17">
            <v>257</v>
          </cell>
          <cell r="CY17">
            <v>750</v>
          </cell>
          <cell r="CZ17">
            <v>1455</v>
          </cell>
          <cell r="DB17">
            <v>225</v>
          </cell>
          <cell r="DC17">
            <v>318</v>
          </cell>
          <cell r="DD17">
            <v>302</v>
          </cell>
          <cell r="DE17">
            <v>856</v>
          </cell>
          <cell r="DF17">
            <v>1701</v>
          </cell>
          <cell r="DH17">
            <v>269</v>
          </cell>
          <cell r="DI17">
            <v>402</v>
          </cell>
          <cell r="DJ17">
            <v>269</v>
          </cell>
          <cell r="DK17">
            <v>831</v>
          </cell>
          <cell r="DL17">
            <v>1771</v>
          </cell>
          <cell r="DN17">
            <v>230</v>
          </cell>
          <cell r="DO17">
            <v>254</v>
          </cell>
          <cell r="DP17">
            <v>156</v>
          </cell>
          <cell r="DQ17">
            <v>736</v>
          </cell>
          <cell r="DR17">
            <v>1376</v>
          </cell>
          <cell r="DT17">
            <v>221</v>
          </cell>
          <cell r="DU17">
            <v>300</v>
          </cell>
          <cell r="DV17">
            <v>188</v>
          </cell>
          <cell r="DW17">
            <v>702</v>
          </cell>
          <cell r="DX17">
            <v>1411</v>
          </cell>
          <cell r="DZ17">
            <v>154</v>
          </cell>
          <cell r="EA17">
            <v>274</v>
          </cell>
          <cell r="EB17">
            <v>202</v>
          </cell>
          <cell r="EC17">
            <v>770</v>
          </cell>
          <cell r="ED17">
            <v>1400</v>
          </cell>
          <cell r="EF17">
            <v>236</v>
          </cell>
          <cell r="EG17">
            <v>276</v>
          </cell>
          <cell r="EH17">
            <v>211</v>
          </cell>
          <cell r="EI17">
            <v>776</v>
          </cell>
          <cell r="EJ17">
            <v>1499</v>
          </cell>
          <cell r="EK17" t="str">
            <v>Operating Income</v>
          </cell>
          <cell r="EL17">
            <v>252</v>
          </cell>
          <cell r="EM17">
            <v>291</v>
          </cell>
          <cell r="EN17">
            <v>270</v>
          </cell>
          <cell r="EO17">
            <v>1325</v>
          </cell>
          <cell r="EP17">
            <v>2138</v>
          </cell>
          <cell r="ER17">
            <v>149</v>
          </cell>
          <cell r="ES17">
            <v>408</v>
          </cell>
          <cell r="ET17">
            <v>279</v>
          </cell>
          <cell r="EU17">
            <v>1437</v>
          </cell>
          <cell r="EV17">
            <v>2273</v>
          </cell>
          <cell r="EX17">
            <v>244</v>
          </cell>
          <cell r="EY17">
            <v>347</v>
          </cell>
          <cell r="EZ17">
            <v>200</v>
          </cell>
          <cell r="FA17">
            <v>1291</v>
          </cell>
          <cell r="FB17">
            <v>2082</v>
          </cell>
          <cell r="FD17">
            <v>140</v>
          </cell>
          <cell r="FE17">
            <v>335</v>
          </cell>
          <cell r="FF17">
            <v>84</v>
          </cell>
          <cell r="FG17">
            <v>866</v>
          </cell>
          <cell r="FH17">
            <v>1425</v>
          </cell>
          <cell r="FJ17">
            <v>24</v>
          </cell>
          <cell r="FK17">
            <v>282</v>
          </cell>
          <cell r="FL17">
            <v>88</v>
          </cell>
          <cell r="FM17">
            <v>1060</v>
          </cell>
          <cell r="FN17">
            <v>1454</v>
          </cell>
          <cell r="FP17">
            <v>203</v>
          </cell>
          <cell r="FQ17">
            <v>370</v>
          </cell>
          <cell r="FR17">
            <v>177</v>
          </cell>
          <cell r="FS17">
            <v>1169</v>
          </cell>
          <cell r="FT17">
            <v>1919</v>
          </cell>
          <cell r="FV17">
            <v>330</v>
          </cell>
          <cell r="FW17">
            <v>506</v>
          </cell>
          <cell r="FX17">
            <v>291</v>
          </cell>
          <cell r="FY17">
            <v>1259</v>
          </cell>
          <cell r="FZ17">
            <v>2386</v>
          </cell>
          <cell r="GB17">
            <v>391</v>
          </cell>
          <cell r="GC17">
            <v>554</v>
          </cell>
          <cell r="GD17">
            <v>281.57499452664797</v>
          </cell>
          <cell r="GE17">
            <v>1444.7216277006182</v>
          </cell>
          <cell r="GF17">
            <v>2671.2966222272662</v>
          </cell>
        </row>
        <row r="19">
          <cell r="A19" t="str">
            <v xml:space="preserve">Interest Expense, net </v>
          </cell>
          <cell r="C19">
            <v>806.66499999999996</v>
          </cell>
          <cell r="D19">
            <v>555.94200000000001</v>
          </cell>
          <cell r="E19">
            <v>436.99700000000001</v>
          </cell>
          <cell r="F19">
            <v>224.37599999999998</v>
          </cell>
          <cell r="G19">
            <v>197.85400000000001</v>
          </cell>
          <cell r="H19">
            <v>164.13899999999998</v>
          </cell>
          <cell r="I19">
            <v>199.44799999999998</v>
          </cell>
          <cell r="K19">
            <v>448</v>
          </cell>
          <cell r="L19">
            <v>413.26499999999999</v>
          </cell>
          <cell r="N19">
            <v>461</v>
          </cell>
          <cell r="O19">
            <v>452</v>
          </cell>
          <cell r="P19">
            <v>383</v>
          </cell>
          <cell r="Q19">
            <v>292</v>
          </cell>
          <cell r="R19">
            <v>307</v>
          </cell>
          <cell r="S19">
            <v>321</v>
          </cell>
          <cell r="T19">
            <v>324</v>
          </cell>
          <cell r="U19">
            <v>295</v>
          </cell>
          <cell r="V19">
            <v>257</v>
          </cell>
          <cell r="W19">
            <v>225</v>
          </cell>
          <cell r="X19">
            <v>397</v>
          </cell>
          <cell r="Y19">
            <v>461</v>
          </cell>
          <cell r="Z19">
            <v>543</v>
          </cell>
          <cell r="AA19">
            <v>560</v>
          </cell>
          <cell r="AB19">
            <v>556</v>
          </cell>
          <cell r="AC19">
            <v>574</v>
          </cell>
          <cell r="AD19">
            <v>443</v>
          </cell>
          <cell r="AE19">
            <v>437.94267925414607</v>
          </cell>
          <cell r="AF19">
            <v>437.64689230808881</v>
          </cell>
          <cell r="AG19">
            <v>333.89684092277935</v>
          </cell>
          <cell r="AH19">
            <v>328.47781900841903</v>
          </cell>
          <cell r="AI19">
            <v>261.10044333485752</v>
          </cell>
          <cell r="AJ19">
            <v>217.66232702027793</v>
          </cell>
          <cell r="AK19">
            <v>193.03041288077011</v>
          </cell>
          <cell r="AL19">
            <v>185.41379199688066</v>
          </cell>
          <cell r="AN19" t="str">
            <v xml:space="preserve">Interest Expense, net </v>
          </cell>
          <cell r="AO19">
            <v>150.16</v>
          </cell>
          <cell r="AP19">
            <v>137.041</v>
          </cell>
          <cell r="AQ19">
            <v>134.49700000000001</v>
          </cell>
          <cell r="AR19">
            <v>134.244</v>
          </cell>
          <cell r="AS19">
            <v>555.94200000000001</v>
          </cell>
          <cell r="AU19">
            <v>115.88100000000001</v>
          </cell>
          <cell r="AV19">
            <v>110.38499999999999</v>
          </cell>
          <cell r="AW19">
            <v>109.601</v>
          </cell>
          <cell r="AX19">
            <v>101.13</v>
          </cell>
          <cell r="AY19">
            <v>436.99700000000001</v>
          </cell>
          <cell r="BA19">
            <v>57.285000000000011</v>
          </cell>
          <cell r="BB19">
            <v>49.753999999999998</v>
          </cell>
          <cell r="BC19">
            <v>43.933</v>
          </cell>
          <cell r="BD19">
            <v>46.881999999999998</v>
          </cell>
          <cell r="BE19">
            <v>197.85400000000001</v>
          </cell>
          <cell r="BG19">
            <v>43.271999999999998</v>
          </cell>
          <cell r="BH19">
            <v>40.268999999999998</v>
          </cell>
          <cell r="BI19">
            <v>39.991999999999997</v>
          </cell>
          <cell r="BJ19">
            <v>40.606000000000002</v>
          </cell>
          <cell r="BK19">
            <v>164.13899999999998</v>
          </cell>
          <cell r="BM19">
            <v>45.338999999999999</v>
          </cell>
          <cell r="BN19">
            <v>48.698</v>
          </cell>
          <cell r="BO19">
            <v>50.985999999999997</v>
          </cell>
          <cell r="BP19">
            <v>54.424999999999997</v>
          </cell>
          <cell r="BQ19">
            <v>199.44799999999998</v>
          </cell>
          <cell r="BS19">
            <v>103.04</v>
          </cell>
          <cell r="BT19">
            <v>109.75999999999999</v>
          </cell>
          <cell r="BU19">
            <v>114.24000000000001</v>
          </cell>
          <cell r="BV19">
            <v>120.96000000000001</v>
          </cell>
          <cell r="BW19">
            <v>448</v>
          </cell>
          <cell r="BY19">
            <v>97.552000000000007</v>
          </cell>
          <cell r="BZ19">
            <v>103.21599999999999</v>
          </cell>
          <cell r="CA19">
            <v>104.617</v>
          </cell>
          <cell r="CB19">
            <v>25.671999999999983</v>
          </cell>
          <cell r="CC19">
            <v>130.28899999999999</v>
          </cell>
          <cell r="CD19">
            <v>107.88</v>
          </cell>
          <cell r="CE19">
            <v>129.971</v>
          </cell>
          <cell r="CF19">
            <v>413.26499999999999</v>
          </cell>
          <cell r="CG19">
            <v>435.35599999999999</v>
          </cell>
          <cell r="CH19">
            <v>461.02799999999996</v>
          </cell>
          <cell r="CJ19">
            <v>112.28100000000001</v>
          </cell>
          <cell r="CK19">
            <v>115.614</v>
          </cell>
          <cell r="CL19">
            <v>113.361</v>
          </cell>
          <cell r="CM19">
            <v>110.508</v>
          </cell>
          <cell r="CN19">
            <v>451.76400000000001</v>
          </cell>
          <cell r="CP19">
            <v>104.377</v>
          </cell>
          <cell r="CQ19">
            <v>99.263000000000005</v>
          </cell>
          <cell r="CR19">
            <v>91.878</v>
          </cell>
          <cell r="CS19">
            <v>86.977000000000004</v>
          </cell>
          <cell r="CT19">
            <v>382.495</v>
          </cell>
          <cell r="CV19">
            <v>77</v>
          </cell>
          <cell r="CW19">
            <v>74</v>
          </cell>
          <cell r="CX19">
            <v>72</v>
          </cell>
          <cell r="CY19">
            <v>69</v>
          </cell>
          <cell r="CZ19">
            <v>292</v>
          </cell>
          <cell r="DB19">
            <v>75</v>
          </cell>
          <cell r="DC19">
            <v>85</v>
          </cell>
          <cell r="DD19">
            <v>91</v>
          </cell>
          <cell r="DE19">
            <v>104</v>
          </cell>
          <cell r="DF19">
            <v>355</v>
          </cell>
          <cell r="DH19">
            <v>69</v>
          </cell>
          <cell r="DI19">
            <v>78</v>
          </cell>
          <cell r="DJ19">
            <v>84</v>
          </cell>
          <cell r="DK19">
            <v>90</v>
          </cell>
          <cell r="DL19">
            <v>321</v>
          </cell>
          <cell r="DN19">
            <v>78</v>
          </cell>
          <cell r="DO19">
            <v>78</v>
          </cell>
          <cell r="DP19">
            <v>80</v>
          </cell>
          <cell r="DQ19">
            <v>88</v>
          </cell>
          <cell r="DR19">
            <v>324</v>
          </cell>
          <cell r="DT19">
            <v>74</v>
          </cell>
          <cell r="DU19">
            <v>78</v>
          </cell>
          <cell r="DV19">
            <v>73</v>
          </cell>
          <cell r="DW19">
            <v>70</v>
          </cell>
          <cell r="DX19">
            <v>295</v>
          </cell>
          <cell r="DZ19">
            <v>70</v>
          </cell>
          <cell r="EA19">
            <v>65</v>
          </cell>
          <cell r="EB19">
            <v>61</v>
          </cell>
          <cell r="EC19">
            <v>61</v>
          </cell>
          <cell r="ED19">
            <v>257</v>
          </cell>
          <cell r="EF19">
            <v>60</v>
          </cell>
          <cell r="EG19">
            <v>60</v>
          </cell>
          <cell r="EH19">
            <v>55</v>
          </cell>
          <cell r="EI19">
            <v>50</v>
          </cell>
          <cell r="EJ19">
            <v>225</v>
          </cell>
          <cell r="EK19" t="str">
            <v xml:space="preserve">Interest Expense, net </v>
          </cell>
          <cell r="EL19">
            <v>54</v>
          </cell>
          <cell r="EM19">
            <v>54</v>
          </cell>
          <cell r="EN19">
            <v>145</v>
          </cell>
          <cell r="EO19">
            <v>144</v>
          </cell>
          <cell r="EP19">
            <v>397</v>
          </cell>
          <cell r="ER19">
            <v>138</v>
          </cell>
          <cell r="ES19">
            <v>116</v>
          </cell>
          <cell r="ET19">
            <v>104</v>
          </cell>
          <cell r="EU19">
            <v>103</v>
          </cell>
          <cell r="EV19">
            <v>461</v>
          </cell>
          <cell r="EX19">
            <v>125</v>
          </cell>
          <cell r="EY19">
            <v>137</v>
          </cell>
          <cell r="EZ19">
            <v>145</v>
          </cell>
          <cell r="FA19">
            <v>136</v>
          </cell>
          <cell r="FB19">
            <v>543</v>
          </cell>
          <cell r="FD19">
            <v>136</v>
          </cell>
          <cell r="FE19">
            <v>138</v>
          </cell>
          <cell r="FF19">
            <v>143</v>
          </cell>
          <cell r="FG19">
            <v>143</v>
          </cell>
          <cell r="FH19">
            <v>560</v>
          </cell>
          <cell r="FJ19">
            <v>141</v>
          </cell>
          <cell r="FK19">
            <v>139</v>
          </cell>
          <cell r="FL19">
            <v>137</v>
          </cell>
          <cell r="FM19">
            <v>139</v>
          </cell>
          <cell r="FN19">
            <v>556</v>
          </cell>
          <cell r="FP19">
            <v>162</v>
          </cell>
          <cell r="FQ19">
            <v>130</v>
          </cell>
          <cell r="FR19">
            <v>164</v>
          </cell>
          <cell r="FS19">
            <v>118</v>
          </cell>
          <cell r="FT19">
            <v>574</v>
          </cell>
          <cell r="FV19">
            <v>116</v>
          </cell>
          <cell r="FW19">
            <v>111</v>
          </cell>
          <cell r="FX19">
            <v>108</v>
          </cell>
          <cell r="FY19">
            <v>108</v>
          </cell>
          <cell r="FZ19">
            <v>443</v>
          </cell>
          <cell r="GB19">
            <v>112</v>
          </cell>
          <cell r="GC19">
            <v>105</v>
          </cell>
          <cell r="GD19">
            <v>106.92000000000002</v>
          </cell>
          <cell r="GE19">
            <v>114.02267925414607</v>
          </cell>
          <cell r="GF19">
            <v>437.94267925414607</v>
          </cell>
          <cell r="GS19" t="str">
            <v>mstag:interestExpense</v>
          </cell>
          <cell r="GT19">
            <v>6</v>
          </cell>
          <cell r="GU19" t="str">
            <v>ISO4217:USD</v>
          </cell>
          <cell r="GV19" t="b">
            <v>0</v>
          </cell>
          <cell r="GW19" t="b">
            <v>0</v>
          </cell>
        </row>
        <row r="20">
          <cell r="A20" t="str">
            <v>LIFO Charge</v>
          </cell>
          <cell r="C20">
            <v>0</v>
          </cell>
          <cell r="D20">
            <v>0</v>
          </cell>
          <cell r="E20">
            <v>0</v>
          </cell>
          <cell r="F20">
            <v>23.248000000000001</v>
          </cell>
          <cell r="G20">
            <v>8.5730000000000022</v>
          </cell>
          <cell r="H20">
            <v>2.7240000000000002</v>
          </cell>
          <cell r="I20">
            <v>-11.271000000000001</v>
          </cell>
          <cell r="K20">
            <v>-2.0990000000000002</v>
          </cell>
          <cell r="L20">
            <v>-0.2390000000000001</v>
          </cell>
          <cell r="AN20" t="str">
            <v>LIFO Charge</v>
          </cell>
          <cell r="AO20">
            <v>0</v>
          </cell>
          <cell r="AP20">
            <v>0</v>
          </cell>
          <cell r="AQ20">
            <v>0</v>
          </cell>
          <cell r="AR20">
            <v>0</v>
          </cell>
          <cell r="AS20">
            <v>0</v>
          </cell>
          <cell r="AU20">
            <v>0</v>
          </cell>
          <cell r="AV20">
            <v>0</v>
          </cell>
          <cell r="AW20">
            <v>0</v>
          </cell>
          <cell r="AX20">
            <v>10.055999999999999</v>
          </cell>
          <cell r="AY20">
            <v>23.248000000000001</v>
          </cell>
          <cell r="BA20">
            <v>4.4000000000000004</v>
          </cell>
          <cell r="BB20">
            <v>4.4000000000000004</v>
          </cell>
          <cell r="BC20">
            <v>11.3</v>
          </cell>
          <cell r="BD20">
            <v>-11.526999999999999</v>
          </cell>
          <cell r="BE20">
            <v>8.5730000000000022</v>
          </cell>
          <cell r="BG20">
            <v>3.85</v>
          </cell>
          <cell r="BH20">
            <v>3.6749999999999998</v>
          </cell>
          <cell r="BI20">
            <v>4.375</v>
          </cell>
          <cell r="BJ20">
            <v>-9.1760000000000002</v>
          </cell>
          <cell r="BK20">
            <v>2.7240000000000002</v>
          </cell>
          <cell r="BM20">
            <v>5.2009999999999996</v>
          </cell>
          <cell r="BN20">
            <v>0.60399999999999998</v>
          </cell>
          <cell r="BO20">
            <v>3.375</v>
          </cell>
          <cell r="BP20">
            <v>-20.451000000000001</v>
          </cell>
          <cell r="BQ20">
            <v>-11.271000000000001</v>
          </cell>
          <cell r="BS20">
            <v>10.201000000000001</v>
          </cell>
          <cell r="BT20">
            <v>2.2759999999999998</v>
          </cell>
          <cell r="BU20">
            <v>5.875</v>
          </cell>
          <cell r="BV20">
            <v>-20.451000000000001</v>
          </cell>
          <cell r="BW20">
            <v>-2.0990000000000002</v>
          </cell>
          <cell r="BY20">
            <v>1.7609999999999999</v>
          </cell>
          <cell r="BZ20">
            <v>0</v>
          </cell>
          <cell r="CA20">
            <v>0</v>
          </cell>
          <cell r="CB20">
            <v>0</v>
          </cell>
          <cell r="CC20">
            <v>0</v>
          </cell>
          <cell r="CD20">
            <v>-2</v>
          </cell>
          <cell r="CE20">
            <v>-1.7609999999999999</v>
          </cell>
          <cell r="CF20">
            <v>-0.2390000000000001</v>
          </cell>
          <cell r="CG20">
            <v>0</v>
          </cell>
          <cell r="CH20">
            <v>0</v>
          </cell>
        </row>
        <row r="21">
          <cell r="A21" t="str">
            <v>Pre-Tax Extraordinary Charges (FYins)</v>
          </cell>
          <cell r="C21">
            <v>1209.9270000000001</v>
          </cell>
          <cell r="D21">
            <v>127.032</v>
          </cell>
          <cell r="E21">
            <v>1679.9359999999999</v>
          </cell>
          <cell r="F21">
            <v>0</v>
          </cell>
          <cell r="G21">
            <v>0</v>
          </cell>
          <cell r="H21">
            <v>-24</v>
          </cell>
          <cell r="I21">
            <v>25.204999999999998</v>
          </cell>
          <cell r="K21">
            <v>144.60500000000002</v>
          </cell>
          <cell r="L21">
            <v>276.92599999999999</v>
          </cell>
          <cell r="N21">
            <v>0</v>
          </cell>
          <cell r="O21">
            <v>0</v>
          </cell>
          <cell r="P21">
            <v>0</v>
          </cell>
          <cell r="Q21">
            <v>0</v>
          </cell>
          <cell r="R21">
            <v>0</v>
          </cell>
          <cell r="S21">
            <v>80</v>
          </cell>
          <cell r="T21">
            <v>272</v>
          </cell>
          <cell r="U21">
            <v>68</v>
          </cell>
          <cell r="V21">
            <v>59</v>
          </cell>
          <cell r="W21">
            <v>158</v>
          </cell>
          <cell r="X21">
            <v>-303</v>
          </cell>
          <cell r="Y21">
            <v>437</v>
          </cell>
          <cell r="Z21">
            <v>219</v>
          </cell>
          <cell r="AA21">
            <v>421</v>
          </cell>
          <cell r="AB21">
            <v>391</v>
          </cell>
          <cell r="AC21">
            <v>25</v>
          </cell>
          <cell r="AD21">
            <v>-25</v>
          </cell>
          <cell r="AE21">
            <v>0</v>
          </cell>
          <cell r="AF21">
            <v>0</v>
          </cell>
          <cell r="AG21">
            <v>0</v>
          </cell>
          <cell r="AH21">
            <v>0</v>
          </cell>
          <cell r="AI21">
            <v>0</v>
          </cell>
          <cell r="AJ21">
            <v>0</v>
          </cell>
          <cell r="AK21">
            <v>0</v>
          </cell>
          <cell r="AL21">
            <v>0</v>
          </cell>
          <cell r="AN21" t="str">
            <v>Pre-Tax Extraordinary Charges (FYins)</v>
          </cell>
          <cell r="AO21">
            <v>19.689</v>
          </cell>
          <cell r="AP21">
            <v>9.3439999999999994</v>
          </cell>
          <cell r="AQ21">
            <v>29.286000000000001</v>
          </cell>
          <cell r="AR21">
            <v>68.712999999999994</v>
          </cell>
          <cell r="AS21">
            <v>127.032</v>
          </cell>
          <cell r="AU21">
            <v>10.657</v>
          </cell>
          <cell r="AV21">
            <v>108.504</v>
          </cell>
          <cell r="AW21">
            <v>23.658000000000001</v>
          </cell>
          <cell r="AX21">
            <v>1537.117</v>
          </cell>
          <cell r="AY21">
            <v>1679.9359999999999</v>
          </cell>
          <cell r="BA21">
            <v>0</v>
          </cell>
          <cell r="BB21">
            <v>0</v>
          </cell>
          <cell r="BC21">
            <v>0</v>
          </cell>
          <cell r="BD21">
            <v>0</v>
          </cell>
          <cell r="BE21">
            <v>0</v>
          </cell>
          <cell r="BG21">
            <v>0</v>
          </cell>
          <cell r="BH21">
            <v>0</v>
          </cell>
          <cell r="BI21">
            <v>0</v>
          </cell>
          <cell r="BJ21">
            <v>-24</v>
          </cell>
          <cell r="BK21">
            <v>-24</v>
          </cell>
          <cell r="BM21">
            <v>0</v>
          </cell>
          <cell r="BN21">
            <v>27.004999999999999</v>
          </cell>
          <cell r="BO21">
            <v>0</v>
          </cell>
          <cell r="BP21">
            <v>-1.8000000000000007</v>
          </cell>
          <cell r="BQ21">
            <v>25.204999999999998</v>
          </cell>
          <cell r="BS21">
            <v>0</v>
          </cell>
          <cell r="BT21">
            <v>7.5050000000000026</v>
          </cell>
          <cell r="BU21">
            <v>80</v>
          </cell>
          <cell r="BV21">
            <v>57.100000000000009</v>
          </cell>
          <cell r="BW21">
            <v>144.60500000000002</v>
          </cell>
          <cell r="BY21">
            <v>83.322000000000003</v>
          </cell>
          <cell r="BZ21">
            <v>114.604</v>
          </cell>
          <cell r="CA21">
            <v>39</v>
          </cell>
          <cell r="CB21">
            <v>0</v>
          </cell>
          <cell r="CC21">
            <v>39.134</v>
          </cell>
          <cell r="CD21">
            <v>40</v>
          </cell>
          <cell r="CE21">
            <v>82.450999999999993</v>
          </cell>
          <cell r="CF21">
            <v>276.92599999999999</v>
          </cell>
          <cell r="CG21">
            <v>319.37699999999995</v>
          </cell>
          <cell r="CH21">
            <v>319.37699999999995</v>
          </cell>
          <cell r="CJ21">
            <v>77.7</v>
          </cell>
          <cell r="CK21">
            <v>98.917000000000002</v>
          </cell>
          <cell r="CL21">
            <v>44.304000000000002</v>
          </cell>
          <cell r="CM21">
            <v>87.721999999999994</v>
          </cell>
          <cell r="CN21">
            <v>308.64300000000003</v>
          </cell>
          <cell r="CP21">
            <v>0</v>
          </cell>
          <cell r="CQ21">
            <v>0</v>
          </cell>
          <cell r="CR21">
            <v>0</v>
          </cell>
          <cell r="CS21">
            <v>0</v>
          </cell>
          <cell r="CT21">
            <v>0</v>
          </cell>
          <cell r="CV21">
            <v>0</v>
          </cell>
          <cell r="CW21">
            <v>0</v>
          </cell>
          <cell r="CX21">
            <v>0</v>
          </cell>
          <cell r="CY21">
            <v>0</v>
          </cell>
          <cell r="CZ21">
            <v>0</v>
          </cell>
          <cell r="DB21">
            <v>0</v>
          </cell>
          <cell r="DC21">
            <v>0</v>
          </cell>
          <cell r="DD21">
            <v>0</v>
          </cell>
          <cell r="DE21">
            <v>0</v>
          </cell>
          <cell r="DF21">
            <v>0</v>
          </cell>
          <cell r="DH21">
            <v>0</v>
          </cell>
          <cell r="DI21">
            <v>0</v>
          </cell>
          <cell r="DJ21">
            <v>0</v>
          </cell>
          <cell r="DK21">
            <v>80</v>
          </cell>
          <cell r="DL21">
            <v>80</v>
          </cell>
          <cell r="DN21">
            <v>52</v>
          </cell>
          <cell r="DO21">
            <v>41</v>
          </cell>
          <cell r="DP21">
            <v>30</v>
          </cell>
          <cell r="DQ21">
            <v>149</v>
          </cell>
          <cell r="DR21">
            <v>272</v>
          </cell>
          <cell r="DT21">
            <v>0</v>
          </cell>
          <cell r="DU21">
            <v>0</v>
          </cell>
          <cell r="DV21">
            <v>0</v>
          </cell>
          <cell r="DW21">
            <v>68</v>
          </cell>
          <cell r="DX21">
            <v>68</v>
          </cell>
          <cell r="DZ21">
            <v>8</v>
          </cell>
          <cell r="EA21">
            <v>10</v>
          </cell>
          <cell r="EB21">
            <v>29</v>
          </cell>
          <cell r="EC21">
            <v>12</v>
          </cell>
          <cell r="ED21">
            <v>59</v>
          </cell>
          <cell r="EF21">
            <v>19</v>
          </cell>
          <cell r="EG21">
            <v>90</v>
          </cell>
          <cell r="EH21">
            <v>36</v>
          </cell>
          <cell r="EI21">
            <v>13</v>
          </cell>
          <cell r="EJ21">
            <v>158</v>
          </cell>
          <cell r="EK21" t="str">
            <v>Pre-Tax Extraordinary Charges (FYins)</v>
          </cell>
          <cell r="EL21">
            <v>0</v>
          </cell>
          <cell r="EM21">
            <v>0</v>
          </cell>
          <cell r="EN21">
            <v>-417</v>
          </cell>
          <cell r="EO21">
            <v>114</v>
          </cell>
          <cell r="EP21">
            <v>-303</v>
          </cell>
          <cell r="ER21">
            <v>129</v>
          </cell>
          <cell r="ES21">
            <v>-14</v>
          </cell>
          <cell r="ET21">
            <v>145</v>
          </cell>
          <cell r="EU21">
            <v>177</v>
          </cell>
          <cell r="EV21">
            <v>437</v>
          </cell>
          <cell r="EX21">
            <v>36</v>
          </cell>
          <cell r="EY21">
            <v>97</v>
          </cell>
          <cell r="EZ21">
            <v>17</v>
          </cell>
          <cell r="FA21">
            <v>69</v>
          </cell>
          <cell r="FB21">
            <v>219</v>
          </cell>
          <cell r="FD21">
            <v>110</v>
          </cell>
          <cell r="FE21">
            <v>76</v>
          </cell>
          <cell r="FF21">
            <v>16</v>
          </cell>
          <cell r="FG21">
            <v>219</v>
          </cell>
          <cell r="FH21">
            <v>421</v>
          </cell>
          <cell r="FJ21">
            <v>138</v>
          </cell>
          <cell r="FK21">
            <v>34</v>
          </cell>
          <cell r="FL21">
            <v>33</v>
          </cell>
          <cell r="FM21">
            <v>186</v>
          </cell>
          <cell r="FN21">
            <v>391</v>
          </cell>
          <cell r="FP21">
            <v>0</v>
          </cell>
          <cell r="FQ21">
            <v>0</v>
          </cell>
          <cell r="FR21">
            <v>0</v>
          </cell>
          <cell r="FS21">
            <v>25</v>
          </cell>
          <cell r="FT21">
            <v>25</v>
          </cell>
          <cell r="FV21">
            <v>0</v>
          </cell>
          <cell r="FW21">
            <v>0</v>
          </cell>
          <cell r="FX21">
            <v>0</v>
          </cell>
          <cell r="FY21">
            <v>-25</v>
          </cell>
          <cell r="FZ21">
            <v>-25</v>
          </cell>
          <cell r="GB21">
            <v>0</v>
          </cell>
          <cell r="GC21">
            <v>0</v>
          </cell>
          <cell r="GD21">
            <v>0</v>
          </cell>
          <cell r="GE21">
            <v>0</v>
          </cell>
          <cell r="GF21">
            <v>0</v>
          </cell>
        </row>
        <row r="23">
          <cell r="A23" t="str">
            <v>Pretax Income</v>
          </cell>
          <cell r="C23">
            <v>-1767.144</v>
          </cell>
          <cell r="D23">
            <v>-547.80099999999936</v>
          </cell>
          <cell r="E23">
            <v>-1849.9609999999998</v>
          </cell>
          <cell r="F23">
            <v>53.278999999999812</v>
          </cell>
          <cell r="G23">
            <v>232.00700000000063</v>
          </cell>
          <cell r="H23">
            <v>367.77999999999912</v>
          </cell>
          <cell r="I23">
            <v>427.72199999999896</v>
          </cell>
          <cell r="J23">
            <v>1.0023277888444908</v>
          </cell>
          <cell r="K23">
            <v>92.294999999999447</v>
          </cell>
          <cell r="L23">
            <v>304.69899999999899</v>
          </cell>
          <cell r="N23">
            <v>202</v>
          </cell>
          <cell r="O23">
            <v>441</v>
          </cell>
          <cell r="P23">
            <v>958</v>
          </cell>
          <cell r="Q23">
            <v>1163</v>
          </cell>
          <cell r="R23">
            <v>1386</v>
          </cell>
          <cell r="S23">
            <v>1370</v>
          </cell>
          <cell r="T23">
            <v>780</v>
          </cell>
          <cell r="U23">
            <v>1048</v>
          </cell>
          <cell r="V23">
            <v>1084</v>
          </cell>
          <cell r="W23">
            <v>1116</v>
          </cell>
          <cell r="X23">
            <v>2044</v>
          </cell>
          <cell r="Y23">
            <v>1375</v>
          </cell>
          <cell r="Z23">
            <v>1320</v>
          </cell>
          <cell r="AA23">
            <v>444</v>
          </cell>
          <cell r="AB23">
            <v>507</v>
          </cell>
          <cell r="AC23">
            <v>1320</v>
          </cell>
          <cell r="AD23">
            <v>1968</v>
          </cell>
          <cell r="AE23">
            <v>2233.35394297312</v>
          </cell>
          <cell r="AF23">
            <v>2339.9446915434578</v>
          </cell>
          <cell r="AG23">
            <v>2569.4863960758839</v>
          </cell>
          <cell r="AH23">
            <v>2604.987304516796</v>
          </cell>
          <cell r="AI23">
            <v>2672.2023854398972</v>
          </cell>
          <cell r="AJ23">
            <v>2774.7654454877938</v>
          </cell>
          <cell r="AK23">
            <v>2859.4114719524105</v>
          </cell>
          <cell r="AL23">
            <v>2927.9432446306555</v>
          </cell>
          <cell r="AN23" t="str">
            <v>Pretax Income</v>
          </cell>
          <cell r="AO23">
            <v>-143.4009999999999</v>
          </cell>
          <cell r="AP23">
            <v>-186.447</v>
          </cell>
          <cell r="AQ23">
            <v>-121.46500000000003</v>
          </cell>
          <cell r="AR23">
            <v>-96.488000000000056</v>
          </cell>
          <cell r="AS23">
            <v>-547.80100000000004</v>
          </cell>
          <cell r="AT23">
            <v>0</v>
          </cell>
          <cell r="AU23">
            <v>-85.017999999999915</v>
          </cell>
          <cell r="AV23">
            <v>-210.38000000000011</v>
          </cell>
          <cell r="AW23">
            <v>-79.991999999999962</v>
          </cell>
          <cell r="AX23">
            <v>-1484.6269999999995</v>
          </cell>
          <cell r="AY23">
            <v>-1873.2089999999998</v>
          </cell>
          <cell r="AZ23">
            <v>0</v>
          </cell>
          <cell r="BA23">
            <v>22.976000000000163</v>
          </cell>
          <cell r="BB23">
            <v>-22.479000000000042</v>
          </cell>
          <cell r="BC23">
            <v>55.534999999999911</v>
          </cell>
          <cell r="BD23">
            <v>175.97500000000005</v>
          </cell>
          <cell r="BE23">
            <v>232.00700000000006</v>
          </cell>
          <cell r="BF23">
            <v>0</v>
          </cell>
          <cell r="BG23">
            <v>39.659000000000063</v>
          </cell>
          <cell r="BH23">
            <v>18.090999999999973</v>
          </cell>
          <cell r="BI23">
            <v>63.014999999999951</v>
          </cell>
          <cell r="BJ23">
            <v>247.01499999999982</v>
          </cell>
          <cell r="BK23">
            <v>367.77999999999918</v>
          </cell>
          <cell r="BL23">
            <v>0</v>
          </cell>
          <cell r="BM23">
            <v>58.068000000000175</v>
          </cell>
          <cell r="BN23">
            <v>10.26699999999984</v>
          </cell>
          <cell r="BO23">
            <v>78.336000000000013</v>
          </cell>
          <cell r="BP23">
            <v>281.05100000000004</v>
          </cell>
          <cell r="BQ23">
            <v>427.72199999999896</v>
          </cell>
          <cell r="BR23">
            <v>0</v>
          </cell>
          <cell r="BS23">
            <v>-52.740000000000038</v>
          </cell>
          <cell r="BT23">
            <v>-87.464999999999975</v>
          </cell>
          <cell r="BU23">
            <v>-76.039999999999964</v>
          </cell>
          <cell r="BV23">
            <v>308.54000000000008</v>
          </cell>
          <cell r="BW23">
            <v>92.294999999999391</v>
          </cell>
          <cell r="BX23">
            <v>0</v>
          </cell>
          <cell r="BY23">
            <v>-86.748000000000275</v>
          </cell>
          <cell r="BZ23">
            <v>-101.6219999999999</v>
          </cell>
          <cell r="CA23">
            <v>42.979999999999734</v>
          </cell>
          <cell r="CB23">
            <v>-68.198000000000221</v>
          </cell>
          <cell r="CC23">
            <v>-25.311000000000149</v>
          </cell>
          <cell r="CD23">
            <v>450.08899999999983</v>
          </cell>
          <cell r="CE23">
            <v>415.06299999999948</v>
          </cell>
          <cell r="CF23">
            <v>304.69899999999893</v>
          </cell>
          <cell r="CG23">
            <v>269.67299999999909</v>
          </cell>
          <cell r="CH23">
            <v>201.47499999999741</v>
          </cell>
          <cell r="CJ23">
            <v>-56.994000000000142</v>
          </cell>
          <cell r="CK23">
            <v>-39.859999999999957</v>
          </cell>
          <cell r="CL23">
            <v>73.95100000000042</v>
          </cell>
          <cell r="CM23">
            <v>464.36099999999965</v>
          </cell>
          <cell r="CN23">
            <v>441.45799999999974</v>
          </cell>
          <cell r="CP23">
            <v>43.683000000000177</v>
          </cell>
          <cell r="CQ23">
            <v>112.59700000000035</v>
          </cell>
          <cell r="CR23">
            <v>176.08300000000003</v>
          </cell>
          <cell r="CS23">
            <v>625.92700000000002</v>
          </cell>
          <cell r="CT23">
            <v>958.29000000000053</v>
          </cell>
          <cell r="CU23">
            <v>0</v>
          </cell>
          <cell r="CV23">
            <v>104</v>
          </cell>
          <cell r="CW23">
            <v>193</v>
          </cell>
          <cell r="CX23">
            <v>185</v>
          </cell>
          <cell r="CY23">
            <v>681</v>
          </cell>
          <cell r="CZ23">
            <v>1163</v>
          </cell>
          <cell r="DB23">
            <v>150</v>
          </cell>
          <cell r="DC23">
            <v>233</v>
          </cell>
          <cell r="DD23">
            <v>211</v>
          </cell>
          <cell r="DE23">
            <v>752</v>
          </cell>
          <cell r="DF23">
            <v>1346</v>
          </cell>
          <cell r="DH23">
            <v>200</v>
          </cell>
          <cell r="DI23">
            <v>324</v>
          </cell>
          <cell r="DJ23">
            <v>185</v>
          </cell>
          <cell r="DK23">
            <v>661</v>
          </cell>
          <cell r="DL23">
            <v>1370</v>
          </cell>
          <cell r="DN23">
            <v>100</v>
          </cell>
          <cell r="DO23">
            <v>135</v>
          </cell>
          <cell r="DP23">
            <v>46</v>
          </cell>
          <cell r="DQ23">
            <v>499</v>
          </cell>
          <cell r="DR23">
            <v>780</v>
          </cell>
          <cell r="DT23">
            <v>147</v>
          </cell>
          <cell r="DU23">
            <v>222</v>
          </cell>
          <cell r="DV23">
            <v>115</v>
          </cell>
          <cell r="DW23">
            <v>564</v>
          </cell>
          <cell r="DX23">
            <v>1048</v>
          </cell>
          <cell r="DZ23">
            <v>76</v>
          </cell>
          <cell r="EA23">
            <v>199</v>
          </cell>
          <cell r="EB23">
            <v>112</v>
          </cell>
          <cell r="EC23">
            <v>697</v>
          </cell>
          <cell r="ED23">
            <v>1084</v>
          </cell>
          <cell r="EF23">
            <v>157</v>
          </cell>
          <cell r="EG23">
            <v>126</v>
          </cell>
          <cell r="EH23">
            <v>120</v>
          </cell>
          <cell r="EI23">
            <v>713</v>
          </cell>
          <cell r="EJ23">
            <v>1116</v>
          </cell>
          <cell r="EK23" t="str">
            <v>Pretax Income</v>
          </cell>
          <cell r="EL23">
            <v>198</v>
          </cell>
          <cell r="EM23">
            <v>237</v>
          </cell>
          <cell r="EN23">
            <v>542</v>
          </cell>
          <cell r="EO23">
            <v>1067</v>
          </cell>
          <cell r="EP23">
            <v>2044</v>
          </cell>
          <cell r="ER23">
            <v>-118</v>
          </cell>
          <cell r="ES23">
            <v>306</v>
          </cell>
          <cell r="ET23">
            <v>30</v>
          </cell>
          <cell r="EU23">
            <v>1157</v>
          </cell>
          <cell r="EV23">
            <v>1375</v>
          </cell>
          <cell r="EX23">
            <v>83</v>
          </cell>
          <cell r="EY23">
            <v>113</v>
          </cell>
          <cell r="EZ23">
            <v>38</v>
          </cell>
          <cell r="FA23">
            <v>1086</v>
          </cell>
          <cell r="FB23">
            <v>1320</v>
          </cell>
          <cell r="FD23">
            <v>-106</v>
          </cell>
          <cell r="FE23">
            <v>121</v>
          </cell>
          <cell r="FF23">
            <v>-75</v>
          </cell>
          <cell r="FG23">
            <v>504</v>
          </cell>
          <cell r="FH23">
            <v>444</v>
          </cell>
          <cell r="FJ23">
            <v>-255</v>
          </cell>
          <cell r="FK23">
            <v>109</v>
          </cell>
          <cell r="FL23">
            <v>-82</v>
          </cell>
          <cell r="FM23">
            <v>735</v>
          </cell>
          <cell r="FN23">
            <v>507</v>
          </cell>
          <cell r="FP23">
            <v>41</v>
          </cell>
          <cell r="FQ23">
            <v>240</v>
          </cell>
          <cell r="FR23">
            <v>13</v>
          </cell>
          <cell r="FS23">
            <v>1026</v>
          </cell>
          <cell r="FT23">
            <v>1320</v>
          </cell>
          <cell r="FV23">
            <v>214</v>
          </cell>
          <cell r="FW23">
            <v>395</v>
          </cell>
          <cell r="FX23">
            <v>183</v>
          </cell>
          <cell r="FY23">
            <v>1176</v>
          </cell>
          <cell r="FZ23">
            <v>1968</v>
          </cell>
          <cell r="GB23">
            <v>279</v>
          </cell>
          <cell r="GC23">
            <v>449</v>
          </cell>
          <cell r="GD23">
            <v>174.65499452664795</v>
          </cell>
          <cell r="GE23">
            <v>1330.6989484464721</v>
          </cell>
          <cell r="GF23">
            <v>2233.35394297312</v>
          </cell>
        </row>
        <row r="24">
          <cell r="A24" t="str">
            <v>Income Taxes (Benefit)</v>
          </cell>
          <cell r="C24">
            <v>6.7830000000000004</v>
          </cell>
          <cell r="D24">
            <v>-276.35500000000002</v>
          </cell>
          <cell r="E24">
            <v>-613.98900000000003</v>
          </cell>
          <cell r="F24">
            <v>28.096</v>
          </cell>
          <cell r="G24">
            <v>99.299000000000007</v>
          </cell>
          <cell r="H24">
            <v>156.745</v>
          </cell>
          <cell r="I24">
            <v>180.869</v>
          </cell>
          <cell r="K24">
            <v>55.495050000000049</v>
          </cell>
          <cell r="L24">
            <v>155.708</v>
          </cell>
          <cell r="N24">
            <v>127</v>
          </cell>
          <cell r="O24">
            <v>175</v>
          </cell>
          <cell r="P24">
            <v>383</v>
          </cell>
          <cell r="Q24">
            <v>478</v>
          </cell>
          <cell r="R24">
            <v>561</v>
          </cell>
          <cell r="S24">
            <v>549</v>
          </cell>
          <cell r="T24">
            <v>306</v>
          </cell>
          <cell r="U24">
            <v>410</v>
          </cell>
          <cell r="V24">
            <v>429</v>
          </cell>
          <cell r="W24">
            <v>427</v>
          </cell>
          <cell r="X24">
            <v>765.40858992805761</v>
          </cell>
          <cell r="Y24">
            <v>511.75</v>
          </cell>
          <cell r="Z24">
            <v>489</v>
          </cell>
          <cell r="AA24">
            <v>-135</v>
          </cell>
          <cell r="AB24">
            <v>178</v>
          </cell>
          <cell r="AC24">
            <v>473</v>
          </cell>
          <cell r="AD24">
            <v>712</v>
          </cell>
          <cell r="AE24">
            <v>824.98095890005447</v>
          </cell>
          <cell r="AF24">
            <v>865.77953587107936</v>
          </cell>
          <cell r="AG24">
            <v>950.70996654807709</v>
          </cell>
          <cell r="AH24">
            <v>963.84530267121454</v>
          </cell>
          <cell r="AI24">
            <v>988.71488261276193</v>
          </cell>
          <cell r="AJ24">
            <v>1026.6632148304836</v>
          </cell>
          <cell r="AK24">
            <v>1057.9822446223918</v>
          </cell>
          <cell r="AL24">
            <v>1083.3390005133426</v>
          </cell>
          <cell r="AN24" t="str">
            <v>Income Taxes (Benefit)</v>
          </cell>
          <cell r="AO24">
            <v>-43.960999999999999</v>
          </cell>
          <cell r="AP24">
            <v>-60.075000000000003</v>
          </cell>
          <cell r="AQ24">
            <v>-34.662999999999997</v>
          </cell>
          <cell r="AR24">
            <v>-137.65600000000001</v>
          </cell>
          <cell r="AS24">
            <v>-276.35500000000002</v>
          </cell>
          <cell r="AU24">
            <v>-20.856999999999999</v>
          </cell>
          <cell r="AV24">
            <v>-66.552000000000007</v>
          </cell>
          <cell r="AW24">
            <v>-18.997</v>
          </cell>
          <cell r="AX24">
            <v>-507.58300000000003</v>
          </cell>
          <cell r="AY24">
            <v>-613.98900000000003</v>
          </cell>
          <cell r="BA24">
            <v>11.164</v>
          </cell>
          <cell r="BB24">
            <v>-6.69</v>
          </cell>
          <cell r="BC24">
            <v>23.952999999999999</v>
          </cell>
          <cell r="BD24">
            <v>70.872</v>
          </cell>
          <cell r="BE24">
            <v>99.299000000000007</v>
          </cell>
          <cell r="BG24">
            <v>17.959</v>
          </cell>
          <cell r="BH24">
            <v>9.2379999999999995</v>
          </cell>
          <cell r="BI24">
            <v>28.490999999999996</v>
          </cell>
          <cell r="BJ24">
            <v>101.057</v>
          </cell>
          <cell r="BK24">
            <v>156.745</v>
          </cell>
          <cell r="BM24">
            <v>25.846</v>
          </cell>
          <cell r="BN24">
            <v>6.4950000000000001</v>
          </cell>
          <cell r="BO24">
            <v>33.993000000000002</v>
          </cell>
          <cell r="BP24">
            <v>114.535</v>
          </cell>
          <cell r="BQ24">
            <v>180.869</v>
          </cell>
          <cell r="BS24">
            <v>-15.693600000000016</v>
          </cell>
          <cell r="BT24">
            <v>-29.236349999999991</v>
          </cell>
          <cell r="BU24">
            <v>-24.780599999999986</v>
          </cell>
          <cell r="BV24">
            <v>125.20560000000003</v>
          </cell>
          <cell r="BW24">
            <v>55.495050000000049</v>
          </cell>
          <cell r="BY24">
            <v>-29.748999999999999</v>
          </cell>
          <cell r="BZ24">
            <v>-34.447000000000003</v>
          </cell>
          <cell r="CA24">
            <v>21.084</v>
          </cell>
          <cell r="CB24">
            <v>0</v>
          </cell>
          <cell r="CC24">
            <v>21.084</v>
          </cell>
          <cell r="CD24">
            <v>198.82</v>
          </cell>
          <cell r="CE24">
            <v>170.41800000000001</v>
          </cell>
          <cell r="CF24">
            <v>155.708</v>
          </cell>
          <cell r="CG24">
            <v>127.30600000000001</v>
          </cell>
          <cell r="CH24">
            <v>127.30600000000001</v>
          </cell>
          <cell r="CJ24">
            <v>-19.071000000000002</v>
          </cell>
          <cell r="CK24">
            <v>-12.667</v>
          </cell>
          <cell r="CL24">
            <v>32.15</v>
          </cell>
          <cell r="CM24">
            <v>175.15899999999999</v>
          </cell>
          <cell r="CN24">
            <v>175.571</v>
          </cell>
          <cell r="CP24">
            <v>19.623999999999999</v>
          </cell>
          <cell r="CQ24">
            <v>46.226999999999997</v>
          </cell>
          <cell r="CR24">
            <v>70.968999999999994</v>
          </cell>
          <cell r="CS24">
            <v>246.84700000000001</v>
          </cell>
          <cell r="CT24">
            <v>383.66700000000003</v>
          </cell>
          <cell r="CV24">
            <v>43.765999999999998</v>
          </cell>
          <cell r="CW24">
            <v>86</v>
          </cell>
          <cell r="CX24">
            <v>75</v>
          </cell>
          <cell r="CY24">
            <v>273</v>
          </cell>
          <cell r="CZ24">
            <v>477.76599999999996</v>
          </cell>
          <cell r="DB24">
            <v>63</v>
          </cell>
          <cell r="DC24">
            <v>96</v>
          </cell>
          <cell r="DD24">
            <v>88</v>
          </cell>
          <cell r="DE24">
            <v>304</v>
          </cell>
          <cell r="DF24">
            <v>551</v>
          </cell>
          <cell r="DH24">
            <v>82</v>
          </cell>
          <cell r="DI24">
            <v>130</v>
          </cell>
          <cell r="DJ24">
            <v>76</v>
          </cell>
          <cell r="DK24">
            <v>261</v>
          </cell>
          <cell r="DL24">
            <v>549</v>
          </cell>
          <cell r="DN24">
            <v>42</v>
          </cell>
          <cell r="DO24">
            <v>55</v>
          </cell>
          <cell r="DP24">
            <v>20</v>
          </cell>
          <cell r="DQ24">
            <v>189</v>
          </cell>
          <cell r="DR24">
            <v>306</v>
          </cell>
          <cell r="DT24">
            <v>58</v>
          </cell>
          <cell r="DU24">
            <v>89</v>
          </cell>
          <cell r="DV24">
            <v>40</v>
          </cell>
          <cell r="DW24">
            <v>223</v>
          </cell>
          <cell r="DX24">
            <v>410</v>
          </cell>
          <cell r="DZ24">
            <v>30</v>
          </cell>
          <cell r="EA24">
            <v>79</v>
          </cell>
          <cell r="EB24">
            <v>45</v>
          </cell>
          <cell r="EC24">
            <v>275</v>
          </cell>
          <cell r="ED24">
            <v>429</v>
          </cell>
          <cell r="EF24">
            <v>60</v>
          </cell>
          <cell r="EG24">
            <v>48</v>
          </cell>
          <cell r="EH24">
            <v>46</v>
          </cell>
          <cell r="EI24">
            <v>273</v>
          </cell>
          <cell r="EJ24">
            <v>427</v>
          </cell>
          <cell r="EK24" t="str">
            <v>Income Taxes (Benefit)</v>
          </cell>
          <cell r="EL24">
            <v>74.646000000000001</v>
          </cell>
          <cell r="EM24">
            <v>89</v>
          </cell>
          <cell r="EN24">
            <v>202.76258992805757</v>
          </cell>
          <cell r="EO24">
            <v>399</v>
          </cell>
          <cell r="EP24">
            <v>765.40858992805761</v>
          </cell>
          <cell r="ER24">
            <v>-44</v>
          </cell>
          <cell r="ES24">
            <v>114.75</v>
          </cell>
          <cell r="ET24">
            <v>10</v>
          </cell>
          <cell r="EU24">
            <v>431</v>
          </cell>
          <cell r="EV24">
            <v>511.75</v>
          </cell>
          <cell r="EX24">
            <v>31</v>
          </cell>
          <cell r="EY24">
            <v>39</v>
          </cell>
          <cell r="EZ24">
            <v>5</v>
          </cell>
          <cell r="FA24">
            <v>414</v>
          </cell>
          <cell r="FB24">
            <v>489</v>
          </cell>
          <cell r="FD24">
            <v>-47</v>
          </cell>
          <cell r="FE24">
            <v>48</v>
          </cell>
          <cell r="FF24">
            <v>-31</v>
          </cell>
          <cell r="FG24">
            <v>-105</v>
          </cell>
          <cell r="FH24">
            <v>-135</v>
          </cell>
          <cell r="FJ24">
            <v>-167</v>
          </cell>
          <cell r="FK24">
            <v>102</v>
          </cell>
          <cell r="FL24">
            <v>-47</v>
          </cell>
          <cell r="FM24">
            <v>290</v>
          </cell>
          <cell r="FN24">
            <v>178</v>
          </cell>
          <cell r="FP24">
            <v>18</v>
          </cell>
          <cell r="FQ24">
            <v>93</v>
          </cell>
          <cell r="FR24">
            <v>3</v>
          </cell>
          <cell r="FS24">
            <v>359</v>
          </cell>
          <cell r="FT24">
            <v>473</v>
          </cell>
          <cell r="FV24">
            <v>83</v>
          </cell>
          <cell r="FW24">
            <v>154</v>
          </cell>
          <cell r="FX24">
            <v>44</v>
          </cell>
          <cell r="FY24">
            <v>431</v>
          </cell>
          <cell r="FZ24">
            <v>712</v>
          </cell>
          <cell r="GB24">
            <v>98</v>
          </cell>
          <cell r="GC24">
            <v>170</v>
          </cell>
          <cell r="GD24">
            <v>64.622347974859736</v>
          </cell>
          <cell r="GE24">
            <v>492.35861092519468</v>
          </cell>
          <cell r="GF24">
            <v>824.98095890005447</v>
          </cell>
          <cell r="GS24" t="str">
            <v>mstag:taxExpenseIncome</v>
          </cell>
          <cell r="GT24">
            <v>6</v>
          </cell>
          <cell r="GU24" t="str">
            <v>ISO4217:USD</v>
          </cell>
          <cell r="GV24" t="b">
            <v>0</v>
          </cell>
          <cell r="GW24" t="b">
            <v>0</v>
          </cell>
        </row>
        <row r="25">
          <cell r="A25" t="str">
            <v>Net Income Before Post-Tax Items</v>
          </cell>
          <cell r="C25">
            <v>-1773.9269999999999</v>
          </cell>
          <cell r="D25">
            <v>-271.44599999999934</v>
          </cell>
          <cell r="E25">
            <v>-1235.9719999999998</v>
          </cell>
          <cell r="F25">
            <v>25.182999999999812</v>
          </cell>
          <cell r="G25">
            <v>132.70800000000062</v>
          </cell>
          <cell r="H25">
            <v>211.03499999999912</v>
          </cell>
          <cell r="I25">
            <v>246.85299999999896</v>
          </cell>
          <cell r="J25">
            <v>1.1401472134972468</v>
          </cell>
          <cell r="K25">
            <v>36.799949999999399</v>
          </cell>
          <cell r="L25">
            <v>148.99099999999899</v>
          </cell>
          <cell r="N25">
            <v>75</v>
          </cell>
          <cell r="O25">
            <v>266</v>
          </cell>
          <cell r="P25">
            <v>575</v>
          </cell>
          <cell r="Q25">
            <v>685</v>
          </cell>
          <cell r="R25">
            <v>825</v>
          </cell>
          <cell r="S25">
            <v>821</v>
          </cell>
          <cell r="T25">
            <v>474</v>
          </cell>
          <cell r="U25">
            <v>638</v>
          </cell>
          <cell r="V25">
            <v>655</v>
          </cell>
          <cell r="W25">
            <v>689</v>
          </cell>
          <cell r="X25">
            <v>1278.5914100719424</v>
          </cell>
          <cell r="Y25">
            <v>863.25</v>
          </cell>
          <cell r="Z25">
            <v>831</v>
          </cell>
          <cell r="AA25">
            <v>579</v>
          </cell>
          <cell r="AB25">
            <v>329</v>
          </cell>
          <cell r="AC25">
            <v>847</v>
          </cell>
          <cell r="AD25">
            <v>1256</v>
          </cell>
          <cell r="AE25">
            <v>1408.3729840730655</v>
          </cell>
          <cell r="AF25">
            <v>1474.1651556723784</v>
          </cell>
          <cell r="AG25">
            <v>1618.7764295278068</v>
          </cell>
          <cell r="AH25">
            <v>1641.1420018455815</v>
          </cell>
          <cell r="AI25">
            <v>1683.4875028271354</v>
          </cell>
          <cell r="AJ25">
            <v>1748.1022306573102</v>
          </cell>
          <cell r="AK25">
            <v>1801.4292273300186</v>
          </cell>
          <cell r="AL25">
            <v>1844.6042441173129</v>
          </cell>
          <cell r="AN25" t="str">
            <v>Net Income Before Post-Tax Items</v>
          </cell>
          <cell r="AO25">
            <v>-99.439999999999898</v>
          </cell>
          <cell r="AP25">
            <v>-126.372</v>
          </cell>
          <cell r="AQ25">
            <v>-86.802000000000035</v>
          </cell>
          <cell r="AR25">
            <v>41.16799999999995</v>
          </cell>
          <cell r="AS25">
            <v>-271.44599999999997</v>
          </cell>
          <cell r="AU25">
            <v>-64.160999999999916</v>
          </cell>
          <cell r="AV25">
            <v>-143.82800000000009</v>
          </cell>
          <cell r="AW25">
            <v>-60.994999999999962</v>
          </cell>
          <cell r="AX25">
            <v>-977.04399999999941</v>
          </cell>
          <cell r="AY25">
            <v>-1246.0279999999993</v>
          </cell>
          <cell r="BA25">
            <v>11.812000000000163</v>
          </cell>
          <cell r="BB25">
            <v>-15.789000000000041</v>
          </cell>
          <cell r="BC25">
            <v>31.581999999999912</v>
          </cell>
          <cell r="BD25">
            <v>105.10300000000005</v>
          </cell>
          <cell r="BE25">
            <v>132.70800000000008</v>
          </cell>
          <cell r="BG25">
            <v>21.700000000000063</v>
          </cell>
          <cell r="BH25">
            <v>8.8529999999999731</v>
          </cell>
          <cell r="BI25">
            <v>34.523999999999958</v>
          </cell>
          <cell r="BJ25">
            <v>145.9579999999998</v>
          </cell>
          <cell r="BK25">
            <v>211.03499999999917</v>
          </cell>
          <cell r="BM25">
            <v>32.222000000000179</v>
          </cell>
          <cell r="BN25">
            <v>3.7719999999998395</v>
          </cell>
          <cell r="BO25">
            <v>44.343000000000011</v>
          </cell>
          <cell r="BP25">
            <v>166.51600000000005</v>
          </cell>
          <cell r="BQ25">
            <v>246.85299999999896</v>
          </cell>
          <cell r="BS25">
            <v>-37.04640000000002</v>
          </cell>
          <cell r="BT25">
            <v>-58.228649999999988</v>
          </cell>
          <cell r="BU25">
            <v>-51.259399999999978</v>
          </cell>
          <cell r="BV25">
            <v>183.33440000000004</v>
          </cell>
          <cell r="BW25">
            <v>36.799949999999342</v>
          </cell>
          <cell r="BY25">
            <v>-56.999000000000279</v>
          </cell>
          <cell r="BZ25">
            <v>-67.174999999999898</v>
          </cell>
          <cell r="CA25">
            <v>21.895999999999734</v>
          </cell>
          <cell r="CB25">
            <v>-68.198000000000221</v>
          </cell>
          <cell r="CC25">
            <v>-46.395000000000152</v>
          </cell>
          <cell r="CD25">
            <v>251.26899999999983</v>
          </cell>
          <cell r="CE25">
            <v>244.64499999999947</v>
          </cell>
          <cell r="CF25">
            <v>148.99099999999893</v>
          </cell>
          <cell r="CG25">
            <v>142.36699999999902</v>
          </cell>
          <cell r="CH25">
            <v>74.168999999998789</v>
          </cell>
          <cell r="CJ25">
            <v>-37.923000000000144</v>
          </cell>
          <cell r="CK25">
            <v>-27.192999999999955</v>
          </cell>
          <cell r="CL25">
            <v>41.801000000000421</v>
          </cell>
          <cell r="CM25">
            <v>289.20199999999966</v>
          </cell>
          <cell r="CN25">
            <v>265.88699999999972</v>
          </cell>
          <cell r="CP25">
            <v>24.059000000000179</v>
          </cell>
          <cell r="CQ25">
            <v>66.370000000000346</v>
          </cell>
          <cell r="CR25">
            <v>105.11400000000003</v>
          </cell>
          <cell r="CS25">
            <v>379.08000000000004</v>
          </cell>
          <cell r="CT25">
            <v>574.62300000000062</v>
          </cell>
          <cell r="CV25">
            <v>60.234000000000002</v>
          </cell>
          <cell r="CW25">
            <v>107</v>
          </cell>
          <cell r="CX25">
            <v>110</v>
          </cell>
          <cell r="CY25">
            <v>408</v>
          </cell>
          <cell r="CZ25">
            <v>685.23400000000004</v>
          </cell>
          <cell r="DB25">
            <v>87</v>
          </cell>
          <cell r="DC25">
            <v>137</v>
          </cell>
          <cell r="DD25">
            <v>123</v>
          </cell>
          <cell r="DE25">
            <v>448</v>
          </cell>
          <cell r="DF25">
            <v>795</v>
          </cell>
          <cell r="DH25">
            <v>118</v>
          </cell>
          <cell r="DI25">
            <v>194</v>
          </cell>
          <cell r="DJ25">
            <v>109</v>
          </cell>
          <cell r="DK25">
            <v>400</v>
          </cell>
          <cell r="DL25">
            <v>821</v>
          </cell>
          <cell r="DN25">
            <v>58</v>
          </cell>
          <cell r="DO25">
            <v>80</v>
          </cell>
          <cell r="DP25">
            <v>26</v>
          </cell>
          <cell r="DQ25">
            <v>310</v>
          </cell>
          <cell r="DR25">
            <v>474</v>
          </cell>
          <cell r="DT25">
            <v>89</v>
          </cell>
          <cell r="DU25">
            <v>133</v>
          </cell>
          <cell r="DV25">
            <v>75</v>
          </cell>
          <cell r="DW25">
            <v>341</v>
          </cell>
          <cell r="DX25">
            <v>638</v>
          </cell>
          <cell r="DZ25">
            <v>46</v>
          </cell>
          <cell r="EA25">
            <v>120</v>
          </cell>
          <cell r="EB25">
            <v>67</v>
          </cell>
          <cell r="EC25">
            <v>422</v>
          </cell>
          <cell r="ED25">
            <v>655</v>
          </cell>
          <cell r="EF25">
            <v>97</v>
          </cell>
          <cell r="EG25">
            <v>78</v>
          </cell>
          <cell r="EH25">
            <v>74</v>
          </cell>
          <cell r="EI25">
            <v>440</v>
          </cell>
          <cell r="EJ25">
            <v>689</v>
          </cell>
          <cell r="EK25" t="str">
            <v>Net Income Before Post-Tax Items</v>
          </cell>
          <cell r="EL25">
            <v>123.354</v>
          </cell>
          <cell r="EM25">
            <v>148</v>
          </cell>
          <cell r="EN25">
            <v>339.23741007194246</v>
          </cell>
          <cell r="EO25">
            <v>668</v>
          </cell>
          <cell r="EP25">
            <v>1278.5914100719424</v>
          </cell>
          <cell r="ER25">
            <v>-74</v>
          </cell>
          <cell r="ES25">
            <v>191.25</v>
          </cell>
          <cell r="ET25">
            <v>20</v>
          </cell>
          <cell r="EU25">
            <v>726</v>
          </cell>
          <cell r="EV25">
            <v>863.25</v>
          </cell>
          <cell r="EX25">
            <v>52</v>
          </cell>
          <cell r="EY25">
            <v>74</v>
          </cell>
          <cell r="EZ25">
            <v>33</v>
          </cell>
          <cell r="FA25">
            <v>672</v>
          </cell>
          <cell r="FB25">
            <v>831</v>
          </cell>
          <cell r="FD25">
            <v>-59</v>
          </cell>
          <cell r="FE25">
            <v>73</v>
          </cell>
          <cell r="FF25">
            <v>-44</v>
          </cell>
          <cell r="FG25">
            <v>609</v>
          </cell>
          <cell r="FH25">
            <v>579</v>
          </cell>
          <cell r="FJ25">
            <v>-88</v>
          </cell>
          <cell r="FK25">
            <v>7</v>
          </cell>
          <cell r="FL25">
            <v>-35</v>
          </cell>
          <cell r="FM25">
            <v>445</v>
          </cell>
          <cell r="FN25">
            <v>329</v>
          </cell>
          <cell r="FP25">
            <v>23</v>
          </cell>
          <cell r="FQ25">
            <v>147</v>
          </cell>
          <cell r="FR25">
            <v>10</v>
          </cell>
          <cell r="FS25">
            <v>667</v>
          </cell>
          <cell r="FT25">
            <v>847</v>
          </cell>
          <cell r="FV25">
            <v>131</v>
          </cell>
          <cell r="FW25">
            <v>241</v>
          </cell>
          <cell r="FX25">
            <v>139</v>
          </cell>
          <cell r="FY25">
            <v>745</v>
          </cell>
          <cell r="FZ25">
            <v>1256</v>
          </cell>
          <cell r="GB25">
            <v>181</v>
          </cell>
          <cell r="GC25">
            <v>279</v>
          </cell>
          <cell r="GD25">
            <v>110.03264655178822</v>
          </cell>
          <cell r="GE25">
            <v>838.34033752127743</v>
          </cell>
          <cell r="GF25">
            <v>1408.3729840730655</v>
          </cell>
        </row>
        <row r="26">
          <cell r="A26" t="str">
            <v>Discontinued Operations Charges (FYins)</v>
          </cell>
          <cell r="N26">
            <v>0</v>
          </cell>
          <cell r="O26">
            <v>0</v>
          </cell>
          <cell r="P26">
            <v>0</v>
          </cell>
          <cell r="Q26">
            <v>0</v>
          </cell>
          <cell r="R26">
            <v>30</v>
          </cell>
          <cell r="S26">
            <v>1005</v>
          </cell>
          <cell r="T26">
            <v>797</v>
          </cell>
          <cell r="U26">
            <v>-180</v>
          </cell>
          <cell r="V26">
            <v>0</v>
          </cell>
          <cell r="W26">
            <v>0</v>
          </cell>
          <cell r="X26">
            <v>-33</v>
          </cell>
          <cell r="Y26">
            <v>-7</v>
          </cell>
          <cell r="Z26">
            <v>16</v>
          </cell>
          <cell r="AA26">
            <v>0</v>
          </cell>
          <cell r="AB26">
            <v>0</v>
          </cell>
          <cell r="AC26">
            <v>0</v>
          </cell>
          <cell r="AD26">
            <v>0</v>
          </cell>
          <cell r="AE26">
            <v>0</v>
          </cell>
          <cell r="AF26">
            <v>0</v>
          </cell>
          <cell r="AG26">
            <v>0</v>
          </cell>
          <cell r="AH26">
            <v>0</v>
          </cell>
          <cell r="AI26">
            <v>0</v>
          </cell>
          <cell r="AJ26">
            <v>0</v>
          </cell>
          <cell r="AK26">
            <v>0</v>
          </cell>
          <cell r="AL26">
            <v>0</v>
          </cell>
          <cell r="AN26" t="str">
            <v>Discontinued Operations Charges (FYins)</v>
          </cell>
          <cell r="DB26">
            <v>0</v>
          </cell>
          <cell r="DC26">
            <v>0</v>
          </cell>
          <cell r="DD26">
            <v>0</v>
          </cell>
          <cell r="DE26">
            <v>0</v>
          </cell>
          <cell r="DF26">
            <v>0</v>
          </cell>
          <cell r="DH26">
            <v>29</v>
          </cell>
          <cell r="DI26">
            <v>131</v>
          </cell>
          <cell r="DJ26">
            <v>777</v>
          </cell>
          <cell r="DK26">
            <v>68</v>
          </cell>
          <cell r="DL26">
            <v>1005</v>
          </cell>
          <cell r="DN26">
            <v>0</v>
          </cell>
          <cell r="DO26">
            <v>14</v>
          </cell>
          <cell r="DP26">
            <v>13</v>
          </cell>
          <cell r="DQ26">
            <v>770</v>
          </cell>
          <cell r="DR26">
            <v>797</v>
          </cell>
          <cell r="DT26">
            <v>0</v>
          </cell>
          <cell r="DU26">
            <v>-149</v>
          </cell>
          <cell r="DV26">
            <v>-31</v>
          </cell>
          <cell r="DW26">
            <v>0</v>
          </cell>
          <cell r="DX26">
            <v>-180</v>
          </cell>
          <cell r="DZ26">
            <v>0</v>
          </cell>
          <cell r="EA26">
            <v>0</v>
          </cell>
          <cell r="EB26">
            <v>0</v>
          </cell>
          <cell r="EC26">
            <v>0</v>
          </cell>
          <cell r="ED26">
            <v>0</v>
          </cell>
          <cell r="EF26">
            <v>0</v>
          </cell>
          <cell r="EG26">
            <v>0</v>
          </cell>
          <cell r="EH26">
            <v>0</v>
          </cell>
          <cell r="EI26">
            <v>0</v>
          </cell>
          <cell r="EJ26">
            <v>0</v>
          </cell>
          <cell r="EK26" t="str">
            <v>Discontinued Operations Charges (FYins)</v>
          </cell>
          <cell r="EL26">
            <v>0</v>
          </cell>
          <cell r="EM26">
            <v>0</v>
          </cell>
          <cell r="EN26">
            <v>-12</v>
          </cell>
          <cell r="EO26">
            <v>-21</v>
          </cell>
          <cell r="EP26">
            <v>-33</v>
          </cell>
          <cell r="ER26">
            <v>-22</v>
          </cell>
          <cell r="ES26">
            <v>-35</v>
          </cell>
          <cell r="ET26">
            <v>23</v>
          </cell>
          <cell r="EU26">
            <v>27</v>
          </cell>
          <cell r="EV26">
            <v>-7</v>
          </cell>
          <cell r="EX26">
            <v>16</v>
          </cell>
          <cell r="EY26">
            <v>0</v>
          </cell>
          <cell r="EZ26">
            <v>0</v>
          </cell>
          <cell r="FA26">
            <v>0</v>
          </cell>
          <cell r="FB26">
            <v>16</v>
          </cell>
          <cell r="FD26">
            <v>0</v>
          </cell>
          <cell r="FE26">
            <v>0</v>
          </cell>
          <cell r="FF26">
            <v>0</v>
          </cell>
          <cell r="FG26">
            <v>0</v>
          </cell>
          <cell r="FH26">
            <v>0</v>
          </cell>
          <cell r="FJ26">
            <v>0</v>
          </cell>
          <cell r="FK26">
            <v>0</v>
          </cell>
          <cell r="FL26">
            <v>0</v>
          </cell>
          <cell r="FM26">
            <v>0</v>
          </cell>
          <cell r="FN26">
            <v>0</v>
          </cell>
          <cell r="FP26">
            <v>0</v>
          </cell>
          <cell r="FQ26">
            <v>0</v>
          </cell>
          <cell r="FR26">
            <v>0</v>
          </cell>
          <cell r="FS26">
            <v>0</v>
          </cell>
          <cell r="FT26">
            <v>0</v>
          </cell>
          <cell r="FV26">
            <v>0</v>
          </cell>
          <cell r="FW26">
            <v>0</v>
          </cell>
          <cell r="FX26">
            <v>0</v>
          </cell>
          <cell r="FY26">
            <v>0</v>
          </cell>
          <cell r="FZ26">
            <v>0</v>
          </cell>
          <cell r="GB26">
            <v>0</v>
          </cell>
          <cell r="GC26">
            <v>0</v>
          </cell>
          <cell r="GD26">
            <v>0</v>
          </cell>
          <cell r="GE26">
            <v>0</v>
          </cell>
          <cell r="GF26">
            <v>0</v>
          </cell>
          <cell r="GS26" t="str">
            <v>mstag:incomeLossFromDiscontinuedOperationsNetOfTax</v>
          </cell>
          <cell r="GT26">
            <v>6</v>
          </cell>
          <cell r="GU26" t="str">
            <v>ISO4217:USD</v>
          </cell>
          <cell r="GV26" t="b">
            <v>1</v>
          </cell>
          <cell r="GW26" t="b">
            <v>0</v>
          </cell>
        </row>
        <row r="27">
          <cell r="A27" t="str">
            <v>Post-Tax Extraordinary Charges (FYins)</v>
          </cell>
          <cell r="C27">
            <v>0</v>
          </cell>
          <cell r="D27">
            <v>0</v>
          </cell>
          <cell r="E27">
            <v>2072.364</v>
          </cell>
          <cell r="F27">
            <v>0</v>
          </cell>
          <cell r="G27">
            <v>-19.698999999999998</v>
          </cell>
          <cell r="H27">
            <v>-17.786999999999999</v>
          </cell>
          <cell r="I27">
            <v>0</v>
          </cell>
          <cell r="K27">
            <v>0</v>
          </cell>
          <cell r="L27">
            <v>0</v>
          </cell>
          <cell r="N27">
            <v>0</v>
          </cell>
          <cell r="O27">
            <v>0</v>
          </cell>
          <cell r="P27">
            <v>39</v>
          </cell>
          <cell r="Q27">
            <v>23</v>
          </cell>
          <cell r="R27">
            <v>0</v>
          </cell>
          <cell r="S27">
            <v>0</v>
          </cell>
          <cell r="T27">
            <v>-47</v>
          </cell>
          <cell r="U27">
            <v>0</v>
          </cell>
          <cell r="V27">
            <v>-38</v>
          </cell>
          <cell r="W27">
            <v>0</v>
          </cell>
          <cell r="X27">
            <v>-95</v>
          </cell>
          <cell r="Y27">
            <v>-124.625</v>
          </cell>
          <cell r="Z27">
            <v>-78</v>
          </cell>
          <cell r="AA27">
            <v>5382</v>
          </cell>
          <cell r="AB27">
            <v>0</v>
          </cell>
          <cell r="AC27">
            <v>41.4</v>
          </cell>
          <cell r="AD27">
            <v>0</v>
          </cell>
          <cell r="AE27">
            <v>0</v>
          </cell>
          <cell r="AF27">
            <v>0</v>
          </cell>
          <cell r="AG27">
            <v>0</v>
          </cell>
          <cell r="AH27">
            <v>0</v>
          </cell>
          <cell r="AI27">
            <v>0</v>
          </cell>
          <cell r="AJ27">
            <v>0</v>
          </cell>
          <cell r="AK27">
            <v>0</v>
          </cell>
          <cell r="AL27">
            <v>0</v>
          </cell>
          <cell r="AN27" t="str">
            <v>Post-Tax Extraordinary Charges (FYins)</v>
          </cell>
          <cell r="AO27">
            <v>0</v>
          </cell>
          <cell r="AP27">
            <v>0</v>
          </cell>
          <cell r="AQ27">
            <v>0</v>
          </cell>
          <cell r="AR27">
            <v>0</v>
          </cell>
          <cell r="AS27">
            <v>0</v>
          </cell>
          <cell r="AU27">
            <v>0</v>
          </cell>
          <cell r="AV27">
            <v>0</v>
          </cell>
          <cell r="AW27">
            <v>0</v>
          </cell>
          <cell r="AX27">
            <v>2165.5149999999999</v>
          </cell>
          <cell r="AY27">
            <v>2165.5149999999999</v>
          </cell>
          <cell r="BA27">
            <v>0</v>
          </cell>
          <cell r="BB27">
            <v>-13.574</v>
          </cell>
          <cell r="BC27">
            <v>0</v>
          </cell>
          <cell r="BD27">
            <v>-6.125</v>
          </cell>
          <cell r="BE27">
            <v>-19.698999999999998</v>
          </cell>
          <cell r="BG27">
            <v>-3.5449999999999999</v>
          </cell>
          <cell r="BH27">
            <v>0</v>
          </cell>
          <cell r="BI27">
            <v>-14.242000000000001</v>
          </cell>
          <cell r="BJ27">
            <v>0</v>
          </cell>
          <cell r="BK27">
            <v>-17.786999999999999</v>
          </cell>
          <cell r="BM27">
            <v>0</v>
          </cell>
          <cell r="BN27">
            <v>0</v>
          </cell>
          <cell r="BO27">
            <v>0</v>
          </cell>
          <cell r="BP27">
            <v>0</v>
          </cell>
          <cell r="BQ27">
            <v>0</v>
          </cell>
          <cell r="BS27">
            <v>0</v>
          </cell>
          <cell r="BT27">
            <v>0</v>
          </cell>
          <cell r="BU27">
            <v>0</v>
          </cell>
          <cell r="BV27">
            <v>0</v>
          </cell>
          <cell r="BW27">
            <v>0</v>
          </cell>
          <cell r="BY27">
            <v>0</v>
          </cell>
          <cell r="BZ27">
            <v>0</v>
          </cell>
          <cell r="CA27">
            <v>0</v>
          </cell>
          <cell r="CB27">
            <v>0</v>
          </cell>
          <cell r="CC27">
            <v>0</v>
          </cell>
          <cell r="CD27">
            <v>0</v>
          </cell>
          <cell r="CE27">
            <v>0</v>
          </cell>
          <cell r="CF27">
            <v>0</v>
          </cell>
          <cell r="CG27">
            <v>0</v>
          </cell>
          <cell r="CH27">
            <v>0</v>
          </cell>
          <cell r="CJ27">
            <v>0</v>
          </cell>
          <cell r="CK27">
            <v>0</v>
          </cell>
          <cell r="CL27">
            <v>0</v>
          </cell>
          <cell r="CM27">
            <v>0</v>
          </cell>
          <cell r="CN27">
            <v>0</v>
          </cell>
          <cell r="CP27">
            <v>0</v>
          </cell>
          <cell r="CQ27">
            <v>-38.673000000000002</v>
          </cell>
          <cell r="CR27">
            <v>0</v>
          </cell>
          <cell r="CS27">
            <v>0</v>
          </cell>
          <cell r="CT27">
            <v>-38.673000000000002</v>
          </cell>
          <cell r="CV27">
            <v>0</v>
          </cell>
          <cell r="CW27">
            <v>0</v>
          </cell>
          <cell r="CX27">
            <v>23</v>
          </cell>
          <cell r="CY27">
            <v>0</v>
          </cell>
          <cell r="CZ27">
            <v>23</v>
          </cell>
          <cell r="DB27">
            <v>0</v>
          </cell>
          <cell r="DC27">
            <v>0</v>
          </cell>
          <cell r="DD27">
            <v>0</v>
          </cell>
          <cell r="DE27">
            <v>0</v>
          </cell>
          <cell r="DF27">
            <v>0</v>
          </cell>
          <cell r="DH27">
            <v>0</v>
          </cell>
          <cell r="DI27">
            <v>0</v>
          </cell>
          <cell r="DJ27">
            <v>0</v>
          </cell>
          <cell r="DK27">
            <v>0</v>
          </cell>
          <cell r="DL27">
            <v>0</v>
          </cell>
          <cell r="DN27">
            <v>0</v>
          </cell>
          <cell r="DO27">
            <v>-44</v>
          </cell>
          <cell r="DP27">
            <v>10</v>
          </cell>
          <cell r="DQ27">
            <v>-13</v>
          </cell>
          <cell r="DR27">
            <v>-47</v>
          </cell>
          <cell r="DT27">
            <v>0</v>
          </cell>
          <cell r="DU27">
            <v>0</v>
          </cell>
          <cell r="DV27">
            <v>0</v>
          </cell>
          <cell r="DW27">
            <v>0</v>
          </cell>
          <cell r="DX27">
            <v>0</v>
          </cell>
          <cell r="DZ27">
            <v>0</v>
          </cell>
          <cell r="EA27">
            <v>0</v>
          </cell>
          <cell r="EB27">
            <v>0</v>
          </cell>
          <cell r="EC27">
            <v>-38</v>
          </cell>
          <cell r="ED27">
            <v>-38</v>
          </cell>
          <cell r="EF27">
            <v>0</v>
          </cell>
          <cell r="EG27">
            <v>0</v>
          </cell>
          <cell r="EH27">
            <v>0</v>
          </cell>
          <cell r="EI27">
            <v>0</v>
          </cell>
          <cell r="EJ27">
            <v>0</v>
          </cell>
          <cell r="EK27" t="str">
            <v>Post-Tax Extraordinary Charges (FYins)</v>
          </cell>
          <cell r="EL27">
            <v>0</v>
          </cell>
          <cell r="EM27">
            <v>0</v>
          </cell>
          <cell r="EN27">
            <v>-85</v>
          </cell>
          <cell r="EO27">
            <v>-10</v>
          </cell>
          <cell r="EP27">
            <v>-95</v>
          </cell>
          <cell r="ER27">
            <v>0</v>
          </cell>
          <cell r="ES27">
            <v>-90.625</v>
          </cell>
          <cell r="ET27">
            <v>0</v>
          </cell>
          <cell r="EU27">
            <v>-34</v>
          </cell>
          <cell r="EV27">
            <v>-124.625</v>
          </cell>
          <cell r="EX27">
            <v>0</v>
          </cell>
          <cell r="EY27">
            <v>0</v>
          </cell>
          <cell r="EZ27">
            <v>0</v>
          </cell>
          <cell r="FA27">
            <v>-78</v>
          </cell>
          <cell r="FB27">
            <v>-78</v>
          </cell>
          <cell r="FD27">
            <v>0</v>
          </cell>
          <cell r="FE27">
            <v>0</v>
          </cell>
          <cell r="FF27">
            <v>0</v>
          </cell>
          <cell r="FG27">
            <v>5382</v>
          </cell>
          <cell r="FH27">
            <v>5382</v>
          </cell>
          <cell r="FJ27">
            <v>0</v>
          </cell>
          <cell r="FK27">
            <v>0</v>
          </cell>
          <cell r="FL27">
            <v>0</v>
          </cell>
          <cell r="FM27">
            <v>0</v>
          </cell>
          <cell r="FN27">
            <v>0</v>
          </cell>
          <cell r="FP27">
            <v>17</v>
          </cell>
          <cell r="FQ27">
            <v>0</v>
          </cell>
          <cell r="FR27">
            <v>24.4</v>
          </cell>
          <cell r="FS27">
            <v>0</v>
          </cell>
          <cell r="FT27">
            <v>41.4</v>
          </cell>
          <cell r="FV27">
            <v>0</v>
          </cell>
          <cell r="FW27">
            <v>0</v>
          </cell>
          <cell r="FX27">
            <v>0</v>
          </cell>
          <cell r="FY27">
            <v>0</v>
          </cell>
          <cell r="FZ27">
            <v>0</v>
          </cell>
          <cell r="GB27">
            <v>0</v>
          </cell>
          <cell r="GC27">
            <v>0</v>
          </cell>
          <cell r="GD27">
            <v>0</v>
          </cell>
          <cell r="GE27">
            <v>0</v>
          </cell>
          <cell r="GF27">
            <v>0</v>
          </cell>
        </row>
        <row r="28">
          <cell r="A28" t="str">
            <v>Net Income, Reported</v>
          </cell>
          <cell r="C28">
            <v>-1773.9269999999999</v>
          </cell>
          <cell r="D28">
            <v>-271.44599999999934</v>
          </cell>
          <cell r="E28">
            <v>836.39200000000028</v>
          </cell>
          <cell r="F28">
            <v>25.182999999999812</v>
          </cell>
          <cell r="G28">
            <v>113.00900000000063</v>
          </cell>
          <cell r="H28">
            <v>193.24799999999911</v>
          </cell>
          <cell r="I28">
            <v>246.85299999999896</v>
          </cell>
          <cell r="K28">
            <v>36.799949999999399</v>
          </cell>
          <cell r="L28">
            <v>148.99099999999899</v>
          </cell>
          <cell r="N28">
            <v>75</v>
          </cell>
          <cell r="O28">
            <v>266</v>
          </cell>
          <cell r="P28">
            <v>536</v>
          </cell>
          <cell r="Q28">
            <v>662</v>
          </cell>
          <cell r="R28">
            <v>795</v>
          </cell>
          <cell r="S28">
            <v>-184</v>
          </cell>
          <cell r="T28">
            <v>-276</v>
          </cell>
          <cell r="U28">
            <v>818</v>
          </cell>
          <cell r="V28">
            <v>693</v>
          </cell>
          <cell r="W28">
            <v>689</v>
          </cell>
          <cell r="X28">
            <v>1406.5914100719424</v>
          </cell>
          <cell r="Y28">
            <v>994.875</v>
          </cell>
          <cell r="Z28">
            <v>893</v>
          </cell>
          <cell r="AA28">
            <v>-4803</v>
          </cell>
          <cell r="AB28">
            <v>329</v>
          </cell>
          <cell r="AC28">
            <v>805.6</v>
          </cell>
          <cell r="AD28">
            <v>1256</v>
          </cell>
          <cell r="AE28">
            <v>1408.3729840730655</v>
          </cell>
          <cell r="AF28">
            <v>1474.1651556723784</v>
          </cell>
          <cell r="AG28">
            <v>1618.7764295278068</v>
          </cell>
          <cell r="AH28">
            <v>1641.1420018455815</v>
          </cell>
          <cell r="AI28">
            <v>1683.4875028271354</v>
          </cell>
          <cell r="AJ28">
            <v>1748.1022306573102</v>
          </cell>
          <cell r="AK28">
            <v>1801.4292273300186</v>
          </cell>
          <cell r="AL28">
            <v>1844.6042441173129</v>
          </cell>
          <cell r="AN28" t="str">
            <v>Net Income, Reported</v>
          </cell>
          <cell r="AO28">
            <v>-99.439999999999898</v>
          </cell>
          <cell r="AP28">
            <v>-126.372</v>
          </cell>
          <cell r="AQ28">
            <v>-86.802000000000035</v>
          </cell>
          <cell r="AR28">
            <v>41.16799999999995</v>
          </cell>
          <cell r="AS28">
            <v>-271.44599999999997</v>
          </cell>
          <cell r="AU28">
            <v>-64.160999999999916</v>
          </cell>
          <cell r="AV28">
            <v>-143.82800000000009</v>
          </cell>
          <cell r="AW28">
            <v>-60.994999999999962</v>
          </cell>
          <cell r="AX28">
            <v>-3142.5589999999993</v>
          </cell>
          <cell r="AY28">
            <v>-3411.5429999999992</v>
          </cell>
          <cell r="BA28">
            <v>11.812000000000163</v>
          </cell>
          <cell r="BB28">
            <v>-2.2150000000000407</v>
          </cell>
          <cell r="BC28">
            <v>31.581999999999912</v>
          </cell>
          <cell r="BD28">
            <v>111.22800000000005</v>
          </cell>
          <cell r="BE28">
            <v>152.4070000000001</v>
          </cell>
          <cell r="BG28">
            <v>25.245000000000061</v>
          </cell>
          <cell r="BH28">
            <v>8.8529999999999731</v>
          </cell>
          <cell r="BI28">
            <v>48.765999999999963</v>
          </cell>
          <cell r="BJ28">
            <v>145.9579999999998</v>
          </cell>
          <cell r="BK28">
            <v>228.82199999999918</v>
          </cell>
          <cell r="BM28">
            <v>32.222000000000179</v>
          </cell>
          <cell r="BN28">
            <v>3.7719999999998395</v>
          </cell>
          <cell r="BO28">
            <v>44.343000000000011</v>
          </cell>
          <cell r="BP28">
            <v>166.51600000000005</v>
          </cell>
          <cell r="BQ28">
            <v>246.85299999999896</v>
          </cell>
          <cell r="BS28">
            <v>-37.04640000000002</v>
          </cell>
          <cell r="BT28">
            <v>-58.228649999999988</v>
          </cell>
          <cell r="BU28">
            <v>-51.259399999999978</v>
          </cell>
          <cell r="BV28">
            <v>183.33440000000004</v>
          </cell>
          <cell r="BW28">
            <v>36.799949999999342</v>
          </cell>
          <cell r="BY28">
            <v>-56.999000000000279</v>
          </cell>
          <cell r="BZ28">
            <v>-67.174999999999898</v>
          </cell>
          <cell r="CA28">
            <v>21.895999999999734</v>
          </cell>
          <cell r="CB28">
            <v>-68.198000000000221</v>
          </cell>
          <cell r="CC28">
            <v>-46.395000000000152</v>
          </cell>
          <cell r="CD28">
            <v>251.26899999999983</v>
          </cell>
          <cell r="CE28">
            <v>244.64499999999947</v>
          </cell>
          <cell r="CF28">
            <v>148.99099999999893</v>
          </cell>
          <cell r="CG28">
            <v>142.36699999999902</v>
          </cell>
          <cell r="CH28">
            <v>74.168999999998789</v>
          </cell>
          <cell r="CJ28">
            <v>-37.923000000000144</v>
          </cell>
          <cell r="CK28">
            <v>-27.192999999999955</v>
          </cell>
          <cell r="CL28">
            <v>41.801000000000421</v>
          </cell>
          <cell r="CM28">
            <v>289.20199999999966</v>
          </cell>
          <cell r="CN28">
            <v>265.88699999999972</v>
          </cell>
          <cell r="CP28">
            <v>24.059000000000179</v>
          </cell>
          <cell r="CQ28">
            <v>105.04300000000035</v>
          </cell>
          <cell r="CR28">
            <v>105.11400000000003</v>
          </cell>
          <cell r="CS28">
            <v>379.08000000000004</v>
          </cell>
          <cell r="CT28">
            <v>613.29600000000062</v>
          </cell>
          <cell r="CV28">
            <v>60.234000000000002</v>
          </cell>
          <cell r="CW28">
            <v>107</v>
          </cell>
          <cell r="CX28">
            <v>87</v>
          </cell>
          <cell r="CY28">
            <v>408</v>
          </cell>
          <cell r="CZ28">
            <v>662.23400000000004</v>
          </cell>
          <cell r="DB28">
            <v>87</v>
          </cell>
          <cell r="DC28">
            <v>137</v>
          </cell>
          <cell r="DD28">
            <v>123</v>
          </cell>
          <cell r="DE28">
            <v>448</v>
          </cell>
          <cell r="DF28">
            <v>795</v>
          </cell>
          <cell r="DH28">
            <v>89</v>
          </cell>
          <cell r="DI28">
            <v>63</v>
          </cell>
          <cell r="DJ28">
            <v>-668</v>
          </cell>
          <cell r="DK28">
            <v>332</v>
          </cell>
          <cell r="DL28">
            <v>-184</v>
          </cell>
          <cell r="DN28">
            <v>58</v>
          </cell>
          <cell r="DO28">
            <v>110</v>
          </cell>
          <cell r="DP28">
            <v>3</v>
          </cell>
          <cell r="DQ28">
            <v>-447</v>
          </cell>
          <cell r="DR28">
            <v>-276</v>
          </cell>
          <cell r="DT28">
            <v>89</v>
          </cell>
          <cell r="DU28">
            <v>282</v>
          </cell>
          <cell r="DV28">
            <v>106</v>
          </cell>
          <cell r="DW28">
            <v>341</v>
          </cell>
          <cell r="DX28">
            <v>818</v>
          </cell>
          <cell r="DZ28">
            <v>46</v>
          </cell>
          <cell r="EA28">
            <v>120</v>
          </cell>
          <cell r="EB28">
            <v>67</v>
          </cell>
          <cell r="EC28">
            <v>460</v>
          </cell>
          <cell r="ED28">
            <v>693</v>
          </cell>
          <cell r="EF28">
            <v>97</v>
          </cell>
          <cell r="EG28">
            <v>78</v>
          </cell>
          <cell r="EH28">
            <v>74</v>
          </cell>
          <cell r="EI28">
            <v>440</v>
          </cell>
          <cell r="EJ28">
            <v>689</v>
          </cell>
          <cell r="EK28" t="str">
            <v>Net Income, Reported</v>
          </cell>
          <cell r="EL28">
            <v>123.354</v>
          </cell>
          <cell r="EM28">
            <v>148</v>
          </cell>
          <cell r="EN28">
            <v>436.23741007194246</v>
          </cell>
          <cell r="EO28">
            <v>699</v>
          </cell>
          <cell r="EP28">
            <v>1406.5914100719424</v>
          </cell>
          <cell r="ER28">
            <v>-52</v>
          </cell>
          <cell r="ES28">
            <v>316.875</v>
          </cell>
          <cell r="ET28">
            <v>-3</v>
          </cell>
          <cell r="EU28">
            <v>733</v>
          </cell>
          <cell r="EV28">
            <v>994.875</v>
          </cell>
          <cell r="EX28">
            <v>36</v>
          </cell>
          <cell r="EY28">
            <v>74</v>
          </cell>
          <cell r="EZ28">
            <v>33</v>
          </cell>
          <cell r="FA28">
            <v>750</v>
          </cell>
          <cell r="FB28">
            <v>893</v>
          </cell>
          <cell r="FD28">
            <v>-59</v>
          </cell>
          <cell r="FE28">
            <v>73</v>
          </cell>
          <cell r="FF28">
            <v>-44</v>
          </cell>
          <cell r="FG28">
            <v>-4773</v>
          </cell>
          <cell r="FH28">
            <v>-4803</v>
          </cell>
          <cell r="FJ28">
            <v>-88</v>
          </cell>
          <cell r="FK28">
            <v>7</v>
          </cell>
          <cell r="FL28">
            <v>-35</v>
          </cell>
          <cell r="FM28">
            <v>445</v>
          </cell>
          <cell r="FN28">
            <v>329</v>
          </cell>
          <cell r="FP28">
            <v>23</v>
          </cell>
          <cell r="FQ28">
            <v>147</v>
          </cell>
          <cell r="FR28">
            <v>10</v>
          </cell>
          <cell r="FS28">
            <v>667</v>
          </cell>
          <cell r="FT28">
            <v>847</v>
          </cell>
          <cell r="FV28">
            <v>131</v>
          </cell>
          <cell r="FW28">
            <v>241</v>
          </cell>
          <cell r="FX28">
            <v>139</v>
          </cell>
          <cell r="FY28">
            <v>745</v>
          </cell>
          <cell r="FZ28">
            <v>1256</v>
          </cell>
          <cell r="GB28">
            <v>181</v>
          </cell>
          <cell r="GC28">
            <v>279</v>
          </cell>
          <cell r="GD28">
            <v>110.03264655178822</v>
          </cell>
          <cell r="GE28">
            <v>838.34033752127743</v>
          </cell>
          <cell r="GF28">
            <v>1408.3729840730655</v>
          </cell>
          <cell r="GS28" t="str">
            <v>mstag:netIncomeAsReported</v>
          </cell>
          <cell r="GT28">
            <v>6</v>
          </cell>
          <cell r="GU28" t="str">
            <v>ISO4217:USD</v>
          </cell>
          <cell r="GV28" t="b">
            <v>0</v>
          </cell>
        </row>
        <row r="30">
          <cell r="A30" t="str">
            <v>EPS, Before All Extraordinary Items</v>
          </cell>
          <cell r="C30" t="str">
            <v xml:space="preserve">--  </v>
          </cell>
          <cell r="D30" t="str">
            <v xml:space="preserve">--  </v>
          </cell>
          <cell r="E30" t="str">
            <v xml:space="preserve">--  </v>
          </cell>
          <cell r="F30">
            <v>0.22616075437808544</v>
          </cell>
          <cell r="G30">
            <v>1.0148989672204816</v>
          </cell>
          <cell r="H30">
            <v>1.5301560656568385</v>
          </cell>
          <cell r="I30">
            <v>1.9499735372413873</v>
          </cell>
          <cell r="K30">
            <v>0.20197557628978816</v>
          </cell>
          <cell r="L30">
            <v>0.81437207573570658</v>
          </cell>
          <cell r="N30">
            <v>0.19396284189183596</v>
          </cell>
          <cell r="O30">
            <v>0.59802158273381312</v>
          </cell>
          <cell r="P30">
            <v>1.2657726276118944</v>
          </cell>
          <cell r="Q30">
            <v>1.5161575918548031</v>
          </cell>
          <cell r="R30">
            <v>1.8784153005464481</v>
          </cell>
          <cell r="S30">
            <v>2.100160980880764</v>
          </cell>
          <cell r="T30">
            <v>1.6014336365037769</v>
          </cell>
          <cell r="U30">
            <v>1.7093897259149216</v>
          </cell>
          <cell r="V30">
            <v>1.8506172802885585</v>
          </cell>
          <cell r="W30">
            <v>2.2069208613414109</v>
          </cell>
          <cell r="X30">
            <v>2.5058780966631615</v>
          </cell>
          <cell r="Y30">
            <v>2.0770614304446693</v>
          </cell>
          <cell r="Z30">
            <v>2.129219701162147</v>
          </cell>
          <cell r="AA30">
            <v>1.2932312985703269</v>
          </cell>
          <cell r="AB30">
            <v>1.3637977980348048</v>
          </cell>
          <cell r="AC30">
            <v>2.1076672104404568</v>
          </cell>
          <cell r="AD30">
            <v>2.879879182156134</v>
          </cell>
          <cell r="AE30">
            <v>3.4254564468311228</v>
          </cell>
          <cell r="AF30">
            <v>3.9453943917559142</v>
          </cell>
          <cell r="AG30">
            <v>4.7983581094155907</v>
          </cell>
          <cell r="AH30">
            <v>5.2958753573867723</v>
          </cell>
          <cell r="AI30">
            <v>5.6959829769682733</v>
          </cell>
          <cell r="AJ30">
            <v>6.1538937066977288</v>
          </cell>
          <cell r="AK30">
            <v>6.8001516881883797</v>
          </cell>
          <cell r="AL30">
            <v>7.5529335978779351</v>
          </cell>
          <cell r="AN30" t="str">
            <v>EPS, Before All Extraordinary Items</v>
          </cell>
          <cell r="AO30">
            <v>-1.2429999999999988</v>
          </cell>
          <cell r="AP30">
            <v>-1.57965</v>
          </cell>
          <cell r="AQ30">
            <v>-1.0850250000000004</v>
          </cell>
          <cell r="AR30">
            <v>0.51459999999999939</v>
          </cell>
          <cell r="AS30">
            <v>-3.3930749999999996</v>
          </cell>
          <cell r="AU30">
            <v>-0.80231336751281623</v>
          </cell>
          <cell r="AV30">
            <v>-1.7985244466675014</v>
          </cell>
          <cell r="AW30">
            <v>-0.7627235213204947</v>
          </cell>
          <cell r="AX30">
            <v>-39.296723771414271</v>
          </cell>
          <cell r="AY30">
            <v>-42.660285106915083</v>
          </cell>
          <cell r="BA30">
            <v>0.14770538952107243</v>
          </cell>
          <cell r="BB30">
            <v>-1.9535728775290969E-2</v>
          </cell>
          <cell r="BC30">
            <v>0.25065079365079296</v>
          </cell>
          <cell r="BD30">
            <v>0.88256577903323108</v>
          </cell>
          <cell r="BE30">
            <v>1.3687202514593633</v>
          </cell>
          <cell r="BG30">
            <v>0.20002535476867783</v>
          </cell>
          <cell r="BH30">
            <v>7.0090017338431732E-2</v>
          </cell>
          <cell r="BI30">
            <v>0.38607880548804113</v>
          </cell>
          <cell r="BJ30">
            <v>1.1552976934888934</v>
          </cell>
          <cell r="BK30">
            <v>1.8118343851203089</v>
          </cell>
          <cell r="BM30">
            <v>0.25479187753036581</v>
          </cell>
          <cell r="BN30">
            <v>2.9799807233483223E-2</v>
          </cell>
          <cell r="BO30">
            <v>0.3502606635071091</v>
          </cell>
          <cell r="BP30">
            <v>1.3138393561622224</v>
          </cell>
          <cell r="BQ30">
            <v>1.9499735372413873</v>
          </cell>
          <cell r="BS30">
            <v>-0.20332821075740956</v>
          </cell>
          <cell r="BT30">
            <v>-0.31958644346871568</v>
          </cell>
          <cell r="BU30">
            <v>-0.28133589462129516</v>
          </cell>
          <cell r="BV30">
            <v>1.0062261251372122</v>
          </cell>
          <cell r="BW30">
            <v>0.20197557628978785</v>
          </cell>
          <cell r="BY30">
            <v>-0.31201213036862024</v>
          </cell>
          <cell r="BZ30">
            <v>-0.36741781983263083</v>
          </cell>
          <cell r="CA30">
            <v>0.11965027322404226</v>
          </cell>
          <cell r="CB30">
            <v>-0.34615287005689976</v>
          </cell>
          <cell r="CC30">
            <v>-0.23548729297471871</v>
          </cell>
          <cell r="CD30">
            <v>1.3712712428644704</v>
          </cell>
          <cell r="CE30">
            <v>1.207342410588703</v>
          </cell>
          <cell r="CF30">
            <v>0.81437207573570625</v>
          </cell>
          <cell r="CG30">
            <v>0.7435356421009699</v>
          </cell>
          <cell r="CH30">
            <v>0.38729941567494397</v>
          </cell>
          <cell r="CJ30">
            <v>-0.18345991969425834</v>
          </cell>
          <cell r="CK30">
            <v>-0.13094773743998667</v>
          </cell>
          <cell r="CL30">
            <v>0.19647851243942646</v>
          </cell>
          <cell r="CM30">
            <v>1.295707885304658</v>
          </cell>
          <cell r="CN30">
            <v>1.1955350719424447</v>
          </cell>
          <cell r="CP30">
            <v>0.11263576779026301</v>
          </cell>
          <cell r="CQ30">
            <v>0.29367256637168293</v>
          </cell>
          <cell r="CR30">
            <v>0.46448961555457374</v>
          </cell>
          <cell r="CS30">
            <v>1.6504702194357368</v>
          </cell>
          <cell r="CT30">
            <v>2.5298854420738444</v>
          </cell>
          <cell r="CV30">
            <v>0.26007772020725389</v>
          </cell>
          <cell r="CW30">
            <v>0.4604130808950086</v>
          </cell>
          <cell r="CX30">
            <v>0.48076923076923067</v>
          </cell>
          <cell r="CY30">
            <v>1.8793182865039153</v>
          </cell>
          <cell r="CZ30">
            <v>3.0333510402833115</v>
          </cell>
          <cell r="DB30">
            <v>0.20101663585951943</v>
          </cell>
          <cell r="DC30">
            <v>0.30869761153672826</v>
          </cell>
          <cell r="DD30">
            <v>0.27967257844474763</v>
          </cell>
          <cell r="DE30">
            <v>1.0186448385629832</v>
          </cell>
          <cell r="DF30">
            <v>1.8103153819879312</v>
          </cell>
          <cell r="DH30">
            <v>0.27276930189551551</v>
          </cell>
          <cell r="DI30">
            <v>0.46522781774580335</v>
          </cell>
          <cell r="DJ30">
            <v>0.27100944803580307</v>
          </cell>
          <cell r="DK30">
            <v>1.1121316908003744</v>
          </cell>
          <cell r="DL30">
            <v>2.100160980880764</v>
          </cell>
          <cell r="DN30">
            <v>0.21597256246937779</v>
          </cell>
          <cell r="DO30">
            <v>0.26126326727529131</v>
          </cell>
          <cell r="DP30">
            <v>0.11037133026498057</v>
          </cell>
          <cell r="DQ30">
            <v>1.0059098707159446</v>
          </cell>
          <cell r="DR30">
            <v>1.6014336365037769</v>
          </cell>
          <cell r="DT30">
            <v>0.21813725490196079</v>
          </cell>
          <cell r="DU30">
            <v>0.32678132678132676</v>
          </cell>
          <cell r="DV30">
            <v>0.19142419601837671</v>
          </cell>
          <cell r="DW30">
            <v>0.99768531377886427</v>
          </cell>
          <cell r="DX30">
            <v>1.7093897259149216</v>
          </cell>
          <cell r="DZ30">
            <v>0.13414803499513958</v>
          </cell>
          <cell r="EA30">
            <v>0.3366189923978869</v>
          </cell>
          <cell r="EB30">
            <v>0.22710881606277405</v>
          </cell>
          <cell r="EC30">
            <v>1.1671164307843058</v>
          </cell>
          <cell r="ED30">
            <v>1.8506172802885585</v>
          </cell>
          <cell r="EF30">
            <v>0.29516518323340046</v>
          </cell>
          <cell r="EG30">
            <v>0.36734693877551022</v>
          </cell>
          <cell r="EH30">
            <v>0.27580275229357798</v>
          </cell>
          <cell r="EI30">
            <v>1.2993690266609828</v>
          </cell>
          <cell r="EJ30">
            <v>2.2069208613414109</v>
          </cell>
          <cell r="EK30" t="str">
            <v>EPS, Before All Extraordinary Items</v>
          </cell>
          <cell r="EL30">
            <v>0.35692708333333328</v>
          </cell>
          <cell r="EM30">
            <v>0.42117245304496292</v>
          </cell>
          <cell r="EN30">
            <v>0.1606847608789124</v>
          </cell>
          <cell r="EO30">
            <v>1.3341216109951204</v>
          </cell>
          <cell r="EP30">
            <v>2.5058780966631615</v>
          </cell>
          <cell r="ER30">
            <v>1.2362553915314987E-2</v>
          </cell>
          <cell r="ES30">
            <v>0.32635908440629469</v>
          </cell>
          <cell r="ET30">
            <v>0.20415978662787176</v>
          </cell>
          <cell r="EU30">
            <v>1.5983670475799727</v>
          </cell>
          <cell r="EV30">
            <v>2.0770614304446693</v>
          </cell>
          <cell r="EX30">
            <v>0.16</v>
          </cell>
          <cell r="EY30">
            <v>0.34</v>
          </cell>
          <cell r="EZ30">
            <v>0.08</v>
          </cell>
          <cell r="FA30">
            <v>1.67</v>
          </cell>
          <cell r="FB30">
            <v>2.129219701162147</v>
          </cell>
          <cell r="FD30">
            <v>0.01</v>
          </cell>
          <cell r="FE30">
            <v>0.28999999999999998</v>
          </cell>
          <cell r="FF30">
            <v>-0.08</v>
          </cell>
          <cell r="FG30">
            <v>1.06</v>
          </cell>
          <cell r="FH30">
            <v>1.2932312985703269</v>
          </cell>
          <cell r="FJ30">
            <v>-0.16</v>
          </cell>
          <cell r="FK30">
            <v>0.2</v>
          </cell>
          <cell r="FL30">
            <v>-0.03</v>
          </cell>
          <cell r="FM30">
            <v>1.35</v>
          </cell>
          <cell r="FN30">
            <v>1.3637977980348048</v>
          </cell>
          <cell r="FP30">
            <v>9.3852651337400284E-2</v>
          </cell>
          <cell r="FQ30">
            <v>0.35</v>
          </cell>
          <cell r="FR30">
            <v>8.0449017773620193E-2</v>
          </cell>
          <cell r="FS30">
            <v>1.59</v>
          </cell>
          <cell r="FT30">
            <v>2.1076672104404568</v>
          </cell>
          <cell r="FV30">
            <v>0.30465116279069765</v>
          </cell>
          <cell r="FW30">
            <v>0.55453290381960418</v>
          </cell>
          <cell r="FX30">
            <v>0.32190829087540529</v>
          </cell>
          <cell r="FY30">
            <v>1.7048911771589044</v>
          </cell>
          <cell r="FZ30">
            <v>2.879879182156134</v>
          </cell>
          <cell r="GB30">
            <v>0.42718904885532216</v>
          </cell>
          <cell r="GC30">
            <v>0.66890433948693373</v>
          </cell>
          <cell r="GD30">
            <v>0.27084783703217807</v>
          </cell>
          <cell r="GE30">
            <v>2.1088022722950708</v>
          </cell>
          <cell r="GF30">
            <v>3.4254564468311224</v>
          </cell>
          <cell r="GS30" t="str">
            <v>mstag:adjEpsForConsensus</v>
          </cell>
          <cell r="GT30">
            <v>0</v>
          </cell>
          <cell r="GU30" t="str">
            <v>ISO4217:USD</v>
          </cell>
          <cell r="GV30" t="b">
            <v>0</v>
          </cell>
          <cell r="GW30" t="b">
            <v>0</v>
          </cell>
        </row>
        <row r="31">
          <cell r="A31" t="str">
            <v>EPS, Extraordinary/Discontinued</v>
          </cell>
          <cell r="K31">
            <v>-0.57276646542261256</v>
          </cell>
          <cell r="L31">
            <v>-0.9233288512833967</v>
          </cell>
          <cell r="N31">
            <v>0</v>
          </cell>
          <cell r="O31">
            <v>0</v>
          </cell>
          <cell r="P31">
            <v>-8.5852404307589364E-2</v>
          </cell>
          <cell r="Q31">
            <v>-5.090748118636565E-2</v>
          </cell>
          <cell r="R31">
            <v>-6.8306010928961755E-2</v>
          </cell>
          <cell r="S31">
            <v>-2.5448739718173199</v>
          </cell>
          <cell r="T31">
            <v>-2.2928164020348389</v>
          </cell>
          <cell r="U31">
            <v>0.34873079238926785</v>
          </cell>
          <cell r="V31">
            <v>6.29590299118425E-3</v>
          </cell>
          <cell r="W31">
            <v>-0.27369976145364439</v>
          </cell>
          <cell r="X31">
            <v>0.7306414847264896</v>
          </cell>
          <cell r="Y31">
            <v>-0.26060168971069103</v>
          </cell>
          <cell r="Z31">
            <v>-0.1348828629404164</v>
          </cell>
          <cell r="AA31">
            <v>-12.690277036246071</v>
          </cell>
          <cell r="AB31">
            <v>-0.58482301408784143</v>
          </cell>
          <cell r="AC31">
            <v>-0.13766721044045682</v>
          </cell>
          <cell r="AD31">
            <v>4.0120817843865897E-2</v>
          </cell>
          <cell r="AE31">
            <v>4.5435531688777786E-3</v>
          </cell>
          <cell r="AF31">
            <v>0</v>
          </cell>
          <cell r="AG31">
            <v>0</v>
          </cell>
          <cell r="AH31">
            <v>0</v>
          </cell>
          <cell r="AI31">
            <v>0</v>
          </cell>
          <cell r="AJ31">
            <v>0</v>
          </cell>
          <cell r="AK31">
            <v>0</v>
          </cell>
          <cell r="AL31">
            <v>0</v>
          </cell>
          <cell r="AN31" t="str">
            <v>EPS, Extraordinary/Discontinued</v>
          </cell>
          <cell r="AO31">
            <v>0.17066427012363927</v>
          </cell>
          <cell r="AP31">
            <v>7.9165927046291967E-2</v>
          </cell>
          <cell r="AQ31">
            <v>0.2616065710286915</v>
          </cell>
          <cell r="AR31">
            <v>-0.36646743429234646</v>
          </cell>
          <cell r="AS31">
            <v>0.14496933390627625</v>
          </cell>
          <cell r="AU31">
            <v>0.10056992116474267</v>
          </cell>
          <cell r="AV31">
            <v>0.92759338606906783</v>
          </cell>
          <cell r="AW31">
            <v>0.22557897123962739</v>
          </cell>
          <cell r="AX31">
            <v>12.649594309088322</v>
          </cell>
          <cell r="AY31">
            <v>13.90333658756176</v>
          </cell>
          <cell r="BA31">
            <v>0</v>
          </cell>
          <cell r="BB31">
            <v>-0.12</v>
          </cell>
          <cell r="BC31">
            <v>0</v>
          </cell>
          <cell r="BD31">
            <v>-0.05</v>
          </cell>
          <cell r="BE31">
            <v>-0.16999999999999998</v>
          </cell>
          <cell r="BG31">
            <v>-2.8088329675379727E-2</v>
          </cell>
          <cell r="BH31">
            <v>0</v>
          </cell>
          <cell r="BI31">
            <v>-0.11275344190133876</v>
          </cell>
          <cell r="BJ31">
            <v>0.11</v>
          </cell>
          <cell r="BK31">
            <v>-3.0841771576718482E-2</v>
          </cell>
          <cell r="BM31">
            <v>0</v>
          </cell>
          <cell r="BN31">
            <v>-0.12758141225173411</v>
          </cell>
          <cell r="BO31">
            <v>0</v>
          </cell>
          <cell r="BP31">
            <v>0</v>
          </cell>
          <cell r="BQ31">
            <v>-0.12758141225173411</v>
          </cell>
          <cell r="BS31">
            <v>0</v>
          </cell>
          <cell r="BT31">
            <v>-0.11375987925356752</v>
          </cell>
          <cell r="BU31">
            <v>-0.26783754116355651</v>
          </cell>
          <cell r="BV31">
            <v>-0.19116904500548851</v>
          </cell>
          <cell r="BW31">
            <v>-0.57276646542261256</v>
          </cell>
          <cell r="BY31">
            <v>-0.27822347029263966</v>
          </cell>
          <cell r="BZ31">
            <v>-0.38236853908001966</v>
          </cell>
          <cell r="CA31">
            <v>-0.12076142131979695</v>
          </cell>
          <cell r="CB31">
            <v>0</v>
          </cell>
          <cell r="CC31">
            <v>-0.12117634517766497</v>
          </cell>
          <cell r="CD31">
            <v>-0.13316015237014156</v>
          </cell>
          <cell r="CE31">
            <v>-0.24821034293864214</v>
          </cell>
          <cell r="CF31">
            <v>-0.9233288512833967</v>
          </cell>
          <cell r="CG31">
            <v>-1.0174801146897994</v>
          </cell>
          <cell r="CH31">
            <v>-1.0173207208242168</v>
          </cell>
          <cell r="CJ31">
            <v>-0.22177446664409073</v>
          </cell>
          <cell r="CK31">
            <v>-0.28818222312111447</v>
          </cell>
          <cell r="CL31">
            <v>-0.12598728090584768</v>
          </cell>
          <cell r="CM31">
            <v>-0.23777692652329746</v>
          </cell>
          <cell r="CN31">
            <v>-0.83960888039568349</v>
          </cell>
          <cell r="CP31">
            <v>0</v>
          </cell>
          <cell r="CQ31">
            <v>-0.17111946902654868</v>
          </cell>
          <cell r="CR31">
            <v>0</v>
          </cell>
          <cell r="CS31">
            <v>0</v>
          </cell>
          <cell r="CT31">
            <v>-0.17026512983525147</v>
          </cell>
          <cell r="CV31">
            <v>0</v>
          </cell>
          <cell r="CW31">
            <v>0</v>
          </cell>
          <cell r="CX31">
            <v>-0.10052447552447552</v>
          </cell>
          <cell r="CY31">
            <v>0</v>
          </cell>
          <cell r="CZ31">
            <v>-0.1018149623727313</v>
          </cell>
          <cell r="DB31">
            <v>0</v>
          </cell>
          <cell r="DC31">
            <v>0</v>
          </cell>
          <cell r="DD31">
            <v>0</v>
          </cell>
          <cell r="DE31">
            <v>0</v>
          </cell>
          <cell r="DF31">
            <v>0</v>
          </cell>
          <cell r="DH31">
            <v>-6.7036523347202961E-2</v>
          </cell>
          <cell r="DI31">
            <v>-0.31414868105515587</v>
          </cell>
          <cell r="DJ31">
            <v>-1.9318746892093486</v>
          </cell>
          <cell r="DK31">
            <v>-0.28871899238767618</v>
          </cell>
          <cell r="DL31">
            <v>-2.5448739718173199</v>
          </cell>
          <cell r="DN31">
            <v>-7.3885350318471349E-2</v>
          </cell>
          <cell r="DO31">
            <v>1.4287834929117501E-2</v>
          </cell>
          <cell r="DP31">
            <v>-0.10266321104606999</v>
          </cell>
          <cell r="DQ31">
            <v>-2.122851399951327</v>
          </cell>
          <cell r="DR31">
            <v>-2.2928164020348389</v>
          </cell>
          <cell r="DT31">
            <v>0</v>
          </cell>
          <cell r="DU31">
            <v>0.36609336609336607</v>
          </cell>
          <cell r="DV31">
            <v>7.9122001020929048E-2</v>
          </cell>
          <cell r="DW31">
            <v>-0.10734588819139679</v>
          </cell>
          <cell r="DX31">
            <v>0.34873079238926785</v>
          </cell>
          <cell r="DZ31">
            <v>-1.2776003332870435E-2</v>
          </cell>
          <cell r="EA31">
            <v>-1.6106171885066356E-2</v>
          </cell>
          <cell r="EB31">
            <v>-4.6710323871067008E-2</v>
          </cell>
          <cell r="EC31">
            <v>8.3563286453323213E-2</v>
          </cell>
          <cell r="ED31">
            <v>6.29590299118425E-3</v>
          </cell>
          <cell r="EF31">
            <v>-3.1864423189969363E-2</v>
          </cell>
          <cell r="EG31">
            <v>-0.15306122448979592</v>
          </cell>
          <cell r="EH31">
            <v>-6.3646788990825695E-2</v>
          </cell>
          <cell r="EI31">
            <v>-2.3266938493929443E-2</v>
          </cell>
          <cell r="EJ31">
            <v>-0.27369976145364439</v>
          </cell>
          <cell r="EK31" t="str">
            <v>EPS, Extraordinary/Discontinued</v>
          </cell>
          <cell r="EL31">
            <v>0</v>
          </cell>
          <cell r="EM31">
            <v>0</v>
          </cell>
          <cell r="EN31">
            <v>0.73526391456151163</v>
          </cell>
          <cell r="EO31">
            <v>-7.2844093853294434E-2</v>
          </cell>
          <cell r="EP31">
            <v>0.7306414847264896</v>
          </cell>
          <cell r="ER31">
            <v>-0.10555251807302107</v>
          </cell>
          <cell r="ES31">
            <v>0.24029864091559369</v>
          </cell>
          <cell r="ET31">
            <v>-0.21761532399830275</v>
          </cell>
          <cell r="EU31">
            <v>-0.19871075580987546</v>
          </cell>
          <cell r="EV31">
            <v>-0.26060168971069103</v>
          </cell>
          <cell r="EX31">
            <v>-8.3109782144382749E-2</v>
          </cell>
          <cell r="EY31">
            <v>-0.17624695729143616</v>
          </cell>
          <cell r="EZ31">
            <v>-3.9981575310916589E-3</v>
          </cell>
          <cell r="FA31">
            <v>0.17943409247757075</v>
          </cell>
          <cell r="FB31">
            <v>-0.1348828629404164</v>
          </cell>
          <cell r="FD31">
            <v>-0.15</v>
          </cell>
          <cell r="FE31">
            <v>-0.12</v>
          </cell>
          <cell r="FF31">
            <v>-0.02</v>
          </cell>
          <cell r="FG31">
            <v>-12.39</v>
          </cell>
          <cell r="FH31">
            <v>-12.690277036246071</v>
          </cell>
          <cell r="FJ31">
            <v>-0.05</v>
          </cell>
          <cell r="FK31">
            <v>-0.18</v>
          </cell>
          <cell r="FL31">
            <v>-0.05</v>
          </cell>
          <cell r="FM31">
            <v>-0.3</v>
          </cell>
          <cell r="FN31">
            <v>-0.58482301408784143</v>
          </cell>
          <cell r="FP31">
            <v>-4.3852651337400281E-2</v>
          </cell>
          <cell r="FQ31">
            <v>-5.3341148886283385E-3</v>
          </cell>
          <cell r="FR31">
            <v>-6.0449017773620189E-2</v>
          </cell>
          <cell r="FS31">
            <v>-4.0000000000000036E-2</v>
          </cell>
          <cell r="FT31">
            <v>-0.13766721044045682</v>
          </cell>
          <cell r="FV31">
            <v>-4.6511627906976605E-3</v>
          </cell>
          <cell r="FW31">
            <v>0</v>
          </cell>
          <cell r="FX31">
            <v>-1.908290875405283E-3</v>
          </cell>
          <cell r="FY31">
            <v>3.5108822841095622E-2</v>
          </cell>
          <cell r="FZ31">
            <v>4.0120817843865897E-2</v>
          </cell>
          <cell r="GB31">
            <v>2.8109511446778312E-3</v>
          </cell>
          <cell r="GC31">
            <v>1.09566051306631E-3</v>
          </cell>
          <cell r="GD31">
            <v>-8.4783703217805595E-4</v>
          </cell>
          <cell r="GE31">
            <v>1.1977277049290969E-3</v>
          </cell>
          <cell r="GF31">
            <v>4.5435531688777786E-3</v>
          </cell>
        </row>
        <row r="32">
          <cell r="A32" t="str">
            <v>EPS Basic, Reported</v>
          </cell>
          <cell r="C32" t="str">
            <v xml:space="preserve">--  </v>
          </cell>
          <cell r="D32" t="str">
            <v xml:space="preserve">--  </v>
          </cell>
          <cell r="E32" t="str">
            <v xml:space="preserve">--  </v>
          </cell>
          <cell r="F32">
            <v>0.22616075437808544</v>
          </cell>
          <cell r="G32">
            <v>1.1918096093399249</v>
          </cell>
          <cell r="H32">
            <v>1.78</v>
          </cell>
          <cell r="I32">
            <v>2.0775398323761891</v>
          </cell>
          <cell r="J32">
            <v>1.0943248139788602</v>
          </cell>
          <cell r="K32">
            <v>0.77474204171240069</v>
          </cell>
          <cell r="L32">
            <v>1.7377009270191033</v>
          </cell>
          <cell r="N32">
            <v>0.19424315098649622</v>
          </cell>
          <cell r="O32">
            <v>0.64003849855630413</v>
          </cell>
          <cell r="P32">
            <v>1.279376733483867</v>
          </cell>
          <cell r="Q32">
            <v>1.5799522673031026</v>
          </cell>
          <cell r="R32">
            <v>1.8892585551330798</v>
          </cell>
          <cell r="S32">
            <v>-0.44921875</v>
          </cell>
          <cell r="T32">
            <v>-0.70525105404369481</v>
          </cell>
          <cell r="U32">
            <v>2.0735107731305451</v>
          </cell>
          <cell r="V32">
            <v>1.8790672451193058</v>
          </cell>
          <cell r="W32">
            <v>1.966447173043975</v>
          </cell>
          <cell r="X32">
            <v>3.3018577701219307</v>
          </cell>
          <cell r="Y32">
            <v>1.8423611111111111</v>
          </cell>
          <cell r="Z32">
            <v>1.9545877791262072</v>
          </cell>
          <cell r="AA32">
            <v>-11.403810767495697</v>
          </cell>
          <cell r="AB32">
            <v>0.78012923113403276</v>
          </cell>
          <cell r="AC32">
            <v>1.996229083195852</v>
          </cell>
          <cell r="AD32">
            <v>2.9587750294464077</v>
          </cell>
          <cell r="AE32">
            <v>3.4768289072784784</v>
          </cell>
          <cell r="AF32">
            <v>4.0106022836648636</v>
          </cell>
          <cell r="AG32">
            <v>4.8863487599011481</v>
          </cell>
          <cell r="AH32">
            <v>5.401769994132783</v>
          </cell>
          <cell r="AI32">
            <v>5.8155175230849547</v>
          </cell>
          <cell r="AJ32">
            <v>6.2883768989543398</v>
          </cell>
          <cell r="AK32">
            <v>6.9597548987727658</v>
          </cell>
          <cell r="AL32">
            <v>7.7456035591899965</v>
          </cell>
          <cell r="AN32" t="str">
            <v>EPS Basic, Reported</v>
          </cell>
          <cell r="AO32">
            <v>-1.0723357298763596</v>
          </cell>
          <cell r="AP32">
            <v>-1.5004840729537079</v>
          </cell>
          <cell r="AQ32">
            <v>-0.82341842897130901</v>
          </cell>
          <cell r="AR32">
            <v>0.14813256570765293</v>
          </cell>
          <cell r="AS32">
            <v>-2.6062398109441198</v>
          </cell>
          <cell r="AU32">
            <v>-0.70174344634807351</v>
          </cell>
          <cell r="AV32">
            <v>-0.8709310605984335</v>
          </cell>
          <cell r="AW32">
            <v>-0.53714455008086737</v>
          </cell>
          <cell r="AX32">
            <v>0.43196269723388214</v>
          </cell>
          <cell r="AY32">
            <v>-1.4596868454619985</v>
          </cell>
          <cell r="BA32">
            <v>0.14770538952107243</v>
          </cell>
          <cell r="BB32">
            <v>-0.13925490818648498</v>
          </cell>
          <cell r="BC32">
            <v>0.25065079365079296</v>
          </cell>
          <cell r="BD32">
            <v>0.83396546799124038</v>
          </cell>
          <cell r="BE32">
            <v>1.19180960933992</v>
          </cell>
          <cell r="BG32">
            <v>0.17</v>
          </cell>
          <cell r="BH32">
            <v>7.0000000000000007E-2</v>
          </cell>
          <cell r="BI32">
            <v>0.27</v>
          </cell>
          <cell r="BJ32">
            <v>1.04</v>
          </cell>
          <cell r="BK32">
            <v>1.56</v>
          </cell>
          <cell r="BM32">
            <v>0.25</v>
          </cell>
          <cell r="BN32">
            <v>0.15738121948521733</v>
          </cell>
          <cell r="BO32">
            <v>0.35</v>
          </cell>
          <cell r="BP32">
            <v>1.31</v>
          </cell>
          <cell r="BQ32">
            <v>2.0775398323761891</v>
          </cell>
          <cell r="BS32">
            <v>-0.20332821075740956</v>
          </cell>
          <cell r="BT32">
            <v>-0.20582656421514811</v>
          </cell>
          <cell r="BU32">
            <v>-1.3498353457738645E-2</v>
          </cell>
          <cell r="BV32">
            <v>1.1973951701427006</v>
          </cell>
          <cell r="BW32">
            <v>0.77474204171240035</v>
          </cell>
          <cell r="BY32">
            <v>-3.378866007598056E-2</v>
          </cell>
          <cell r="BZ32">
            <v>1.4950719247388836E-2</v>
          </cell>
          <cell r="CA32">
            <v>0.24965027322404229</v>
          </cell>
          <cell r="CB32">
            <v>-0.34615287005689976</v>
          </cell>
          <cell r="CC32">
            <v>-0.11432140373673416</v>
          </cell>
          <cell r="CD32">
            <v>1.5044313952346118</v>
          </cell>
          <cell r="CE32">
            <v>1.4555527535273449</v>
          </cell>
          <cell r="CF32">
            <v>1.7377009270191031</v>
          </cell>
          <cell r="CG32">
            <v>1.7610157567907692</v>
          </cell>
          <cell r="CH32">
            <v>1.4012846587259669</v>
          </cell>
          <cell r="CJ32">
            <v>0.04</v>
          </cell>
          <cell r="CK32">
            <v>0.16</v>
          </cell>
          <cell r="CL32">
            <v>0.33</v>
          </cell>
          <cell r="CM32">
            <v>1.65</v>
          </cell>
          <cell r="CN32">
            <v>2.1800000000000002</v>
          </cell>
          <cell r="CP32">
            <v>0.11539088729016872</v>
          </cell>
          <cell r="CQ32">
            <v>0.3169531996179577</v>
          </cell>
          <cell r="CR32">
            <v>0.50221691352126152</v>
          </cell>
          <cell r="CS32">
            <v>1.8039573994232363</v>
          </cell>
          <cell r="CT32">
            <v>2.743131704196645</v>
          </cell>
          <cell r="CV32">
            <v>0.28887565258661607</v>
          </cell>
          <cell r="CW32">
            <v>0.50731353919239908</v>
          </cell>
          <cell r="CX32">
            <v>0.41527446300715992</v>
          </cell>
          <cell r="CY32">
            <v>1.9474940334128878</v>
          </cell>
          <cell r="CZ32">
            <v>3.1610214797136038</v>
          </cell>
          <cell r="DB32">
            <v>0.21113397129186603</v>
          </cell>
          <cell r="DC32">
            <v>0.32534587898999523</v>
          </cell>
          <cell r="DD32">
            <v>0.29230038022813687</v>
          </cell>
          <cell r="DE32">
            <v>1.0551106924163918</v>
          </cell>
          <cell r="DF32">
            <v>1.8892585551330801</v>
          </cell>
          <cell r="DH32">
            <v>0.21211654135338345</v>
          </cell>
          <cell r="DI32">
            <v>0.15346853823814133</v>
          </cell>
          <cell r="DJ32">
            <v>-1.6608652411735456</v>
          </cell>
          <cell r="DK32">
            <v>0.83543029693004534</v>
          </cell>
          <cell r="DL32">
            <v>-0.44921875</v>
          </cell>
          <cell r="DN32">
            <v>0.14946464646464647</v>
          </cell>
          <cell r="DO32">
            <v>0.28163103802672151</v>
          </cell>
          <cell r="DP32">
            <v>7.7760497667185065E-3</v>
          </cell>
          <cell r="DQ32">
            <v>-1.1333671399594321</v>
          </cell>
          <cell r="DR32">
            <v>-0.70525105404369481</v>
          </cell>
          <cell r="DT32">
            <v>0.22073412698412698</v>
          </cell>
          <cell r="DU32">
            <v>0.69975186104218368</v>
          </cell>
          <cell r="DV32">
            <v>0.27179487179487177</v>
          </cell>
          <cell r="DW32">
            <v>0.89113776846516501</v>
          </cell>
          <cell r="DX32">
            <v>2.0735107731305451</v>
          </cell>
          <cell r="DZ32">
            <v>0.12156448202959831</v>
          </cell>
          <cell r="EA32">
            <v>0.32327586206896552</v>
          </cell>
          <cell r="EB32">
            <v>0.18346111719605696</v>
          </cell>
          <cell r="EC32">
            <v>1.2749445676274944</v>
          </cell>
          <cell r="ED32">
            <v>1.8790672451193058</v>
          </cell>
          <cell r="EF32">
            <v>0.26869806094182824</v>
          </cell>
          <cell r="EG32">
            <v>0.21775544388609716</v>
          </cell>
          <cell r="EH32">
            <v>0.21511627906976744</v>
          </cell>
          <cell r="EI32">
            <v>1.3040901007705987</v>
          </cell>
          <cell r="EJ32">
            <v>1.966447173043975</v>
          </cell>
          <cell r="EK32" t="str">
            <v>EPS Basic, Reported</v>
          </cell>
          <cell r="EL32">
            <v>0.36538507109004736</v>
          </cell>
          <cell r="EM32">
            <v>0.43324299065420563</v>
          </cell>
          <cell r="EN32">
            <v>0.91167692805003653</v>
          </cell>
          <cell r="EO32">
            <v>1.2806888970318799</v>
          </cell>
          <cell r="EP32">
            <v>3.3018577701219307</v>
          </cell>
          <cell r="ER32">
            <v>-9.4511086877499081E-2</v>
          </cell>
          <cell r="ES32">
            <v>0.57384099963781232</v>
          </cell>
          <cell r="ET32">
            <v>-5.538120731031936E-3</v>
          </cell>
          <cell r="EU32">
            <v>1.4205426356589148</v>
          </cell>
          <cell r="EV32">
            <v>1.8423611111111111</v>
          </cell>
          <cell r="EX32">
            <v>7.6890217855617254E-2</v>
          </cell>
          <cell r="EY32">
            <v>0.16375304270856386</v>
          </cell>
          <cell r="EZ32">
            <v>7.6001842468908343E-2</v>
          </cell>
          <cell r="FA32">
            <v>1.7978979422385495</v>
          </cell>
          <cell r="FB32">
            <v>1.9545877791262072</v>
          </cell>
          <cell r="FD32">
            <v>-0.14000000000000001</v>
          </cell>
          <cell r="FE32">
            <v>0.17</v>
          </cell>
          <cell r="FF32">
            <v>-0.1</v>
          </cell>
          <cell r="FG32">
            <v>-11.33</v>
          </cell>
          <cell r="FH32">
            <v>-11.403810767495697</v>
          </cell>
          <cell r="FJ32">
            <v>-0.21</v>
          </cell>
          <cell r="FK32">
            <v>0.02</v>
          </cell>
          <cell r="FL32">
            <v>-0.08</v>
          </cell>
          <cell r="FM32">
            <v>1.05</v>
          </cell>
          <cell r="FN32">
            <v>0.78012923113403276</v>
          </cell>
          <cell r="FP32">
            <v>5.4424988168480827E-2</v>
          </cell>
          <cell r="FQ32">
            <v>0.3475177304964539</v>
          </cell>
          <cell r="FR32">
            <v>2.3612750885478158E-2</v>
          </cell>
          <cell r="FS32">
            <v>1.5757146231986769</v>
          </cell>
          <cell r="FT32">
            <v>1.996229083195852</v>
          </cell>
          <cell r="FV32">
            <v>0.30816278522700541</v>
          </cell>
          <cell r="FW32">
            <v>0.56374269005847955</v>
          </cell>
          <cell r="FX32">
            <v>0.32682812132612271</v>
          </cell>
          <cell r="FY32">
            <v>1.7738095238095237</v>
          </cell>
          <cell r="FZ32">
            <v>2.9587750294464077</v>
          </cell>
          <cell r="GB32">
            <v>0.43394869335890673</v>
          </cell>
          <cell r="GC32">
            <v>0.67850194552529186</v>
          </cell>
          <cell r="GD32">
            <v>0.27483932381768389</v>
          </cell>
          <cell r="GE32">
            <v>2.1405708013402154</v>
          </cell>
          <cell r="GF32">
            <v>3.4768289072784784</v>
          </cell>
        </row>
        <row r="33">
          <cell r="A33" t="str">
            <v>EPS Diluted, Reported</v>
          </cell>
          <cell r="N33">
            <v>0.19396284189183596</v>
          </cell>
          <cell r="O33">
            <v>0.62193570143884891</v>
          </cell>
          <cell r="P33">
            <v>1.2039336603062509</v>
          </cell>
          <cell r="Q33">
            <v>1.4807436918990704</v>
          </cell>
          <cell r="R33">
            <v>1.8101092896174864</v>
          </cell>
          <cell r="S33">
            <v>-0.44471299093655592</v>
          </cell>
          <cell r="T33">
            <v>-0.69138276553106215</v>
          </cell>
          <cell r="U33">
            <v>2.0581205183041891</v>
          </cell>
          <cell r="V33">
            <v>1.8569131832797428</v>
          </cell>
          <cell r="W33">
            <v>1.9312210998877666</v>
          </cell>
          <cell r="X33">
            <v>3.236519581389651</v>
          </cell>
          <cell r="Y33">
            <v>1.8164597407339782</v>
          </cell>
          <cell r="Z33">
            <v>1.9323052621090515</v>
          </cell>
          <cell r="AA33">
            <v>-11.397045737675745</v>
          </cell>
          <cell r="AB33">
            <v>0.7789747839469634</v>
          </cell>
          <cell r="AC33">
            <v>1.97</v>
          </cell>
          <cell r="AD33">
            <v>2.92</v>
          </cell>
          <cell r="AE33">
            <v>3.43</v>
          </cell>
          <cell r="AF33">
            <v>3.9453943917559142</v>
          </cell>
          <cell r="AG33">
            <v>4.7983581094155907</v>
          </cell>
          <cell r="AH33">
            <v>5.2958753573867723</v>
          </cell>
          <cell r="AI33">
            <v>5.6959829769682733</v>
          </cell>
          <cell r="AJ33">
            <v>6.1538937066977288</v>
          </cell>
          <cell r="AK33">
            <v>6.8001516881883797</v>
          </cell>
          <cell r="AL33">
            <v>7.5529335978779351</v>
          </cell>
          <cell r="AN33" t="str">
            <v>EPS Diluted, Reported</v>
          </cell>
          <cell r="CJ33">
            <v>4.3952880847563512E-2</v>
          </cell>
          <cell r="CK33">
            <v>0.1572344856811278</v>
          </cell>
          <cell r="CL33">
            <v>0.33496867229766447</v>
          </cell>
          <cell r="CM33">
            <v>1.5454023745519698</v>
          </cell>
          <cell r="CN33">
            <v>2.071115175359711</v>
          </cell>
          <cell r="CP33">
            <v>0.12199906367041283</v>
          </cell>
          <cell r="CQ33">
            <v>0.30544247787610773</v>
          </cell>
          <cell r="CR33">
            <v>0.47624392399469739</v>
          </cell>
          <cell r="CS33">
            <v>1.6620515499825848</v>
          </cell>
          <cell r="CT33">
            <v>2.5768180897619937</v>
          </cell>
          <cell r="CV33">
            <v>0.26107772020725389</v>
          </cell>
          <cell r="CW33">
            <v>0.4604130808950086</v>
          </cell>
          <cell r="CX33">
            <v>0.38024475524475521</v>
          </cell>
          <cell r="CY33">
            <v>1.8793182865039153</v>
          </cell>
          <cell r="CZ33">
            <v>2.9315360779105801</v>
          </cell>
          <cell r="DB33">
            <v>0.2020166358595194</v>
          </cell>
          <cell r="DC33">
            <v>0.30869761153672826</v>
          </cell>
          <cell r="DD33">
            <v>0.27967257844474763</v>
          </cell>
          <cell r="DE33">
            <v>1.0186448385629832</v>
          </cell>
          <cell r="DF33">
            <v>1.8103153819879312</v>
          </cell>
          <cell r="DH33">
            <v>0.20673277854831251</v>
          </cell>
          <cell r="DI33">
            <v>0.15107913669064749</v>
          </cell>
          <cell r="DJ33">
            <v>-1.6608652411735456</v>
          </cell>
          <cell r="DK33">
            <v>0.82341269841269848</v>
          </cell>
          <cell r="DL33">
            <v>-0.44471299093655592</v>
          </cell>
          <cell r="DN33">
            <v>0.14308721215090642</v>
          </cell>
          <cell r="DO33">
            <v>0.27555110220440882</v>
          </cell>
          <cell r="DP33">
            <v>7.7081192189105861E-3</v>
          </cell>
          <cell r="DQ33">
            <v>-1.1169415292353824</v>
          </cell>
          <cell r="DR33">
            <v>-0.69138276553106215</v>
          </cell>
          <cell r="DT33">
            <v>0.21613725490196078</v>
          </cell>
          <cell r="DU33">
            <v>0.69287469287469283</v>
          </cell>
          <cell r="DV33">
            <v>0.27054619703930577</v>
          </cell>
          <cell r="DW33">
            <v>0.89033942558746737</v>
          </cell>
          <cell r="DX33">
            <v>2.0581205183041891</v>
          </cell>
          <cell r="DZ33">
            <v>0.12137203166226913</v>
          </cell>
          <cell r="EA33">
            <v>0.32051282051282054</v>
          </cell>
          <cell r="EB33">
            <v>0.18039849219170706</v>
          </cell>
          <cell r="EC33">
            <v>1.2506797172376292</v>
          </cell>
          <cell r="ED33">
            <v>1.8569131832797428</v>
          </cell>
          <cell r="EF33">
            <v>0.26330076004343106</v>
          </cell>
          <cell r="EG33">
            <v>0.21428571428571427</v>
          </cell>
          <cell r="EH33">
            <v>0.2121559633027523</v>
          </cell>
          <cell r="EI33">
            <v>1.2761020881670533</v>
          </cell>
          <cell r="EJ33">
            <v>1.9312210998877666</v>
          </cell>
          <cell r="EK33" t="str">
            <v>EPS Diluted, Reported</v>
          </cell>
          <cell r="EL33">
            <v>0.35692708333333328</v>
          </cell>
          <cell r="EM33">
            <v>0.42117245304496304</v>
          </cell>
          <cell r="EN33">
            <v>0.89594867544042411</v>
          </cell>
          <cell r="EO33">
            <v>1.261277517141826</v>
          </cell>
          <cell r="EP33">
            <v>3.236519581389651</v>
          </cell>
          <cell r="ER33">
            <v>-9.3189964157706098E-2</v>
          </cell>
          <cell r="ES33">
            <v>0.56665772532188841</v>
          </cell>
          <cell r="ET33">
            <v>-5.4555373704309879E-3</v>
          </cell>
          <cell r="EU33">
            <v>1.3996562917700972</v>
          </cell>
          <cell r="EV33">
            <v>1.8164597407339782</v>
          </cell>
          <cell r="EX33">
            <v>7.5566750629722929E-2</v>
          </cell>
          <cell r="EY33">
            <v>0.16164263870685888</v>
          </cell>
          <cell r="EZ33">
            <v>7.532526820360648E-2</v>
          </cell>
          <cell r="FA33">
            <v>1.7778979422385495</v>
          </cell>
          <cell r="FB33">
            <v>1.9323052621090515</v>
          </cell>
          <cell r="FD33">
            <v>-0.14000000000000001</v>
          </cell>
          <cell r="FE33">
            <v>0.17</v>
          </cell>
          <cell r="FF33">
            <v>-0.1</v>
          </cell>
          <cell r="FG33">
            <v>-11.33</v>
          </cell>
          <cell r="FH33">
            <v>-11.397045737675745</v>
          </cell>
          <cell r="FJ33">
            <v>-0.21</v>
          </cell>
          <cell r="FK33">
            <v>0.02</v>
          </cell>
          <cell r="FL33">
            <v>-0.08</v>
          </cell>
          <cell r="FM33">
            <v>1.05</v>
          </cell>
          <cell r="FN33">
            <v>0.7789747839469634</v>
          </cell>
          <cell r="FP33">
            <v>0.05</v>
          </cell>
          <cell r="FQ33">
            <v>0.34466588511137164</v>
          </cell>
          <cell r="FR33">
            <v>0.02</v>
          </cell>
          <cell r="FS33">
            <v>1.55</v>
          </cell>
          <cell r="FT33">
            <v>1.97</v>
          </cell>
          <cell r="FV33">
            <v>0.3</v>
          </cell>
          <cell r="FW33">
            <v>0.55453290381960418</v>
          </cell>
          <cell r="FX33">
            <v>0.32</v>
          </cell>
          <cell r="FY33">
            <v>1.74</v>
          </cell>
          <cell r="FZ33">
            <v>2.92</v>
          </cell>
          <cell r="GB33">
            <v>0.43</v>
          </cell>
          <cell r="GC33">
            <v>0.67</v>
          </cell>
          <cell r="GD33">
            <v>0.27</v>
          </cell>
          <cell r="GE33">
            <v>2.11</v>
          </cell>
          <cell r="GF33">
            <v>3.43</v>
          </cell>
        </row>
        <row r="34">
          <cell r="A34" t="str">
            <v>Net Income, For Consensus</v>
          </cell>
          <cell r="W34">
            <v>786.54659498207877</v>
          </cell>
          <cell r="X34">
            <v>1089.0546208098101</v>
          </cell>
          <cell r="Y34">
            <v>1137.6065454545455</v>
          </cell>
          <cell r="Z34">
            <v>968.87045454545455</v>
          </cell>
          <cell r="AA34">
            <v>545</v>
          </cell>
          <cell r="AB34">
            <v>575.99999999999989</v>
          </cell>
          <cell r="AC34">
            <v>863</v>
          </cell>
          <cell r="AD34">
            <v>1239.5</v>
          </cell>
          <cell r="AE34">
            <v>1407.0129840730656</v>
          </cell>
          <cell r="AF34">
            <v>1474.1651556723784</v>
          </cell>
          <cell r="AG34">
            <v>1618.7764295278068</v>
          </cell>
          <cell r="AH34">
            <v>1641.1420018455815</v>
          </cell>
          <cell r="AI34">
            <v>1683.4875028271351</v>
          </cell>
          <cell r="AJ34">
            <v>1748.1022306573102</v>
          </cell>
          <cell r="AK34">
            <v>1801.4292273300186</v>
          </cell>
          <cell r="AL34">
            <v>1844.6042441173129</v>
          </cell>
          <cell r="ER34">
            <v>11</v>
          </cell>
          <cell r="ES34">
            <v>292</v>
          </cell>
          <cell r="ET34">
            <v>175</v>
          </cell>
          <cell r="EU34">
            <v>1334</v>
          </cell>
          <cell r="EV34">
            <v>1812</v>
          </cell>
          <cell r="EX34">
            <v>119</v>
          </cell>
          <cell r="EY34">
            <v>210</v>
          </cell>
          <cell r="EZ34">
            <v>55</v>
          </cell>
          <cell r="FA34">
            <v>1155</v>
          </cell>
          <cell r="FB34">
            <v>1539</v>
          </cell>
          <cell r="FD34">
            <v>4</v>
          </cell>
          <cell r="FE34">
            <v>120.99999999999999</v>
          </cell>
          <cell r="FF34">
            <v>-34</v>
          </cell>
          <cell r="FG34">
            <v>448</v>
          </cell>
          <cell r="FH34">
            <v>545</v>
          </cell>
          <cell r="FJ34">
            <v>-67.999999999999986</v>
          </cell>
          <cell r="FK34">
            <v>84</v>
          </cell>
          <cell r="FL34">
            <v>-12.000000000000002</v>
          </cell>
          <cell r="FM34">
            <v>572</v>
          </cell>
          <cell r="FN34">
            <v>575.99999999999989</v>
          </cell>
          <cell r="FP34">
            <v>23.000000000000004</v>
          </cell>
          <cell r="FQ34">
            <v>147</v>
          </cell>
          <cell r="FR34">
            <v>10</v>
          </cell>
          <cell r="FS34">
            <v>682.99999999999989</v>
          </cell>
          <cell r="FT34">
            <v>863</v>
          </cell>
          <cell r="FV34">
            <v>131</v>
          </cell>
          <cell r="FW34">
            <v>240.99999999999997</v>
          </cell>
          <cell r="FX34">
            <v>139</v>
          </cell>
          <cell r="FY34">
            <v>728.49999999999989</v>
          </cell>
          <cell r="FZ34">
            <v>1239.5</v>
          </cell>
          <cell r="GB34">
            <v>181</v>
          </cell>
          <cell r="GC34">
            <v>279.00000000000006</v>
          </cell>
          <cell r="GD34">
            <v>110.03264655178822</v>
          </cell>
          <cell r="GE34">
            <v>838.34033752127743</v>
          </cell>
          <cell r="GF34">
            <v>1408.3729840730653</v>
          </cell>
          <cell r="GS34" t="str">
            <v>mstag:netIncomeAdjustedForConsensus</v>
          </cell>
          <cell r="GT34">
            <v>6</v>
          </cell>
          <cell r="GU34" t="str">
            <v>ISO4217:USD</v>
          </cell>
          <cell r="GV34" t="b">
            <v>0</v>
          </cell>
        </row>
        <row r="35">
          <cell r="A35" t="str">
            <v>Average Basic Shares Outstanding</v>
          </cell>
          <cell r="C35" t="str">
            <v xml:space="preserve">--  </v>
          </cell>
          <cell r="D35" t="str">
            <v xml:space="preserve">--  </v>
          </cell>
          <cell r="E35" t="str">
            <v xml:space="preserve">--  </v>
          </cell>
          <cell r="F35">
            <v>111.35</v>
          </cell>
          <cell r="G35">
            <v>111.35</v>
          </cell>
          <cell r="H35">
            <v>126.29300000000001</v>
          </cell>
          <cell r="I35">
            <v>126.593</v>
          </cell>
          <cell r="K35">
            <v>182.2</v>
          </cell>
          <cell r="L35">
            <v>182.952</v>
          </cell>
          <cell r="N35">
            <v>386.11399999999998</v>
          </cell>
          <cell r="O35">
            <v>415.6</v>
          </cell>
          <cell r="P35">
            <v>418.95400000000001</v>
          </cell>
          <cell r="Q35">
            <v>419</v>
          </cell>
          <cell r="R35">
            <v>420.8</v>
          </cell>
          <cell r="S35">
            <v>409.6</v>
          </cell>
          <cell r="T35">
            <v>391.35</v>
          </cell>
          <cell r="U35">
            <v>394.5</v>
          </cell>
          <cell r="V35">
            <v>368.8</v>
          </cell>
          <cell r="W35">
            <v>350.2</v>
          </cell>
          <cell r="X35">
            <v>426</v>
          </cell>
          <cell r="Y35">
            <v>540</v>
          </cell>
          <cell r="Z35">
            <v>446.6</v>
          </cell>
          <cell r="AA35">
            <v>421.17499999999995</v>
          </cell>
          <cell r="AB35">
            <v>421.72500000000002</v>
          </cell>
          <cell r="AC35">
            <v>424.3</v>
          </cell>
          <cell r="AD35">
            <v>424.5</v>
          </cell>
          <cell r="AE35">
            <v>405.07399749373434</v>
          </cell>
          <cell r="AF35">
            <v>367.56702644803153</v>
          </cell>
          <cell r="AG35">
            <v>331.28548719485082</v>
          </cell>
          <cell r="AH35">
            <v>303.81560185423177</v>
          </cell>
          <cell r="AI35">
            <v>289.4819757905392</v>
          </cell>
          <cell r="AJ35">
            <v>277.98941741993752</v>
          </cell>
          <cell r="AK35">
            <v>258.83515346893466</v>
          </cell>
          <cell r="AL35">
            <v>238.1485484018516</v>
          </cell>
          <cell r="AN35" t="str">
            <v>Average Basic Shares Outstanding</v>
          </cell>
          <cell r="AO35">
            <v>80</v>
          </cell>
          <cell r="AP35">
            <v>80</v>
          </cell>
          <cell r="AQ35">
            <v>80</v>
          </cell>
          <cell r="AR35">
            <v>80</v>
          </cell>
          <cell r="AS35">
            <v>80</v>
          </cell>
          <cell r="AU35">
            <v>79.97</v>
          </cell>
          <cell r="AV35">
            <v>79.97</v>
          </cell>
          <cell r="AW35">
            <v>79.97</v>
          </cell>
          <cell r="AX35">
            <v>79.97</v>
          </cell>
          <cell r="AY35">
            <v>79.97</v>
          </cell>
          <cell r="BA35">
            <v>79.97</v>
          </cell>
          <cell r="BB35">
            <v>113.38200000000001</v>
          </cell>
          <cell r="BC35">
            <v>126</v>
          </cell>
          <cell r="BD35">
            <v>126.02800000000001</v>
          </cell>
          <cell r="BE35">
            <v>111.35</v>
          </cell>
          <cell r="BG35">
            <v>126.209</v>
          </cell>
          <cell r="BH35">
            <v>126.309</v>
          </cell>
          <cell r="BI35">
            <v>126.31100000000001</v>
          </cell>
          <cell r="BJ35">
            <v>126.33799999999999</v>
          </cell>
          <cell r="BK35">
            <v>126.29300000000001</v>
          </cell>
          <cell r="BM35">
            <v>126.464</v>
          </cell>
          <cell r="BN35">
            <v>126.578</v>
          </cell>
          <cell r="BO35">
            <v>126.6</v>
          </cell>
          <cell r="BP35">
            <v>126.74</v>
          </cell>
          <cell r="BQ35">
            <v>126.593</v>
          </cell>
          <cell r="BS35">
            <v>182.2</v>
          </cell>
          <cell r="BT35">
            <v>182.2</v>
          </cell>
          <cell r="BU35">
            <v>182.2</v>
          </cell>
          <cell r="BV35">
            <v>182.2</v>
          </cell>
          <cell r="BW35">
            <v>182.2</v>
          </cell>
          <cell r="BY35">
            <v>182.68199999999999</v>
          </cell>
          <cell r="BZ35">
            <v>182.83</v>
          </cell>
          <cell r="CA35">
            <v>183</v>
          </cell>
          <cell r="CB35">
            <v>197.017</v>
          </cell>
          <cell r="CC35">
            <v>197.017</v>
          </cell>
          <cell r="CD35">
            <v>183.238</v>
          </cell>
          <cell r="CE35">
            <v>202.631</v>
          </cell>
          <cell r="CF35">
            <v>182.952</v>
          </cell>
          <cell r="CG35">
            <v>191.47300000000001</v>
          </cell>
          <cell r="CH35">
            <v>191.50299999999999</v>
          </cell>
          <cell r="CJ35">
            <v>206.71</v>
          </cell>
          <cell r="CK35">
            <v>207.66300000000001</v>
          </cell>
          <cell r="CL35">
            <v>207.82</v>
          </cell>
          <cell r="CM35">
            <v>208.26</v>
          </cell>
          <cell r="CN35">
            <v>207.8</v>
          </cell>
          <cell r="CP35">
            <v>208.5</v>
          </cell>
          <cell r="CQ35">
            <v>209.4</v>
          </cell>
          <cell r="CR35">
            <v>209.3</v>
          </cell>
          <cell r="CS35">
            <v>210.13800000000001</v>
          </cell>
          <cell r="CT35">
            <v>209.477</v>
          </cell>
          <cell r="CV35">
            <v>210.7</v>
          </cell>
          <cell r="CW35">
            <v>210.5</v>
          </cell>
          <cell r="CX35">
            <v>209.5</v>
          </cell>
          <cell r="CY35">
            <v>209.5</v>
          </cell>
          <cell r="CZ35">
            <v>209.5</v>
          </cell>
          <cell r="DB35">
            <v>418</v>
          </cell>
          <cell r="DC35">
            <v>419.8</v>
          </cell>
          <cell r="DD35">
            <v>420.8</v>
          </cell>
          <cell r="DE35">
            <v>424.6</v>
          </cell>
          <cell r="DF35">
            <v>420.79999999999995</v>
          </cell>
          <cell r="DH35">
            <v>425.6</v>
          </cell>
          <cell r="DI35">
            <v>413.2</v>
          </cell>
          <cell r="DJ35">
            <v>402.2</v>
          </cell>
          <cell r="DK35">
            <v>397.4</v>
          </cell>
          <cell r="DL35">
            <v>409.6</v>
          </cell>
          <cell r="DN35">
            <v>396</v>
          </cell>
          <cell r="DO35">
            <v>389.2</v>
          </cell>
          <cell r="DP35">
            <v>385.8</v>
          </cell>
          <cell r="DQ35">
            <v>394.4</v>
          </cell>
          <cell r="DR35">
            <v>391.35</v>
          </cell>
          <cell r="DT35">
            <v>403.2</v>
          </cell>
          <cell r="DU35">
            <v>403</v>
          </cell>
          <cell r="DV35">
            <v>390</v>
          </cell>
          <cell r="DW35">
            <v>381.8</v>
          </cell>
          <cell r="DX35">
            <v>394.5</v>
          </cell>
          <cell r="DZ35">
            <v>378.4</v>
          </cell>
          <cell r="EA35">
            <v>371.2</v>
          </cell>
          <cell r="EB35">
            <v>365.2</v>
          </cell>
          <cell r="EC35">
            <v>360.8</v>
          </cell>
          <cell r="ED35">
            <v>368.8</v>
          </cell>
          <cell r="EF35">
            <v>361</v>
          </cell>
          <cell r="EG35">
            <v>358.2</v>
          </cell>
          <cell r="EH35">
            <v>344</v>
          </cell>
          <cell r="EI35">
            <v>337.4</v>
          </cell>
          <cell r="EJ35">
            <v>350.2</v>
          </cell>
          <cell r="EK35" t="str">
            <v>Average Basic Shares Outstanding</v>
          </cell>
          <cell r="EL35">
            <v>337.6</v>
          </cell>
          <cell r="EM35">
            <v>342.4</v>
          </cell>
          <cell r="EN35">
            <v>478.5</v>
          </cell>
          <cell r="EO35">
            <v>545.79999999999995</v>
          </cell>
          <cell r="EP35">
            <v>426</v>
          </cell>
          <cell r="ER35">
            <v>550.20000000000005</v>
          </cell>
          <cell r="ES35">
            <v>552.20000000000005</v>
          </cell>
          <cell r="ET35">
            <v>541.70000000000005</v>
          </cell>
          <cell r="EU35">
            <v>516</v>
          </cell>
          <cell r="EV35">
            <v>540</v>
          </cell>
          <cell r="EX35">
            <v>468.2</v>
          </cell>
          <cell r="EY35">
            <v>451.9</v>
          </cell>
          <cell r="EZ35">
            <v>434.2</v>
          </cell>
          <cell r="FA35">
            <v>432.1</v>
          </cell>
          <cell r="FB35">
            <v>446.6</v>
          </cell>
          <cell r="FD35">
            <v>420.9</v>
          </cell>
          <cell r="FE35">
            <v>421.1</v>
          </cell>
          <cell r="FF35">
            <v>421.3</v>
          </cell>
          <cell r="FG35">
            <v>421.4</v>
          </cell>
          <cell r="FH35">
            <v>421.17499999999995</v>
          </cell>
          <cell r="FJ35">
            <v>421.4</v>
          </cell>
          <cell r="FK35">
            <v>421.5</v>
          </cell>
          <cell r="FL35">
            <v>421.8</v>
          </cell>
          <cell r="FM35">
            <v>422.2</v>
          </cell>
          <cell r="FN35">
            <v>421.72500000000002</v>
          </cell>
          <cell r="FP35">
            <v>422.6</v>
          </cell>
          <cell r="FQ35">
            <v>423</v>
          </cell>
          <cell r="FR35">
            <v>423.5</v>
          </cell>
          <cell r="FS35">
            <v>423.3</v>
          </cell>
          <cell r="FT35">
            <v>424.3</v>
          </cell>
          <cell r="FV35">
            <v>425.1</v>
          </cell>
          <cell r="FW35">
            <v>427.5</v>
          </cell>
          <cell r="FX35">
            <v>425.3</v>
          </cell>
          <cell r="FY35">
            <v>420</v>
          </cell>
          <cell r="FZ35">
            <v>424.5</v>
          </cell>
          <cell r="GB35">
            <v>417.1</v>
          </cell>
          <cell r="GC35">
            <v>411.2</v>
          </cell>
          <cell r="GD35">
            <v>400.35263157894735</v>
          </cell>
          <cell r="GE35">
            <v>391.64335839598999</v>
          </cell>
          <cell r="GF35">
            <v>405.07399749373434</v>
          </cell>
          <cell r="GS35" t="str">
            <v>mstag:averageBasicSharesOutstanding</v>
          </cell>
          <cell r="GT35">
            <v>6</v>
          </cell>
          <cell r="GU35" t="str">
            <v>ms_eqr_gcim_Decimal:ms_eqr_gcim_decimal</v>
          </cell>
          <cell r="GV35" t="b">
            <v>0</v>
          </cell>
          <cell r="GW35" t="b">
            <v>0</v>
          </cell>
        </row>
        <row r="36">
          <cell r="A36" t="str">
            <v>Average Fully Diluted Shares Outstanding</v>
          </cell>
          <cell r="K36">
            <v>182.2</v>
          </cell>
          <cell r="L36">
            <v>182.952</v>
          </cell>
          <cell r="N36">
            <v>386.67200000000003</v>
          </cell>
          <cell r="O36">
            <v>444.8</v>
          </cell>
          <cell r="P36">
            <v>454.26799999999997</v>
          </cell>
          <cell r="Q36">
            <v>451.8</v>
          </cell>
          <cell r="R36">
            <v>439.2</v>
          </cell>
          <cell r="S36">
            <v>413.75</v>
          </cell>
          <cell r="T36">
            <v>399.2</v>
          </cell>
          <cell r="U36">
            <v>397.45</v>
          </cell>
          <cell r="V36">
            <v>373.2</v>
          </cell>
          <cell r="W36">
            <v>356.4</v>
          </cell>
          <cell r="X36">
            <v>434.6</v>
          </cell>
          <cell r="Y36">
            <v>547.70000000000005</v>
          </cell>
          <cell r="Z36">
            <v>451.75000000000006</v>
          </cell>
          <cell r="AA36">
            <v>421.42499999999995</v>
          </cell>
          <cell r="AB36">
            <v>422.35</v>
          </cell>
          <cell r="AC36">
            <v>429.1</v>
          </cell>
          <cell r="AD36">
            <v>430.4</v>
          </cell>
          <cell r="AE36">
            <v>411.14899749373433</v>
          </cell>
          <cell r="AF36">
            <v>373.64202644803152</v>
          </cell>
          <cell r="AG36">
            <v>337.3604871948508</v>
          </cell>
          <cell r="AH36">
            <v>309.89060185423176</v>
          </cell>
          <cell r="AI36">
            <v>295.55697579053918</v>
          </cell>
          <cell r="AJ36">
            <v>284.06441741993751</v>
          </cell>
          <cell r="AK36">
            <v>264.91015346893465</v>
          </cell>
          <cell r="AL36">
            <v>244.22354840185159</v>
          </cell>
          <cell r="AN36" t="str">
            <v>Average Fully Diluted Shares Outstanding</v>
          </cell>
          <cell r="AO36">
            <v>80</v>
          </cell>
          <cell r="AP36">
            <v>80</v>
          </cell>
          <cell r="AQ36">
            <v>80</v>
          </cell>
          <cell r="AR36">
            <v>80</v>
          </cell>
          <cell r="AS36">
            <v>80</v>
          </cell>
          <cell r="AU36">
            <v>79.97</v>
          </cell>
          <cell r="AV36">
            <v>79.97</v>
          </cell>
          <cell r="AW36">
            <v>79.97</v>
          </cell>
          <cell r="AX36">
            <v>79.97</v>
          </cell>
          <cell r="AY36">
            <v>79.97</v>
          </cell>
          <cell r="BA36">
            <v>79.97</v>
          </cell>
          <cell r="BB36">
            <v>113.38200000000001</v>
          </cell>
          <cell r="BC36">
            <v>126</v>
          </cell>
          <cell r="BD36">
            <v>126.02800000000001</v>
          </cell>
          <cell r="BE36">
            <v>111.35</v>
          </cell>
          <cell r="BG36">
            <v>126.209</v>
          </cell>
          <cell r="BH36">
            <v>126.309</v>
          </cell>
          <cell r="BI36">
            <v>126.31100000000001</v>
          </cell>
          <cell r="BJ36">
            <v>126.33799999999999</v>
          </cell>
          <cell r="BK36">
            <v>126.29300000000001</v>
          </cell>
          <cell r="BM36">
            <v>126.464</v>
          </cell>
          <cell r="BN36">
            <v>126.578</v>
          </cell>
          <cell r="BO36">
            <v>126.6</v>
          </cell>
          <cell r="BP36">
            <v>126.74</v>
          </cell>
          <cell r="BQ36">
            <v>126.593</v>
          </cell>
          <cell r="BS36">
            <v>182.2</v>
          </cell>
          <cell r="BT36">
            <v>182.2</v>
          </cell>
          <cell r="BU36">
            <v>182.2</v>
          </cell>
          <cell r="BV36">
            <v>182.2</v>
          </cell>
          <cell r="BW36">
            <v>182.2</v>
          </cell>
          <cell r="BY36">
            <v>182.68199999999999</v>
          </cell>
          <cell r="BZ36">
            <v>182.83</v>
          </cell>
          <cell r="CA36">
            <v>183</v>
          </cell>
          <cell r="CB36">
            <v>197.017</v>
          </cell>
          <cell r="CC36">
            <v>197.017</v>
          </cell>
          <cell r="CD36">
            <v>183.238</v>
          </cell>
          <cell r="CE36">
            <v>202.631</v>
          </cell>
          <cell r="CF36">
            <v>182.952</v>
          </cell>
          <cell r="CG36">
            <v>191.47300000000001</v>
          </cell>
          <cell r="CH36">
            <v>191.50299999999999</v>
          </cell>
          <cell r="CJ36">
            <v>206.71</v>
          </cell>
          <cell r="CK36">
            <v>207.66300000000001</v>
          </cell>
          <cell r="CL36">
            <v>212.751</v>
          </cell>
          <cell r="CM36">
            <v>223.2</v>
          </cell>
          <cell r="CN36">
            <v>222.4</v>
          </cell>
          <cell r="CP36">
            <v>213.6</v>
          </cell>
          <cell r="CQ36">
            <v>226</v>
          </cell>
          <cell r="CR36">
            <v>226.3</v>
          </cell>
          <cell r="CS36">
            <v>229.68</v>
          </cell>
          <cell r="CT36">
            <v>227.13399999999999</v>
          </cell>
          <cell r="CV36">
            <v>231.6</v>
          </cell>
          <cell r="CW36">
            <v>232.4</v>
          </cell>
          <cell r="CX36">
            <v>228.8</v>
          </cell>
          <cell r="CY36">
            <v>217.1</v>
          </cell>
          <cell r="CZ36">
            <v>225.9</v>
          </cell>
          <cell r="DB36">
            <v>432.8</v>
          </cell>
          <cell r="DC36">
            <v>443.8</v>
          </cell>
          <cell r="DD36">
            <v>439.8</v>
          </cell>
          <cell r="DE36">
            <v>439.8</v>
          </cell>
          <cell r="DF36">
            <v>439.15000000000003</v>
          </cell>
          <cell r="DH36">
            <v>432.6</v>
          </cell>
          <cell r="DI36">
            <v>417</v>
          </cell>
          <cell r="DJ36">
            <v>402.2</v>
          </cell>
          <cell r="DK36">
            <v>403.2</v>
          </cell>
          <cell r="DL36">
            <v>413.75</v>
          </cell>
          <cell r="DN36">
            <v>408.2</v>
          </cell>
          <cell r="DO36">
            <v>399.2</v>
          </cell>
          <cell r="DP36">
            <v>389.2</v>
          </cell>
          <cell r="DQ36">
            <v>400.2</v>
          </cell>
          <cell r="DR36">
            <v>399.2</v>
          </cell>
          <cell r="DT36">
            <v>408</v>
          </cell>
          <cell r="DU36">
            <v>407</v>
          </cell>
          <cell r="DV36">
            <v>391.8</v>
          </cell>
          <cell r="DW36">
            <v>383</v>
          </cell>
          <cell r="DX36">
            <v>397.45</v>
          </cell>
          <cell r="DZ36">
            <v>379</v>
          </cell>
          <cell r="EA36">
            <v>374.4</v>
          </cell>
          <cell r="EB36">
            <v>371.4</v>
          </cell>
          <cell r="EC36">
            <v>367.8</v>
          </cell>
          <cell r="ED36">
            <v>373.2</v>
          </cell>
          <cell r="EF36">
            <v>368.4</v>
          </cell>
          <cell r="EG36">
            <v>364</v>
          </cell>
          <cell r="EH36">
            <v>348.8</v>
          </cell>
          <cell r="EI36">
            <v>344.8</v>
          </cell>
          <cell r="EJ36">
            <v>356.4</v>
          </cell>
          <cell r="EK36" t="str">
            <v>Average Fully Diluted Shares Outstanding</v>
          </cell>
          <cell r="EL36">
            <v>345.6</v>
          </cell>
          <cell r="EM36">
            <v>351.4</v>
          </cell>
          <cell r="EN36">
            <v>486.9</v>
          </cell>
          <cell r="EO36">
            <v>554.20000000000005</v>
          </cell>
          <cell r="EP36">
            <v>434.6</v>
          </cell>
          <cell r="ER36">
            <v>558</v>
          </cell>
          <cell r="ES36">
            <v>559.20000000000005</v>
          </cell>
          <cell r="ET36">
            <v>549.9</v>
          </cell>
          <cell r="EU36">
            <v>523.70000000000005</v>
          </cell>
          <cell r="EV36">
            <v>547.70000000000005</v>
          </cell>
          <cell r="EX36">
            <v>476.4</v>
          </cell>
          <cell r="EY36">
            <v>457.8</v>
          </cell>
          <cell r="EZ36">
            <v>438.1</v>
          </cell>
          <cell r="FA36">
            <v>434.7</v>
          </cell>
          <cell r="FB36">
            <v>451.75000000000006</v>
          </cell>
          <cell r="FD36">
            <v>420.9</v>
          </cell>
          <cell r="FE36">
            <v>422.1</v>
          </cell>
          <cell r="FF36">
            <v>421.3</v>
          </cell>
          <cell r="FG36">
            <v>421.4</v>
          </cell>
          <cell r="FH36">
            <v>421.42499999999995</v>
          </cell>
          <cell r="FJ36">
            <v>421.4</v>
          </cell>
          <cell r="FK36">
            <v>422.1</v>
          </cell>
          <cell r="FL36">
            <v>421.8</v>
          </cell>
          <cell r="FM36">
            <v>424.1</v>
          </cell>
          <cell r="FN36">
            <v>422.35</v>
          </cell>
          <cell r="FP36">
            <v>426.2</v>
          </cell>
          <cell r="FQ36">
            <v>426.5</v>
          </cell>
          <cell r="FR36">
            <v>427.6</v>
          </cell>
          <cell r="FS36">
            <v>429</v>
          </cell>
          <cell r="FT36">
            <v>429.1</v>
          </cell>
          <cell r="FV36">
            <v>430</v>
          </cell>
          <cell r="FW36">
            <v>434.6</v>
          </cell>
          <cell r="FX36">
            <v>431.8</v>
          </cell>
          <cell r="FY36">
            <v>427.3</v>
          </cell>
          <cell r="FZ36">
            <v>430.4</v>
          </cell>
          <cell r="GB36">
            <v>423.7</v>
          </cell>
          <cell r="GC36">
            <v>417.1</v>
          </cell>
          <cell r="GD36">
            <v>406.25263157894739</v>
          </cell>
          <cell r="GE36">
            <v>397.54335839599003</v>
          </cell>
          <cell r="GF36">
            <v>411.14899749373433</v>
          </cell>
          <cell r="GS36" t="str">
            <v>mstag:averageDilutedSharesOutstanding</v>
          </cell>
          <cell r="GT36">
            <v>6</v>
          </cell>
          <cell r="GU36" t="str">
            <v>ms_eqr_gcim_Decimal:ms_eqr_gcim_decimal</v>
          </cell>
          <cell r="GV36" t="b">
            <v>0</v>
          </cell>
          <cell r="GW36" t="b">
            <v>0</v>
          </cell>
        </row>
        <row r="37">
          <cell r="A37" t="str">
            <v>Period End Basic Shares Outstanding</v>
          </cell>
          <cell r="N37">
            <v>414.918274</v>
          </cell>
          <cell r="O37">
            <v>416.75912199999999</v>
          </cell>
          <cell r="P37">
            <v>421.21032200000002</v>
          </cell>
          <cell r="Q37">
            <v>417.15312399999999</v>
          </cell>
          <cell r="R37">
            <v>423.09761800000001</v>
          </cell>
          <cell r="S37">
            <v>395.34445399999998</v>
          </cell>
          <cell r="T37">
            <v>402.252748</v>
          </cell>
          <cell r="U37">
            <v>374.65489600000001</v>
          </cell>
          <cell r="V37">
            <v>357</v>
          </cell>
          <cell r="W37">
            <v>335.19655599999999</v>
          </cell>
          <cell r="X37">
            <v>546.79999999999995</v>
          </cell>
          <cell r="Y37">
            <v>496.9</v>
          </cell>
          <cell r="Z37">
            <v>419.7</v>
          </cell>
          <cell r="AA37">
            <v>420.57529799999998</v>
          </cell>
          <cell r="AB37">
            <v>421.53</v>
          </cell>
          <cell r="AC37">
            <v>423.3</v>
          </cell>
          <cell r="AD37">
            <v>414.2</v>
          </cell>
          <cell r="AE37">
            <v>386.88145363408523</v>
          </cell>
          <cell r="AF37">
            <v>348.25259926197782</v>
          </cell>
          <cell r="AG37">
            <v>314.31837512772381</v>
          </cell>
          <cell r="AH37">
            <v>293.31282858073979</v>
          </cell>
          <cell r="AI37">
            <v>285.65112300033866</v>
          </cell>
          <cell r="AJ37">
            <v>270.32771183953639</v>
          </cell>
          <cell r="AK37">
            <v>247.34259509833296</v>
          </cell>
          <cell r="AL37">
            <v>228.95450170537021</v>
          </cell>
          <cell r="AN37" t="str">
            <v>Period End Basic Shares Outstanding</v>
          </cell>
          <cell r="CN37">
            <v>208.379561</v>
          </cell>
          <cell r="CT37">
            <v>210.60516100000001</v>
          </cell>
          <cell r="CZ37">
            <v>208.576562</v>
          </cell>
          <cell r="DH37">
            <v>415.872772</v>
          </cell>
          <cell r="DI37">
            <v>403.836004</v>
          </cell>
          <cell r="DJ37">
            <v>397.47889600000002</v>
          </cell>
          <cell r="DK37">
            <v>395.34445399999998</v>
          </cell>
          <cell r="DL37">
            <v>395.34445399999998</v>
          </cell>
          <cell r="DN37">
            <v>389.8</v>
          </cell>
          <cell r="DO37">
            <v>385.4</v>
          </cell>
          <cell r="DP37">
            <v>383.4</v>
          </cell>
          <cell r="DQ37">
            <v>402.252748</v>
          </cell>
          <cell r="DR37">
            <v>402.252748</v>
          </cell>
          <cell r="DT37">
            <v>403</v>
          </cell>
          <cell r="DU37">
            <v>392.4</v>
          </cell>
          <cell r="DV37">
            <v>380.4</v>
          </cell>
          <cell r="DW37">
            <v>374.65489600000001</v>
          </cell>
          <cell r="DX37">
            <v>374.65489600000001</v>
          </cell>
          <cell r="DZ37">
            <v>370.72</v>
          </cell>
          <cell r="EA37">
            <v>365.62</v>
          </cell>
          <cell r="EB37">
            <v>361.58</v>
          </cell>
          <cell r="EC37">
            <v>357</v>
          </cell>
          <cell r="ED37">
            <v>357</v>
          </cell>
          <cell r="EF37">
            <v>359.61200000000002</v>
          </cell>
          <cell r="EG37">
            <v>345.39600000000002</v>
          </cell>
          <cell r="EH37">
            <v>338.4</v>
          </cell>
          <cell r="EI37">
            <v>335.19655599999999</v>
          </cell>
          <cell r="EJ37">
            <v>335.19655599999999</v>
          </cell>
          <cell r="EK37" t="str">
            <v>Period End Basic Shares Outstanding</v>
          </cell>
          <cell r="EL37">
            <v>340.8</v>
          </cell>
          <cell r="EM37">
            <v>340.85399999999998</v>
          </cell>
          <cell r="EN37">
            <v>544.43164000000002</v>
          </cell>
          <cell r="EO37">
            <v>546.79999999999995</v>
          </cell>
          <cell r="EP37">
            <v>546.79999999999995</v>
          </cell>
          <cell r="ER37">
            <v>553.21778400000005</v>
          </cell>
          <cell r="ES37">
            <v>545</v>
          </cell>
          <cell r="ET37">
            <v>530</v>
          </cell>
          <cell r="EU37">
            <v>496.9</v>
          </cell>
          <cell r="EV37">
            <v>496.9</v>
          </cell>
          <cell r="EX37">
            <v>459.62333699999999</v>
          </cell>
          <cell r="EY37">
            <v>435.6</v>
          </cell>
          <cell r="EZ37">
            <v>432.98764799999998</v>
          </cell>
          <cell r="FA37">
            <v>419.7</v>
          </cell>
          <cell r="FB37">
            <v>419.7</v>
          </cell>
          <cell r="FD37">
            <v>420.477236</v>
          </cell>
          <cell r="FE37">
            <v>420.54819300000003</v>
          </cell>
          <cell r="FF37">
            <v>420.56348700000001</v>
          </cell>
          <cell r="FG37">
            <v>420.57529799999998</v>
          </cell>
          <cell r="FH37">
            <v>420.57529799999998</v>
          </cell>
          <cell r="FJ37">
            <v>420.56635599999998</v>
          </cell>
          <cell r="FK37">
            <v>420.5</v>
          </cell>
          <cell r="FL37">
            <v>421</v>
          </cell>
          <cell r="FM37">
            <v>421.53</v>
          </cell>
          <cell r="FN37">
            <v>421.53</v>
          </cell>
          <cell r="FP37">
            <v>422.10645299999999</v>
          </cell>
          <cell r="FQ37">
            <v>422.67482899999999</v>
          </cell>
          <cell r="FR37">
            <v>423</v>
          </cell>
          <cell r="FS37">
            <v>423.3</v>
          </cell>
          <cell r="FT37">
            <v>423.3</v>
          </cell>
          <cell r="FV37">
            <v>425.2</v>
          </cell>
          <cell r="FW37">
            <v>427.5</v>
          </cell>
          <cell r="FX37">
            <v>420.6</v>
          </cell>
          <cell r="FY37">
            <v>414.2</v>
          </cell>
          <cell r="FZ37">
            <v>414.2</v>
          </cell>
          <cell r="GB37">
            <v>414.6</v>
          </cell>
          <cell r="GC37">
            <v>404.3</v>
          </cell>
          <cell r="GD37">
            <v>396.40526315789475</v>
          </cell>
          <cell r="GE37">
            <v>386.88145363408523</v>
          </cell>
          <cell r="GF37">
            <v>386.88145363408523</v>
          </cell>
          <cell r="GS37" t="str">
            <v>mstag:periodEndBasicSharesOutstanding</v>
          </cell>
          <cell r="GT37">
            <v>6</v>
          </cell>
          <cell r="GU37" t="str">
            <v>ms_eqr_gcim_Decimal:ms_eqr_gcim_decimal</v>
          </cell>
          <cell r="GV37" t="b">
            <v>0</v>
          </cell>
          <cell r="GW37" t="b">
            <v>0</v>
          </cell>
        </row>
        <row r="38">
          <cell r="A38" t="str">
            <v>Average Repurchase Price</v>
          </cell>
          <cell r="Y38">
            <v>38.059090830879164</v>
          </cell>
          <cell r="Z38">
            <v>34.721403433168142</v>
          </cell>
          <cell r="AD38">
            <v>0</v>
          </cell>
          <cell r="AE38">
            <v>38.72816212438854</v>
          </cell>
          <cell r="AF38">
            <v>44.008553389238294</v>
          </cell>
          <cell r="AG38">
            <v>50.096916707872467</v>
          </cell>
          <cell r="AH38">
            <v>57.127768483238825</v>
          </cell>
          <cell r="AI38">
            <v>65.259620687985446</v>
          </cell>
          <cell r="AJ38">
            <v>65.259620687985446</v>
          </cell>
          <cell r="AK38">
            <v>65.259620687985446</v>
          </cell>
          <cell r="AL38">
            <v>65.259620687985446</v>
          </cell>
          <cell r="AN38" t="str">
            <v>Average Repurchase Price</v>
          </cell>
          <cell r="ER38">
            <v>33.869</v>
          </cell>
          <cell r="ES38">
            <v>35.432098765432102</v>
          </cell>
          <cell r="ET38">
            <v>41.758793969849251</v>
          </cell>
          <cell r="EU38">
            <v>41.176470588235297</v>
          </cell>
          <cell r="EV38">
            <v>38.059090830879164</v>
          </cell>
          <cell r="EX38">
            <v>44.244444444444447</v>
          </cell>
          <cell r="EY38">
            <v>38.991596638655459</v>
          </cell>
          <cell r="EZ38">
            <v>31.111111111111111</v>
          </cell>
          <cell r="FA38">
            <v>24.53846153846154</v>
          </cell>
          <cell r="FB38">
            <v>34.721403433168142</v>
          </cell>
          <cell r="GB38">
            <v>39.629629629629626</v>
          </cell>
          <cell r="GC38">
            <v>35.283018867924532</v>
          </cell>
          <cell r="GD38">
            <v>38</v>
          </cell>
          <cell r="GE38">
            <v>42</v>
          </cell>
          <cell r="GF38">
            <v>38.72816212438854</v>
          </cell>
        </row>
        <row r="40">
          <cell r="A40" t="str">
            <v>Depreciation &amp; Amortization (Reported)</v>
          </cell>
          <cell r="C40">
            <v>235.45400000000001</v>
          </cell>
          <cell r="D40">
            <v>212.18600000000001</v>
          </cell>
          <cell r="E40">
            <v>212.18600000000001</v>
          </cell>
          <cell r="F40">
            <v>212.18600000000001</v>
          </cell>
          <cell r="G40">
            <v>205.554</v>
          </cell>
          <cell r="H40">
            <v>207.91399999999999</v>
          </cell>
          <cell r="I40">
            <v>251.40600000000001</v>
          </cell>
          <cell r="K40">
            <v>551.07000000000005</v>
          </cell>
          <cell r="L40">
            <v>474.94499999999999</v>
          </cell>
          <cell r="N40">
            <v>497</v>
          </cell>
          <cell r="O40">
            <v>533</v>
          </cell>
          <cell r="P40">
            <v>590</v>
          </cell>
          <cell r="Q40">
            <v>624</v>
          </cell>
          <cell r="R40">
            <v>665</v>
          </cell>
          <cell r="S40">
            <v>651</v>
          </cell>
          <cell r="T40">
            <v>689</v>
          </cell>
          <cell r="U40">
            <v>680</v>
          </cell>
          <cell r="V40">
            <v>710</v>
          </cell>
          <cell r="W40">
            <v>737</v>
          </cell>
          <cell r="X40">
            <v>978</v>
          </cell>
          <cell r="Y40">
            <v>1265</v>
          </cell>
          <cell r="Z40">
            <v>1304</v>
          </cell>
          <cell r="AA40">
            <v>1278</v>
          </cell>
          <cell r="AB40">
            <v>1210</v>
          </cell>
          <cell r="AC40">
            <v>1150</v>
          </cell>
          <cell r="AD40">
            <v>1085</v>
          </cell>
          <cell r="AE40">
            <v>1058.1233144856478</v>
          </cell>
          <cell r="AF40">
            <v>1083.3778550448592</v>
          </cell>
          <cell r="AG40">
            <v>1104.2560836491582</v>
          </cell>
          <cell r="AH40">
            <v>1115.6972553764319</v>
          </cell>
          <cell r="AI40">
            <v>1126.8542279301962</v>
          </cell>
          <cell r="AJ40">
            <v>1138.1227702094982</v>
          </cell>
          <cell r="AK40">
            <v>1149.5039979115932</v>
          </cell>
          <cell r="AL40">
            <v>1160.9990378907089</v>
          </cell>
          <cell r="AN40" t="str">
            <v>Depreciation &amp; Amortization (Reported)</v>
          </cell>
          <cell r="DH40">
            <v>175</v>
          </cell>
          <cell r="DI40">
            <v>174</v>
          </cell>
          <cell r="DJ40">
            <v>177</v>
          </cell>
          <cell r="DK40">
            <v>166</v>
          </cell>
          <cell r="DL40">
            <v>651</v>
          </cell>
          <cell r="DN40">
            <v>169</v>
          </cell>
          <cell r="DO40">
            <v>168</v>
          </cell>
          <cell r="DP40">
            <v>174</v>
          </cell>
          <cell r="DQ40">
            <v>178</v>
          </cell>
          <cell r="DR40">
            <v>689</v>
          </cell>
          <cell r="DT40">
            <v>165</v>
          </cell>
          <cell r="DU40">
            <v>168</v>
          </cell>
          <cell r="DV40">
            <v>167</v>
          </cell>
          <cell r="DW40">
            <v>180</v>
          </cell>
          <cell r="DX40">
            <v>680</v>
          </cell>
          <cell r="DZ40">
            <v>180</v>
          </cell>
          <cell r="EA40">
            <v>173</v>
          </cell>
          <cell r="EB40">
            <v>176</v>
          </cell>
          <cell r="EC40">
            <v>181</v>
          </cell>
          <cell r="ED40">
            <v>710</v>
          </cell>
          <cell r="EF40">
            <v>177</v>
          </cell>
          <cell r="EG40">
            <v>178</v>
          </cell>
          <cell r="EH40">
            <v>178</v>
          </cell>
          <cell r="EI40">
            <v>204</v>
          </cell>
          <cell r="EJ40">
            <v>737</v>
          </cell>
          <cell r="EK40" t="str">
            <v>Depreciation &amp; Amortization (Reported)</v>
          </cell>
          <cell r="EL40">
            <v>177</v>
          </cell>
          <cell r="EM40">
            <v>178</v>
          </cell>
          <cell r="EN40">
            <v>295</v>
          </cell>
          <cell r="EO40">
            <v>328</v>
          </cell>
          <cell r="EP40">
            <v>978</v>
          </cell>
          <cell r="ER40">
            <v>316</v>
          </cell>
          <cell r="ES40">
            <v>314</v>
          </cell>
          <cell r="ET40">
            <v>315</v>
          </cell>
          <cell r="EU40">
            <v>320</v>
          </cell>
          <cell r="EV40">
            <v>1265</v>
          </cell>
          <cell r="EX40">
            <v>329</v>
          </cell>
          <cell r="EY40">
            <v>327</v>
          </cell>
          <cell r="EZ40">
            <v>321</v>
          </cell>
          <cell r="FA40">
            <v>327</v>
          </cell>
          <cell r="FB40">
            <v>1304</v>
          </cell>
          <cell r="FD40">
            <v>315</v>
          </cell>
          <cell r="FE40">
            <v>315</v>
          </cell>
          <cell r="FF40">
            <v>320</v>
          </cell>
          <cell r="FG40">
            <v>328</v>
          </cell>
          <cell r="FH40">
            <v>1278</v>
          </cell>
          <cell r="FJ40">
            <v>303</v>
          </cell>
          <cell r="FK40">
            <v>301</v>
          </cell>
          <cell r="FL40">
            <v>301</v>
          </cell>
          <cell r="FM40">
            <v>305</v>
          </cell>
          <cell r="FN40">
            <v>1210</v>
          </cell>
          <cell r="FP40">
            <v>287</v>
          </cell>
          <cell r="FQ40">
            <v>288</v>
          </cell>
          <cell r="FR40">
            <v>290</v>
          </cell>
          <cell r="FS40">
            <v>285</v>
          </cell>
          <cell r="FT40">
            <v>1150</v>
          </cell>
          <cell r="FV40">
            <v>268</v>
          </cell>
          <cell r="FW40">
            <v>268</v>
          </cell>
          <cell r="FX40">
            <v>282</v>
          </cell>
          <cell r="FY40">
            <v>267</v>
          </cell>
          <cell r="FZ40">
            <v>1085</v>
          </cell>
          <cell r="GB40">
            <v>256</v>
          </cell>
          <cell r="GC40">
            <v>257</v>
          </cell>
          <cell r="GD40">
            <v>275.44005372214991</v>
          </cell>
          <cell r="GE40">
            <v>269.68326076349791</v>
          </cell>
          <cell r="GF40">
            <v>1058.1233144856478</v>
          </cell>
        </row>
        <row r="41">
          <cell r="A41" t="str">
            <v>% of Sales</v>
          </cell>
          <cell r="N41">
            <v>3.4008485014369781E-2</v>
          </cell>
          <cell r="O41">
            <v>3.5933391761612622E-2</v>
          </cell>
          <cell r="P41">
            <v>3.8764783180026283E-2</v>
          </cell>
          <cell r="Q41">
            <v>4.0611780019524896E-2</v>
          </cell>
          <cell r="R41">
            <v>4.148730426102689E-2</v>
          </cell>
          <cell r="S41">
            <v>3.9127298954201223E-2</v>
          </cell>
          <cell r="T41">
            <v>4.3649033892936333E-2</v>
          </cell>
          <cell r="U41">
            <v>4.3670926722753835E-2</v>
          </cell>
          <cell r="V41">
            <v>4.6067998961847913E-2</v>
          </cell>
          <cell r="W41">
            <v>4.6716531440162273E-2</v>
          </cell>
          <cell r="X41">
            <v>4.3680214381420279E-2</v>
          </cell>
          <cell r="Y41">
            <v>4.6903967371153134E-2</v>
          </cell>
          <cell r="Z41">
            <v>4.9557253068825295E-2</v>
          </cell>
          <cell r="AA41">
            <v>5.134179656114414E-2</v>
          </cell>
          <cell r="AB41">
            <v>5.0638208830299229E-2</v>
          </cell>
          <cell r="AC41">
            <v>4.5994480662320522E-2</v>
          </cell>
          <cell r="AD41">
            <v>4.1090702518462412E-2</v>
          </cell>
          <cell r="AE41">
            <v>3.8202403342907414E-2</v>
          </cell>
          <cell r="AF41">
            <v>3.8202403342907414E-2</v>
          </cell>
          <cell r="AG41">
            <v>3.8202403342907414E-2</v>
          </cell>
          <cell r="AH41">
            <v>3.8202403342907414E-2</v>
          </cell>
          <cell r="AI41">
            <v>3.8202403342907414E-2</v>
          </cell>
          <cell r="AJ41">
            <v>3.8202403342907407E-2</v>
          </cell>
          <cell r="AK41">
            <v>3.8202403342907407E-2</v>
          </cell>
          <cell r="AL41">
            <v>3.8202403342907407E-2</v>
          </cell>
          <cell r="AN41" t="str">
            <v>% of Sales</v>
          </cell>
          <cell r="DH41">
            <v>4.897844948222782E-2</v>
          </cell>
          <cell r="DI41">
            <v>4.7295460723022563E-2</v>
          </cell>
          <cell r="DJ41">
            <v>4.6800634584875725E-2</v>
          </cell>
          <cell r="DK41">
            <v>2.9621698786581014E-2</v>
          </cell>
          <cell r="DL41">
            <v>3.9127298954201223E-2</v>
          </cell>
          <cell r="DN41">
            <v>4.7525309336332956E-2</v>
          </cell>
          <cell r="DO41">
            <v>4.8165137614678902E-2</v>
          </cell>
          <cell r="DP41">
            <v>5.0071942446043169E-2</v>
          </cell>
          <cell r="DQ41">
            <v>3.4684333593141076E-2</v>
          </cell>
          <cell r="DR41">
            <v>4.3649033892936333E-2</v>
          </cell>
          <cell r="DT41">
            <v>4.778453518679409E-2</v>
          </cell>
          <cell r="DU41">
            <v>4.8192771084337352E-2</v>
          </cell>
          <cell r="DV41">
            <v>4.8002299511353839E-2</v>
          </cell>
          <cell r="DW41">
            <v>3.5878014749850508E-2</v>
          </cell>
          <cell r="DX41">
            <v>4.3670926722753835E-2</v>
          </cell>
          <cell r="DZ41">
            <v>5.4694621695533276E-2</v>
          </cell>
          <cell r="EA41">
            <v>5.0378567268491554E-2</v>
          </cell>
          <cell r="EB41">
            <v>5.0487664945496273E-2</v>
          </cell>
          <cell r="EC41">
            <v>3.5820304769443895E-2</v>
          </cell>
          <cell r="ED41">
            <v>4.6067998961847913E-2</v>
          </cell>
          <cell r="EF41">
            <v>4.9859154929577466E-2</v>
          </cell>
          <cell r="EG41">
            <v>4.9706785814018432E-2</v>
          </cell>
          <cell r="EH41">
            <v>5.0496453900709219E-2</v>
          </cell>
          <cell r="EI41">
            <v>3.9843749999999997E-2</v>
          </cell>
          <cell r="EJ41">
            <v>4.6716531440162273E-2</v>
          </cell>
          <cell r="EK41" t="str">
            <v>% of Sales</v>
          </cell>
          <cell r="EL41">
            <v>4.861301840153804E-2</v>
          </cell>
          <cell r="EM41">
            <v>4.9130554788849021E-2</v>
          </cell>
          <cell r="EN41">
            <v>5.3105310531053107E-2</v>
          </cell>
          <cell r="EO41">
            <v>3.4270191202591158E-2</v>
          </cell>
          <cell r="EP41">
            <v>4.3680214381420279E-2</v>
          </cell>
          <cell r="ER41">
            <v>5.3288364249578418E-2</v>
          </cell>
          <cell r="ES41">
            <v>5.237698081734779E-2</v>
          </cell>
          <cell r="ET41">
            <v>5.3516819571865444E-2</v>
          </cell>
          <cell r="EU41">
            <v>3.493831204279943E-2</v>
          </cell>
          <cell r="EV41">
            <v>4.6903967371153134E-2</v>
          </cell>
          <cell r="EX41">
            <v>5.5564938355007601E-2</v>
          </cell>
          <cell r="EY41">
            <v>5.54989816700611E-2</v>
          </cell>
          <cell r="EZ41">
            <v>5.4351506942092787E-2</v>
          </cell>
          <cell r="FA41">
            <v>3.8049802187572722E-2</v>
          </cell>
          <cell r="FB41">
            <v>4.9557253068825295E-2</v>
          </cell>
          <cell r="FD41">
            <v>5.4811205846528627E-2</v>
          </cell>
          <cell r="FE41">
            <v>5.5089192025183628E-2</v>
          </cell>
          <cell r="FF41">
            <v>5.8255962133624613E-2</v>
          </cell>
          <cell r="FG41">
            <v>4.1341063776153264E-2</v>
          </cell>
          <cell r="FH41">
            <v>5.134179656114414E-2</v>
          </cell>
          <cell r="FJ41">
            <v>5.7299546142208772E-2</v>
          </cell>
          <cell r="FK41">
            <v>5.6953642384105961E-2</v>
          </cell>
          <cell r="FL41">
            <v>5.5896007428040857E-2</v>
          </cell>
          <cell r="FM41">
            <v>3.8427617487715761E-2</v>
          </cell>
          <cell r="FN41">
            <v>5.0638208830299229E-2</v>
          </cell>
          <cell r="FP41">
            <v>5.1489056332974521E-2</v>
          </cell>
          <cell r="FQ41">
            <v>5.2013725844320027E-2</v>
          </cell>
          <cell r="FR41">
            <v>5.1573892939711895E-2</v>
          </cell>
          <cell r="FS41">
            <v>3.4466078123110415E-2</v>
          </cell>
          <cell r="FT41">
            <v>4.5994480662320522E-2</v>
          </cell>
          <cell r="FV41">
            <v>4.5508575309899817E-2</v>
          </cell>
          <cell r="FW41">
            <v>4.512544199360162E-2</v>
          </cell>
          <cell r="FX41">
            <v>4.8180420297283442E-2</v>
          </cell>
          <cell r="FY41">
            <v>3.0605226960110043E-2</v>
          </cell>
          <cell r="FZ41">
            <v>4.1090702518462412E-2</v>
          </cell>
          <cell r="GB41">
            <v>4.1673449454663843E-2</v>
          </cell>
          <cell r="GC41">
            <v>4.2007191892775415E-2</v>
          </cell>
          <cell r="GD41">
            <v>4.5379616732146563E-2</v>
          </cell>
          <cell r="GE41">
            <v>2.8790370881885484E-2</v>
          </cell>
          <cell r="GF41">
            <v>3.8202403342907414E-2</v>
          </cell>
        </row>
        <row r="42">
          <cell r="A42" t="str">
            <v>EBITDA (FIFO)</v>
          </cell>
          <cell r="C42" t="str">
            <v xml:space="preserve">NM </v>
          </cell>
          <cell r="D42" t="str">
            <v xml:space="preserve">NM </v>
          </cell>
          <cell r="E42">
            <v>479.15800000000024</v>
          </cell>
          <cell r="F42">
            <v>513.08899999999983</v>
          </cell>
          <cell r="G42">
            <v>643.98800000000062</v>
          </cell>
          <cell r="H42">
            <v>718.55699999999911</v>
          </cell>
          <cell r="I42">
            <v>892.50999999999885</v>
          </cell>
          <cell r="J42">
            <v>0.20265241838785197</v>
          </cell>
          <cell r="K42">
            <v>1233.8709999999996</v>
          </cell>
          <cell r="L42">
            <v>1469.5959999999989</v>
          </cell>
          <cell r="N42">
            <v>1160</v>
          </cell>
          <cell r="O42">
            <v>1426</v>
          </cell>
          <cell r="P42">
            <v>1931</v>
          </cell>
          <cell r="Q42">
            <v>2079</v>
          </cell>
          <cell r="R42">
            <v>2358</v>
          </cell>
          <cell r="S42">
            <v>2422</v>
          </cell>
          <cell r="T42">
            <v>2065</v>
          </cell>
          <cell r="U42">
            <v>2091</v>
          </cell>
          <cell r="V42">
            <v>2110</v>
          </cell>
          <cell r="W42">
            <v>2236</v>
          </cell>
          <cell r="X42">
            <v>3116</v>
          </cell>
          <cell r="Y42">
            <v>3538</v>
          </cell>
          <cell r="Z42">
            <v>3386</v>
          </cell>
          <cell r="AA42">
            <v>2703</v>
          </cell>
          <cell r="AB42">
            <v>2664</v>
          </cell>
          <cell r="AC42">
            <v>3069</v>
          </cell>
          <cell r="AD42">
            <v>3471</v>
          </cell>
          <cell r="AE42">
            <v>3729.419936712914</v>
          </cell>
          <cell r="AF42">
            <v>3860.9694388964058</v>
          </cell>
          <cell r="AG42">
            <v>4007.6393206478215</v>
          </cell>
          <cell r="AH42">
            <v>4049.1623789016467</v>
          </cell>
          <cell r="AI42">
            <v>4060.1570567049512</v>
          </cell>
          <cell r="AJ42">
            <v>4130.5505427175704</v>
          </cell>
          <cell r="AK42">
            <v>4201.9458827447743</v>
          </cell>
          <cell r="AL42">
            <v>4274.3560745182449</v>
          </cell>
          <cell r="AN42" t="str">
            <v>EBITDA (FIFO)</v>
          </cell>
          <cell r="DH42">
            <v>444</v>
          </cell>
          <cell r="DI42">
            <v>576</v>
          </cell>
          <cell r="DJ42">
            <v>446</v>
          </cell>
          <cell r="DK42">
            <v>997</v>
          </cell>
          <cell r="DL42">
            <v>2422</v>
          </cell>
          <cell r="DN42">
            <v>399</v>
          </cell>
          <cell r="DO42">
            <v>422</v>
          </cell>
          <cell r="DP42">
            <v>330</v>
          </cell>
          <cell r="DQ42">
            <v>914</v>
          </cell>
          <cell r="DR42">
            <v>2065</v>
          </cell>
          <cell r="DT42">
            <v>386</v>
          </cell>
          <cell r="DU42">
            <v>468</v>
          </cell>
          <cell r="DV42">
            <v>355</v>
          </cell>
          <cell r="DW42">
            <v>882</v>
          </cell>
          <cell r="DX42">
            <v>2091</v>
          </cell>
          <cell r="DZ42">
            <v>334</v>
          </cell>
          <cell r="EA42">
            <v>447</v>
          </cell>
          <cell r="EB42">
            <v>378</v>
          </cell>
          <cell r="EC42">
            <v>951</v>
          </cell>
          <cell r="ED42">
            <v>2110</v>
          </cell>
          <cell r="EF42">
            <v>413</v>
          </cell>
          <cell r="EG42">
            <v>454</v>
          </cell>
          <cell r="EH42">
            <v>389</v>
          </cell>
          <cell r="EI42">
            <v>980</v>
          </cell>
          <cell r="EJ42">
            <v>2236</v>
          </cell>
          <cell r="EK42" t="str">
            <v>EBITDA (FIFO)</v>
          </cell>
          <cell r="EL42">
            <v>429</v>
          </cell>
          <cell r="EM42">
            <v>469</v>
          </cell>
          <cell r="EN42">
            <v>565</v>
          </cell>
          <cell r="EO42">
            <v>1653</v>
          </cell>
          <cell r="EP42">
            <v>3116</v>
          </cell>
          <cell r="ER42">
            <v>465</v>
          </cell>
          <cell r="ES42">
            <v>722</v>
          </cell>
          <cell r="ET42">
            <v>594</v>
          </cell>
          <cell r="EU42">
            <v>1757</v>
          </cell>
          <cell r="EV42">
            <v>3538</v>
          </cell>
          <cell r="EX42">
            <v>573</v>
          </cell>
          <cell r="EY42">
            <v>674</v>
          </cell>
          <cell r="EZ42">
            <v>521</v>
          </cell>
          <cell r="FA42">
            <v>1618</v>
          </cell>
          <cell r="FB42">
            <v>3386</v>
          </cell>
          <cell r="FD42">
            <v>455</v>
          </cell>
          <cell r="FE42">
            <v>650</v>
          </cell>
          <cell r="FF42">
            <v>404</v>
          </cell>
          <cell r="FG42">
            <v>1194</v>
          </cell>
          <cell r="FH42">
            <v>2703</v>
          </cell>
          <cell r="FJ42">
            <v>327</v>
          </cell>
          <cell r="FK42">
            <v>583</v>
          </cell>
          <cell r="FL42">
            <v>389</v>
          </cell>
          <cell r="FM42">
            <v>1365</v>
          </cell>
          <cell r="FN42">
            <v>2664</v>
          </cell>
          <cell r="FP42">
            <v>490</v>
          </cell>
          <cell r="FQ42">
            <v>658</v>
          </cell>
          <cell r="FR42">
            <v>467</v>
          </cell>
          <cell r="FS42">
            <v>1454</v>
          </cell>
          <cell r="FT42">
            <v>3069</v>
          </cell>
          <cell r="FV42">
            <v>598</v>
          </cell>
          <cell r="FW42">
            <v>774</v>
          </cell>
          <cell r="FX42">
            <v>573</v>
          </cell>
          <cell r="FY42">
            <v>1526</v>
          </cell>
          <cell r="FZ42">
            <v>3471</v>
          </cell>
          <cell r="GB42">
            <v>647</v>
          </cell>
          <cell r="GC42">
            <v>811</v>
          </cell>
          <cell r="GD42">
            <v>557.01504824879794</v>
          </cell>
          <cell r="GE42">
            <v>1714.4048884641161</v>
          </cell>
          <cell r="GF42">
            <v>3729.419936712914</v>
          </cell>
          <cell r="GS42" t="str">
            <v>mstag:tag013</v>
          </cell>
          <cell r="GT42">
            <v>6</v>
          </cell>
          <cell r="GU42" t="str">
            <v>ISO4217:USD</v>
          </cell>
          <cell r="GV42" t="b">
            <v>0</v>
          </cell>
          <cell r="GW42" t="b">
            <v>0</v>
          </cell>
        </row>
        <row r="43">
          <cell r="A43" t="str">
            <v>EBITDA Margin</v>
          </cell>
          <cell r="E43">
            <v>6.9119399081664284E-2</v>
          </cell>
          <cell r="F43">
            <v>7.4014006560282869E-2</v>
          </cell>
          <cell r="G43">
            <v>9.0959515058105789E-2</v>
          </cell>
          <cell r="H43">
            <v>9.9393643129186429E-2</v>
          </cell>
          <cell r="I43">
            <v>0.11579794529390085</v>
          </cell>
          <cell r="K43">
            <v>9.0053716746341619E-2</v>
          </cell>
          <cell r="L43">
            <v>0.10498588587511638</v>
          </cell>
          <cell r="N43">
            <v>7.9375940878609552E-2</v>
          </cell>
          <cell r="O43">
            <v>9.6136991842513314E-2</v>
          </cell>
          <cell r="P43">
            <v>0.12687253613666227</v>
          </cell>
          <cell r="Q43">
            <v>0.13530751708428246</v>
          </cell>
          <cell r="R43">
            <v>0.14710836608646827</v>
          </cell>
          <cell r="S43">
            <v>0.14557038105541531</v>
          </cell>
          <cell r="T43">
            <v>0.13082039911308205</v>
          </cell>
          <cell r="U43">
            <v>0.13428809967246805</v>
          </cell>
          <cell r="V43">
            <v>0.13690630677394239</v>
          </cell>
          <cell r="W43">
            <v>0.14173427991886409</v>
          </cell>
          <cell r="X43">
            <v>0.13916927199642698</v>
          </cell>
          <cell r="Y43">
            <v>0.13118279569892474</v>
          </cell>
          <cell r="Z43">
            <v>0.12868164025386691</v>
          </cell>
          <cell r="AA43">
            <v>0.10858910493331191</v>
          </cell>
          <cell r="AB43">
            <v>0.11148775894538607</v>
          </cell>
          <cell r="AC43">
            <v>0.1227452705675319</v>
          </cell>
          <cell r="AD43">
            <v>0.13145237644385532</v>
          </cell>
          <cell r="AE43">
            <v>0.13464669259900278</v>
          </cell>
          <cell r="AF43">
            <v>0.13614669259900275</v>
          </cell>
          <cell r="AG43">
            <v>0.13864669259900278</v>
          </cell>
          <cell r="AH43">
            <v>0.13864669259900272</v>
          </cell>
          <cell r="AI43">
            <v>0.13764669259900278</v>
          </cell>
          <cell r="AJ43">
            <v>0.13864669259900272</v>
          </cell>
          <cell r="AK43">
            <v>0.13964669259900278</v>
          </cell>
          <cell r="AL43">
            <v>0.14064669259900264</v>
          </cell>
          <cell r="AN43" t="str">
            <v>EBITDA Margin</v>
          </cell>
          <cell r="DH43">
            <v>0.12426532325776658</v>
          </cell>
          <cell r="DI43">
            <v>0.15656428377276435</v>
          </cell>
          <cell r="DJ43">
            <v>0.11792702273929138</v>
          </cell>
          <cell r="DK43">
            <v>0.17790863668807994</v>
          </cell>
          <cell r="DL43">
            <v>0.14557038105541531</v>
          </cell>
          <cell r="DN43">
            <v>0.11220472440944881</v>
          </cell>
          <cell r="DO43">
            <v>0.12098623853211009</v>
          </cell>
          <cell r="DP43">
            <v>9.4964028776978418E-2</v>
          </cell>
          <cell r="DQ43">
            <v>0.17809820732657833</v>
          </cell>
          <cell r="DR43">
            <v>0.13082039911308205</v>
          </cell>
          <cell r="DT43">
            <v>0.11178685201274255</v>
          </cell>
          <cell r="DU43">
            <v>0.13425129087779691</v>
          </cell>
          <cell r="DV43">
            <v>0.10204081632653061</v>
          </cell>
          <cell r="DW43">
            <v>0.17580227227426748</v>
          </cell>
          <cell r="DX43">
            <v>0.13428809967246805</v>
          </cell>
          <cell r="DZ43">
            <v>0.10148890914615619</v>
          </cell>
          <cell r="EA43">
            <v>0.13016889924286545</v>
          </cell>
          <cell r="EB43">
            <v>0.10843373493975904</v>
          </cell>
          <cell r="EC43">
            <v>0.18820502671680189</v>
          </cell>
          <cell r="ED43">
            <v>0.13690630677394239</v>
          </cell>
          <cell r="EF43">
            <v>0.11633802816901409</v>
          </cell>
          <cell r="EG43">
            <v>0.12678022898631666</v>
          </cell>
          <cell r="EH43">
            <v>0.11035460992907802</v>
          </cell>
          <cell r="EI43">
            <v>0.19140625</v>
          </cell>
          <cell r="EJ43">
            <v>0.14173427991886409</v>
          </cell>
          <cell r="EK43" t="str">
            <v>EBITDA Margin</v>
          </cell>
          <cell r="EL43">
            <v>0.11782477341389729</v>
          </cell>
          <cell r="EM43">
            <v>0.12945073143803479</v>
          </cell>
          <cell r="EN43">
            <v>0.10171017101710171</v>
          </cell>
          <cell r="EO43">
            <v>0.17270922578622924</v>
          </cell>
          <cell r="EP43">
            <v>0.13916927199642698</v>
          </cell>
          <cell r="ER43">
            <v>7.8414839797639121E-2</v>
          </cell>
          <cell r="ES43">
            <v>0.12043369474562135</v>
          </cell>
          <cell r="ET43">
            <v>0.10091743119266056</v>
          </cell>
          <cell r="EU43">
            <v>0.19183316955999563</v>
          </cell>
          <cell r="EV43">
            <v>0.13118279569892474</v>
          </cell>
          <cell r="EX43">
            <v>9.6774193548387094E-2</v>
          </cell>
          <cell r="EY43">
            <v>0.11439239646978955</v>
          </cell>
          <cell r="EZ43">
            <v>8.8215374195733151E-2</v>
          </cell>
          <cell r="FA43">
            <v>0.18827088666511518</v>
          </cell>
          <cell r="FB43">
            <v>0.12868164025386691</v>
          </cell>
          <cell r="FD43">
            <v>7.9171741778319121E-2</v>
          </cell>
          <cell r="FE43">
            <v>0.1136761105281567</v>
          </cell>
          <cell r="FF43">
            <v>7.3548152193701075E-2</v>
          </cell>
          <cell r="FG43">
            <v>0.15049155533148476</v>
          </cell>
          <cell r="FH43">
            <v>0.10858910493331191</v>
          </cell>
          <cell r="FJ43">
            <v>6.1838124054462935E-2</v>
          </cell>
          <cell r="FK43">
            <v>0.11031220435193945</v>
          </cell>
          <cell r="FL43">
            <v>7.2237697307335189E-2</v>
          </cell>
          <cell r="FM43">
            <v>0.17197933728108858</v>
          </cell>
          <cell r="FN43">
            <v>0.11148775894538607</v>
          </cell>
          <cell r="FP43">
            <v>8.7908144958737E-2</v>
          </cell>
          <cell r="FQ43">
            <v>0.11883691529709228</v>
          </cell>
          <cell r="FR43">
            <v>8.3051751733949852E-2</v>
          </cell>
          <cell r="FS43">
            <v>0.17583746523158786</v>
          </cell>
          <cell r="FT43">
            <v>0.1227452705675319</v>
          </cell>
          <cell r="FV43">
            <v>0.10154525386313466</v>
          </cell>
          <cell r="FW43">
            <v>0.13032497053375988</v>
          </cell>
          <cell r="FX43">
            <v>9.7898513582778068E-2</v>
          </cell>
          <cell r="FY43">
            <v>0.17491976157725814</v>
          </cell>
          <cell r="FZ43">
            <v>0.13145237644385532</v>
          </cell>
          <cell r="GB43">
            <v>0.10532313202018558</v>
          </cell>
          <cell r="GC43">
            <v>0.13255966001961425</v>
          </cell>
          <cell r="GD43">
            <v>9.1769984292360302E-2</v>
          </cell>
          <cell r="GE43">
            <v>0.18302341955100002</v>
          </cell>
          <cell r="GF43">
            <v>0.13464669259900278</v>
          </cell>
        </row>
        <row r="44">
          <cell r="A44" t="str">
            <v>EBITDA (FIFO)/Share</v>
          </cell>
          <cell r="C44" t="str">
            <v xml:space="preserve">NM </v>
          </cell>
          <cell r="D44" t="str">
            <v xml:space="preserve">NM </v>
          </cell>
          <cell r="E44" t="str">
            <v xml:space="preserve">NM </v>
          </cell>
          <cell r="F44">
            <v>4.6078940278401426</v>
          </cell>
          <cell r="G44">
            <v>5.783457566232606</v>
          </cell>
          <cell r="H44">
            <v>5.8796370345149693</v>
          </cell>
          <cell r="I44">
            <v>6.8511292093559586</v>
          </cell>
          <cell r="K44">
            <v>6.7720691547749707</v>
          </cell>
          <cell r="L44">
            <v>8.0326861690497999</v>
          </cell>
          <cell r="N44">
            <v>2.9999586212603964</v>
          </cell>
          <cell r="O44">
            <v>3.2059352517985609</v>
          </cell>
          <cell r="P44">
            <v>4.2507946850757703</v>
          </cell>
          <cell r="Q44">
            <v>4.6015936254980074</v>
          </cell>
          <cell r="R44">
            <v>5.3688524590163933</v>
          </cell>
          <cell r="S44">
            <v>5.853776435045317</v>
          </cell>
          <cell r="T44">
            <v>5.1728456913827658</v>
          </cell>
          <cell r="U44">
            <v>5.2610391244181658</v>
          </cell>
          <cell r="V44">
            <v>5.6538049303322619</v>
          </cell>
          <cell r="W44">
            <v>6.2738496071829406</v>
          </cell>
          <cell r="X44">
            <v>7.1698113207547163</v>
          </cell>
          <cell r="Y44">
            <v>6.4597407339784549</v>
          </cell>
          <cell r="Z44">
            <v>7.4952960708356384</v>
          </cell>
          <cell r="AA44">
            <v>6.4139526606157684</v>
          </cell>
          <cell r="AB44">
            <v>6.3075648159109736</v>
          </cell>
          <cell r="AC44">
            <v>7.1521789792589132</v>
          </cell>
          <cell r="AD44">
            <v>8.0645910780669148</v>
          </cell>
          <cell r="AE44">
            <v>9.0707260857902199</v>
          </cell>
          <cell r="AF44">
            <v>10.333338237135949</v>
          </cell>
          <cell r="AG44">
            <v>11.879397477669373</v>
          </cell>
          <cell r="AH44">
            <v>13.066425230947521</v>
          </cell>
          <cell r="AI44">
            <v>13.737307488158827</v>
          </cell>
          <cell r="AJ44">
            <v>14.540893858632437</v>
          </cell>
          <cell r="AK44">
            <v>15.861777390263473</v>
          </cell>
          <cell r="AL44">
            <v>17.501817914319677</v>
          </cell>
          <cell r="AN44" t="str">
            <v>EBITDA (FIFO)/Share</v>
          </cell>
          <cell r="DH44">
            <v>1.0263522884882108</v>
          </cell>
          <cell r="DI44">
            <v>1.3812949640287771</v>
          </cell>
          <cell r="DJ44">
            <v>1.1089010442565888</v>
          </cell>
          <cell r="DK44">
            <v>2.472718253968254</v>
          </cell>
          <cell r="DL44">
            <v>5.853776435045317</v>
          </cell>
          <cell r="DN44">
            <v>0.97746202841744245</v>
          </cell>
          <cell r="DO44">
            <v>1.0571142284569139</v>
          </cell>
          <cell r="DP44">
            <v>0.84789311408016443</v>
          </cell>
          <cell r="DQ44">
            <v>2.2838580709645178</v>
          </cell>
          <cell r="DR44">
            <v>5.1728456913827658</v>
          </cell>
          <cell r="DT44">
            <v>0.94607843137254899</v>
          </cell>
          <cell r="DU44">
            <v>1.1498771498771498</v>
          </cell>
          <cell r="DV44">
            <v>0.9060745278203165</v>
          </cell>
          <cell r="DW44">
            <v>2.3028720626631856</v>
          </cell>
          <cell r="DX44">
            <v>5.2610391244181658</v>
          </cell>
          <cell r="DZ44">
            <v>0.8812664907651715</v>
          </cell>
          <cell r="EA44">
            <v>1.1939102564102564</v>
          </cell>
          <cell r="EB44">
            <v>1.0177705977382876</v>
          </cell>
          <cell r="EC44">
            <v>2.5856443719412723</v>
          </cell>
          <cell r="ED44">
            <v>5.6538049303322619</v>
          </cell>
          <cell r="EF44">
            <v>1.1210640608034745</v>
          </cell>
          <cell r="EG44">
            <v>1.2472527472527473</v>
          </cell>
          <cell r="EH44">
            <v>1.1152522935779816</v>
          </cell>
          <cell r="EI44">
            <v>2.8422273781902549</v>
          </cell>
          <cell r="EJ44">
            <v>6.2738496071829406</v>
          </cell>
          <cell r="EK44" t="str">
            <v>EBITDA (FIFO)/Share</v>
          </cell>
          <cell r="EL44">
            <v>1.2413194444444444</v>
          </cell>
          <cell r="EM44">
            <v>1.3346613545816735</v>
          </cell>
          <cell r="EN44">
            <v>1.1604025467241734</v>
          </cell>
          <cell r="EO44">
            <v>2.9826777336701551</v>
          </cell>
          <cell r="EP44">
            <v>7.1698113207547163</v>
          </cell>
          <cell r="ER44">
            <v>0.83333333333333337</v>
          </cell>
          <cell r="ES44">
            <v>1.2911301859799713</v>
          </cell>
          <cell r="ET44">
            <v>1.0801963993453356</v>
          </cell>
          <cell r="EU44">
            <v>3.354974221882757</v>
          </cell>
          <cell r="EV44">
            <v>6.4597407339784549</v>
          </cell>
          <cell r="EX44">
            <v>1.2027707808564232</v>
          </cell>
          <cell r="EY44">
            <v>1.472258628221931</v>
          </cell>
          <cell r="EZ44">
            <v>1.1892262040629993</v>
          </cell>
          <cell r="FA44">
            <v>3.72210720036807</v>
          </cell>
          <cell r="FB44">
            <v>7.4952960708356384</v>
          </cell>
          <cell r="FD44">
            <v>1.0810168686148729</v>
          </cell>
          <cell r="FE44">
            <v>1.5399194503672116</v>
          </cell>
          <cell r="FF44">
            <v>0.95893662473296937</v>
          </cell>
          <cell r="FG44">
            <v>2.8334124347413385</v>
          </cell>
          <cell r="FH44">
            <v>6.4139526606157684</v>
          </cell>
          <cell r="FJ44">
            <v>0.77598481252966311</v>
          </cell>
          <cell r="FK44">
            <v>1.3811892916370527</v>
          </cell>
          <cell r="FL44">
            <v>0.92223802750118533</v>
          </cell>
          <cell r="FM44">
            <v>3.2185805234614477</v>
          </cell>
          <cell r="FN44">
            <v>6.3075648159109736</v>
          </cell>
          <cell r="FP44">
            <v>1.1496949788831534</v>
          </cell>
          <cell r="FQ44">
            <v>1.5427901524032825</v>
          </cell>
          <cell r="FR44">
            <v>1.0921421889616463</v>
          </cell>
          <cell r="FS44">
            <v>3.3892773892773893</v>
          </cell>
          <cell r="FT44">
            <v>7.1521789792589132</v>
          </cell>
          <cell r="FV44">
            <v>1.3906976744186046</v>
          </cell>
          <cell r="FW44">
            <v>1.7809479981592269</v>
          </cell>
          <cell r="FX44">
            <v>1.3270032422417786</v>
          </cell>
          <cell r="FY44">
            <v>3.5712614088462438</v>
          </cell>
          <cell r="FZ44">
            <v>8.0645910780669148</v>
          </cell>
          <cell r="GB44">
            <v>1.5270238376209582</v>
          </cell>
          <cell r="GC44">
            <v>1.9443778470390793</v>
          </cell>
          <cell r="GD44">
            <v>1.3711050832677567</v>
          </cell>
          <cell r="GE44">
            <v>4.3124978754051018</v>
          </cell>
          <cell r="GF44">
            <v>9.0707260857902199</v>
          </cell>
        </row>
        <row r="46">
          <cell r="A46" t="str">
            <v>Pre-Tax Extraordinary Charges/(FYins)</v>
          </cell>
          <cell r="N46">
            <v>0</v>
          </cell>
          <cell r="O46">
            <v>0</v>
          </cell>
          <cell r="P46">
            <v>64.977391304347833</v>
          </cell>
          <cell r="Q46">
            <v>39.049635036496348</v>
          </cell>
          <cell r="R46">
            <v>0</v>
          </cell>
          <cell r="S46">
            <v>80</v>
          </cell>
          <cell r="T46">
            <v>194.65822784810126</v>
          </cell>
          <cell r="U46">
            <v>68</v>
          </cell>
          <cell r="V46">
            <v>-3.8885496183206101</v>
          </cell>
          <cell r="W46">
            <v>158</v>
          </cell>
          <cell r="X46">
            <v>-454.87025227165736</v>
          </cell>
          <cell r="Y46">
            <v>238.49507674485955</v>
          </cell>
          <cell r="Z46">
            <v>95.101083032490976</v>
          </cell>
          <cell r="AA46">
            <v>4548.1295336787571</v>
          </cell>
          <cell r="AB46">
            <v>391</v>
          </cell>
          <cell r="AC46">
            <v>89.519480519480524</v>
          </cell>
          <cell r="AD46">
            <v>-25</v>
          </cell>
          <cell r="AE46">
            <v>0</v>
          </cell>
          <cell r="AF46">
            <v>0</v>
          </cell>
          <cell r="AG46">
            <v>0</v>
          </cell>
          <cell r="AH46">
            <v>0</v>
          </cell>
          <cell r="AI46">
            <v>0</v>
          </cell>
          <cell r="AJ46">
            <v>0</v>
          </cell>
          <cell r="AK46">
            <v>0</v>
          </cell>
          <cell r="AL46">
            <v>0</v>
          </cell>
          <cell r="AN46" t="str">
            <v>Pre-Tax Extraordinary Charges/(FYins)</v>
          </cell>
          <cell r="FY46">
            <v>1151</v>
          </cell>
          <cell r="GS46" t="str">
            <v>mstag:incomeLossFromExtraordinaryItemsPretax</v>
          </cell>
          <cell r="GT46">
            <v>6</v>
          </cell>
          <cell r="GU46" t="str">
            <v>ISO4217:USD</v>
          </cell>
          <cell r="GV46" t="b">
            <v>1</v>
          </cell>
          <cell r="GW46" t="b">
            <v>0</v>
          </cell>
        </row>
        <row r="47">
          <cell r="A47" t="str">
            <v>Taxes (Benefit) on Extraordinary Charges</v>
          </cell>
          <cell r="N47">
            <v>0</v>
          </cell>
          <cell r="O47">
            <v>0</v>
          </cell>
          <cell r="P47">
            <v>-25.97739130434783</v>
          </cell>
          <cell r="Q47">
            <v>-16.049635036496348</v>
          </cell>
          <cell r="R47">
            <v>0</v>
          </cell>
          <cell r="S47">
            <v>0</v>
          </cell>
          <cell r="T47">
            <v>30.341772151898731</v>
          </cell>
          <cell r="U47">
            <v>0</v>
          </cell>
          <cell r="V47">
            <v>24.888549618320614</v>
          </cell>
          <cell r="W47">
            <v>0</v>
          </cell>
          <cell r="X47">
            <v>56.870252271657364</v>
          </cell>
          <cell r="Y47">
            <v>73.879923255140454</v>
          </cell>
          <cell r="Z47">
            <v>45.898916967509031</v>
          </cell>
          <cell r="AA47">
            <v>1254.8704663212436</v>
          </cell>
          <cell r="AB47">
            <v>0</v>
          </cell>
          <cell r="AC47">
            <v>-23.119480519480522</v>
          </cell>
          <cell r="AD47">
            <v>0</v>
          </cell>
          <cell r="AE47">
            <v>0</v>
          </cell>
          <cell r="AF47">
            <v>0</v>
          </cell>
          <cell r="AG47">
            <v>0</v>
          </cell>
          <cell r="AH47">
            <v>0</v>
          </cell>
          <cell r="AI47">
            <v>0</v>
          </cell>
          <cell r="AJ47">
            <v>0</v>
          </cell>
          <cell r="AK47">
            <v>0</v>
          </cell>
          <cell r="AL47">
            <v>0</v>
          </cell>
          <cell r="AN47" t="str">
            <v>Taxes (Benefit) on Extraordinary Charges</v>
          </cell>
          <cell r="FY47">
            <v>0.6329278887923544</v>
          </cell>
          <cell r="GS47" t="str">
            <v>mstag:taxOnIncomeLossFromExtraordinaryItems</v>
          </cell>
          <cell r="GT47">
            <v>6</v>
          </cell>
          <cell r="GU47" t="str">
            <v>ISO4217:USD</v>
          </cell>
          <cell r="GV47" t="b">
            <v>0</v>
          </cell>
        </row>
        <row r="48">
          <cell r="A48" t="str">
            <v>Post-Tax Extraordinary Charges/(FYins)</v>
          </cell>
          <cell r="N48">
            <v>0</v>
          </cell>
          <cell r="O48">
            <v>0</v>
          </cell>
          <cell r="P48">
            <v>39</v>
          </cell>
          <cell r="Q48">
            <v>23</v>
          </cell>
          <cell r="R48">
            <v>0</v>
          </cell>
          <cell r="S48">
            <v>80</v>
          </cell>
          <cell r="T48">
            <v>225</v>
          </cell>
          <cell r="U48">
            <v>68</v>
          </cell>
          <cell r="V48">
            <v>21.000000000000004</v>
          </cell>
          <cell r="W48">
            <v>158</v>
          </cell>
          <cell r="X48">
            <v>-398</v>
          </cell>
          <cell r="Y48">
            <v>312.375</v>
          </cell>
          <cell r="Z48">
            <v>141</v>
          </cell>
          <cell r="AA48">
            <v>5803.0000000000009</v>
          </cell>
          <cell r="AB48">
            <v>391</v>
          </cell>
          <cell r="AC48">
            <v>66.400000000000006</v>
          </cell>
          <cell r="AD48">
            <v>-25</v>
          </cell>
          <cell r="AE48">
            <v>0</v>
          </cell>
          <cell r="AF48">
            <v>0</v>
          </cell>
          <cell r="AG48">
            <v>0</v>
          </cell>
          <cell r="AH48">
            <v>0</v>
          </cell>
          <cell r="AI48">
            <v>0</v>
          </cell>
          <cell r="AJ48">
            <v>0</v>
          </cell>
          <cell r="AK48">
            <v>0</v>
          </cell>
          <cell r="AL48">
            <v>0</v>
          </cell>
          <cell r="AN48" t="str">
            <v>Post-Tax Extraordinary Charges/(FYins)</v>
          </cell>
        </row>
        <row r="50">
          <cell r="A50" t="str">
            <v>Extraordinary Charges (FYins)</v>
          </cell>
          <cell r="AN50" t="str">
            <v>Extraordinary Charges (FYins)</v>
          </cell>
          <cell r="FD50">
            <v>110</v>
          </cell>
          <cell r="FE50">
            <v>76</v>
          </cell>
          <cell r="FF50">
            <v>16</v>
          </cell>
          <cell r="FG50">
            <v>219</v>
          </cell>
          <cell r="FH50">
            <v>421</v>
          </cell>
          <cell r="FJ50">
            <v>138</v>
          </cell>
          <cell r="FK50">
            <v>34</v>
          </cell>
          <cell r="FL50">
            <v>33</v>
          </cell>
          <cell r="FM50">
            <v>186</v>
          </cell>
          <cell r="FN50">
            <v>391</v>
          </cell>
          <cell r="FP50">
            <v>0</v>
          </cell>
          <cell r="FQ50">
            <v>0</v>
          </cell>
          <cell r="FR50">
            <v>0</v>
          </cell>
          <cell r="FS50">
            <v>25</v>
          </cell>
          <cell r="FT50">
            <v>25</v>
          </cell>
          <cell r="FV50">
            <v>0</v>
          </cell>
          <cell r="FW50">
            <v>0</v>
          </cell>
          <cell r="FX50">
            <v>0</v>
          </cell>
          <cell r="FY50">
            <v>-25</v>
          </cell>
          <cell r="FZ50">
            <v>-25</v>
          </cell>
          <cell r="GB50">
            <v>0</v>
          </cell>
          <cell r="GC50">
            <v>0</v>
          </cell>
          <cell r="GD50">
            <v>0</v>
          </cell>
          <cell r="GE50">
            <v>0</v>
          </cell>
          <cell r="GF50">
            <v>0</v>
          </cell>
        </row>
        <row r="51">
          <cell r="A51" t="str">
            <v>Taxes on Extraordinary Charges (FYins)</v>
          </cell>
          <cell r="AN51" t="str">
            <v>Taxes on Extraordinary Charges (FYins)</v>
          </cell>
          <cell r="FD51">
            <v>41</v>
          </cell>
          <cell r="FE51">
            <v>28</v>
          </cell>
          <cell r="FF51">
            <v>6</v>
          </cell>
          <cell r="FG51">
            <v>81</v>
          </cell>
          <cell r="FH51">
            <v>156</v>
          </cell>
          <cell r="FJ51">
            <v>118</v>
          </cell>
          <cell r="FK51">
            <v>-43</v>
          </cell>
          <cell r="FL51">
            <v>10</v>
          </cell>
          <cell r="FM51">
            <v>59</v>
          </cell>
          <cell r="FN51">
            <v>144</v>
          </cell>
          <cell r="FP51">
            <v>0</v>
          </cell>
          <cell r="FQ51">
            <v>0</v>
          </cell>
          <cell r="FR51">
            <v>0</v>
          </cell>
          <cell r="FS51">
            <v>0</v>
          </cell>
          <cell r="FT51">
            <v>0</v>
          </cell>
          <cell r="FV51">
            <v>0</v>
          </cell>
          <cell r="FW51">
            <v>0</v>
          </cell>
          <cell r="FX51">
            <v>0</v>
          </cell>
          <cell r="FY51">
            <v>0</v>
          </cell>
          <cell r="FZ51">
            <v>0</v>
          </cell>
          <cell r="GB51">
            <v>0</v>
          </cell>
          <cell r="GC51">
            <v>0</v>
          </cell>
          <cell r="GD51">
            <v>0</v>
          </cell>
          <cell r="GE51">
            <v>0</v>
          </cell>
          <cell r="GF51">
            <v>0</v>
          </cell>
        </row>
        <row r="52">
          <cell r="A52" t="str">
            <v>Tax Rate on Extraordinary Charges (FYins)</v>
          </cell>
          <cell r="AN52" t="str">
            <v>Tax Rate on Extraordinary Charges (FYins)</v>
          </cell>
          <cell r="FD52">
            <v>0.37272727272727274</v>
          </cell>
          <cell r="FE52">
            <v>0.36842105263157893</v>
          </cell>
          <cell r="FF52">
            <v>0.375</v>
          </cell>
          <cell r="FG52">
            <v>0.36986301369863012</v>
          </cell>
          <cell r="FH52">
            <v>0.37054631828978624</v>
          </cell>
          <cell r="FJ52">
            <v>0.85507246376811596</v>
          </cell>
          <cell r="FK52">
            <v>-1.2647058823529411</v>
          </cell>
          <cell r="FL52">
            <v>0.30303030303030304</v>
          </cell>
          <cell r="FM52">
            <v>0.31720430107526881</v>
          </cell>
          <cell r="FN52">
            <v>0.36828644501278773</v>
          </cell>
          <cell r="FP52" t="str">
            <v>NM</v>
          </cell>
          <cell r="FQ52" t="str">
            <v>NM</v>
          </cell>
          <cell r="FR52" t="str">
            <v>NM</v>
          </cell>
          <cell r="FS52" t="str">
            <v>NM</v>
          </cell>
          <cell r="FT52" t="str">
            <v>NM</v>
          </cell>
          <cell r="FV52" t="str">
            <v>NM</v>
          </cell>
          <cell r="FW52" t="str">
            <v>NM</v>
          </cell>
          <cell r="FX52" t="str">
            <v>NM</v>
          </cell>
          <cell r="FY52" t="str">
            <v>NM</v>
          </cell>
          <cell r="FZ52" t="str">
            <v>NM</v>
          </cell>
          <cell r="GB52" t="str">
            <v>NM</v>
          </cell>
          <cell r="GC52" t="str">
            <v>NM</v>
          </cell>
          <cell r="GD52">
            <v>0.37</v>
          </cell>
          <cell r="GE52">
            <v>0.37</v>
          </cell>
          <cell r="GF52">
            <v>0.37</v>
          </cell>
        </row>
        <row r="54">
          <cell r="A54" t="str">
            <v>Continuing Pre-Tax Income</v>
          </cell>
          <cell r="FD54">
            <v>4</v>
          </cell>
          <cell r="FE54">
            <v>197</v>
          </cell>
          <cell r="FF54">
            <v>-59</v>
          </cell>
          <cell r="FG54">
            <v>723</v>
          </cell>
          <cell r="FH54">
            <v>865</v>
          </cell>
          <cell r="FJ54">
            <v>-117</v>
          </cell>
          <cell r="FK54">
            <v>143</v>
          </cell>
          <cell r="FL54">
            <v>-49</v>
          </cell>
          <cell r="FM54">
            <v>921</v>
          </cell>
          <cell r="FN54">
            <v>898</v>
          </cell>
          <cell r="FP54">
            <v>41</v>
          </cell>
          <cell r="FQ54">
            <v>240</v>
          </cell>
          <cell r="FR54">
            <v>13</v>
          </cell>
          <cell r="FS54">
            <v>1051</v>
          </cell>
          <cell r="FT54">
            <v>1345</v>
          </cell>
          <cell r="FV54">
            <v>214</v>
          </cell>
          <cell r="FW54">
            <v>395</v>
          </cell>
          <cell r="FX54">
            <v>183</v>
          </cell>
          <cell r="FY54">
            <v>1151</v>
          </cell>
          <cell r="FZ54">
            <v>1943</v>
          </cell>
          <cell r="GB54">
            <v>279</v>
          </cell>
          <cell r="GC54">
            <v>449</v>
          </cell>
          <cell r="GD54">
            <v>174.65499452664795</v>
          </cell>
          <cell r="GE54">
            <v>1330.6989484464721</v>
          </cell>
          <cell r="GF54">
            <v>2233.35394297312</v>
          </cell>
        </row>
        <row r="55">
          <cell r="A55" t="str">
            <v>Continuing Taxes</v>
          </cell>
          <cell r="FD55">
            <v>-6</v>
          </cell>
          <cell r="FE55">
            <v>76</v>
          </cell>
          <cell r="FF55">
            <v>-25</v>
          </cell>
          <cell r="FG55">
            <v>275</v>
          </cell>
          <cell r="FH55">
            <v>320</v>
          </cell>
          <cell r="FJ55">
            <v>-49</v>
          </cell>
          <cell r="FK55">
            <v>59</v>
          </cell>
          <cell r="FL55">
            <v>-37</v>
          </cell>
          <cell r="FM55">
            <v>349</v>
          </cell>
          <cell r="FN55">
            <v>322</v>
          </cell>
          <cell r="FP55">
            <v>18</v>
          </cell>
          <cell r="FQ55">
            <v>93</v>
          </cell>
          <cell r="FR55">
            <v>3</v>
          </cell>
          <cell r="FS55">
            <v>368</v>
          </cell>
          <cell r="FT55">
            <v>482</v>
          </cell>
          <cell r="FV55">
            <v>83</v>
          </cell>
          <cell r="FW55">
            <v>154</v>
          </cell>
          <cell r="FX55">
            <v>44</v>
          </cell>
          <cell r="FY55">
            <v>422.5</v>
          </cell>
          <cell r="FZ55">
            <v>703.5</v>
          </cell>
          <cell r="GB55">
            <v>98</v>
          </cell>
          <cell r="GC55">
            <v>170</v>
          </cell>
          <cell r="GD55">
            <v>64.622347974859736</v>
          </cell>
          <cell r="GE55">
            <v>492.35861092519468</v>
          </cell>
          <cell r="GF55">
            <v>824.98095890005447</v>
          </cell>
        </row>
        <row r="56">
          <cell r="A56" t="str">
            <v>Tax Rate on Continuing Operations</v>
          </cell>
          <cell r="N56">
            <v>0.62871287128712872</v>
          </cell>
          <cell r="O56">
            <v>0.3968253968253968</v>
          </cell>
          <cell r="P56">
            <v>0.39979123173277664</v>
          </cell>
          <cell r="Q56">
            <v>0.411006018916595</v>
          </cell>
          <cell r="R56">
            <v>0.40476190476190477</v>
          </cell>
          <cell r="S56">
            <v>0.40072992700729926</v>
          </cell>
          <cell r="T56">
            <v>0.3923076923076923</v>
          </cell>
          <cell r="U56">
            <v>0.39122137404580154</v>
          </cell>
          <cell r="V56">
            <v>0.39575645756457567</v>
          </cell>
          <cell r="W56">
            <v>0.38261648745519711</v>
          </cell>
          <cell r="X56">
            <v>0.37446604203916711</v>
          </cell>
          <cell r="Y56">
            <v>0.37218181818181817</v>
          </cell>
          <cell r="Z56">
            <v>0.37045454545454548</v>
          </cell>
          <cell r="AA56">
            <v>0.36994219653179189</v>
          </cell>
          <cell r="AB56">
            <v>0.35857461024498888</v>
          </cell>
          <cell r="AC56">
            <v>0.35836431226765797</v>
          </cell>
          <cell r="AD56">
            <v>0.36206896551724138</v>
          </cell>
          <cell r="AE56">
            <v>0.37</v>
          </cell>
          <cell r="AF56">
            <v>0.37</v>
          </cell>
          <cell r="AG56">
            <v>0.37</v>
          </cell>
          <cell r="AH56">
            <v>0.37</v>
          </cell>
          <cell r="AI56">
            <v>0.37</v>
          </cell>
          <cell r="AJ56">
            <v>0.37</v>
          </cell>
          <cell r="AK56">
            <v>0.37</v>
          </cell>
          <cell r="AL56">
            <v>0.37</v>
          </cell>
          <cell r="FE56">
            <v>0.38578680203045684</v>
          </cell>
          <cell r="FF56">
            <v>0.42372881355932202</v>
          </cell>
          <cell r="FG56">
            <v>0.38035961272475793</v>
          </cell>
          <cell r="FH56">
            <v>0.36994219653179189</v>
          </cell>
          <cell r="FJ56">
            <v>0.41880341880341881</v>
          </cell>
          <cell r="FK56">
            <v>0.41258741258741261</v>
          </cell>
          <cell r="FL56">
            <v>0.75510204081632648</v>
          </cell>
          <cell r="FM56">
            <v>0.37893593919652552</v>
          </cell>
          <cell r="FN56">
            <v>0.35857461024498888</v>
          </cell>
          <cell r="FP56">
            <v>0.43902439024390244</v>
          </cell>
          <cell r="FQ56">
            <v>0.38750000000000001</v>
          </cell>
          <cell r="FR56">
            <v>0.23076923076923078</v>
          </cell>
          <cell r="FS56">
            <v>0.35014272121788775</v>
          </cell>
          <cell r="FT56">
            <v>0.35836431226765797</v>
          </cell>
          <cell r="FV56">
            <v>0.38785046728971961</v>
          </cell>
          <cell r="FW56">
            <v>0.38987341772151901</v>
          </cell>
          <cell r="FX56">
            <v>0.24043715846994534</v>
          </cell>
          <cell r="FY56">
            <v>0.36707211120764555</v>
          </cell>
          <cell r="FZ56">
            <v>0.36206896551724138</v>
          </cell>
          <cell r="GB56">
            <v>0.35125448028673834</v>
          </cell>
          <cell r="GC56">
            <v>0.37861915367483295</v>
          </cell>
          <cell r="GD56">
            <v>0.37</v>
          </cell>
          <cell r="GE56">
            <v>0.37</v>
          </cell>
          <cell r="GF56">
            <v>0.36939105039562631</v>
          </cell>
          <cell r="GS56" t="str">
            <v>mstag:statutoryTaxRate</v>
          </cell>
          <cell r="GT56">
            <v>0</v>
          </cell>
          <cell r="GU56" t="str">
            <v>ms_eqr_gcim_Decimal:ms_eqr_gcim_decimal</v>
          </cell>
          <cell r="GV56" t="b">
            <v>0</v>
          </cell>
        </row>
        <row r="58">
          <cell r="A58" t="str">
            <v>Total Tax Expense</v>
          </cell>
          <cell r="FD58">
            <v>-47</v>
          </cell>
          <cell r="FE58">
            <v>48</v>
          </cell>
          <cell r="FF58">
            <v>-31</v>
          </cell>
          <cell r="FG58">
            <v>-105</v>
          </cell>
          <cell r="FH58">
            <v>-135</v>
          </cell>
          <cell r="FJ58">
            <v>-167</v>
          </cell>
          <cell r="FK58">
            <v>102</v>
          </cell>
          <cell r="FL58">
            <v>-47</v>
          </cell>
          <cell r="FM58">
            <v>290</v>
          </cell>
          <cell r="FN58">
            <v>178</v>
          </cell>
          <cell r="FP58">
            <v>18</v>
          </cell>
          <cell r="FQ58">
            <v>93</v>
          </cell>
          <cell r="FR58">
            <v>3</v>
          </cell>
          <cell r="FS58">
            <v>359</v>
          </cell>
          <cell r="FT58">
            <v>473</v>
          </cell>
          <cell r="FV58">
            <v>83</v>
          </cell>
          <cell r="FW58">
            <v>154</v>
          </cell>
          <cell r="FX58">
            <v>44</v>
          </cell>
          <cell r="FY58">
            <v>431</v>
          </cell>
          <cell r="FZ58">
            <v>712</v>
          </cell>
          <cell r="GB58">
            <v>98</v>
          </cell>
          <cell r="GC58">
            <v>170</v>
          </cell>
          <cell r="GD58">
            <v>64.622347974859736</v>
          </cell>
          <cell r="GE58">
            <v>492.35861092519468</v>
          </cell>
          <cell r="GF58">
            <v>824.98095890005447</v>
          </cell>
        </row>
        <row r="59">
          <cell r="A59" t="str">
            <v>Tax Rate</v>
          </cell>
          <cell r="FD59">
            <v>0.44339622641509435</v>
          </cell>
          <cell r="FE59">
            <v>0.39669421487603307</v>
          </cell>
          <cell r="FF59">
            <v>0.41333333333333333</v>
          </cell>
          <cell r="FG59">
            <v>-0.20833333333333334</v>
          </cell>
          <cell r="FH59">
            <v>-0.30405405405405406</v>
          </cell>
          <cell r="FJ59">
            <v>0.65490196078431373</v>
          </cell>
          <cell r="FK59">
            <v>0.93577981651376152</v>
          </cell>
          <cell r="FL59">
            <v>0.57317073170731703</v>
          </cell>
          <cell r="FM59">
            <v>0.39455782312925169</v>
          </cell>
          <cell r="FN59">
            <v>0.35108481262327418</v>
          </cell>
          <cell r="FP59">
            <v>0.43902439024390244</v>
          </cell>
          <cell r="FQ59">
            <v>0.38750000000000001</v>
          </cell>
          <cell r="FR59">
            <v>0.23076923076923078</v>
          </cell>
          <cell r="FS59">
            <v>0.34990253411306044</v>
          </cell>
          <cell r="FT59">
            <v>0.35833333333333334</v>
          </cell>
          <cell r="FV59">
            <v>0.38785046728971961</v>
          </cell>
          <cell r="FW59">
            <v>0.38987341772151901</v>
          </cell>
          <cell r="FX59">
            <v>0.24043715846994534</v>
          </cell>
          <cell r="FY59">
            <v>0.36649659863945577</v>
          </cell>
          <cell r="FZ59">
            <v>0.36178861788617889</v>
          </cell>
          <cell r="GB59">
            <v>0.35125448028673834</v>
          </cell>
          <cell r="GC59">
            <v>0.37861915367483295</v>
          </cell>
          <cell r="GD59">
            <v>0.36999999999999994</v>
          </cell>
          <cell r="GE59">
            <v>0.37</v>
          </cell>
          <cell r="GF59">
            <v>0.36939105039562631</v>
          </cell>
        </row>
        <row r="61">
          <cell r="A61" t="str">
            <v>As a % of Sales</v>
          </cell>
          <cell r="AN61" t="str">
            <v>As % of Sales</v>
          </cell>
        </row>
        <row r="62">
          <cell r="A62" t="str">
            <v>Cost of Goods Sold (FIFO)</v>
          </cell>
          <cell r="K62">
            <v>0.61379177462321644</v>
          </cell>
          <cell r="L62">
            <v>0.61286106320358991</v>
          </cell>
          <cell r="N62">
            <v>0.61844806350075265</v>
          </cell>
          <cell r="O62">
            <v>0.60796871839816624</v>
          </cell>
          <cell r="P62">
            <v>0.60446780551905388</v>
          </cell>
          <cell r="Q62">
            <v>0.59993491701919943</v>
          </cell>
          <cell r="R62">
            <v>0.59741718135878719</v>
          </cell>
          <cell r="S62">
            <v>0.5983291260968866</v>
          </cell>
          <cell r="T62">
            <v>0.60836236933797905</v>
          </cell>
          <cell r="U62">
            <v>0.59880547171023057</v>
          </cell>
          <cell r="V62">
            <v>0.59531533869711917</v>
          </cell>
          <cell r="W62">
            <v>0.59241886409736311</v>
          </cell>
          <cell r="X62">
            <v>0.59276462706565436</v>
          </cell>
          <cell r="Y62">
            <v>0.59395624768261035</v>
          </cell>
          <cell r="Z62">
            <v>0.59578915365028695</v>
          </cell>
          <cell r="AA62">
            <v>0.60296480797043228</v>
          </cell>
          <cell r="AB62">
            <v>0.59753086419753088</v>
          </cell>
          <cell r="AC62">
            <v>0.59288885333759944</v>
          </cell>
          <cell r="AD62">
            <v>0.59602348040143915</v>
          </cell>
          <cell r="AE62">
            <v>0.59474414748937621</v>
          </cell>
          <cell r="AF62">
            <v>0.5917441474893762</v>
          </cell>
          <cell r="AG62">
            <v>0.59024414748937615</v>
          </cell>
          <cell r="AH62">
            <v>0.59124414748937626</v>
          </cell>
          <cell r="AI62">
            <v>0.59324414748937615</v>
          </cell>
          <cell r="AJ62">
            <v>0.59324414748937626</v>
          </cell>
          <cell r="AK62">
            <v>0.59324414748937615</v>
          </cell>
          <cell r="AL62">
            <v>0.59324414748937626</v>
          </cell>
          <cell r="AN62" t="str">
            <v>Cost of Goods Sold (FIFO)</v>
          </cell>
          <cell r="AO62">
            <v>0.60057656275542926</v>
          </cell>
          <cell r="AP62">
            <v>0.6221511287992596</v>
          </cell>
          <cell r="AQ62">
            <v>0.60479300095568056</v>
          </cell>
          <cell r="AR62">
            <v>0.6294896976051404</v>
          </cell>
          <cell r="AS62">
            <v>0.6153719492191454</v>
          </cell>
          <cell r="AU62">
            <v>0.59872575888702217</v>
          </cell>
          <cell r="AV62">
            <v>0.59999010525203866</v>
          </cell>
          <cell r="AW62">
            <v>0.60363297815379591</v>
          </cell>
          <cell r="AX62">
            <v>0.6181168180071781</v>
          </cell>
          <cell r="AY62">
            <v>0.60617818875433238</v>
          </cell>
          <cell r="BA62">
            <v>0.58843971531933681</v>
          </cell>
          <cell r="BB62">
            <v>0.59550840920881798</v>
          </cell>
          <cell r="BC62">
            <v>0.59443029908354827</v>
          </cell>
          <cell r="BD62">
            <v>0.60333203951480918</v>
          </cell>
          <cell r="BE62">
            <v>0.59616640873137217</v>
          </cell>
          <cell r="BG62">
            <v>0.59604630440701789</v>
          </cell>
          <cell r="BH62">
            <v>0.59912879554386378</v>
          </cell>
          <cell r="BI62">
            <v>0.60210303943129073</v>
          </cell>
          <cell r="BJ62">
            <v>0.61593435522401285</v>
          </cell>
          <cell r="BK62">
            <v>0.60464400533045182</v>
          </cell>
          <cell r="BM62">
            <v>0.60650471598560973</v>
          </cell>
          <cell r="BN62">
            <v>0.61069795125618698</v>
          </cell>
          <cell r="BO62">
            <v>0.61373481882758607</v>
          </cell>
          <cell r="BP62">
            <v>0.62352648329569904</v>
          </cell>
          <cell r="BQ62">
            <v>0.61477004731898655</v>
          </cell>
          <cell r="BS62">
            <v>0.60652791014295437</v>
          </cell>
          <cell r="BT62">
            <v>0.6192234202265593</v>
          </cell>
          <cell r="BU62">
            <v>0.61024762870607896</v>
          </cell>
          <cell r="BV62">
            <v>0.61765424878908959</v>
          </cell>
          <cell r="BW62">
            <v>0.61379177462321644</v>
          </cell>
          <cell r="BY62">
            <v>0.60982474600117942</v>
          </cell>
          <cell r="BZ62">
            <v>0.61139317361339018</v>
          </cell>
          <cell r="CA62">
            <v>0.61184906801442795</v>
          </cell>
          <cell r="CB62">
            <v>0.69662729026036696</v>
          </cell>
          <cell r="CC62">
            <v>0.62122405771683631</v>
          </cell>
          <cell r="CD62">
            <v>0.61651560643698022</v>
          </cell>
          <cell r="CE62">
            <v>0.62762274687078579</v>
          </cell>
          <cell r="CF62">
            <v>0.61286106320358991</v>
          </cell>
          <cell r="CG62">
            <v>0.61701593761245654</v>
          </cell>
          <cell r="CH62">
            <v>0.61921040036990405</v>
          </cell>
          <cell r="CJ62">
            <v>0.61036992153179626</v>
          </cell>
          <cell r="CK62">
            <v>0.60762316136394912</v>
          </cell>
          <cell r="CL62">
            <v>0.60676453279278098</v>
          </cell>
          <cell r="CM62">
            <v>0.6134235876446239</v>
          </cell>
          <cell r="CN62">
            <v>0.60993271142476924</v>
          </cell>
          <cell r="CP62">
            <v>0.6121470503427453</v>
          </cell>
          <cell r="CQ62">
            <v>0.60781202891889508</v>
          </cell>
          <cell r="CR62">
            <v>0.61045128548991046</v>
          </cell>
          <cell r="CS62">
            <v>0.61427682685535268</v>
          </cell>
          <cell r="CT62">
            <v>0.61147410135820623</v>
          </cell>
          <cell r="CV62">
            <v>0.6023235031277927</v>
          </cell>
          <cell r="CW62">
            <v>0.58873321657910094</v>
          </cell>
          <cell r="CX62">
            <v>0.60456595264937996</v>
          </cell>
          <cell r="CY62">
            <v>0.60270162892332146</v>
          </cell>
          <cell r="CZ62">
            <v>0.59993491701919943</v>
          </cell>
          <cell r="DB62">
            <v>0.60388888888888892</v>
          </cell>
          <cell r="DC62">
            <v>0.57888167748377439</v>
          </cell>
          <cell r="DD62">
            <v>0.59318346627991303</v>
          </cell>
          <cell r="DE62">
            <v>0.5853005190021765</v>
          </cell>
          <cell r="DF62">
            <v>0.58946714834048319</v>
          </cell>
          <cell r="DH62">
            <v>0.6022949902043101</v>
          </cell>
          <cell r="DI62">
            <v>0.59064963305245988</v>
          </cell>
          <cell r="DJ62">
            <v>0.60682178741406667</v>
          </cell>
          <cell r="DK62">
            <v>0.59511063526052821</v>
          </cell>
          <cell r="DL62">
            <v>0.5983291260968866</v>
          </cell>
          <cell r="DN62">
            <v>0.60686164229471318</v>
          </cell>
          <cell r="DO62">
            <v>0.61009174311926606</v>
          </cell>
          <cell r="DP62">
            <v>0.61410071942446043</v>
          </cell>
          <cell r="DQ62">
            <v>0.60619641465315666</v>
          </cell>
          <cell r="DR62">
            <v>0.60836236933797905</v>
          </cell>
          <cell r="DT62">
            <v>0.60179554011004921</v>
          </cell>
          <cell r="DU62">
            <v>0.58835341365461846</v>
          </cell>
          <cell r="DV62">
            <v>0.60707099741304971</v>
          </cell>
          <cell r="DW62">
            <v>0.60075742475583016</v>
          </cell>
          <cell r="DX62">
            <v>0.59880547171023057</v>
          </cell>
          <cell r="DZ62">
            <v>0.60832573685809788</v>
          </cell>
          <cell r="EA62">
            <v>0.58969132207338382</v>
          </cell>
          <cell r="EB62">
            <v>0.59982788296041312</v>
          </cell>
          <cell r="EC62">
            <v>0.58994656639620024</v>
          </cell>
          <cell r="ED62">
            <v>0.59531533869711917</v>
          </cell>
          <cell r="EF62">
            <v>0.59690140845070427</v>
          </cell>
          <cell r="EG62">
            <v>0.58586986875174529</v>
          </cell>
          <cell r="EH62">
            <v>0.59773049645390075</v>
          </cell>
          <cell r="EI62">
            <v>0.59023437499999998</v>
          </cell>
          <cell r="EJ62">
            <v>0.59241886409736311</v>
          </cell>
          <cell r="EK62" t="str">
            <v>Cost of Goods Sold (FIFO)</v>
          </cell>
          <cell r="EL62">
            <v>0.5976380115352925</v>
          </cell>
          <cell r="EM62">
            <v>0.58680651393872485</v>
          </cell>
          <cell r="EN62">
            <v>0.59621962196219624</v>
          </cell>
          <cell r="EO62">
            <v>0.59116079824469747</v>
          </cell>
          <cell r="EP62">
            <v>0.59276462706565436</v>
          </cell>
          <cell r="ER62">
            <v>0.61163575042158513</v>
          </cell>
          <cell r="ES62">
            <v>0.57881567973311088</v>
          </cell>
          <cell r="ET62">
            <v>0.59683995922528033</v>
          </cell>
          <cell r="EU62">
            <v>0.59056665574844414</v>
          </cell>
          <cell r="EV62">
            <v>0.59395624768261035</v>
          </cell>
          <cell r="EX62">
            <v>0.60192535044755957</v>
          </cell>
          <cell r="EY62">
            <v>0.59521384928716903</v>
          </cell>
          <cell r="EZ62">
            <v>0.60700982052150354</v>
          </cell>
          <cell r="FA62">
            <v>0.58424482196881544</v>
          </cell>
          <cell r="FB62">
            <v>0.59578915365028695</v>
          </cell>
          <cell r="FD62">
            <v>0.61371150165303634</v>
          </cell>
          <cell r="FE62">
            <v>0.5851696397341728</v>
          </cell>
          <cell r="FF62">
            <v>0.60513380666302563</v>
          </cell>
          <cell r="FG62">
            <v>0.60650365515502902</v>
          </cell>
          <cell r="FH62">
            <v>0.60296480797043228</v>
          </cell>
          <cell r="FJ62">
            <v>0.62008320726172461</v>
          </cell>
          <cell r="FK62">
            <v>0.58978240302743612</v>
          </cell>
          <cell r="FL62">
            <v>0.6018570102135562</v>
          </cell>
          <cell r="FM62">
            <v>0.58472974675570111</v>
          </cell>
          <cell r="FN62">
            <v>0.59753086419753088</v>
          </cell>
          <cell r="FP62">
            <v>0.60602798708288486</v>
          </cell>
          <cell r="FQ62">
            <v>0.58045873216543253</v>
          </cell>
          <cell r="FR62">
            <v>0.60056909123243818</v>
          </cell>
          <cell r="FS62">
            <v>0.58713266416737209</v>
          </cell>
          <cell r="FT62">
            <v>0.59288885333759944</v>
          </cell>
          <cell r="FV62">
            <v>0.60893190694515198</v>
          </cell>
          <cell r="FW62">
            <v>0.58208452601448057</v>
          </cell>
          <cell r="FX62">
            <v>0.60550145224671104</v>
          </cell>
          <cell r="FY62">
            <v>0.59044016506189823</v>
          </cell>
          <cell r="FZ62">
            <v>0.59602348040143915</v>
          </cell>
          <cell r="GB62">
            <v>0.61159042812957842</v>
          </cell>
          <cell r="GC62">
            <v>0.58107224583197126</v>
          </cell>
          <cell r="GD62">
            <v>0.60400145224671109</v>
          </cell>
          <cell r="GE62">
            <v>0.58662736950345429</v>
          </cell>
          <cell r="GF62">
            <v>0.59474414748937621</v>
          </cell>
        </row>
        <row r="63">
          <cell r="A63" t="str">
            <v>Gross Margin (FIFO)</v>
          </cell>
          <cell r="K63">
            <v>0.38620822537678351</v>
          </cell>
          <cell r="L63">
            <v>0.38713893679641009</v>
          </cell>
          <cell r="N63">
            <v>0.38155193649924729</v>
          </cell>
          <cell r="O63">
            <v>0.39203128160183376</v>
          </cell>
          <cell r="P63">
            <v>0.39553219448094612</v>
          </cell>
          <cell r="Q63">
            <v>0.40006508298080051</v>
          </cell>
          <cell r="R63">
            <v>0.40258281864121281</v>
          </cell>
          <cell r="S63">
            <v>0.40167087390311335</v>
          </cell>
          <cell r="T63">
            <v>0.3916376306620209</v>
          </cell>
          <cell r="U63">
            <v>0.40119452828976943</v>
          </cell>
          <cell r="V63">
            <v>0.40468466130288089</v>
          </cell>
          <cell r="W63">
            <v>0.40758113590263689</v>
          </cell>
          <cell r="X63">
            <v>0.4072353729343457</v>
          </cell>
          <cell r="Y63">
            <v>0.40604375231738971</v>
          </cell>
          <cell r="Z63">
            <v>0.40421084634971305</v>
          </cell>
          <cell r="AA63">
            <v>0.39703519202956772</v>
          </cell>
          <cell r="AB63">
            <v>0.40246913580246912</v>
          </cell>
          <cell r="AC63">
            <v>0.4071111466624005</v>
          </cell>
          <cell r="AD63">
            <v>0.4039765195985609</v>
          </cell>
          <cell r="AE63">
            <v>0.40525585251062379</v>
          </cell>
          <cell r="AF63">
            <v>0.40825585251062385</v>
          </cell>
          <cell r="AG63">
            <v>0.4097558525106238</v>
          </cell>
          <cell r="AH63">
            <v>0.4087558525106238</v>
          </cell>
          <cell r="AI63">
            <v>0.40675585251062379</v>
          </cell>
          <cell r="AJ63">
            <v>0.40675585251062374</v>
          </cell>
          <cell r="AK63">
            <v>0.40675585251062385</v>
          </cell>
          <cell r="AL63">
            <v>0.40675585251062374</v>
          </cell>
          <cell r="AN63" t="str">
            <v>Gross Margin (FIFO)</v>
          </cell>
          <cell r="AO63">
            <v>0.3994234372445708</v>
          </cell>
          <cell r="AP63">
            <v>0.3778488712007404</v>
          </cell>
          <cell r="AQ63">
            <v>0.3952069990443195</v>
          </cell>
          <cell r="AR63">
            <v>0.3705103023948596</v>
          </cell>
          <cell r="AS63">
            <v>0.38462805078085455</v>
          </cell>
          <cell r="AU63">
            <v>0.40127424111297788</v>
          </cell>
          <cell r="AV63">
            <v>0.40000989474796134</v>
          </cell>
          <cell r="AW63">
            <v>0.39636702184620409</v>
          </cell>
          <cell r="AX63">
            <v>0.38188318199282195</v>
          </cell>
          <cell r="AY63">
            <v>0.39382181124566762</v>
          </cell>
          <cell r="BA63">
            <v>0.41156028468066325</v>
          </cell>
          <cell r="BB63">
            <v>0.40449159079118202</v>
          </cell>
          <cell r="BC63">
            <v>0.40556970091645167</v>
          </cell>
          <cell r="BD63">
            <v>0.39666796048519082</v>
          </cell>
          <cell r="BE63">
            <v>0.40383359126862778</v>
          </cell>
          <cell r="BG63">
            <v>0.40395369559298205</v>
          </cell>
          <cell r="BH63">
            <v>0.40087120445613617</v>
          </cell>
          <cell r="BI63">
            <v>0.39789696056870921</v>
          </cell>
          <cell r="BJ63">
            <v>0.38406564477598715</v>
          </cell>
          <cell r="BK63">
            <v>0.39535599466954813</v>
          </cell>
          <cell r="BM63">
            <v>0.39349528401439021</v>
          </cell>
          <cell r="BN63">
            <v>0.38930204874381302</v>
          </cell>
          <cell r="BO63">
            <v>0.38626518117241393</v>
          </cell>
          <cell r="BP63">
            <v>0.37647351670430096</v>
          </cell>
          <cell r="BQ63">
            <v>0.38522995268101345</v>
          </cell>
          <cell r="BS63">
            <v>0.39347208985704557</v>
          </cell>
          <cell r="BT63">
            <v>0.38077657977344076</v>
          </cell>
          <cell r="BU63">
            <v>0.3897523712939211</v>
          </cell>
          <cell r="BV63">
            <v>0.38234575121091047</v>
          </cell>
          <cell r="BW63">
            <v>0.38620822537678351</v>
          </cell>
          <cell r="BY63">
            <v>0.39017525399882058</v>
          </cell>
          <cell r="BZ63">
            <v>0.38860682638660982</v>
          </cell>
          <cell r="CA63">
            <v>0.38815093198557199</v>
          </cell>
          <cell r="CB63">
            <v>0.30337270973963298</v>
          </cell>
          <cell r="CC63">
            <v>0.37877594228316364</v>
          </cell>
          <cell r="CD63">
            <v>0.38348439356301972</v>
          </cell>
          <cell r="CE63">
            <v>0.37237725312921416</v>
          </cell>
          <cell r="CF63">
            <v>0.38713893679641009</v>
          </cell>
          <cell r="CG63">
            <v>0.38298406238754346</v>
          </cell>
          <cell r="CH63">
            <v>0.38078959963009601</v>
          </cell>
          <cell r="CJ63">
            <v>0.38963007846820369</v>
          </cell>
          <cell r="CK63">
            <v>0.39237683863605083</v>
          </cell>
          <cell r="CL63">
            <v>0.39323546720721908</v>
          </cell>
          <cell r="CM63">
            <v>0.38657641235537615</v>
          </cell>
          <cell r="CN63">
            <v>0.39006728857523071</v>
          </cell>
          <cell r="CP63">
            <v>0.3878529496572547</v>
          </cell>
          <cell r="CQ63">
            <v>0.39218797108110487</v>
          </cell>
          <cell r="CR63">
            <v>0.38954871451008949</v>
          </cell>
          <cell r="CS63">
            <v>0.38572317314464727</v>
          </cell>
          <cell r="CT63">
            <v>0.38852589864179371</v>
          </cell>
          <cell r="CV63">
            <v>0.39767649687220735</v>
          </cell>
          <cell r="CW63">
            <v>0.41126678342089901</v>
          </cell>
          <cell r="CX63">
            <v>0.39543404735062004</v>
          </cell>
          <cell r="CY63">
            <v>0.39729837107667859</v>
          </cell>
          <cell r="CZ63">
            <v>0.40006508298080051</v>
          </cell>
          <cell r="DB63">
            <v>0.39611111111111114</v>
          </cell>
          <cell r="DC63">
            <v>0.42111832251622566</v>
          </cell>
          <cell r="DD63">
            <v>0.40681653372008703</v>
          </cell>
          <cell r="DE63">
            <v>0.41469948099782356</v>
          </cell>
          <cell r="DF63">
            <v>0.41053285165951681</v>
          </cell>
          <cell r="DH63">
            <v>0.3977050097956899</v>
          </cell>
          <cell r="DI63">
            <v>0.40935036694754007</v>
          </cell>
          <cell r="DJ63">
            <v>0.39317821258593338</v>
          </cell>
          <cell r="DK63">
            <v>0.40488936473947179</v>
          </cell>
          <cell r="DL63">
            <v>0.40167087390311335</v>
          </cell>
          <cell r="DN63">
            <v>0.39313835770528682</v>
          </cell>
          <cell r="DO63">
            <v>0.38990825688073394</v>
          </cell>
          <cell r="DP63">
            <v>0.38589928057553957</v>
          </cell>
          <cell r="DQ63">
            <v>0.39380358534684334</v>
          </cell>
          <cell r="DR63">
            <v>0.3916376306620209</v>
          </cell>
          <cell r="DT63">
            <v>0.39820445988995079</v>
          </cell>
          <cell r="DU63">
            <v>0.41164658634538154</v>
          </cell>
          <cell r="DV63">
            <v>0.39292900258695029</v>
          </cell>
          <cell r="DW63">
            <v>0.39924257524416984</v>
          </cell>
          <cell r="DX63">
            <v>0.40119452828976943</v>
          </cell>
          <cell r="DZ63">
            <v>0.39167426314190218</v>
          </cell>
          <cell r="EA63">
            <v>0.41030867792661618</v>
          </cell>
          <cell r="EB63">
            <v>0.40017211703958694</v>
          </cell>
          <cell r="EC63">
            <v>0.4100534336037997</v>
          </cell>
          <cell r="ED63">
            <v>0.40468466130288089</v>
          </cell>
          <cell r="EF63">
            <v>0.40309859154929578</v>
          </cell>
          <cell r="EG63">
            <v>0.41413013124825465</v>
          </cell>
          <cell r="EH63">
            <v>0.40226950354609931</v>
          </cell>
          <cell r="EI63">
            <v>0.40976562500000002</v>
          </cell>
          <cell r="EJ63">
            <v>0.40758113590263689</v>
          </cell>
          <cell r="EK63" t="str">
            <v>Gross Margin (FIFO)</v>
          </cell>
          <cell r="EL63">
            <v>0.4023619884647075</v>
          </cell>
          <cell r="EM63">
            <v>0.41319348606127521</v>
          </cell>
          <cell r="EN63">
            <v>0.40378037803780376</v>
          </cell>
          <cell r="EO63">
            <v>0.40883920175530247</v>
          </cell>
          <cell r="EP63">
            <v>0.4072353729343457</v>
          </cell>
          <cell r="ER63">
            <v>0.38836424957841487</v>
          </cell>
          <cell r="ES63">
            <v>0.42118432026688907</v>
          </cell>
          <cell r="ET63">
            <v>0.40316004077471967</v>
          </cell>
          <cell r="EU63">
            <v>0.40943334425155586</v>
          </cell>
          <cell r="EV63">
            <v>0.40604375231738971</v>
          </cell>
          <cell r="EX63">
            <v>0.39807464955244048</v>
          </cell>
          <cell r="EY63">
            <v>0.40478615071283097</v>
          </cell>
          <cell r="EZ63">
            <v>0.39299017947849646</v>
          </cell>
          <cell r="FA63">
            <v>0.41575517803118456</v>
          </cell>
          <cell r="FB63">
            <v>0.40421084634971305</v>
          </cell>
          <cell r="FD63">
            <v>0.38628849834696366</v>
          </cell>
          <cell r="FE63">
            <v>0.4148303602658272</v>
          </cell>
          <cell r="FF63">
            <v>0.39486619333697431</v>
          </cell>
          <cell r="FG63">
            <v>0.39349634484497104</v>
          </cell>
          <cell r="FH63">
            <v>0.39703519202956772</v>
          </cell>
          <cell r="FJ63">
            <v>0.37991679273827533</v>
          </cell>
          <cell r="FK63">
            <v>0.41021759697256388</v>
          </cell>
          <cell r="FL63">
            <v>0.3981429897864438</v>
          </cell>
          <cell r="FM63">
            <v>0.41527025324429884</v>
          </cell>
          <cell r="FN63">
            <v>0.40246913580246912</v>
          </cell>
          <cell r="FP63">
            <v>0.3939720129171152</v>
          </cell>
          <cell r="FQ63">
            <v>0.41954126783456747</v>
          </cell>
          <cell r="FR63">
            <v>0.39943090876756182</v>
          </cell>
          <cell r="FS63">
            <v>0.41286733583262791</v>
          </cell>
          <cell r="FT63">
            <v>0.4071111466624005</v>
          </cell>
          <cell r="FV63">
            <v>0.39106809305484802</v>
          </cell>
          <cell r="FW63">
            <v>0.41791547398551943</v>
          </cell>
          <cell r="FX63">
            <v>0.39449854775328891</v>
          </cell>
          <cell r="FY63">
            <v>0.40955983493810177</v>
          </cell>
          <cell r="FZ63">
            <v>0.4039765195985609</v>
          </cell>
          <cell r="GB63">
            <v>0.38840957187042163</v>
          </cell>
          <cell r="GC63">
            <v>0.41892775416802874</v>
          </cell>
          <cell r="GD63">
            <v>0.39599854775328891</v>
          </cell>
          <cell r="GE63">
            <v>0.41337263049654577</v>
          </cell>
          <cell r="GF63">
            <v>0.40525585251062379</v>
          </cell>
        </row>
        <row r="64">
          <cell r="A64" t="str">
            <v>Y/Y ∆ bps</v>
          </cell>
          <cell r="O64">
            <v>104.79345102586468</v>
          </cell>
          <cell r="P64">
            <v>35.009128791123615</v>
          </cell>
          <cell r="Q64">
            <v>45.328884998543927</v>
          </cell>
          <cell r="R64">
            <v>25.177356604123013</v>
          </cell>
          <cell r="S64">
            <v>-9.1194473809946821</v>
          </cell>
          <cell r="T64">
            <v>-100.33243241092448</v>
          </cell>
          <cell r="U64">
            <v>95.568976277485291</v>
          </cell>
          <cell r="V64">
            <v>34.901330131114626</v>
          </cell>
          <cell r="W64">
            <v>28.964745997560048</v>
          </cell>
          <cell r="X64">
            <v>-3.4576296829119668</v>
          </cell>
          <cell r="Y64">
            <v>-11.916206169559906</v>
          </cell>
          <cell r="Z64">
            <v>-18.329059676766569</v>
          </cell>
          <cell r="AA64">
            <v>-71.756543201453297</v>
          </cell>
          <cell r="AB64">
            <v>54.339437729014065</v>
          </cell>
          <cell r="AC64">
            <v>46.420108599313778</v>
          </cell>
          <cell r="AD64">
            <v>-31.346270638396014</v>
          </cell>
          <cell r="AE64">
            <v>12.793329120628915</v>
          </cell>
          <cell r="AF64">
            <v>30.000000000000583</v>
          </cell>
          <cell r="AG64">
            <v>14.999999999999458</v>
          </cell>
          <cell r="AH64">
            <v>-10.000000000000009</v>
          </cell>
          <cell r="AI64">
            <v>-20.000000000000018</v>
          </cell>
          <cell r="AJ64">
            <v>-5.5511151231257827E-13</v>
          </cell>
          <cell r="AK64">
            <v>1.1102230246251565E-12</v>
          </cell>
          <cell r="AL64">
            <v>-1.1102230246251565E-12</v>
          </cell>
          <cell r="AN64" t="str">
            <v>Y/Y ∆ bps</v>
          </cell>
          <cell r="DH64">
            <v>15.93898684578765</v>
          </cell>
          <cell r="DI64">
            <v>-117.67955568685595</v>
          </cell>
          <cell r="DJ64">
            <v>-136.38321134153642</v>
          </cell>
          <cell r="DK64">
            <v>-98.101162583517649</v>
          </cell>
          <cell r="DL64">
            <v>-88.619777564034607</v>
          </cell>
          <cell r="DN64">
            <v>-45.666520904030783</v>
          </cell>
          <cell r="DO64">
            <v>-194.42110066806129</v>
          </cell>
          <cell r="DP64">
            <v>-72.789320103938124</v>
          </cell>
          <cell r="DQ64">
            <v>-110.85779392628447</v>
          </cell>
          <cell r="DR64">
            <v>-100.33243241092448</v>
          </cell>
          <cell r="DT64">
            <v>50.661021846639677</v>
          </cell>
          <cell r="DU64">
            <v>217.38329464647597</v>
          </cell>
          <cell r="DV64">
            <v>70.297220114107219</v>
          </cell>
          <cell r="DW64">
            <v>54.389898973264962</v>
          </cell>
          <cell r="DX64">
            <v>95.568976277485291</v>
          </cell>
          <cell r="DZ64">
            <v>-65.301967480486113</v>
          </cell>
          <cell r="EA64">
            <v>-13.379084187653545</v>
          </cell>
          <cell r="EB64">
            <v>72.431144526366452</v>
          </cell>
          <cell r="EC64">
            <v>108.1085835962986</v>
          </cell>
          <cell r="ED64">
            <v>34.901330131114626</v>
          </cell>
          <cell r="EF64">
            <v>114.24328407393602</v>
          </cell>
          <cell r="EG64">
            <v>38.21453321638468</v>
          </cell>
          <cell r="EH64">
            <v>20.973865065123665</v>
          </cell>
          <cell r="EI64">
            <v>-2.8780860379967743</v>
          </cell>
          <cell r="EJ64">
            <v>28.964745997560048</v>
          </cell>
          <cell r="EK64" t="str">
            <v>Y/Y ∆ bps</v>
          </cell>
          <cell r="EL64">
            <v>-7.3660308458828316</v>
          </cell>
          <cell r="EM64">
            <v>-9.3664518697944565</v>
          </cell>
          <cell r="EN64">
            <v>15.108744917044504</v>
          </cell>
          <cell r="EO64">
            <v>-9.2642324469754946</v>
          </cell>
          <cell r="EP64">
            <v>-3.4576296829119668</v>
          </cell>
          <cell r="ER64">
            <v>-139.97738886292632</v>
          </cell>
          <cell r="ES64">
            <v>79.908342056138622</v>
          </cell>
          <cell r="ET64">
            <v>-6.2033726308408088</v>
          </cell>
          <cell r="EU64">
            <v>5.9414249625339144</v>
          </cell>
          <cell r="EV64">
            <v>-11.916206169559906</v>
          </cell>
          <cell r="EX64">
            <v>97.103999740256185</v>
          </cell>
          <cell r="EY64">
            <v>-163.98169554058094</v>
          </cell>
          <cell r="EZ64">
            <v>-101.69861296223215</v>
          </cell>
          <cell r="FA64">
            <v>63.218337796286939</v>
          </cell>
          <cell r="FB64">
            <v>-18.329059676766569</v>
          </cell>
          <cell r="FD64">
            <v>-117.86151205476824</v>
          </cell>
          <cell r="FE64">
            <v>100.4420955299623</v>
          </cell>
          <cell r="FF64">
            <v>18.760138584778542</v>
          </cell>
          <cell r="FG64">
            <v>-222.58833186213522</v>
          </cell>
          <cell r="FH64">
            <v>-71.756543201453297</v>
          </cell>
          <cell r="FJ64">
            <v>-63.717056086883275</v>
          </cell>
          <cell r="FK64">
            <v>-46.127632932633219</v>
          </cell>
          <cell r="FL64">
            <v>32.76796449469488</v>
          </cell>
          <cell r="FM64">
            <v>217.73908399327803</v>
          </cell>
          <cell r="FN64">
            <v>54.339437729014065</v>
          </cell>
          <cell r="FP64">
            <v>140.55220178839866</v>
          </cell>
          <cell r="FQ64">
            <v>93.236708620035856</v>
          </cell>
          <cell r="FR64">
            <v>12.879189811180192</v>
          </cell>
          <cell r="FS64">
            <v>-24.029174116709239</v>
          </cell>
          <cell r="FT64">
            <v>46.420108599313778</v>
          </cell>
          <cell r="FV64">
            <v>-29.03919862267179</v>
          </cell>
          <cell r="FW64">
            <v>-16.257938490480406</v>
          </cell>
          <cell r="FX64">
            <v>-49.323610142729123</v>
          </cell>
          <cell r="FY64">
            <v>-33.075008945261388</v>
          </cell>
          <cell r="FZ64">
            <v>-31.346270638396014</v>
          </cell>
          <cell r="GB64">
            <v>-26.585211844263878</v>
          </cell>
          <cell r="GC64">
            <v>10.122801825093175</v>
          </cell>
          <cell r="GD64">
            <v>15.000000000000014</v>
          </cell>
          <cell r="GE64">
            <v>38.127955584439931</v>
          </cell>
          <cell r="GF64">
            <v>12.793329120628915</v>
          </cell>
        </row>
        <row r="65">
          <cell r="A65" t="str">
            <v>SG&amp;A Expense</v>
          </cell>
          <cell r="K65">
            <v>0.33637419260664891</v>
          </cell>
          <cell r="L65">
            <v>0.31608245843666333</v>
          </cell>
          <cell r="N65">
            <v>0.33618448063500755</v>
          </cell>
          <cell r="O65">
            <v>0.33182768152093306</v>
          </cell>
          <cell r="P65">
            <v>0.30742444152431014</v>
          </cell>
          <cell r="Q65">
            <v>0.30536934591604298</v>
          </cell>
          <cell r="R65">
            <v>0.29696175681577142</v>
          </cell>
          <cell r="S65">
            <v>0.29522779180189929</v>
          </cell>
          <cell r="T65">
            <v>0.30446626544187522</v>
          </cell>
          <cell r="U65">
            <v>0.31057735534005521</v>
          </cell>
          <cell r="V65">
            <v>0.31384635349078638</v>
          </cell>
          <cell r="W65">
            <v>0.31256338742393508</v>
          </cell>
          <cell r="X65">
            <v>0.311746315319339</v>
          </cell>
          <cell r="Y65">
            <v>0.32176492398961809</v>
          </cell>
          <cell r="Z65">
            <v>0.32508645916467144</v>
          </cell>
          <cell r="AA65">
            <v>0.33978788365739998</v>
          </cell>
          <cell r="AB65">
            <v>0.34161958568738232</v>
          </cell>
          <cell r="AC65">
            <v>0.33036035675718911</v>
          </cell>
          <cell r="AD65">
            <v>0.31361484567316794</v>
          </cell>
          <cell r="AE65">
            <v>0.30881156325452847</v>
          </cell>
          <cell r="AF65">
            <v>0.31031156325452852</v>
          </cell>
          <cell r="AG65">
            <v>0.30931156325452847</v>
          </cell>
          <cell r="AH65">
            <v>0.30831156325452846</v>
          </cell>
          <cell r="AI65">
            <v>0.30731156325452846</v>
          </cell>
          <cell r="AJ65">
            <v>0.30631156325452846</v>
          </cell>
          <cell r="AK65">
            <v>0.30531156325452846</v>
          </cell>
          <cell r="AL65">
            <v>0.30431156325452846</v>
          </cell>
          <cell r="AN65" t="str">
            <v>SG&amp;A Expense</v>
          </cell>
          <cell r="AO65">
            <v>0.38279428592985676</v>
          </cell>
          <cell r="AP65">
            <v>0.40410711991673287</v>
          </cell>
          <cell r="AQ65">
            <v>0.37126236401073487</v>
          </cell>
          <cell r="AR65">
            <v>0.32336892031185249</v>
          </cell>
          <cell r="AS65">
            <v>0.3657015145513508</v>
          </cell>
          <cell r="AU65">
            <v>0.37521706468919974</v>
          </cell>
          <cell r="AV65">
            <v>0.39432108323421872</v>
          </cell>
          <cell r="AW65">
            <v>0.36519669659038179</v>
          </cell>
          <cell r="AX65">
            <v>0.305193369130284</v>
          </cell>
          <cell r="AY65">
            <v>0.3553106224277201</v>
          </cell>
          <cell r="BA65">
            <v>0.35769529803540817</v>
          </cell>
          <cell r="BB65">
            <v>0.38275487712151696</v>
          </cell>
          <cell r="BC65">
            <v>0.34365233528884026</v>
          </cell>
          <cell r="BD65">
            <v>0.30324335842280281</v>
          </cell>
          <cell r="BE65">
            <v>0.34190736900208624</v>
          </cell>
          <cell r="BG65">
            <v>0.34938333944344918</v>
          </cell>
          <cell r="BH65">
            <v>0.35957752441609064</v>
          </cell>
          <cell r="BI65">
            <v>0.33788405060036941</v>
          </cell>
          <cell r="BJ65">
            <v>0.2756778999669442</v>
          </cell>
          <cell r="BK65">
            <v>0.32472183745109906</v>
          </cell>
          <cell r="BM65">
            <v>0.32781678621167598</v>
          </cell>
          <cell r="BN65">
            <v>0.3350610863980954</v>
          </cell>
          <cell r="BO65">
            <v>0.31739646493610429</v>
          </cell>
          <cell r="BP65">
            <v>0.25271490575617306</v>
          </cell>
          <cell r="BQ65">
            <v>0.30205046346554137</v>
          </cell>
          <cell r="BS65">
            <v>0.37287950987066032</v>
          </cell>
          <cell r="BT65">
            <v>0.36983212774669039</v>
          </cell>
          <cell r="BU65">
            <v>0.35274378094613129</v>
          </cell>
          <cell r="BV65">
            <v>0.27829695765719514</v>
          </cell>
          <cell r="BW65">
            <v>0.33637419260664891</v>
          </cell>
          <cell r="BY65">
            <v>0.35808462232003552</v>
          </cell>
          <cell r="BZ65">
            <v>0.35047161142106986</v>
          </cell>
          <cell r="CA65">
            <v>0.33217510097410313</v>
          </cell>
          <cell r="CB65">
            <v>0.40589440694310513</v>
          </cell>
          <cell r="CC65">
            <v>0.3403293539136622</v>
          </cell>
          <cell r="CD65">
            <v>0.25475148504158118</v>
          </cell>
          <cell r="CE65">
            <v>0.25352903189044429</v>
          </cell>
          <cell r="CF65">
            <v>0.31608245843666333</v>
          </cell>
          <cell r="CG65">
            <v>0.31297957813593175</v>
          </cell>
          <cell r="CH65">
            <v>0.31554074717338931</v>
          </cell>
          <cell r="CJ65">
            <v>0.34933953403823437</v>
          </cell>
          <cell r="CK65">
            <v>0.33919204147824084</v>
          </cell>
          <cell r="CL65">
            <v>0.32906076447959459</v>
          </cell>
          <cell r="CM65">
            <v>0.25497829376133824</v>
          </cell>
          <cell r="CN65">
            <v>0.31114796907013276</v>
          </cell>
          <cell r="CP65">
            <v>0.34442201748207951</v>
          </cell>
          <cell r="CQ65">
            <v>0.33082958930198975</v>
          </cell>
          <cell r="CR65">
            <v>0.31802141646798049</v>
          </cell>
          <cell r="CS65">
            <v>0.24483628438557536</v>
          </cell>
          <cell r="CT65">
            <v>0.30295286435450097</v>
          </cell>
          <cell r="CV65">
            <v>0.34375930890676198</v>
          </cell>
          <cell r="CW65">
            <v>0.33333333333333331</v>
          </cell>
          <cell r="CX65">
            <v>0.32299887260428412</v>
          </cell>
          <cell r="CY65">
            <v>0.24831148192292413</v>
          </cell>
          <cell r="CZ65">
            <v>0.30536934591604298</v>
          </cell>
          <cell r="DB65">
            <v>0.33361111111111114</v>
          </cell>
          <cell r="DC65">
            <v>0.34173739390913632</v>
          </cell>
          <cell r="DD65">
            <v>0.33381677544114091</v>
          </cell>
          <cell r="DE65">
            <v>0.27138791227189019</v>
          </cell>
          <cell r="DF65">
            <v>0.31451794987581849</v>
          </cell>
          <cell r="DH65">
            <v>0.32241813602015112</v>
          </cell>
          <cell r="DI65">
            <v>0.30008154389779834</v>
          </cell>
          <cell r="DJ65">
            <v>0.3220518244315177</v>
          </cell>
          <cell r="DK65">
            <v>0.25660242683797285</v>
          </cell>
          <cell r="DL65">
            <v>0.29522779180189929</v>
          </cell>
          <cell r="DN65">
            <v>0.32845894263217096</v>
          </cell>
          <cell r="DO65">
            <v>0.31708715596330272</v>
          </cell>
          <cell r="DP65">
            <v>0.34100719424460429</v>
          </cell>
          <cell r="DQ65">
            <v>0.25038971161340606</v>
          </cell>
          <cell r="DR65">
            <v>0.30446626544187522</v>
          </cell>
          <cell r="DT65">
            <v>0.33420214306400231</v>
          </cell>
          <cell r="DU65">
            <v>0.32558806655192196</v>
          </cell>
          <cell r="DV65">
            <v>0.3388904857717735</v>
          </cell>
          <cell r="DW65">
            <v>0.25931831771975283</v>
          </cell>
          <cell r="DX65">
            <v>0.31057735534005521</v>
          </cell>
          <cell r="DZ65">
            <v>0.34487997569127926</v>
          </cell>
          <cell r="EA65">
            <v>0.33051834595224228</v>
          </cell>
          <cell r="EB65">
            <v>0.34222604704532417</v>
          </cell>
          <cell r="EC65">
            <v>0.25766871165644173</v>
          </cell>
          <cell r="ED65">
            <v>0.31384635349078638</v>
          </cell>
          <cell r="EF65">
            <v>0.33661971830985915</v>
          </cell>
          <cell r="EG65">
            <v>0.33705668807595646</v>
          </cell>
          <cell r="EH65">
            <v>0.3424113475177305</v>
          </cell>
          <cell r="EI65">
            <v>0.25820312499999998</v>
          </cell>
          <cell r="EJ65">
            <v>0.31256338742393508</v>
          </cell>
          <cell r="EK65" t="str">
            <v>SG&amp;A Expense</v>
          </cell>
          <cell r="EL65">
            <v>0.33315023345234823</v>
          </cell>
          <cell r="EM65">
            <v>0.33287330941208942</v>
          </cell>
          <cell r="EN65">
            <v>0.35517551755175519</v>
          </cell>
          <cell r="EO65">
            <v>0.27040016717166443</v>
          </cell>
          <cell r="EP65">
            <v>0.311746315319339</v>
          </cell>
          <cell r="ER65">
            <v>0.36323777403035412</v>
          </cell>
          <cell r="ES65">
            <v>0.35312760633861551</v>
          </cell>
          <cell r="ET65">
            <v>0.35575942915392456</v>
          </cell>
          <cell r="EU65">
            <v>0.25253848673435964</v>
          </cell>
          <cell r="EV65">
            <v>0.32176492398961809</v>
          </cell>
          <cell r="EX65">
            <v>0.35686539435906095</v>
          </cell>
          <cell r="EY65">
            <v>0.34589273591310249</v>
          </cell>
          <cell r="EZ65">
            <v>0.35912631222485608</v>
          </cell>
          <cell r="FA65">
            <v>0.2655340935536421</v>
          </cell>
          <cell r="FB65">
            <v>0.32508645916467144</v>
          </cell>
          <cell r="FD65">
            <v>0.36192796241517311</v>
          </cell>
          <cell r="FE65">
            <v>0.35624344176285416</v>
          </cell>
          <cell r="FF65">
            <v>0.37957400327689789</v>
          </cell>
          <cell r="FG65">
            <v>0.28434585328963952</v>
          </cell>
          <cell r="FH65">
            <v>0.33978788365739998</v>
          </cell>
          <cell r="FJ65">
            <v>0.37537821482602118</v>
          </cell>
          <cell r="FK65">
            <v>0.35685903500473037</v>
          </cell>
          <cell r="FL65">
            <v>0.38180129990714951</v>
          </cell>
          <cell r="FM65">
            <v>0.28171853345092607</v>
          </cell>
          <cell r="FN65">
            <v>0.34161958568738232</v>
          </cell>
          <cell r="FP65">
            <v>0.35755292429135271</v>
          </cell>
          <cell r="FQ65">
            <v>0.3527180783817952</v>
          </cell>
          <cell r="FR65">
            <v>0.36795304997332384</v>
          </cell>
          <cell r="FS65">
            <v>0.27149594872415045</v>
          </cell>
          <cell r="FT65">
            <v>0.33036035675718911</v>
          </cell>
          <cell r="FV65">
            <v>0.33503141450161317</v>
          </cell>
          <cell r="FW65">
            <v>0.33271594544536115</v>
          </cell>
          <cell r="FX65">
            <v>0.34478045446779432</v>
          </cell>
          <cell r="FY65">
            <v>0.26524530032095367</v>
          </cell>
          <cell r="FZ65">
            <v>0.31361484567316794</v>
          </cell>
          <cell r="GB65">
            <v>0.32475988930489991</v>
          </cell>
          <cell r="GC65">
            <v>0.32837528604118993</v>
          </cell>
          <cell r="GD65">
            <v>0.34960818019307516</v>
          </cell>
          <cell r="GE65">
            <v>0.25913958182743124</v>
          </cell>
          <cell r="GF65">
            <v>0.30881156325452847</v>
          </cell>
        </row>
        <row r="66">
          <cell r="A66" t="str">
            <v>Y/Y ∆ bps</v>
          </cell>
          <cell r="O66">
            <v>-43.567991140744944</v>
          </cell>
          <cell r="P66">
            <v>-244.03239996622915</v>
          </cell>
          <cell r="Q66">
            <v>-20.550956082671657</v>
          </cell>
          <cell r="R66">
            <v>-84.075891002715622</v>
          </cell>
          <cell r="S66">
            <v>-17.339650138721296</v>
          </cell>
          <cell r="T66">
            <v>92.384736399759305</v>
          </cell>
          <cell r="U66">
            <v>61.110898981799892</v>
          </cell>
          <cell r="V66">
            <v>32.689981507311728</v>
          </cell>
          <cell r="W66">
            <v>-12.829660668512988</v>
          </cell>
          <cell r="X66">
            <v>-8.170721045960839</v>
          </cell>
          <cell r="Y66">
            <v>100.18608670279094</v>
          </cell>
          <cell r="Z66">
            <v>33.215351750533472</v>
          </cell>
          <cell r="AA66">
            <v>147.01424492728543</v>
          </cell>
          <cell r="AB66">
            <v>18.317020299823405</v>
          </cell>
          <cell r="AC66">
            <v>-112.5922893019321</v>
          </cell>
          <cell r="AD66">
            <v>-167.45511084021169</v>
          </cell>
          <cell r="AE66">
            <v>-48.032824186394762</v>
          </cell>
          <cell r="AF66">
            <v>15.000000000000568</v>
          </cell>
          <cell r="AG66">
            <v>-10.000000000000565</v>
          </cell>
          <cell r="AH66">
            <v>-10.000000000000009</v>
          </cell>
          <cell r="AI66">
            <v>-10.000000000000009</v>
          </cell>
          <cell r="AJ66">
            <v>-10.000000000000009</v>
          </cell>
          <cell r="AK66">
            <v>-10.000000000000009</v>
          </cell>
          <cell r="AL66">
            <v>-10.000000000000009</v>
          </cell>
          <cell r="AN66" t="str">
            <v>Y/Y ∆ bps</v>
          </cell>
          <cell r="DH66">
            <v>-111.92975090960012</v>
          </cell>
          <cell r="DI66">
            <v>-416.55850011337981</v>
          </cell>
          <cell r="DJ66">
            <v>-117.64951009623215</v>
          </cell>
          <cell r="DK66">
            <v>-147.85485433917333</v>
          </cell>
          <cell r="DL66">
            <v>-192.90158073919207</v>
          </cell>
          <cell r="DN66">
            <v>60.408066120198335</v>
          </cell>
          <cell r="DO66">
            <v>170.05612065504383</v>
          </cell>
          <cell r="DP66">
            <v>189.55369813086597</v>
          </cell>
          <cell r="DQ66">
            <v>-62.127152245667894</v>
          </cell>
          <cell r="DR66">
            <v>92.384736399759305</v>
          </cell>
          <cell r="DT66">
            <v>57.432004318313524</v>
          </cell>
          <cell r="DU66">
            <v>85.009105886192373</v>
          </cell>
          <cell r="DV66">
            <v>-21.167084728307973</v>
          </cell>
          <cell r="DW66">
            <v>89.286061063467699</v>
          </cell>
          <cell r="DX66">
            <v>61.110898981799892</v>
          </cell>
          <cell r="DZ66">
            <v>106.7783262727695</v>
          </cell>
          <cell r="EA66">
            <v>49.302794003203147</v>
          </cell>
          <cell r="EB66">
            <v>33.355612735506689</v>
          </cell>
          <cell r="EC66">
            <v>-16.496060633111043</v>
          </cell>
          <cell r="ED66">
            <v>32.689981507311728</v>
          </cell>
          <cell r="EF66">
            <v>-82.602573814201108</v>
          </cell>
          <cell r="EG66">
            <v>65.383421237141803</v>
          </cell>
          <cell r="EH66">
            <v>1.8530047240633563</v>
          </cell>
          <cell r="EI66">
            <v>5.3441334355824877</v>
          </cell>
          <cell r="EJ66">
            <v>-12.829660668512988</v>
          </cell>
          <cell r="EK66" t="str">
            <v>Y/Y ∆ bps</v>
          </cell>
          <cell r="EL66">
            <v>-34.694848575109184</v>
          </cell>
          <cell r="EM66">
            <v>-41.833786638670325</v>
          </cell>
          <cell r="EN66">
            <v>127.64170034024691</v>
          </cell>
          <cell r="EO66">
            <v>121.97042171664452</v>
          </cell>
          <cell r="EP66">
            <v>-8.170721045960839</v>
          </cell>
          <cell r="ER66">
            <v>300.87540578005888</v>
          </cell>
          <cell r="ES66">
            <v>202.54296926526084</v>
          </cell>
          <cell r="ET66">
            <v>5.8391160216936244</v>
          </cell>
          <cell r="EU66">
            <v>-178.61680437304796</v>
          </cell>
          <cell r="EV66">
            <v>100.18608670279094</v>
          </cell>
          <cell r="EX66">
            <v>-63.723796712931716</v>
          </cell>
          <cell r="EY66">
            <v>-72.348704255130187</v>
          </cell>
          <cell r="EZ66">
            <v>33.668830709315259</v>
          </cell>
          <cell r="FA66">
            <v>129.95606819282469</v>
          </cell>
          <cell r="FB66">
            <v>33.215351750533472</v>
          </cell>
          <cell r="FD66">
            <v>50.625680561121598</v>
          </cell>
          <cell r="FE66">
            <v>103.50705849751674</v>
          </cell>
          <cell r="FF66">
            <v>204.47691052041804</v>
          </cell>
          <cell r="FG66">
            <v>188.11759735997413</v>
          </cell>
          <cell r="FH66">
            <v>147.01424492728543</v>
          </cell>
          <cell r="FJ66">
            <v>134.50252410848074</v>
          </cell>
          <cell r="FK66">
            <v>6.1559324187621112</v>
          </cell>
          <cell r="FL66">
            <v>22.272966302516185</v>
          </cell>
          <cell r="FM66">
            <v>-26.273198387134489</v>
          </cell>
          <cell r="FN66">
            <v>18.317020299823405</v>
          </cell>
          <cell r="FP66">
            <v>-178.25290534668468</v>
          </cell>
          <cell r="FQ66">
            <v>-41.409566229351768</v>
          </cell>
          <cell r="FR66">
            <v>-138.48249933825662</v>
          </cell>
          <cell r="FS66">
            <v>-102.22584726775619</v>
          </cell>
          <cell r="FT66">
            <v>-112.5922893019321</v>
          </cell>
          <cell r="FV66">
            <v>-225.21509789739548</v>
          </cell>
          <cell r="FW66">
            <v>-200.02132936434046</v>
          </cell>
          <cell r="FX66">
            <v>-231.72595505529526</v>
          </cell>
          <cell r="FY66">
            <v>-62.506484031967787</v>
          </cell>
          <cell r="FZ66">
            <v>-167.45511084021169</v>
          </cell>
          <cell r="GB66">
            <v>-102.7152519671326</v>
          </cell>
          <cell r="GC66">
            <v>-43.406594041712211</v>
          </cell>
          <cell r="GD66">
            <v>48.277257252808404</v>
          </cell>
          <cell r="GE66">
            <v>-61.057184935224271</v>
          </cell>
          <cell r="GF66">
            <v>-48.032824186394762</v>
          </cell>
        </row>
        <row r="67">
          <cell r="A67" t="str">
            <v xml:space="preserve">     1H &amp; 2H</v>
          </cell>
          <cell r="AN67" t="str">
            <v xml:space="preserve">     1H &amp; 2H</v>
          </cell>
          <cell r="EK67" t="str">
            <v xml:space="preserve">     1H &amp; 2H</v>
          </cell>
          <cell r="EL67">
            <v>0.33301211453744495</v>
          </cell>
          <cell r="EN67">
            <v>0.3015337828903874</v>
          </cell>
          <cell r="ER67">
            <v>0.35815513626834383</v>
          </cell>
          <cell r="ET67">
            <v>0.2929212362911266</v>
          </cell>
        </row>
        <row r="68">
          <cell r="A68" t="str">
            <v>EBITDA</v>
          </cell>
          <cell r="K68">
            <v>9.0053716746341619E-2</v>
          </cell>
          <cell r="L68">
            <v>0.10498588587511638</v>
          </cell>
          <cell r="N68">
            <v>7.9375940878609552E-2</v>
          </cell>
          <cell r="O68">
            <v>9.6136991842513314E-2</v>
          </cell>
          <cell r="P68">
            <v>0.12687253613666227</v>
          </cell>
          <cell r="Q68">
            <v>0.13530751708428246</v>
          </cell>
          <cell r="R68">
            <v>0.14710836608646827</v>
          </cell>
          <cell r="S68">
            <v>0.14557038105541531</v>
          </cell>
          <cell r="T68">
            <v>0.13082039911308205</v>
          </cell>
          <cell r="U68">
            <v>0.13428809967246805</v>
          </cell>
          <cell r="V68">
            <v>0.13690630677394239</v>
          </cell>
          <cell r="W68">
            <v>0.14173427991886409</v>
          </cell>
          <cell r="X68">
            <v>0.13916927199642698</v>
          </cell>
          <cell r="Y68">
            <v>0.13118279569892474</v>
          </cell>
          <cell r="Z68">
            <v>0.12868164025386691</v>
          </cell>
          <cell r="AA68">
            <v>0.10858910493331191</v>
          </cell>
          <cell r="AB68">
            <v>0.11148775894538607</v>
          </cell>
          <cell r="AC68">
            <v>0.1227452705675319</v>
          </cell>
          <cell r="AD68">
            <v>0.13145237644385532</v>
          </cell>
          <cell r="AE68">
            <v>0.13464669259900278</v>
          </cell>
          <cell r="AF68">
            <v>0.13614669259900275</v>
          </cell>
          <cell r="AG68">
            <v>0.13864669259900278</v>
          </cell>
          <cell r="AH68">
            <v>0.13864669259900272</v>
          </cell>
          <cell r="AI68">
            <v>0.13764669259900278</v>
          </cell>
          <cell r="AJ68">
            <v>0.13864669259900272</v>
          </cell>
          <cell r="AK68">
            <v>0.13964669259900278</v>
          </cell>
          <cell r="AL68">
            <v>0.14064669259900264</v>
          </cell>
          <cell r="AN68" t="str">
            <v>EBITDA</v>
          </cell>
          <cell r="AO68">
            <v>0</v>
          </cell>
          <cell r="AP68">
            <v>0</v>
          </cell>
          <cell r="AQ68">
            <v>0</v>
          </cell>
          <cell r="AR68">
            <v>0</v>
          </cell>
          <cell r="AS68">
            <v>0</v>
          </cell>
          <cell r="AU68">
            <v>6.7943208911152742E-2</v>
          </cell>
          <cell r="AV68">
            <v>4.9845461419508498E-2</v>
          </cell>
          <cell r="AW68">
            <v>6.8649383434148642E-2</v>
          </cell>
          <cell r="AX68">
            <v>0.10669880895486035</v>
          </cell>
          <cell r="AY68">
            <v>7.6144172739787269E-2</v>
          </cell>
          <cell r="BA68">
            <v>9.0037958270080251E-2</v>
          </cell>
          <cell r="BB68">
            <v>6.1182587022341257E-2</v>
          </cell>
          <cell r="BC68">
            <v>9.4692741333676139E-2</v>
          </cell>
          <cell r="BD68">
            <v>0.11869075585821284</v>
          </cell>
          <cell r="BE68">
            <v>9.4429600472659303E-2</v>
          </cell>
          <cell r="BG68">
            <v>9.0051997819223198E-2</v>
          </cell>
          <cell r="BH68">
            <v>7.8816445315412209E-2</v>
          </cell>
          <cell r="BI68">
            <v>9.2409106278100797E-2</v>
          </cell>
          <cell r="BJ68">
            <v>0.13352806166785364</v>
          </cell>
          <cell r="BK68">
            <v>0.10241823463781106</v>
          </cell>
          <cell r="BM68">
            <v>0.10189758174586723</v>
          </cell>
          <cell r="BN68">
            <v>9.2698452477914833E-2</v>
          </cell>
          <cell r="BO68">
            <v>0.10149360783180084</v>
          </cell>
          <cell r="BP68">
            <v>0.15033732592895513</v>
          </cell>
          <cell r="BQ68">
            <v>0.11579794529390085</v>
          </cell>
          <cell r="BS68">
            <v>6.7008509189925111E-2</v>
          </cell>
          <cell r="BT68">
            <v>5.9258905418315827E-2</v>
          </cell>
          <cell r="BU68">
            <v>7.7574121577283314E-2</v>
          </cell>
          <cell r="BV68">
            <v>0.13465078904488742</v>
          </cell>
          <cell r="BW68">
            <v>9.0053716746341619E-2</v>
          </cell>
          <cell r="BY68">
            <v>7.0664182066568715E-2</v>
          </cell>
          <cell r="BZ68">
            <v>7.784640630127998E-2</v>
          </cell>
          <cell r="CA68">
            <v>9.2753683184901944E-2</v>
          </cell>
          <cell r="CB68">
            <v>0</v>
          </cell>
          <cell r="CC68">
            <v>7.4262165757960283E-2</v>
          </cell>
          <cell r="CD68">
            <v>0.15499146776109726</v>
          </cell>
          <cell r="CE68">
            <v>0.14389713004995339</v>
          </cell>
          <cell r="CF68">
            <v>0.10498588587511638</v>
          </cell>
          <cell r="CG68">
            <v>0.1039617221767631</v>
          </cell>
          <cell r="CH68">
            <v>9.8270069431402887E-2</v>
          </cell>
          <cell r="CJ68">
            <v>8.0683491380616187E-2</v>
          </cell>
          <cell r="CK68">
            <v>9.3772722234875303E-2</v>
          </cell>
          <cell r="CL68">
            <v>0.10165612493585756</v>
          </cell>
          <cell r="CM68">
            <v>0.15770796896418993</v>
          </cell>
          <cell r="CN68">
            <v>0.11394209245313917</v>
          </cell>
          <cell r="CP68">
            <v>8.6164904368935924E-2</v>
          </cell>
          <cell r="CQ68">
            <v>0.10346704108428201</v>
          </cell>
          <cell r="CR68">
            <v>0.11096806535343365</v>
          </cell>
          <cell r="CS68">
            <v>0.17081762552479032</v>
          </cell>
          <cell r="CT68">
            <v>0.12324697133935045</v>
          </cell>
          <cell r="CV68">
            <v>0.10008936550491511</v>
          </cell>
          <cell r="CW68">
            <v>0.1234676007005254</v>
          </cell>
          <cell r="CX68">
            <v>0.11668545659526494</v>
          </cell>
          <cell r="CY68">
            <v>0.1799761620977354</v>
          </cell>
          <cell r="CZ68">
            <v>0.13530751708428246</v>
          </cell>
          <cell r="DB68">
            <v>0.11055555555555556</v>
          </cell>
          <cell r="DC68">
            <v>0.12606090863704444</v>
          </cell>
          <cell r="DD68">
            <v>0.11916847957457094</v>
          </cell>
          <cell r="DE68">
            <v>0.17461911937050059</v>
          </cell>
          <cell r="DF68">
            <v>0.13767216075863625</v>
          </cell>
          <cell r="DH68">
            <v>0.12426532325776658</v>
          </cell>
          <cell r="DI68">
            <v>0.15656428377276435</v>
          </cell>
          <cell r="DJ68">
            <v>0.11792702273929138</v>
          </cell>
          <cell r="DK68">
            <v>0.17790863668807994</v>
          </cell>
          <cell r="DL68">
            <v>0.14557038105541531</v>
          </cell>
          <cell r="DN68">
            <v>0.11220472440944881</v>
          </cell>
          <cell r="DO68">
            <v>0.12098623853211009</v>
          </cell>
          <cell r="DP68">
            <v>9.4964028776978418E-2</v>
          </cell>
          <cell r="DQ68">
            <v>0.17809820732657833</v>
          </cell>
          <cell r="DR68">
            <v>0.13082039911308205</v>
          </cell>
          <cell r="DT68">
            <v>0.11178685201274255</v>
          </cell>
          <cell r="DU68">
            <v>0.13425129087779691</v>
          </cell>
          <cell r="DV68">
            <v>0.10204081632653061</v>
          </cell>
          <cell r="DW68">
            <v>0.17580227227426748</v>
          </cell>
          <cell r="DX68">
            <v>0.13428809967246805</v>
          </cell>
          <cell r="DZ68">
            <v>0.10148890914615619</v>
          </cell>
          <cell r="EA68">
            <v>0.13016889924286545</v>
          </cell>
          <cell r="EB68">
            <v>0.10843373493975904</v>
          </cell>
          <cell r="EC68">
            <v>0.18820502671680189</v>
          </cell>
          <cell r="ED68">
            <v>0.13690630677394239</v>
          </cell>
          <cell r="EF68">
            <v>0.11633802816901409</v>
          </cell>
          <cell r="EG68">
            <v>0.12678022898631666</v>
          </cell>
          <cell r="EH68">
            <v>0.11035460992907802</v>
          </cell>
          <cell r="EI68">
            <v>0.19140625</v>
          </cell>
          <cell r="EJ68">
            <v>0.14173427991886409</v>
          </cell>
          <cell r="EK68" t="str">
            <v>EBITDA</v>
          </cell>
          <cell r="EL68">
            <v>0.11782477341389729</v>
          </cell>
          <cell r="EM68">
            <v>0.12945073143803479</v>
          </cell>
          <cell r="EN68">
            <v>0.10171017101710171</v>
          </cell>
          <cell r="EO68">
            <v>0.17270922578622924</v>
          </cell>
          <cell r="EP68">
            <v>0.13916927199642698</v>
          </cell>
          <cell r="ER68">
            <v>7.8414839797639121E-2</v>
          </cell>
          <cell r="ES68">
            <v>0.12043369474562135</v>
          </cell>
          <cell r="ET68">
            <v>0.10091743119266056</v>
          </cell>
          <cell r="EU68">
            <v>0.19183316955999563</v>
          </cell>
          <cell r="EV68">
            <v>0.13118279569892474</v>
          </cell>
          <cell r="EX68">
            <v>9.6774193548387094E-2</v>
          </cell>
          <cell r="EY68">
            <v>0.11439239646978955</v>
          </cell>
          <cell r="EZ68">
            <v>8.8215374195733151E-2</v>
          </cell>
          <cell r="FA68">
            <v>0.18827088666511518</v>
          </cell>
          <cell r="FB68">
            <v>0.12868164025386691</v>
          </cell>
          <cell r="FD68">
            <v>7.9171741778319121E-2</v>
          </cell>
          <cell r="FE68">
            <v>0.1136761105281567</v>
          </cell>
          <cell r="FF68">
            <v>7.3548152193701075E-2</v>
          </cell>
          <cell r="FG68">
            <v>0.15049155533148476</v>
          </cell>
          <cell r="FH68">
            <v>0.10858910493331191</v>
          </cell>
          <cell r="FJ68">
            <v>6.1838124054462935E-2</v>
          </cell>
          <cell r="FK68">
            <v>0.11031220435193945</v>
          </cell>
          <cell r="FL68">
            <v>7.2237697307335189E-2</v>
          </cell>
          <cell r="FM68">
            <v>0.17197933728108858</v>
          </cell>
          <cell r="FN68">
            <v>0.11148775894538607</v>
          </cell>
          <cell r="FP68">
            <v>8.7908144958737E-2</v>
          </cell>
          <cell r="FQ68">
            <v>0.11883691529709228</v>
          </cell>
          <cell r="FR68">
            <v>8.3051751733949852E-2</v>
          </cell>
          <cell r="FS68">
            <v>0.17583746523158786</v>
          </cell>
          <cell r="FT68">
            <v>0.1227452705675319</v>
          </cell>
          <cell r="FV68">
            <v>0.10154525386313466</v>
          </cell>
          <cell r="FW68">
            <v>0.13032497053375988</v>
          </cell>
          <cell r="FX68">
            <v>9.7898513582778068E-2</v>
          </cell>
          <cell r="FY68">
            <v>0.17491976157725814</v>
          </cell>
          <cell r="FZ68">
            <v>0.13145237644385532</v>
          </cell>
          <cell r="GB68">
            <v>0.10532313202018558</v>
          </cell>
          <cell r="GC68">
            <v>0.13255966001961425</v>
          </cell>
          <cell r="GD68">
            <v>9.1769984292360302E-2</v>
          </cell>
          <cell r="GE68">
            <v>0.18302341955100002</v>
          </cell>
          <cell r="GF68">
            <v>0.13464669259900278</v>
          </cell>
        </row>
        <row r="69">
          <cell r="A69" t="str">
            <v>Operating Income</v>
          </cell>
          <cell r="K69">
            <v>4.9834032770134616E-2</v>
          </cell>
          <cell r="L69">
            <v>7.1056478359746725E-2</v>
          </cell>
          <cell r="N69">
            <v>4.5367455864239771E-2</v>
          </cell>
          <cell r="O69">
            <v>6.0203600080900692E-2</v>
          </cell>
          <cell r="P69">
            <v>8.8107752956636004E-2</v>
          </cell>
          <cell r="Q69">
            <v>9.4695737064757562E-2</v>
          </cell>
          <cell r="R69">
            <v>0.10562106182544138</v>
          </cell>
          <cell r="S69">
            <v>0.10644308210121409</v>
          </cell>
          <cell r="T69">
            <v>8.7171365220145708E-2</v>
          </cell>
          <cell r="U69">
            <v>9.0617172949714206E-2</v>
          </cell>
          <cell r="V69">
            <v>9.0838307812094468E-2</v>
          </cell>
          <cell r="W69">
            <v>9.5017748478701827E-2</v>
          </cell>
          <cell r="X69">
            <v>9.5489057615006701E-2</v>
          </cell>
          <cell r="Y69">
            <v>8.4278828327771602E-2</v>
          </cell>
          <cell r="Z69">
            <v>7.9124387185041611E-2</v>
          </cell>
          <cell r="AA69">
            <v>5.7247308372167766E-2</v>
          </cell>
          <cell r="AB69">
            <v>6.0849550115086838E-2</v>
          </cell>
          <cell r="AC69">
            <v>7.6750789905211378E-2</v>
          </cell>
          <cell r="AD69">
            <v>9.0361673925392919E-2</v>
          </cell>
          <cell r="AE69">
            <v>9.644428925609537E-2</v>
          </cell>
          <cell r="AF69">
            <v>9.7944289256095343E-2</v>
          </cell>
          <cell r="AG69">
            <v>0.10044428925609535</v>
          </cell>
          <cell r="AH69">
            <v>0.10044428925609533</v>
          </cell>
          <cell r="AI69">
            <v>9.9444289256095372E-2</v>
          </cell>
          <cell r="AJ69">
            <v>0.10044428925609532</v>
          </cell>
          <cell r="AK69">
            <v>0.10144428925609536</v>
          </cell>
          <cell r="AL69">
            <v>0.10244428925609525</v>
          </cell>
          <cell r="AN69" t="str">
            <v>Operating Income</v>
          </cell>
          <cell r="AO69">
            <v>1.6629151314714041E-2</v>
          </cell>
          <cell r="AP69">
            <v>-2.6258248715992489E-2</v>
          </cell>
          <cell r="AQ69">
            <v>2.3944635033584606E-2</v>
          </cell>
          <cell r="AR69">
            <v>4.7141382083007131E-2</v>
          </cell>
          <cell r="AS69">
            <v>1.8926536229503767E-2</v>
          </cell>
          <cell r="AU69">
            <v>2.6057176423778111E-2</v>
          </cell>
          <cell r="AV69">
            <v>5.6888115137426025E-3</v>
          </cell>
          <cell r="AW69">
            <v>3.1170325255822338E-2</v>
          </cell>
          <cell r="AX69">
            <v>7.6689812862537954E-2</v>
          </cell>
          <cell r="AY69">
            <v>3.8511188817947503E-2</v>
          </cell>
          <cell r="BA69">
            <v>5.3864986645255068E-2</v>
          </cell>
          <cell r="BB69">
            <v>2.1736713669665054E-2</v>
          </cell>
          <cell r="BC69">
            <v>6.1917365627611451E-2</v>
          </cell>
          <cell r="BD69">
            <v>9.3424602062388007E-2</v>
          </cell>
          <cell r="BE69">
            <v>6.1926222266541493E-2</v>
          </cell>
          <cell r="BG69">
            <v>5.4570356149532914E-2</v>
          </cell>
          <cell r="BH69">
            <v>4.1293680040045563E-2</v>
          </cell>
          <cell r="BI69">
            <v>6.0012909968339807E-2</v>
          </cell>
          <cell r="BJ69">
            <v>0.10838774480904291</v>
          </cell>
          <cell r="BK69">
            <v>7.0634157218449081E-2</v>
          </cell>
          <cell r="BM69">
            <v>6.5678497802714245E-2</v>
          </cell>
          <cell r="BN69">
            <v>5.424096234571759E-2</v>
          </cell>
          <cell r="BO69">
            <v>6.8868716236309635E-2</v>
          </cell>
          <cell r="BP69">
            <v>0.12375861094812787</v>
          </cell>
          <cell r="BQ69">
            <v>8.3179489215472066E-2</v>
          </cell>
          <cell r="BS69">
            <v>2.0592579986385289E-2</v>
          </cell>
          <cell r="BT69">
            <v>1.0944452026750382E-2</v>
          </cell>
          <cell r="BU69">
            <v>3.7008590347789791E-2</v>
          </cell>
          <cell r="BV69">
            <v>0.10404879355371534</v>
          </cell>
          <cell r="BW69">
            <v>4.9834032770134616E-2</v>
          </cell>
          <cell r="BY69">
            <v>3.2090631678785023E-2</v>
          </cell>
          <cell r="BZ69">
            <v>3.8135214965539906E-2</v>
          </cell>
          <cell r="CA69">
            <v>5.5975831011468857E-2</v>
          </cell>
          <cell r="CB69">
            <v>-0.10252169720347212</v>
          </cell>
          <cell r="CC69">
            <v>3.8446588369501468E-2</v>
          </cell>
          <cell r="CD69">
            <v>0.12873290852143857</v>
          </cell>
          <cell r="CE69">
            <v>0.11884822123876988</v>
          </cell>
          <cell r="CF69">
            <v>7.1056478359746725E-2</v>
          </cell>
          <cell r="CG69">
            <v>7.0004484251611696E-2</v>
          </cell>
          <cell r="CH69">
            <v>6.524885245670671E-2</v>
          </cell>
          <cell r="CJ69">
            <v>4.0290544429969356E-2</v>
          </cell>
          <cell r="CK69">
            <v>5.3184797157810007E-2</v>
          </cell>
          <cell r="CL69">
            <v>6.4174702727624475E-2</v>
          </cell>
          <cell r="CM69">
            <v>0.13159811859403786</v>
          </cell>
          <cell r="CN69">
            <v>7.8919319505097951E-2</v>
          </cell>
          <cell r="CP69">
            <v>4.3430932175175192E-2</v>
          </cell>
          <cell r="CQ69">
            <v>6.1358381779115137E-2</v>
          </cell>
          <cell r="CR69">
            <v>7.1527298042109028E-2</v>
          </cell>
          <cell r="CS69">
            <v>0.14088688875907193</v>
          </cell>
          <cell r="CT69">
            <v>8.5573034287292751E-2</v>
          </cell>
          <cell r="CV69">
            <v>5.391718796544534E-2</v>
          </cell>
          <cell r="CW69">
            <v>7.7933450087565678E-2</v>
          </cell>
          <cell r="CX69">
            <v>7.243517474633597E-2</v>
          </cell>
          <cell r="CY69">
            <v>0.14898688915375446</v>
          </cell>
          <cell r="CZ69">
            <v>9.4695737064757562E-2</v>
          </cell>
          <cell r="DB69">
            <v>6.25E-2</v>
          </cell>
          <cell r="DC69">
            <v>7.9380928607089368E-2</v>
          </cell>
          <cell r="DD69">
            <v>7.29997582789461E-2</v>
          </cell>
          <cell r="DE69">
            <v>0.14331156872593337</v>
          </cell>
          <cell r="DF69">
            <v>9.6014901783698356E-2</v>
          </cell>
          <cell r="DH69">
            <v>7.5286873775538762E-2</v>
          </cell>
          <cell r="DI69">
            <v>0.10926882304974178</v>
          </cell>
          <cell r="DJ69">
            <v>7.112638815441566E-2</v>
          </cell>
          <cell r="DK69">
            <v>0.14828693790149894</v>
          </cell>
          <cell r="DL69">
            <v>0.10644308210121409</v>
          </cell>
          <cell r="DN69">
            <v>6.4679415073115865E-2</v>
          </cell>
          <cell r="DO69">
            <v>7.2821100917431186E-2</v>
          </cell>
          <cell r="DP69">
            <v>4.4892086330935249E-2</v>
          </cell>
          <cell r="DQ69">
            <v>0.14341387373343725</v>
          </cell>
          <cell r="DR69">
            <v>8.7171365220145708E-2</v>
          </cell>
          <cell r="DT69">
            <v>6.4002316825948452E-2</v>
          </cell>
          <cell r="DU69">
            <v>8.6058519793459548E-2</v>
          </cell>
          <cell r="DV69">
            <v>5.4038516815176775E-2</v>
          </cell>
          <cell r="DW69">
            <v>0.13992425752441698</v>
          </cell>
          <cell r="DX69">
            <v>9.0617172949714206E-2</v>
          </cell>
          <cell r="DZ69">
            <v>4.6794287450622911E-2</v>
          </cell>
          <cell r="EA69">
            <v>7.9790331974373907E-2</v>
          </cell>
          <cell r="EB69">
            <v>5.7946069994262765E-2</v>
          </cell>
          <cell r="EC69">
            <v>0.152384721947358</v>
          </cell>
          <cell r="ED69">
            <v>9.0838307812094468E-2</v>
          </cell>
          <cell r="EF69">
            <v>6.6478873239436617E-2</v>
          </cell>
          <cell r="EG69">
            <v>7.7073443172298237E-2</v>
          </cell>
          <cell r="EH69">
            <v>5.9858156028368796E-2</v>
          </cell>
          <cell r="EI69">
            <v>0.15156249999999999</v>
          </cell>
          <cell r="EJ69">
            <v>9.5017748478701827E-2</v>
          </cell>
          <cell r="EK69" t="str">
            <v>Operating Income</v>
          </cell>
          <cell r="EL69">
            <v>6.9211755012359238E-2</v>
          </cell>
          <cell r="EM69">
            <v>8.0320176649185754E-2</v>
          </cell>
          <cell r="EN69">
            <v>4.8604860486048604E-2</v>
          </cell>
          <cell r="EO69">
            <v>0.13843903458363807</v>
          </cell>
          <cell r="EP69">
            <v>9.5489057615006701E-2</v>
          </cell>
          <cell r="ER69">
            <v>2.5126475548060707E-2</v>
          </cell>
          <cell r="ES69">
            <v>6.805671392827356E-2</v>
          </cell>
          <cell r="ET69">
            <v>4.7400611620795105E-2</v>
          </cell>
          <cell r="EU69">
            <v>0.1568948575171962</v>
          </cell>
          <cell r="EV69">
            <v>8.4278828327771602E-2</v>
          </cell>
          <cell r="EX69">
            <v>4.12092551933795E-2</v>
          </cell>
          <cell r="EY69">
            <v>5.8893414799728448E-2</v>
          </cell>
          <cell r="EZ69">
            <v>3.3863867253640365E-2</v>
          </cell>
          <cell r="FA69">
            <v>0.15022108447754248</v>
          </cell>
          <cell r="FB69">
            <v>7.9124387185041611E-2</v>
          </cell>
          <cell r="FD69">
            <v>2.4360535931790498E-2</v>
          </cell>
          <cell r="FE69">
            <v>5.8586918502973068E-2</v>
          </cell>
          <cell r="FF69">
            <v>1.5292190060076462E-2</v>
          </cell>
          <cell r="FG69">
            <v>0.10915049155533149</v>
          </cell>
          <cell r="FH69">
            <v>5.7247308372167766E-2</v>
          </cell>
          <cell r="FJ69">
            <v>4.5385779122541605E-3</v>
          </cell>
          <cell r="FK69">
            <v>5.3358561967833493E-2</v>
          </cell>
          <cell r="FL69">
            <v>1.6341689879294335E-2</v>
          </cell>
          <cell r="FM69">
            <v>0.1335517197933728</v>
          </cell>
          <cell r="FN69">
            <v>6.0849550115086838E-2</v>
          </cell>
          <cell r="FP69">
            <v>3.6419088625762472E-2</v>
          </cell>
          <cell r="FQ69">
            <v>6.6823189452772255E-2</v>
          </cell>
          <cell r="FR69">
            <v>3.1477858794237951E-2</v>
          </cell>
          <cell r="FS69">
            <v>0.14137138710847744</v>
          </cell>
          <cell r="FT69">
            <v>7.6750789905211378E-2</v>
          </cell>
          <cell r="FV69">
            <v>5.6036678553234846E-2</v>
          </cell>
          <cell r="FW69">
            <v>8.5199528540158276E-2</v>
          </cell>
          <cell r="FX69">
            <v>4.9718093285494619E-2</v>
          </cell>
          <cell r="FY69">
            <v>0.1443145346171481</v>
          </cell>
          <cell r="FZ69">
            <v>9.0361673925392919E-2</v>
          </cell>
          <cell r="GB69">
            <v>6.3649682565521726E-2</v>
          </cell>
          <cell r="GC69">
            <v>9.0552468126838842E-2</v>
          </cell>
          <cell r="GD69">
            <v>4.6390367560213731E-2</v>
          </cell>
          <cell r="GE69">
            <v>0.15423304866911453</v>
          </cell>
          <cell r="GF69">
            <v>9.644428925609537E-2</v>
          </cell>
        </row>
        <row r="70">
          <cell r="A70" t="str">
            <v>Y/Y ∆ bps</v>
          </cell>
          <cell r="O70">
            <v>148.36144216660921</v>
          </cell>
          <cell r="P70">
            <v>279.04152875735315</v>
          </cell>
          <cell r="Q70">
            <v>65.879841081215588</v>
          </cell>
          <cell r="R70">
            <v>109.25324760683822</v>
          </cell>
          <cell r="S70">
            <v>8.22020275772703</v>
          </cell>
          <cell r="T70">
            <v>-192.7171688106838</v>
          </cell>
          <cell r="U70">
            <v>34.45807729568498</v>
          </cell>
          <cell r="V70">
            <v>2.2113486238026225</v>
          </cell>
          <cell r="W70">
            <v>41.794406666073591</v>
          </cell>
          <cell r="X70">
            <v>4.7130913630487328</v>
          </cell>
          <cell r="Y70">
            <v>-112.10229287235099</v>
          </cell>
          <cell r="Z70">
            <v>-51.544411427299899</v>
          </cell>
          <cell r="AA70">
            <v>-218.77078812873845</v>
          </cell>
          <cell r="AB70">
            <v>36.022417429190725</v>
          </cell>
          <cell r="AC70">
            <v>159.01239790124541</v>
          </cell>
          <cell r="AD70">
            <v>136.10884020181541</v>
          </cell>
          <cell r="AE70">
            <v>60.826153307024512</v>
          </cell>
          <cell r="AF70">
            <v>14.999999999999735</v>
          </cell>
          <cell r="AG70">
            <v>25.000000000000021</v>
          </cell>
          <cell r="AH70">
            <v>-1.3877787807814457E-13</v>
          </cell>
          <cell r="AI70">
            <v>-9.9999999999995932</v>
          </cell>
          <cell r="AJ70">
            <v>9.9999999999994529</v>
          </cell>
          <cell r="AK70">
            <v>10.000000000000425</v>
          </cell>
          <cell r="AL70">
            <v>9.9999999999988987</v>
          </cell>
          <cell r="AN70" t="str">
            <v>Y/Y ∆ bps</v>
          </cell>
          <cell r="DH70">
            <v>127.86873775538763</v>
          </cell>
          <cell r="DI70">
            <v>298.87894442652413</v>
          </cell>
          <cell r="DJ70">
            <v>-18.733701245304406</v>
          </cell>
          <cell r="DK70">
            <v>49.753691755655694</v>
          </cell>
          <cell r="DL70">
            <v>104.28180317515731</v>
          </cell>
          <cell r="DN70">
            <v>-106.07458702422898</v>
          </cell>
          <cell r="DO70">
            <v>-364.47722132310594</v>
          </cell>
          <cell r="DP70">
            <v>-262.34301823480411</v>
          </cell>
          <cell r="DQ70">
            <v>-48.730641680616863</v>
          </cell>
          <cell r="DR70">
            <v>-192.7171688106838</v>
          </cell>
          <cell r="DT70">
            <v>-6.7709824716741256</v>
          </cell>
          <cell r="DU70">
            <v>132.37418876028363</v>
          </cell>
          <cell r="DV70">
            <v>91.46430484241526</v>
          </cell>
          <cell r="DW70">
            <v>-34.896162090202743</v>
          </cell>
          <cell r="DX70">
            <v>34.45807729568498</v>
          </cell>
          <cell r="DZ70">
            <v>-172.0802937532554</v>
          </cell>
          <cell r="EA70">
            <v>-62.681878190856409</v>
          </cell>
          <cell r="EB70">
            <v>39.075531790859905</v>
          </cell>
          <cell r="EC70">
            <v>124.6046442294102</v>
          </cell>
          <cell r="ED70">
            <v>2.2113486238026225</v>
          </cell>
          <cell r="EF70">
            <v>196.84585788813706</v>
          </cell>
          <cell r="EG70">
            <v>-27.168888020756704</v>
          </cell>
          <cell r="EH70">
            <v>19.120860341060308</v>
          </cell>
          <cell r="EI70">
            <v>-8.2222194735800951</v>
          </cell>
          <cell r="EJ70">
            <v>41.794406666073591</v>
          </cell>
          <cell r="EK70" t="str">
            <v>Y/Y ∆ bps</v>
          </cell>
          <cell r="EL70">
            <v>27.328817729226213</v>
          </cell>
          <cell r="EM70">
            <v>32.467334768875169</v>
          </cell>
          <cell r="EN70">
            <v>-112.53295542320193</v>
          </cell>
          <cell r="EO70">
            <v>-131.23465416361918</v>
          </cell>
          <cell r="EP70">
            <v>4.7130913630487328</v>
          </cell>
          <cell r="ER70">
            <v>-440.85279464298537</v>
          </cell>
          <cell r="ES70">
            <v>-122.63462720912194</v>
          </cell>
          <cell r="ET70">
            <v>-12.042488652534988</v>
          </cell>
          <cell r="EU70">
            <v>184.5582293355813</v>
          </cell>
          <cell r="EV70">
            <v>-112.10229287235099</v>
          </cell>
          <cell r="EX70">
            <v>160.82779645318794</v>
          </cell>
          <cell r="EY70">
            <v>-91.632991285451112</v>
          </cell>
          <cell r="EZ70">
            <v>-135.36744367154739</v>
          </cell>
          <cell r="FA70">
            <v>-66.737730396537188</v>
          </cell>
          <cell r="FB70">
            <v>-51.544411427299899</v>
          </cell>
          <cell r="FD70">
            <v>-168.48719261589002</v>
          </cell>
          <cell r="FE70">
            <v>-3.0649629675538055</v>
          </cell>
          <cell r="FF70">
            <v>-185.71677193563903</v>
          </cell>
          <cell r="FG70">
            <v>-410.70592922210989</v>
          </cell>
          <cell r="FH70">
            <v>-218.77078812873845</v>
          </cell>
          <cell r="FJ70">
            <v>-198.21958019536339</v>
          </cell>
          <cell r="FK70">
            <v>-52.283565351395751</v>
          </cell>
          <cell r="FL70">
            <v>10.494998192178731</v>
          </cell>
          <cell r="FM70">
            <v>244.01228238041307</v>
          </cell>
          <cell r="FN70">
            <v>36.022417429190725</v>
          </cell>
          <cell r="FP70">
            <v>318.80510713508306</v>
          </cell>
          <cell r="FQ70">
            <v>134.64627484938762</v>
          </cell>
          <cell r="FR70">
            <v>151.36168914943616</v>
          </cell>
          <cell r="FS70">
            <v>78.196673151046397</v>
          </cell>
          <cell r="FT70">
            <v>159.01239790124541</v>
          </cell>
          <cell r="FV70">
            <v>196.17589927472375</v>
          </cell>
          <cell r="FW70">
            <v>183.7633908738602</v>
          </cell>
          <cell r="FX70">
            <v>182.40234491256669</v>
          </cell>
          <cell r="FY70">
            <v>29.431475086706683</v>
          </cell>
          <cell r="FZ70">
            <v>136.10884020181541</v>
          </cell>
          <cell r="GB70">
            <v>76.130040122868792</v>
          </cell>
          <cell r="GC70">
            <v>53.529395866805665</v>
          </cell>
          <cell r="GD70">
            <v>-33.277257252808873</v>
          </cell>
          <cell r="GE70">
            <v>99.185140519664202</v>
          </cell>
          <cell r="GF70">
            <v>60.826153307024512</v>
          </cell>
        </row>
        <row r="71">
          <cell r="A71" t="str">
            <v>Interest Expense, net</v>
          </cell>
          <cell r="K71">
            <v>3.2697149947086085E-2</v>
          </cell>
          <cell r="L71">
            <v>2.9523074454598411E-2</v>
          </cell>
          <cell r="N71">
            <v>3.1545093745723278E-2</v>
          </cell>
          <cell r="O71">
            <v>3.0472594889772803E-2</v>
          </cell>
          <cell r="P71">
            <v>2.5164257555847568E-2</v>
          </cell>
          <cell r="Q71">
            <v>1.9004230393752035E-2</v>
          </cell>
          <cell r="R71">
            <v>1.9152785576143239E-2</v>
          </cell>
          <cell r="S71">
            <v>1.9293184276956366E-2</v>
          </cell>
          <cell r="T71">
            <v>2.0525815647766867E-2</v>
          </cell>
          <cell r="U71">
            <v>1.8945475563547622E-2</v>
          </cell>
          <cell r="V71">
            <v>1.6675317934077342E-2</v>
          </cell>
          <cell r="W71">
            <v>1.4262170385395538E-2</v>
          </cell>
          <cell r="X71">
            <v>1.7731129968736044E-2</v>
          </cell>
          <cell r="Y71">
            <v>1.7093066370040787E-2</v>
          </cell>
          <cell r="Z71">
            <v>2.0636187435868203E-2</v>
          </cell>
          <cell r="AA71">
            <v>2.2497187851518559E-2</v>
          </cell>
          <cell r="AB71">
            <v>2.3268466206319314E-2</v>
          </cell>
          <cell r="AC71">
            <v>2.2957245130584329E-2</v>
          </cell>
          <cell r="AD71">
            <v>1.677712554440447E-2</v>
          </cell>
          <cell r="AE71">
            <v>1.5811449048425012E-2</v>
          </cell>
          <cell r="AF71">
            <v>1.5432439405946033E-2</v>
          </cell>
          <cell r="AG71">
            <v>1.1551362026190394E-2</v>
          </cell>
          <cell r="AH71">
            <v>1.1247354128091228E-2</v>
          </cell>
          <cell r="AI71">
            <v>8.8517788743727871E-3</v>
          </cell>
          <cell r="AJ71">
            <v>7.3060870294808875E-3</v>
          </cell>
          <cell r="AK71">
            <v>6.4151370536479606E-3</v>
          </cell>
          <cell r="AL71">
            <v>6.1009977063129633E-3</v>
          </cell>
          <cell r="AN71" t="str">
            <v>Interest Expense, net</v>
          </cell>
          <cell r="AO71">
            <v>9.4412937137683436E-2</v>
          </cell>
          <cell r="AP71">
            <v>8.9822192159361131E-2</v>
          </cell>
          <cell r="AQ71">
            <v>7.6101932466374367E-2</v>
          </cell>
          <cell r="AR71">
            <v>5.9439345690775844E-2</v>
          </cell>
          <cell r="AS71">
            <v>7.7841406231294583E-2</v>
          </cell>
          <cell r="AU71">
            <v>7.2724750991421602E-2</v>
          </cell>
          <cell r="AV71">
            <v>7.3799442818719529E-2</v>
          </cell>
          <cell r="AW71">
            <v>6.4135371212258638E-2</v>
          </cell>
          <cell r="AX71">
            <v>4.7384105029377857E-2</v>
          </cell>
          <cell r="AY71">
            <v>6.303759937325483E-2</v>
          </cell>
          <cell r="BA71">
            <v>3.6447192449574548E-2</v>
          </cell>
          <cell r="BB71">
            <v>3.4143281828587738E-2</v>
          </cell>
          <cell r="BC71">
            <v>2.4557775026342047E-2</v>
          </cell>
          <cell r="BD71">
            <v>2.0725558102914272E-2</v>
          </cell>
          <cell r="BE71">
            <v>2.7945713106931256E-2</v>
          </cell>
          <cell r="BG71">
            <v>2.7210661911047193E-2</v>
          </cell>
          <cell r="BH71">
            <v>2.6805113267229716E-2</v>
          </cell>
          <cell r="BI71">
            <v>2.2350452547483253E-2</v>
          </cell>
          <cell r="BJ71">
            <v>1.729722637786555E-2</v>
          </cell>
          <cell r="BK71">
            <v>2.2704354963602815E-2</v>
          </cell>
          <cell r="BM71">
            <v>2.7417845940236968E-2</v>
          </cell>
          <cell r="BN71">
            <v>3.0510619635361193E-2</v>
          </cell>
          <cell r="BO71">
            <v>2.6461339487889576E-2</v>
          </cell>
          <cell r="BP71">
            <v>2.1503910610110491E-2</v>
          </cell>
          <cell r="BQ71">
            <v>2.587720988333796E-2</v>
          </cell>
          <cell r="BS71">
            <v>3.5071477195371001E-2</v>
          </cell>
          <cell r="BT71">
            <v>3.7450525453801002E-2</v>
          </cell>
          <cell r="BU71">
            <v>3.4075046232774568E-2</v>
          </cell>
          <cell r="BV71">
            <v>2.6999397334880916E-2</v>
          </cell>
          <cell r="BW71">
            <v>3.2697149947086085E-2</v>
          </cell>
          <cell r="BY71">
            <v>3.2647859475516454E-2</v>
          </cell>
          <cell r="BZ71">
            <v>3.3874630784378072E-2</v>
          </cell>
          <cell r="CA71">
            <v>3.1383267217194519E-2</v>
          </cell>
          <cell r="CB71">
            <v>6.1890067502410759E-2</v>
          </cell>
          <cell r="CC71">
            <v>3.4758851116312182E-2</v>
          </cell>
          <cell r="CD71">
            <v>2.3302732476509342E-2</v>
          </cell>
          <cell r="CE71">
            <v>2.4686318828467779E-2</v>
          </cell>
          <cell r="CF71">
            <v>2.9523074454598411E-2</v>
          </cell>
          <cell r="CG71">
            <v>2.9750774835216397E-2</v>
          </cell>
          <cell r="CH71">
            <v>3.0636684676753432E-2</v>
          </cell>
          <cell r="CJ71">
            <v>3.4017329657345413E-2</v>
          </cell>
          <cell r="CK71">
            <v>3.5202793472316786E-2</v>
          </cell>
          <cell r="CL71">
            <v>3.140935201327294E-2</v>
          </cell>
          <cell r="CM71">
            <v>2.1948147333105857E-2</v>
          </cell>
          <cell r="CN71">
            <v>2.966465240014567E-2</v>
          </cell>
          <cell r="CP71">
            <v>3.0617252516873267E-2</v>
          </cell>
          <cell r="CQ71">
            <v>2.8748310443407421E-2</v>
          </cell>
          <cell r="CR71">
            <v>2.4525155114038584E-2</v>
          </cell>
          <cell r="CS71">
            <v>1.7188736384699484E-2</v>
          </cell>
          <cell r="CT71">
            <v>2.4412010687558432E-2</v>
          </cell>
          <cell r="CV71">
            <v>2.2937146261543043E-2</v>
          </cell>
          <cell r="CW71">
            <v>2.1599532983070636E-2</v>
          </cell>
          <cell r="CX71">
            <v>2.0293122886133032E-2</v>
          </cell>
          <cell r="CY71">
            <v>1.3706793802145411E-2</v>
          </cell>
          <cell r="CZ71">
            <v>1.9004230393752035E-2</v>
          </cell>
          <cell r="DB71">
            <v>2.0833333333333332E-2</v>
          </cell>
          <cell r="DC71">
            <v>2.1218172740888667E-2</v>
          </cell>
          <cell r="DD71">
            <v>2.1996615905245348E-2</v>
          </cell>
          <cell r="DE71">
            <v>1.7411685919973212E-2</v>
          </cell>
          <cell r="DF71">
            <v>2.003838338225333E-2</v>
          </cell>
          <cell r="DH71">
            <v>1.9311502938706968E-2</v>
          </cell>
          <cell r="DI71">
            <v>2.1201413427561839E-2</v>
          </cell>
          <cell r="DJ71">
            <v>2.2210470650449499E-2</v>
          </cell>
          <cell r="DK71">
            <v>1.6059957173447537E-2</v>
          </cell>
          <cell r="DL71">
            <v>1.9293184276956366E-2</v>
          </cell>
          <cell r="DN71">
            <v>2.1934758155230598E-2</v>
          </cell>
          <cell r="DO71">
            <v>2.2362385321100919E-2</v>
          </cell>
          <cell r="DP71">
            <v>2.302158273381295E-2</v>
          </cell>
          <cell r="DQ71">
            <v>1.7147310989867499E-2</v>
          </cell>
          <cell r="DR71">
            <v>2.0525815647766867E-2</v>
          </cell>
          <cell r="DT71">
            <v>2.143064002316826E-2</v>
          </cell>
          <cell r="DU71">
            <v>2.2375215146299483E-2</v>
          </cell>
          <cell r="DV71">
            <v>2.0983041103765449E-2</v>
          </cell>
          <cell r="DW71">
            <v>1.3952561291608531E-2</v>
          </cell>
          <cell r="DX71">
            <v>1.8945475563547622E-2</v>
          </cell>
          <cell r="DZ71">
            <v>2.127013065937405E-2</v>
          </cell>
          <cell r="EA71">
            <v>1.8928363424577752E-2</v>
          </cell>
          <cell r="EB71">
            <v>1.7498565691336777E-2</v>
          </cell>
          <cell r="EC71">
            <v>1.2072036414011479E-2</v>
          </cell>
          <cell r="ED71">
            <v>1.6675317934077342E-2</v>
          </cell>
          <cell r="EF71">
            <v>1.6901408450704224E-2</v>
          </cell>
          <cell r="EG71">
            <v>1.6755096341803964E-2</v>
          </cell>
          <cell r="EH71">
            <v>1.5602836879432624E-2</v>
          </cell>
          <cell r="EI71">
            <v>9.765625E-3</v>
          </cell>
          <cell r="EJ71">
            <v>1.4262170385395538E-2</v>
          </cell>
          <cell r="EK71" t="str">
            <v>Interest Expense, net</v>
          </cell>
          <cell r="EL71">
            <v>1.4831090359791266E-2</v>
          </cell>
          <cell r="EM71">
            <v>1.4904775048302512E-2</v>
          </cell>
          <cell r="EN71">
            <v>2.6102610261026102E-2</v>
          </cell>
          <cell r="EO71">
            <v>1.5045449796259535E-2</v>
          </cell>
          <cell r="EP71">
            <v>1.7731129968736044E-2</v>
          </cell>
          <cell r="ER71">
            <v>2.3271500843170319E-2</v>
          </cell>
          <cell r="ES71">
            <v>1.9349457881567972E-2</v>
          </cell>
          <cell r="ET71">
            <v>1.7669045191980971E-2</v>
          </cell>
          <cell r="EU71">
            <v>1.1245769188776067E-2</v>
          </cell>
          <cell r="EV71">
            <v>1.7093066370040787E-2</v>
          </cell>
          <cell r="EX71">
            <v>2.1111298767100151E-2</v>
          </cell>
          <cell r="EY71">
            <v>2.3251866938221316E-2</v>
          </cell>
          <cell r="EZ71">
            <v>2.4551303758889264E-2</v>
          </cell>
          <cell r="FA71">
            <v>1.5824994181987434E-2</v>
          </cell>
          <cell r="FB71">
            <v>2.0636187435868203E-2</v>
          </cell>
          <cell r="FD71">
            <v>2.3664520619453629E-2</v>
          </cell>
          <cell r="FE71">
            <v>2.4134312696747113E-2</v>
          </cell>
          <cell r="FF71">
            <v>2.60331330784635E-2</v>
          </cell>
          <cell r="FG71">
            <v>1.8023695487774136E-2</v>
          </cell>
          <cell r="FH71">
            <v>2.2497187851518559E-2</v>
          </cell>
          <cell r="FJ71">
            <v>2.6664145234493192E-2</v>
          </cell>
          <cell r="FK71">
            <v>2.6300851466414379E-2</v>
          </cell>
          <cell r="FL71">
            <v>2.544103992571959E-2</v>
          </cell>
          <cell r="FM71">
            <v>1.7512914199319642E-2</v>
          </cell>
          <cell r="FN71">
            <v>2.3268466206319314E-2</v>
          </cell>
          <cell r="FP71">
            <v>2.9063509149623249E-2</v>
          </cell>
          <cell r="FQ71">
            <v>2.3478417915838903E-2</v>
          </cell>
          <cell r="FR71">
            <v>2.9165925662457761E-2</v>
          </cell>
          <cell r="FS71">
            <v>1.4270165679042206E-2</v>
          </cell>
          <cell r="FT71">
            <v>2.2957245130584329E-2</v>
          </cell>
          <cell r="FV71">
            <v>1.9697741552046188E-2</v>
          </cell>
          <cell r="FW71">
            <v>1.869001515406634E-2</v>
          </cell>
          <cell r="FX71">
            <v>1.8452075858534086E-2</v>
          </cell>
          <cell r="FY71">
            <v>1.2379642365887207E-2</v>
          </cell>
          <cell r="FZ71">
            <v>1.677712554440447E-2</v>
          </cell>
          <cell r="GB71">
            <v>1.8232134136415432E-2</v>
          </cell>
          <cell r="GC71">
            <v>1.7162471395881007E-2</v>
          </cell>
          <cell r="GD71">
            <v>1.7615406893202082E-2</v>
          </cell>
          <cell r="GE71">
            <v>1.2172632499990378E-2</v>
          </cell>
          <cell r="GF71">
            <v>1.5811449048425012E-2</v>
          </cell>
        </row>
        <row r="72">
          <cell r="A72" t="str">
            <v>Pretax Income</v>
          </cell>
          <cell r="K72">
            <v>6.7361237820676165E-3</v>
          </cell>
          <cell r="L72">
            <v>2.1767271032489204E-2</v>
          </cell>
          <cell r="N72">
            <v>1.3822362118516491E-2</v>
          </cell>
          <cell r="O72">
            <v>2.9731005191127889E-2</v>
          </cell>
          <cell r="P72">
            <v>6.2943495400788432E-2</v>
          </cell>
          <cell r="Q72">
            <v>7.5691506671005535E-2</v>
          </cell>
          <cell r="R72">
            <v>8.6468276249298148E-2</v>
          </cell>
          <cell r="S72">
            <v>8.2341627599471084E-2</v>
          </cell>
          <cell r="T72">
            <v>4.9414000633512832E-2</v>
          </cell>
          <cell r="U72">
            <v>6.7304604713891214E-2</v>
          </cell>
          <cell r="V72">
            <v>7.0334804048793151E-2</v>
          </cell>
          <cell r="W72">
            <v>7.074036511156187E-2</v>
          </cell>
          <cell r="X72">
            <v>9.1290754801250554E-2</v>
          </cell>
          <cell r="Y72">
            <v>5.0982573229514272E-2</v>
          </cell>
          <cell r="Z72">
            <v>5.0165317523657507E-2</v>
          </cell>
          <cell r="AA72">
            <v>1.783705608227543E-2</v>
          </cell>
          <cell r="AB72">
            <v>2.1217827997489013E-2</v>
          </cell>
          <cell r="AC72">
            <v>5.2793664760228773E-2</v>
          </cell>
          <cell r="AD72">
            <v>7.4531338761598176E-2</v>
          </cell>
          <cell r="AE72">
            <v>8.063284020767035E-2</v>
          </cell>
          <cell r="AF72">
            <v>8.251184985014931E-2</v>
          </cell>
          <cell r="AG72">
            <v>8.8892927229904967E-2</v>
          </cell>
          <cell r="AH72">
            <v>8.9196935128004098E-2</v>
          </cell>
          <cell r="AI72">
            <v>9.0592510381722585E-2</v>
          </cell>
          <cell r="AJ72">
            <v>9.3138202226614425E-2</v>
          </cell>
          <cell r="AK72">
            <v>9.5029152202447398E-2</v>
          </cell>
          <cell r="AL72">
            <v>9.6343291549782287E-2</v>
          </cell>
          <cell r="AN72" t="str">
            <v>Pretax Income</v>
          </cell>
          <cell r="AO72">
            <v>-9.0163223218439878E-2</v>
          </cell>
          <cell r="AP72">
            <v>-0.12220487490266711</v>
          </cell>
          <cell r="AQ72">
            <v>-6.8728084842250486E-2</v>
          </cell>
          <cell r="AR72">
            <v>-4.2722085061616032E-2</v>
          </cell>
          <cell r="AS72">
            <v>-7.6701526732841571E-2</v>
          </cell>
          <cell r="AU72">
            <v>-5.3355708699343932E-2</v>
          </cell>
          <cell r="AV72">
            <v>-0.14065250514292904</v>
          </cell>
          <cell r="AW72">
            <v>-4.6809031067335062E-2</v>
          </cell>
          <cell r="AX72">
            <v>-0.69561674772520654</v>
          </cell>
          <cell r="AY72">
            <v>-0.27021375085956034</v>
          </cell>
          <cell r="BA72">
            <v>1.4618324059028203E-2</v>
          </cell>
          <cell r="BB72">
            <v>-1.5426032725505995E-2</v>
          </cell>
          <cell r="BC72">
            <v>3.1043089160492192E-2</v>
          </cell>
          <cell r="BD72">
            <v>7.7794891155674686E-2</v>
          </cell>
          <cell r="BE72">
            <v>3.2769623362680571E-2</v>
          </cell>
          <cell r="BG72">
            <v>2.4938704953092587E-2</v>
          </cell>
          <cell r="BH72">
            <v>1.204229814789173E-2</v>
          </cell>
          <cell r="BI72">
            <v>3.5217387659523307E-2</v>
          </cell>
          <cell r="BJ72">
            <v>0.10522273490933497</v>
          </cell>
          <cell r="BK72">
            <v>5.0872782632487255E-2</v>
          </cell>
          <cell r="BM72">
            <v>3.5115451996243524E-2</v>
          </cell>
          <cell r="BN72">
            <v>6.4325543512310261E-3</v>
          </cell>
          <cell r="BO72">
            <v>4.065577786300785E-2</v>
          </cell>
          <cell r="BP72">
            <v>0.11104631292387993</v>
          </cell>
          <cell r="BQ72">
            <v>5.5494424440059829E-2</v>
          </cell>
          <cell r="BS72">
            <v>-1.7950987066031328E-2</v>
          </cell>
          <cell r="BT72">
            <v>-2.984338747099767E-2</v>
          </cell>
          <cell r="BU72">
            <v>-2.2680904372725637E-2</v>
          </cell>
          <cell r="BV72">
            <v>6.8868998459855821E-2</v>
          </cell>
          <cell r="BW72">
            <v>6.7361237820676122E-3</v>
          </cell>
          <cell r="BY72">
            <v>-2.9032070216726567E-2</v>
          </cell>
          <cell r="BZ72">
            <v>-3.3351493272070855E-2</v>
          </cell>
          <cell r="CA72">
            <v>1.2893247034373114E-2</v>
          </cell>
          <cell r="CB72">
            <v>-0.16441176470588287</v>
          </cell>
          <cell r="CC72">
            <v>-6.752536903383885E-3</v>
          </cell>
          <cell r="CD72">
            <v>9.7221946214493968E-2</v>
          </cell>
          <cell r="CE72">
            <v>7.8835875325267243E-2</v>
          </cell>
          <cell r="CF72">
            <v>2.17672710324892E-2</v>
          </cell>
          <cell r="CG72">
            <v>1.8428552040484762E-2</v>
          </cell>
          <cell r="CH72">
            <v>1.3388614238720465E-2</v>
          </cell>
          <cell r="CJ72">
            <v>-1.7267246341685142E-2</v>
          </cell>
          <cell r="CK72">
            <v>-1.2136794400388754E-2</v>
          </cell>
          <cell r="CL72">
            <v>2.0489877389345192E-2</v>
          </cell>
          <cell r="CM72">
            <v>9.2227383028815668E-2</v>
          </cell>
          <cell r="CN72">
            <v>2.8987918734701083E-2</v>
          </cell>
          <cell r="CP72">
            <v>1.2813679658301928E-2</v>
          </cell>
          <cell r="CQ72">
            <v>3.2610071335707716E-2</v>
          </cell>
          <cell r="CR72">
            <v>4.7002142928070444E-2</v>
          </cell>
          <cell r="CS72">
            <v>0.12369815237437246</v>
          </cell>
          <cell r="CT72">
            <v>6.1161023599734327E-2</v>
          </cell>
          <cell r="CV72">
            <v>3.0980041703902294E-2</v>
          </cell>
          <cell r="CW72">
            <v>5.6333917104495035E-2</v>
          </cell>
          <cell r="CX72">
            <v>5.2142051860202931E-2</v>
          </cell>
          <cell r="CY72">
            <v>0.13528009535160906</v>
          </cell>
          <cell r="CZ72">
            <v>7.5691506671005535E-2</v>
          </cell>
          <cell r="DB72">
            <v>4.1666666666666664E-2</v>
          </cell>
          <cell r="DC72">
            <v>5.8162755866200698E-2</v>
          </cell>
          <cell r="DD72">
            <v>5.1003142373700752E-2</v>
          </cell>
          <cell r="DE72">
            <v>0.12589988280596015</v>
          </cell>
          <cell r="DF72">
            <v>7.5976518401445023E-2</v>
          </cell>
          <cell r="DH72">
            <v>5.5975370836831795E-2</v>
          </cell>
          <cell r="DI72">
            <v>8.8067409622179946E-2</v>
          </cell>
          <cell r="DJ72">
            <v>4.8915917503966157E-2</v>
          </cell>
          <cell r="DK72">
            <v>0.11795146324054247</v>
          </cell>
          <cell r="DL72">
            <v>8.2341627599471084E-2</v>
          </cell>
          <cell r="DN72">
            <v>2.81214848143982E-2</v>
          </cell>
          <cell r="DO72">
            <v>3.8704128440366969E-2</v>
          </cell>
          <cell r="DP72">
            <v>1.3237410071942447E-2</v>
          </cell>
          <cell r="DQ72">
            <v>9.7233047544816834E-2</v>
          </cell>
          <cell r="DR72">
            <v>4.9414000633512832E-2</v>
          </cell>
          <cell r="DT72">
            <v>4.2571676802780192E-2</v>
          </cell>
          <cell r="DU72">
            <v>6.3683304647160072E-2</v>
          </cell>
          <cell r="DV72">
            <v>3.3055475711411327E-2</v>
          </cell>
          <cell r="DW72">
            <v>0.1124177795495316</v>
          </cell>
          <cell r="DX72">
            <v>6.7304604713891214E-2</v>
          </cell>
          <cell r="DZ72">
            <v>2.3093284715891827E-2</v>
          </cell>
          <cell r="EA72">
            <v>5.7949912638322658E-2</v>
          </cell>
          <cell r="EB72">
            <v>3.2128514056224897E-2</v>
          </cell>
          <cell r="EC72">
            <v>0.13793785869780328</v>
          </cell>
          <cell r="ED72">
            <v>7.0334804048793151E-2</v>
          </cell>
          <cell r="EF72">
            <v>4.4225352112676058E-2</v>
          </cell>
          <cell r="EG72">
            <v>3.518570231778833E-2</v>
          </cell>
          <cell r="EH72">
            <v>3.4042553191489362E-2</v>
          </cell>
          <cell r="EI72">
            <v>0.13925781249999999</v>
          </cell>
          <cell r="EJ72">
            <v>7.074036511156187E-2</v>
          </cell>
          <cell r="EK72" t="str">
            <v>Pretax Income</v>
          </cell>
          <cell r="EL72">
            <v>5.4380664652567974E-2</v>
          </cell>
          <cell r="EM72">
            <v>6.5415401600883244E-2</v>
          </cell>
          <cell r="EN72">
            <v>9.7569756975697572E-2</v>
          </cell>
          <cell r="EO72">
            <v>0.11148260369867308</v>
          </cell>
          <cell r="EP72">
            <v>9.1290754801250554E-2</v>
          </cell>
          <cell r="ER72">
            <v>-1.9898819561551432E-2</v>
          </cell>
          <cell r="ES72">
            <v>5.104253544620517E-2</v>
          </cell>
          <cell r="ET72">
            <v>5.0968399592252805E-3</v>
          </cell>
          <cell r="EU72">
            <v>0.12632383447974671</v>
          </cell>
          <cell r="EV72">
            <v>5.0982573229514272E-2</v>
          </cell>
          <cell r="EX72">
            <v>1.4017902381354501E-2</v>
          </cell>
          <cell r="EY72">
            <v>1.9178547182620503E-2</v>
          </cell>
          <cell r="EZ72">
            <v>6.4341347781916693E-3</v>
          </cell>
          <cell r="FA72">
            <v>0.12636723295322319</v>
          </cell>
          <cell r="FB72">
            <v>5.0165317523657507E-2</v>
          </cell>
          <cell r="FD72">
            <v>-1.8444405776927093E-2</v>
          </cell>
          <cell r="FE72">
            <v>2.1161245190626093E-2</v>
          </cell>
          <cell r="FF72">
            <v>-1.3653741125068269E-2</v>
          </cell>
          <cell r="FG72">
            <v>6.3524073607259895E-2</v>
          </cell>
          <cell r="FH72">
            <v>1.783705608227543E-2</v>
          </cell>
          <cell r="FJ72">
            <v>-4.8222390317700453E-2</v>
          </cell>
          <cell r="FK72">
            <v>2.0624408703878903E-2</v>
          </cell>
          <cell r="FL72">
            <v>-1.5227483751160632E-2</v>
          </cell>
          <cell r="FM72">
            <v>9.2604258535970777E-2</v>
          </cell>
          <cell r="FN72">
            <v>2.1217827997489013E-2</v>
          </cell>
          <cell r="FP72">
            <v>7.3555794761392176E-3</v>
          </cell>
          <cell r="FQ72">
            <v>4.3344771536933356E-2</v>
          </cell>
          <cell r="FR72">
            <v>2.3119331317801887E-3</v>
          </cell>
          <cell r="FS72">
            <v>0.12407788124319749</v>
          </cell>
          <cell r="FT72">
            <v>5.2793664760228773E-2</v>
          </cell>
          <cell r="FV72">
            <v>3.6338937001188655E-2</v>
          </cell>
          <cell r="FW72">
            <v>6.6509513386091929E-2</v>
          </cell>
          <cell r="FX72">
            <v>3.1266017426960536E-2</v>
          </cell>
          <cell r="FY72">
            <v>0.13480055020632736</v>
          </cell>
          <cell r="FZ72">
            <v>7.4531338761598176E-2</v>
          </cell>
          <cell r="GB72">
            <v>4.5417548429106301E-2</v>
          </cell>
          <cell r="GC72">
            <v>7.3389996730957835E-2</v>
          </cell>
          <cell r="GD72">
            <v>2.877496066701165E-2</v>
          </cell>
          <cell r="GE72">
            <v>0.14206041616912413</v>
          </cell>
          <cell r="GF72">
            <v>8.063284020767035E-2</v>
          </cell>
        </row>
        <row r="73">
          <cell r="A73" t="str">
            <v>Tax Rate</v>
          </cell>
          <cell r="K73">
            <v>0.60127905086949873</v>
          </cell>
          <cell r="L73">
            <v>0.51102235320759348</v>
          </cell>
          <cell r="N73">
            <v>0.62871287128712872</v>
          </cell>
          <cell r="O73">
            <v>0.3968253968253968</v>
          </cell>
          <cell r="P73">
            <v>0.39979123173277664</v>
          </cell>
          <cell r="Q73">
            <v>0.411006018916595</v>
          </cell>
          <cell r="R73">
            <v>0.40476190476190477</v>
          </cell>
          <cell r="S73">
            <v>0.40072992700729926</v>
          </cell>
          <cell r="T73">
            <v>0.3923076923076923</v>
          </cell>
          <cell r="U73">
            <v>0.39122137404580154</v>
          </cell>
          <cell r="V73">
            <v>0.39575645756457567</v>
          </cell>
          <cell r="W73">
            <v>0.38261648745519711</v>
          </cell>
          <cell r="X73">
            <v>0.37446604203916711</v>
          </cell>
          <cell r="Y73">
            <v>0.37218181818181817</v>
          </cell>
          <cell r="Z73">
            <v>0.37045454545454548</v>
          </cell>
          <cell r="AA73">
            <v>-0.30405405405405406</v>
          </cell>
          <cell r="AB73">
            <v>0.35108481262327418</v>
          </cell>
          <cell r="AC73">
            <v>0.35833333333333334</v>
          </cell>
          <cell r="AD73">
            <v>0.36178861788617889</v>
          </cell>
          <cell r="AE73">
            <v>0.36939105039562631</v>
          </cell>
          <cell r="AF73">
            <v>0.37</v>
          </cell>
          <cell r="AG73">
            <v>0.37</v>
          </cell>
          <cell r="AH73">
            <v>0.37</v>
          </cell>
          <cell r="AI73">
            <v>0.37</v>
          </cell>
          <cell r="AJ73">
            <v>0.37</v>
          </cell>
          <cell r="AK73">
            <v>0.37</v>
          </cell>
          <cell r="AL73">
            <v>0.37000000000000005</v>
          </cell>
          <cell r="AN73" t="str">
            <v>Tax Rate</v>
          </cell>
          <cell r="AO73">
            <v>0.30655992636034635</v>
          </cell>
          <cell r="AP73">
            <v>0.32220952871325365</v>
          </cell>
          <cell r="AQ73">
            <v>0.28537438768369477</v>
          </cell>
          <cell r="AR73">
            <v>1.4266644556836074</v>
          </cell>
          <cell r="AS73">
            <v>0.50448064169287754</v>
          </cell>
          <cell r="AU73">
            <v>0.24532451951351503</v>
          </cell>
          <cell r="AV73">
            <v>0.31634185759102562</v>
          </cell>
          <cell r="AW73">
            <v>0.23748624862486259</v>
          </cell>
          <cell r="AX73">
            <v>0.34189261006299915</v>
          </cell>
          <cell r="AY73">
            <v>0.32777388961936449</v>
          </cell>
          <cell r="BA73">
            <v>0.48589832869080435</v>
          </cell>
          <cell r="BB73">
            <v>0.29761110369678312</v>
          </cell>
          <cell r="BC73">
            <v>0.43131358602683062</v>
          </cell>
          <cell r="BD73">
            <v>0.40273902542974843</v>
          </cell>
          <cell r="BE73">
            <v>0.42800001724085901</v>
          </cell>
          <cell r="BG73">
            <v>0.45283542197231325</v>
          </cell>
          <cell r="BH73">
            <v>0.51064065004698544</v>
          </cell>
          <cell r="BI73">
            <v>0.4521304451321117</v>
          </cell>
          <cell r="BJ73">
            <v>0.40911280691456015</v>
          </cell>
          <cell r="BK73">
            <v>0.42619228886834615</v>
          </cell>
          <cell r="BM73">
            <v>0.44509884962457674</v>
          </cell>
          <cell r="BN73">
            <v>0.63260933086589088</v>
          </cell>
          <cell r="BO73">
            <v>0.43393841911764702</v>
          </cell>
          <cell r="BP73">
            <v>0.4075239013559816</v>
          </cell>
          <cell r="BQ73">
            <v>0.42286578665581953</v>
          </cell>
          <cell r="BS73">
            <v>0.29756541524459623</v>
          </cell>
          <cell r="BT73">
            <v>0.3342634196535757</v>
          </cell>
          <cell r="BU73">
            <v>0.32588900578642815</v>
          </cell>
          <cell r="BV73">
            <v>0.40580022039281777</v>
          </cell>
          <cell r="BW73">
            <v>0.60127905086949907</v>
          </cell>
          <cell r="BY73">
            <v>0.34293586019274108</v>
          </cell>
          <cell r="BZ73">
            <v>0.33897187616854652</v>
          </cell>
          <cell r="CA73">
            <v>0.49055374592834178</v>
          </cell>
          <cell r="CB73">
            <v>0</v>
          </cell>
          <cell r="CC73">
            <v>-0.83299751096360775</v>
          </cell>
          <cell r="CD73">
            <v>0.44173485688386088</v>
          </cell>
          <cell r="CE73">
            <v>0.41058345359620158</v>
          </cell>
          <cell r="CF73">
            <v>0.51102235320759359</v>
          </cell>
          <cell r="CG73">
            <v>0.47207543951378311</v>
          </cell>
          <cell r="CH73">
            <v>0.63186995905199972</v>
          </cell>
          <cell r="CJ73">
            <v>0.33461416991262155</v>
          </cell>
          <cell r="CK73">
            <v>0.31778725539387892</v>
          </cell>
          <cell r="CL73">
            <v>0.43474733269326737</v>
          </cell>
          <cell r="CM73">
            <v>0.3772043733216186</v>
          </cell>
          <cell r="CN73">
            <v>0.39770714314838579</v>
          </cell>
          <cell r="CP73">
            <v>0.44923654510907951</v>
          </cell>
          <cell r="CQ73">
            <v>0.41055267902341852</v>
          </cell>
          <cell r="CR73">
            <v>0.40304288318577025</v>
          </cell>
          <cell r="CS73">
            <v>0.394370270015513</v>
          </cell>
          <cell r="CT73">
            <v>0.40036627743167497</v>
          </cell>
          <cell r="CV73">
            <v>0.42082692307692304</v>
          </cell>
          <cell r="CW73">
            <v>0.44559585492227977</v>
          </cell>
          <cell r="CX73">
            <v>0.40540540540540543</v>
          </cell>
          <cell r="CY73">
            <v>0.40088105726872247</v>
          </cell>
          <cell r="CZ73">
            <v>0.41080481513327599</v>
          </cell>
          <cell r="DB73">
            <v>0.42</v>
          </cell>
          <cell r="DC73">
            <v>0.41201716738197425</v>
          </cell>
          <cell r="DD73">
            <v>0.41706161137440756</v>
          </cell>
          <cell r="DE73">
            <v>0.40425531914893614</v>
          </cell>
          <cell r="DF73">
            <v>0.40936106983655274</v>
          </cell>
          <cell r="DH73">
            <v>0.41</v>
          </cell>
          <cell r="DI73">
            <v>0.40123456790123457</v>
          </cell>
          <cell r="DJ73">
            <v>0.41081081081081083</v>
          </cell>
          <cell r="DK73">
            <v>0.39485627836611198</v>
          </cell>
          <cell r="DL73">
            <v>0.40072992700729926</v>
          </cell>
          <cell r="DN73">
            <v>0.42</v>
          </cell>
          <cell r="DO73">
            <v>0.40740740740740738</v>
          </cell>
          <cell r="DP73">
            <v>0.43478260869565216</v>
          </cell>
          <cell r="DQ73">
            <v>0.37875751503006011</v>
          </cell>
          <cell r="DR73">
            <v>0.3923076923076923</v>
          </cell>
          <cell r="DT73">
            <v>0.39455782312925169</v>
          </cell>
          <cell r="DU73">
            <v>0.40090090090090091</v>
          </cell>
          <cell r="DV73">
            <v>0.34782608695652173</v>
          </cell>
          <cell r="DW73">
            <v>0.3953900709219858</v>
          </cell>
          <cell r="DX73">
            <v>0.39122137404580154</v>
          </cell>
          <cell r="DZ73">
            <v>0.39473684210526316</v>
          </cell>
          <cell r="EA73">
            <v>0.39698492462311558</v>
          </cell>
          <cell r="EB73">
            <v>0.4017857142857143</v>
          </cell>
          <cell r="EC73">
            <v>0.39454806312769009</v>
          </cell>
          <cell r="ED73">
            <v>0.39575645756457567</v>
          </cell>
          <cell r="EF73">
            <v>0.38216560509554143</v>
          </cell>
          <cell r="EG73">
            <v>0.38095238095238093</v>
          </cell>
          <cell r="EH73">
            <v>0.38333333333333336</v>
          </cell>
          <cell r="EI73">
            <v>0.38288920056100983</v>
          </cell>
          <cell r="EJ73">
            <v>0.38261648745519711</v>
          </cell>
          <cell r="EK73" t="str">
            <v>Tax Rate</v>
          </cell>
          <cell r="EL73">
            <v>0.377</v>
          </cell>
          <cell r="EM73">
            <v>0.37552742616033757</v>
          </cell>
          <cell r="EN73">
            <v>0.37410071942446044</v>
          </cell>
          <cell r="EO73">
            <v>0.37394564198687907</v>
          </cell>
          <cell r="EP73">
            <v>0.37446604203916711</v>
          </cell>
          <cell r="ER73">
            <v>0.3728813559322034</v>
          </cell>
          <cell r="ES73">
            <v>0.375</v>
          </cell>
          <cell r="ET73">
            <v>0.33333333333333331</v>
          </cell>
          <cell r="EU73">
            <v>0.37251512532411407</v>
          </cell>
          <cell r="EV73">
            <v>0.37218181818181817</v>
          </cell>
          <cell r="EX73">
            <v>0.37349397590361444</v>
          </cell>
          <cell r="EY73">
            <v>0.34513274336283184</v>
          </cell>
          <cell r="EZ73">
            <v>0.13157894736842105</v>
          </cell>
          <cell r="FA73">
            <v>0.38121546961325969</v>
          </cell>
          <cell r="FB73">
            <v>0.375</v>
          </cell>
          <cell r="FD73">
            <v>0.44339622641509435</v>
          </cell>
          <cell r="FE73">
            <v>0.39669421487603307</v>
          </cell>
          <cell r="FF73">
            <v>0.41333333333333333</v>
          </cell>
          <cell r="FG73">
            <v>-0.20833333333333334</v>
          </cell>
          <cell r="FH73">
            <v>-0.30405405405405406</v>
          </cell>
          <cell r="FJ73">
            <v>0.65490196078431373</v>
          </cell>
          <cell r="FK73">
            <v>0.93577981651376152</v>
          </cell>
          <cell r="FL73">
            <v>0.57317073170731703</v>
          </cell>
          <cell r="FM73">
            <v>0.39455782312925169</v>
          </cell>
          <cell r="FN73">
            <v>0.35108481262327418</v>
          </cell>
          <cell r="FP73">
            <v>0.43902439024390244</v>
          </cell>
          <cell r="FQ73">
            <v>0.38750000000000001</v>
          </cell>
          <cell r="FR73">
            <v>0.23076923076923078</v>
          </cell>
          <cell r="FS73">
            <v>0.34990253411306044</v>
          </cell>
          <cell r="FT73">
            <v>0.35833333333333334</v>
          </cell>
          <cell r="FV73">
            <v>0.38785046728971961</v>
          </cell>
          <cell r="FW73">
            <v>0.38987341772151901</v>
          </cell>
          <cell r="FX73">
            <v>0.24043715846994534</v>
          </cell>
          <cell r="FY73">
            <v>0.36649659863945577</v>
          </cell>
          <cell r="FZ73">
            <v>0.36178861788617889</v>
          </cell>
          <cell r="GB73">
            <v>0.35125448028673834</v>
          </cell>
          <cell r="GC73">
            <v>0.37861915367483295</v>
          </cell>
          <cell r="GD73">
            <v>0.36999999999999994</v>
          </cell>
          <cell r="GE73">
            <v>0.37</v>
          </cell>
          <cell r="GF73">
            <v>0.36939105039562631</v>
          </cell>
        </row>
        <row r="74">
          <cell r="A74" t="str">
            <v>Effective Tax rate</v>
          </cell>
          <cell r="N74">
            <v>0.62871287128712872</v>
          </cell>
          <cell r="O74">
            <v>0.3968253968253968</v>
          </cell>
          <cell r="P74">
            <v>0.39979123173277664</v>
          </cell>
          <cell r="Q74">
            <v>0.411006018916595</v>
          </cell>
          <cell r="R74">
            <v>0.40476190476190477</v>
          </cell>
          <cell r="S74">
            <v>0.40072992700729926</v>
          </cell>
          <cell r="T74">
            <v>0.3923076923076923</v>
          </cell>
          <cell r="U74">
            <v>0.39122137404580154</v>
          </cell>
          <cell r="V74">
            <v>0.39575645756457567</v>
          </cell>
          <cell r="W74">
            <v>0.38261648745519711</v>
          </cell>
          <cell r="X74">
            <v>0.37446604203916711</v>
          </cell>
          <cell r="Y74">
            <v>0.37218181818181817</v>
          </cell>
          <cell r="Z74">
            <v>0.37045454545454548</v>
          </cell>
          <cell r="AA74">
            <v>-0.30405405405405406</v>
          </cell>
          <cell r="AB74">
            <v>0.35108481262327418</v>
          </cell>
          <cell r="AC74">
            <v>0.35833333333333334</v>
          </cell>
          <cell r="AD74">
            <v>0.36178861788617889</v>
          </cell>
          <cell r="AE74">
            <v>0.36939105039562631</v>
          </cell>
          <cell r="AF74">
            <v>0.37</v>
          </cell>
          <cell r="AG74">
            <v>0.37</v>
          </cell>
          <cell r="AH74">
            <v>0.37</v>
          </cell>
          <cell r="AI74">
            <v>0.37</v>
          </cell>
          <cell r="AJ74">
            <v>0.37</v>
          </cell>
          <cell r="AK74">
            <v>0.37</v>
          </cell>
          <cell r="AL74">
            <v>0.37000000000000005</v>
          </cell>
          <cell r="AN74" t="str">
            <v>Effective Tax rate</v>
          </cell>
          <cell r="EF74">
            <v>0.38216560509554143</v>
          </cell>
          <cell r="EG74">
            <v>0.38095238095238093</v>
          </cell>
          <cell r="EH74">
            <v>0.38333333333333336</v>
          </cell>
          <cell r="EI74">
            <v>0.38288920056100983</v>
          </cell>
          <cell r="EK74" t="str">
            <v>Effective Tax rate</v>
          </cell>
          <cell r="EL74">
            <v>0.377</v>
          </cell>
          <cell r="EM74">
            <v>0.37552742616033757</v>
          </cell>
          <cell r="EN74">
            <v>0.37410071942446044</v>
          </cell>
          <cell r="EO74">
            <v>0.37394564198687907</v>
          </cell>
          <cell r="EP74">
            <v>0.37446604203916711</v>
          </cell>
          <cell r="ER74">
            <v>0.3728813559322034</v>
          </cell>
          <cell r="ES74">
            <v>0.375</v>
          </cell>
          <cell r="ET74">
            <v>0.33333333333333331</v>
          </cell>
          <cell r="EU74">
            <v>0.37251512532411407</v>
          </cell>
          <cell r="EV74">
            <v>0.37218181818181817</v>
          </cell>
          <cell r="EX74">
            <v>0.37815126050420167</v>
          </cell>
          <cell r="EY74">
            <v>0.3619047619047619</v>
          </cell>
          <cell r="EZ74">
            <v>0.4</v>
          </cell>
          <cell r="FA74">
            <v>0.375</v>
          </cell>
          <cell r="FB74">
            <v>0.37483263750443169</v>
          </cell>
          <cell r="FD74">
            <v>0.37</v>
          </cell>
          <cell r="FE74">
            <v>0.37</v>
          </cell>
          <cell r="FF74">
            <v>0.37</v>
          </cell>
          <cell r="FG74">
            <v>0.37</v>
          </cell>
          <cell r="FH74">
            <v>0.37</v>
          </cell>
          <cell r="FJ74">
            <v>0.37</v>
          </cell>
          <cell r="FK74">
            <v>0.37</v>
          </cell>
          <cell r="FL74">
            <v>0.37</v>
          </cell>
          <cell r="FM74">
            <v>0.37</v>
          </cell>
          <cell r="FN74">
            <v>0.37</v>
          </cell>
          <cell r="FP74">
            <v>0.37</v>
          </cell>
          <cell r="FQ74">
            <v>0.37</v>
          </cell>
          <cell r="FR74">
            <v>0.37</v>
          </cell>
          <cell r="FS74">
            <v>0.37</v>
          </cell>
          <cell r="FT74">
            <v>0.37</v>
          </cell>
          <cell r="FV74">
            <v>0.37</v>
          </cell>
          <cell r="FW74">
            <v>0.37</v>
          </cell>
          <cell r="FX74">
            <v>0.37</v>
          </cell>
          <cell r="FY74">
            <v>0.38</v>
          </cell>
          <cell r="FZ74">
            <v>0.38</v>
          </cell>
          <cell r="GB74">
            <v>0.37</v>
          </cell>
          <cell r="GC74">
            <v>0.37</v>
          </cell>
          <cell r="GD74">
            <v>0.37</v>
          </cell>
          <cell r="GE74">
            <v>0.37</v>
          </cell>
          <cell r="GF74">
            <v>0.37</v>
          </cell>
        </row>
        <row r="75">
          <cell r="A75" t="str">
            <v>Statutory Tax Rate</v>
          </cell>
          <cell r="N75">
            <v>0.35</v>
          </cell>
          <cell r="O75">
            <v>0.35</v>
          </cell>
          <cell r="P75">
            <v>0.35</v>
          </cell>
          <cell r="Q75">
            <v>0.35</v>
          </cell>
          <cell r="R75">
            <v>0.35</v>
          </cell>
          <cell r="S75">
            <v>0.35</v>
          </cell>
          <cell r="T75">
            <v>0.35</v>
          </cell>
          <cell r="U75">
            <v>0.35</v>
          </cell>
          <cell r="V75">
            <v>0.35</v>
          </cell>
          <cell r="W75">
            <v>0.35</v>
          </cell>
          <cell r="X75">
            <v>0.35</v>
          </cell>
          <cell r="Y75">
            <v>0.35</v>
          </cell>
          <cell r="Z75">
            <v>0.35</v>
          </cell>
          <cell r="AA75">
            <v>0.35</v>
          </cell>
          <cell r="AB75">
            <v>0.35</v>
          </cell>
          <cell r="AC75">
            <v>0.35</v>
          </cell>
          <cell r="AD75">
            <v>0.35</v>
          </cell>
          <cell r="AE75">
            <v>0.35</v>
          </cell>
          <cell r="AF75">
            <v>0.35</v>
          </cell>
          <cell r="AG75">
            <v>0.35</v>
          </cell>
          <cell r="AH75">
            <v>0.35</v>
          </cell>
          <cell r="AI75">
            <v>0.35</v>
          </cell>
          <cell r="AJ75">
            <v>0.35</v>
          </cell>
          <cell r="AK75">
            <v>0.35</v>
          </cell>
          <cell r="AL75">
            <v>0.35</v>
          </cell>
          <cell r="AN75" t="str">
            <v>Statutory Tax Rate</v>
          </cell>
          <cell r="DH75">
            <v>0.35</v>
          </cell>
          <cell r="DI75">
            <v>0.35</v>
          </cell>
          <cell r="DJ75">
            <v>0.35</v>
          </cell>
          <cell r="DK75">
            <v>0.35</v>
          </cell>
          <cell r="DL75">
            <v>0.35</v>
          </cell>
          <cell r="DN75">
            <v>0.35</v>
          </cell>
          <cell r="DO75">
            <v>0.35</v>
          </cell>
          <cell r="DP75">
            <v>0.35</v>
          </cell>
          <cell r="DQ75">
            <v>0.35</v>
          </cell>
          <cell r="DR75">
            <v>0.35</v>
          </cell>
          <cell r="DT75">
            <v>0.35</v>
          </cell>
          <cell r="DU75">
            <v>0.35</v>
          </cell>
          <cell r="DV75">
            <v>0.35</v>
          </cell>
          <cell r="DW75">
            <v>0.35</v>
          </cell>
          <cell r="DX75">
            <v>0.35</v>
          </cell>
          <cell r="DZ75">
            <v>0.35</v>
          </cell>
          <cell r="EA75">
            <v>0.35</v>
          </cell>
          <cell r="EB75">
            <v>0.35</v>
          </cell>
          <cell r="EC75">
            <v>0.35</v>
          </cell>
          <cell r="ED75">
            <v>0.35</v>
          </cell>
          <cell r="EF75">
            <v>0.35</v>
          </cell>
          <cell r="EG75">
            <v>0.35</v>
          </cell>
          <cell r="EH75">
            <v>0.35</v>
          </cell>
          <cell r="EI75">
            <v>0.35</v>
          </cell>
          <cell r="EJ75">
            <v>0.35</v>
          </cell>
          <cell r="EK75" t="str">
            <v>Statutory Tax Rate</v>
          </cell>
          <cell r="EL75">
            <v>0.35</v>
          </cell>
          <cell r="EM75">
            <v>0.35</v>
          </cell>
          <cell r="EN75">
            <v>0.35</v>
          </cell>
          <cell r="EO75">
            <v>0.35</v>
          </cell>
          <cell r="EP75">
            <v>0.35</v>
          </cell>
          <cell r="ER75">
            <v>0.35</v>
          </cell>
          <cell r="ES75">
            <v>0.35</v>
          </cell>
          <cell r="ET75">
            <v>0.35</v>
          </cell>
          <cell r="EU75">
            <v>0.35</v>
          </cell>
          <cell r="EV75">
            <v>0.35</v>
          </cell>
          <cell r="EX75">
            <v>0.35</v>
          </cell>
          <cell r="EY75">
            <v>0.35</v>
          </cell>
          <cell r="EZ75">
            <v>0.35</v>
          </cell>
          <cell r="FA75">
            <v>0.35</v>
          </cell>
          <cell r="FB75">
            <v>0.35</v>
          </cell>
          <cell r="FD75">
            <v>0.35</v>
          </cell>
          <cell r="FE75">
            <v>0.35</v>
          </cell>
          <cell r="FF75">
            <v>0.35</v>
          </cell>
          <cell r="FG75">
            <v>0.35</v>
          </cell>
          <cell r="FH75">
            <v>0.35</v>
          </cell>
          <cell r="FJ75">
            <v>0.35</v>
          </cell>
          <cell r="FK75">
            <v>0.35</v>
          </cell>
          <cell r="FL75">
            <v>0.35</v>
          </cell>
          <cell r="FM75">
            <v>0.35</v>
          </cell>
          <cell r="FN75">
            <v>0.35</v>
          </cell>
          <cell r="FP75">
            <v>0.35</v>
          </cell>
          <cell r="FQ75">
            <v>0.35</v>
          </cell>
          <cell r="FR75">
            <v>0.35</v>
          </cell>
          <cell r="FS75">
            <v>0.35</v>
          </cell>
          <cell r="FT75">
            <v>0.35</v>
          </cell>
          <cell r="FV75">
            <v>0.35</v>
          </cell>
          <cell r="FW75">
            <v>0.35</v>
          </cell>
          <cell r="FX75">
            <v>0.35</v>
          </cell>
          <cell r="FY75">
            <v>0.35</v>
          </cell>
          <cell r="FZ75">
            <v>0.35</v>
          </cell>
          <cell r="GB75">
            <v>0.35</v>
          </cell>
          <cell r="GC75">
            <v>0.35</v>
          </cell>
          <cell r="GD75">
            <v>0.35</v>
          </cell>
          <cell r="GE75">
            <v>0.35</v>
          </cell>
          <cell r="GF75">
            <v>0.35</v>
          </cell>
        </row>
        <row r="76">
          <cell r="A76" t="str">
            <v>Net Income, Reported</v>
          </cell>
          <cell r="K76">
            <v>2.6858336678465423E-3</v>
          </cell>
          <cell r="L76">
            <v>1.064370896655909E-2</v>
          </cell>
          <cell r="N76">
            <v>5.1320651430135488E-3</v>
          </cell>
          <cell r="O76">
            <v>1.7932987258140631E-2</v>
          </cell>
          <cell r="P76">
            <v>3.521681997371879E-2</v>
          </cell>
          <cell r="Q76">
            <v>4.3084933289944678E-2</v>
          </cell>
          <cell r="R76">
            <v>4.959760434212989E-2</v>
          </cell>
          <cell r="S76">
            <v>-1.1059021517009255E-2</v>
          </cell>
          <cell r="T76">
            <v>-1.7484954070319924E-2</v>
          </cell>
          <cell r="U76">
            <v>5.2533555969430351E-2</v>
          </cell>
          <cell r="V76">
            <v>4.4964962366986765E-2</v>
          </cell>
          <cell r="W76">
            <v>4.3673935091277892E-2</v>
          </cell>
          <cell r="X76">
            <v>6.2822305050109079E-2</v>
          </cell>
          <cell r="Y76">
            <v>3.6888209121245831E-2</v>
          </cell>
          <cell r="Z76">
            <v>3.3937597385322843E-2</v>
          </cell>
          <cell r="AA76">
            <v>-0.19295355937650652</v>
          </cell>
          <cell r="AB76">
            <v>1.3768570830717723E-2</v>
          </cell>
          <cell r="AC76">
            <v>3.2220133583969926E-2</v>
          </cell>
          <cell r="AD76">
            <v>4.7566748721832988E-2</v>
          </cell>
          <cell r="AE76">
            <v>5.0847790666976311E-2</v>
          </cell>
          <cell r="AF76">
            <v>5.1982465405594071E-2</v>
          </cell>
          <cell r="AG76">
            <v>5.6002544154840128E-2</v>
          </cell>
          <cell r="AH76">
            <v>5.6194069130642586E-2</v>
          </cell>
          <cell r="AI76">
            <v>5.707328154048523E-2</v>
          </cell>
          <cell r="AJ76">
            <v>5.867706740276709E-2</v>
          </cell>
          <cell r="AK76">
            <v>5.9868365887541859E-2</v>
          </cell>
          <cell r="AL76">
            <v>6.0696273676362836E-2</v>
          </cell>
          <cell r="AN76" t="str">
            <v>Net Income, Reported</v>
          </cell>
          <cell r="AO76">
            <v>-6.2522792148183473E-2</v>
          </cell>
          <cell r="AP76">
            <v>-8.2829299753816629E-2</v>
          </cell>
          <cell r="AQ76">
            <v>-4.9114849713720231E-2</v>
          </cell>
          <cell r="AR76">
            <v>1.8227995168483186E-2</v>
          </cell>
          <cell r="AS76">
            <v>-3.8007091307834251E-2</v>
          </cell>
          <cell r="AU76">
            <v>-4.0266245099374307E-2</v>
          </cell>
          <cell r="AV76">
            <v>-9.6158230391183569E-2</v>
          </cell>
          <cell r="AW76">
            <v>-3.5692529877389009E-2</v>
          </cell>
          <cell r="AX76">
            <v>-0.45779052224190087</v>
          </cell>
          <cell r="AY76">
            <v>-0.17974176910106457</v>
          </cell>
          <cell r="BA76">
            <v>7.5153048304858238E-3</v>
          </cell>
          <cell r="BB76">
            <v>-1.083507410040546E-2</v>
          </cell>
          <cell r="BC76">
            <v>1.765378305332967E-2</v>
          </cell>
          <cell r="BD76">
            <v>4.6463852508224907E-2</v>
          </cell>
          <cell r="BE76">
            <v>1.8744223998476833E-2</v>
          </cell>
          <cell r="BG76">
            <v>1.3645575972215886E-2</v>
          </cell>
          <cell r="BH76">
            <v>5.8930111935926888E-3</v>
          </cell>
          <cell r="BI76">
            <v>1.9294534500632898E-2</v>
          </cell>
          <cell r="BJ76">
            <v>6.2174766479350253E-2</v>
          </cell>
          <cell r="BK76">
            <v>2.9191194961245663E-2</v>
          </cell>
          <cell r="BM76">
            <v>1.9485604708668485E-2</v>
          </cell>
          <cell r="BN76">
            <v>2.3632604473402918E-3</v>
          </cell>
          <cell r="BO76">
            <v>2.3013673889135992E-2</v>
          </cell>
          <cell r="BP76">
            <v>6.5792286249943224E-2</v>
          </cell>
          <cell r="BQ76">
            <v>3.2027730994201996E-2</v>
          </cell>
          <cell r="BS76">
            <v>-1.2609394145677338E-2</v>
          </cell>
          <cell r="BT76">
            <v>-1.9867834720895313E-2</v>
          </cell>
          <cell r="BU76">
            <v>-1.5289446996361027E-2</v>
          </cell>
          <cell r="BV76">
            <v>4.09219437066137E-2</v>
          </cell>
          <cell r="BW76">
            <v>2.6858336678465379E-3</v>
          </cell>
          <cell r="BY76">
            <v>-1.9075932243777384E-2</v>
          </cell>
          <cell r="BZ76">
            <v>-2.2046275024614342E-2</v>
          </cell>
          <cell r="CA76">
            <v>6.568416404481899E-3</v>
          </cell>
          <cell r="CB76">
            <v>-0.16441176470588287</v>
          </cell>
          <cell r="CC76">
            <v>-1.2377383336592569E-2</v>
          </cell>
          <cell r="CD76">
            <v>5.4275623717464055E-2</v>
          </cell>
          <cell r="CE76">
            <v>4.6467169366939447E-2</v>
          </cell>
          <cell r="CF76">
            <v>1.0643708966559084E-2</v>
          </cell>
          <cell r="CG76">
            <v>9.7288852363702893E-3</v>
          </cell>
          <cell r="CH76">
            <v>4.9287511079372367E-3</v>
          </cell>
          <cell r="CJ76">
            <v>-1.1489381040385417E-2</v>
          </cell>
          <cell r="CK76">
            <v>-8.2798758186094137E-3</v>
          </cell>
          <cell r="CL76">
            <v>1.1581957847115281E-2</v>
          </cell>
          <cell r="CM76">
            <v>5.7438810810338373E-2</v>
          </cell>
          <cell r="CN76">
            <v>1.7459216388905543E-2</v>
          </cell>
          <cell r="CP76">
            <v>7.0573064784718795E-3</v>
          </cell>
          <cell r="CQ76">
            <v>1.9221919185688125E-2</v>
          </cell>
          <cell r="CR76">
            <v>2.8058263726431273E-2</v>
          </cell>
          <cell r="CS76">
            <v>7.4915278622071119E-2</v>
          </cell>
          <cell r="CT76">
            <v>3.6674212257197879E-2</v>
          </cell>
          <cell r="CV76">
            <v>1.7942806076854334E-2</v>
          </cell>
          <cell r="CW76">
            <v>3.1231757151196731E-2</v>
          </cell>
          <cell r="CX76">
            <v>3.1003382187147689E-2</v>
          </cell>
          <cell r="CY76">
            <v>8.1048867699642438E-2</v>
          </cell>
          <cell r="CZ76">
            <v>4.4597071265863979E-2</v>
          </cell>
          <cell r="DB76">
            <v>2.4166666666666666E-2</v>
          </cell>
          <cell r="DC76">
            <v>3.4198701947079378E-2</v>
          </cell>
          <cell r="DD76">
            <v>2.9731689630166789E-2</v>
          </cell>
          <cell r="DE76">
            <v>7.5004185501423071E-2</v>
          </cell>
          <cell r="DF76">
            <v>4.4874689546172949E-2</v>
          </cell>
          <cell r="DH76">
            <v>2.4909040022390149E-2</v>
          </cell>
          <cell r="DI76">
            <v>1.7124218537646098E-2</v>
          </cell>
          <cell r="DJ76">
            <v>-0.17662612374405076</v>
          </cell>
          <cell r="DK76">
            <v>5.9243397573162028E-2</v>
          </cell>
          <cell r="DL76">
            <v>-1.1059021517009255E-2</v>
          </cell>
          <cell r="DN76">
            <v>1.6310461192350956E-2</v>
          </cell>
          <cell r="DO76">
            <v>3.153669724770642E-2</v>
          </cell>
          <cell r="DP76">
            <v>8.6330935251798565E-4</v>
          </cell>
          <cell r="DQ76">
            <v>-8.7100545596258766E-2</v>
          </cell>
          <cell r="DR76">
            <v>-1.7484954070319924E-2</v>
          </cell>
          <cell r="DT76">
            <v>2.5774688676513176E-2</v>
          </cell>
          <cell r="DU76">
            <v>8.0895008605851984E-2</v>
          </cell>
          <cell r="DV76">
            <v>3.046852543834435E-2</v>
          </cell>
          <cell r="DW76">
            <v>6.796890572055013E-2</v>
          </cell>
          <cell r="DX76">
            <v>5.2533555969430351E-2</v>
          </cell>
          <cell r="DZ76">
            <v>1.3977514433302947E-2</v>
          </cell>
          <cell r="EA76">
            <v>3.4944670937682006E-2</v>
          </cell>
          <cell r="EB76">
            <v>1.9219736087205966E-2</v>
          </cell>
          <cell r="EC76">
            <v>9.1035028695824263E-2</v>
          </cell>
          <cell r="ED76">
            <v>4.4964962366986765E-2</v>
          </cell>
          <cell r="EF76">
            <v>2.7323943661971831E-2</v>
          </cell>
          <cell r="EG76">
            <v>2.1781625244345154E-2</v>
          </cell>
          <cell r="EH76">
            <v>2.099290780141844E-2</v>
          </cell>
          <cell r="EI76">
            <v>8.59375E-2</v>
          </cell>
          <cell r="EJ76">
            <v>4.3673935091277892E-2</v>
          </cell>
          <cell r="EK76" t="str">
            <v>Net Income, Reported</v>
          </cell>
          <cell r="EL76">
            <v>3.3879154078549849E-2</v>
          </cell>
          <cell r="EM76">
            <v>4.0850124206458734E-2</v>
          </cell>
          <cell r="EN76">
            <v>7.8530586871636804E-2</v>
          </cell>
          <cell r="EO76">
            <v>7.3033120886009828E-2</v>
          </cell>
          <cell r="EP76">
            <v>6.2822305050109079E-2</v>
          </cell>
          <cell r="ER76">
            <v>-8.7689713322091061E-3</v>
          </cell>
          <cell r="ES76">
            <v>5.2856547122602168E-2</v>
          </cell>
          <cell r="ET76">
            <v>-5.0968399592252807E-4</v>
          </cell>
          <cell r="EU76">
            <v>8.0030571023037456E-2</v>
          </cell>
          <cell r="EV76">
            <v>3.6888209121245831E-2</v>
          </cell>
          <cell r="EX76">
            <v>6.0800540449248439E-3</v>
          </cell>
          <cell r="EY76">
            <v>1.2559402579769178E-2</v>
          </cell>
          <cell r="EZ76">
            <v>5.5875380968506607E-3</v>
          </cell>
          <cell r="FA76">
            <v>8.7270188503607168E-2</v>
          </cell>
          <cell r="FB76">
            <v>3.3937597385322843E-2</v>
          </cell>
          <cell r="FD76">
            <v>-1.0266225856968854E-2</v>
          </cell>
          <cell r="FE76">
            <v>1.2766701643931445E-2</v>
          </cell>
          <cell r="FF76">
            <v>-8.0101947933733843E-3</v>
          </cell>
          <cell r="FG76">
            <v>-0.60158810184018152</v>
          </cell>
          <cell r="FH76">
            <v>-0.19295355937650652</v>
          </cell>
          <cell r="FJ76">
            <v>-1.6641452344931921E-2</v>
          </cell>
          <cell r="FK76">
            <v>1.3245033112582781E-3</v>
          </cell>
          <cell r="FL76">
            <v>-6.4995357474466105E-3</v>
          </cell>
          <cell r="FM76">
            <v>5.6066523875519719E-2</v>
          </cell>
          <cell r="FN76">
            <v>1.3768570830717723E-2</v>
          </cell>
          <cell r="FP76">
            <v>4.1263006817366344E-3</v>
          </cell>
          <cell r="FQ76">
            <v>2.6548672566371681E-2</v>
          </cell>
          <cell r="FR76">
            <v>1.7784101013693758E-3</v>
          </cell>
          <cell r="FS76">
            <v>8.0662716168823312E-2</v>
          </cell>
          <cell r="FT76">
            <v>3.3875934887813465E-2</v>
          </cell>
          <cell r="FV76">
            <v>2.2244863304465953E-2</v>
          </cell>
          <cell r="FW76">
            <v>4.0579222091261156E-2</v>
          </cell>
          <cell r="FX76">
            <v>2.3748505040150351E-2</v>
          </cell>
          <cell r="FY76">
            <v>8.5396607060981206E-2</v>
          </cell>
          <cell r="FZ76">
            <v>4.7566748721832988E-2</v>
          </cell>
          <cell r="GB76">
            <v>2.9464431059742797E-2</v>
          </cell>
          <cell r="GC76">
            <v>4.5603138280483818E-2</v>
          </cell>
          <cell r="GD76">
            <v>1.8128225220217339E-2</v>
          </cell>
          <cell r="GE76">
            <v>8.9498062186548211E-2</v>
          </cell>
          <cell r="GF76">
            <v>5.0847790666976311E-2</v>
          </cell>
        </row>
        <row r="78">
          <cell r="A78" t="str">
            <v>% Change</v>
          </cell>
          <cell r="AN78" t="str">
            <v>% Change</v>
          </cell>
        </row>
        <row r="79">
          <cell r="A79" t="str">
            <v>Sales</v>
          </cell>
          <cell r="C79" t="str">
            <v>--</v>
          </cell>
          <cell r="D79" t="str">
            <v>--</v>
          </cell>
          <cell r="E79" t="str">
            <v>--</v>
          </cell>
          <cell r="F79">
            <v>-2.935599258637267E-2</v>
          </cell>
          <cell r="G79">
            <v>2.1294160701975429E-2</v>
          </cell>
          <cell r="H79">
            <v>2.1111051631644839E-2</v>
          </cell>
          <cell r="I79">
            <v>6.6128669492348191E-2</v>
          </cell>
          <cell r="K79" t="str">
            <v xml:space="preserve">--  </v>
          </cell>
          <cell r="L79">
            <v>2.164244790716352E-2</v>
          </cell>
          <cell r="N79" t="str">
            <v>NA</v>
          </cell>
          <cell r="O79">
            <v>1.4985630217599466E-2</v>
          </cell>
          <cell r="P79">
            <v>2.6090473943234604E-2</v>
          </cell>
          <cell r="Q79">
            <v>9.5269382391589552E-3</v>
          </cell>
          <cell r="R79">
            <v>4.3215099251545652E-2</v>
          </cell>
          <cell r="S79">
            <v>3.7993636533782515E-2</v>
          </cell>
          <cell r="T79">
            <v>-5.126818127178745E-2</v>
          </cell>
          <cell r="U79">
            <v>-1.3557174532784266E-2</v>
          </cell>
          <cell r="V79">
            <v>-1.0211290218996805E-2</v>
          </cell>
          <cell r="W79">
            <v>2.361796003114458E-2</v>
          </cell>
          <cell r="X79">
            <v>0.41924442190669375</v>
          </cell>
          <cell r="Y79">
            <v>0.20455560518088434</v>
          </cell>
          <cell r="Z79">
            <v>-2.4360400444938812E-2</v>
          </cell>
          <cell r="AA79">
            <v>-5.4003724394785846E-2</v>
          </cell>
          <cell r="AB79">
            <v>-4.0053029085650005E-2</v>
          </cell>
          <cell r="AC79">
            <v>4.6369533375183014E-2</v>
          </cell>
          <cell r="AD79">
            <v>5.60732712074552E-2</v>
          </cell>
          <cell r="AE79">
            <v>4.8961204520547419E-2</v>
          </cell>
          <cell r="AF79">
            <v>2.3867294306323394E-2</v>
          </cell>
          <cell r="AG79">
            <v>1.9271419022529823E-2</v>
          </cell>
          <cell r="AH79">
            <v>1.0360976857347159E-2</v>
          </cell>
          <cell r="AI79">
            <v>1.0000000000000009E-2</v>
          </cell>
          <cell r="AJ79">
            <v>1.0000000000000009E-2</v>
          </cell>
          <cell r="AK79">
            <v>1.0000000000000009E-2</v>
          </cell>
          <cell r="AL79">
            <v>1.0000000000000009E-2</v>
          </cell>
          <cell r="AN79" t="str">
            <v>Sales</v>
          </cell>
          <cell r="AU79">
            <v>1.86046804069262E-3</v>
          </cell>
          <cell r="AV79">
            <v>-1.9629781109162359E-2</v>
          </cell>
          <cell r="AW79">
            <v>-3.3058964187159479E-2</v>
          </cell>
          <cell r="AX79">
            <v>-5.5011636021012E-2</v>
          </cell>
          <cell r="AY79">
            <v>-2.935599258637267E-2</v>
          </cell>
          <cell r="BA79">
            <v>-1.3614121583839567E-2</v>
          </cell>
          <cell r="BB79">
            <v>-2.5760441466214368E-2</v>
          </cell>
          <cell r="BC79">
            <v>4.6851163408529795E-2</v>
          </cell>
          <cell r="BD79">
            <v>5.9869931498505169E-2</v>
          </cell>
          <cell r="BE79">
            <v>2.1294160701975429E-2</v>
          </cell>
          <cell r="BG79">
            <v>1.1791495464221979E-2</v>
          </cell>
          <cell r="BH79">
            <v>3.0933042000752087E-2</v>
          </cell>
          <cell r="BI79">
            <v>1.9564384993575601E-4</v>
          </cell>
          <cell r="BJ79">
            <v>3.7800425987538633E-2</v>
          </cell>
          <cell r="BK79">
            <v>2.1111051631644839E-2</v>
          </cell>
          <cell r="BM79">
            <v>3.9850112465956933E-2</v>
          </cell>
          <cell r="BN79">
            <v>6.2446082242552547E-2</v>
          </cell>
          <cell r="BO79">
            <v>7.6842814149548744E-2</v>
          </cell>
          <cell r="BP79">
            <v>7.8120367498969223E-2</v>
          </cell>
          <cell r="BQ79">
            <v>6.6128669492348191E-2</v>
          </cell>
          <cell r="BS79" t="str">
            <v xml:space="preserve"> --  </v>
          </cell>
          <cell r="BT79" t="str">
            <v xml:space="preserve"> --  </v>
          </cell>
          <cell r="BU79" t="str">
            <v xml:space="preserve"> --  </v>
          </cell>
          <cell r="BV79" t="str">
            <v xml:space="preserve"> --  </v>
          </cell>
          <cell r="BW79" t="str">
            <v xml:space="preserve"> --  </v>
          </cell>
          <cell r="BY79">
            <v>1.7020422055820328E-2</v>
          </cell>
          <cell r="BZ79">
            <v>3.9647877712569946E-2</v>
          </cell>
          <cell r="CA79">
            <v>-5.6887192030066203E-3</v>
          </cell>
          <cell r="CC79">
            <v>0.11804838036151044</v>
          </cell>
          <cell r="CD79">
            <v>3.3347469922546225E-2</v>
          </cell>
          <cell r="CE79">
            <v>0.1751746612798819</v>
          </cell>
          <cell r="CF79">
            <v>2.164244790716352E-2</v>
          </cell>
          <cell r="CG79">
            <v>6.8016932452651169E-2</v>
          </cell>
          <cell r="CH79">
            <v>9.8290990037587012E-2</v>
          </cell>
          <cell r="CJ79">
            <v>0.10464972292558983</v>
          </cell>
          <cell r="CK79">
            <v>7.7856252051197838E-2</v>
          </cell>
          <cell r="CL79">
            <v>-3.7141754186954423E-2</v>
          </cell>
          <cell r="CM79">
            <v>-4.3674523732644466E-2</v>
          </cell>
          <cell r="CN79">
            <v>1.2014698867654605E-2</v>
          </cell>
          <cell r="CP79">
            <v>3.2838791771442555E-2</v>
          </cell>
          <cell r="CQ79">
            <v>5.1336569811840205E-2</v>
          </cell>
          <cell r="CR79">
            <v>3.799456270565793E-2</v>
          </cell>
          <cell r="CS79">
            <v>4.9966653147852647E-3</v>
          </cell>
          <cell r="CT79">
            <v>2.8844771112862544E-2</v>
          </cell>
          <cell r="CZ79">
            <v>-1.9358307391376894E-2</v>
          </cell>
          <cell r="DF79">
            <v>4.3215099251545652E-2</v>
          </cell>
          <cell r="DH79">
            <v>-7.4999999999999512E-3</v>
          </cell>
          <cell r="DI79">
            <v>-8.1627558662006994E-2</v>
          </cell>
          <cell r="DJ79">
            <v>-8.5810974135847262E-2</v>
          </cell>
          <cell r="DK79">
            <v>-6.1778001004520355E-2</v>
          </cell>
          <cell r="DL79">
            <v>-6.0848950101603072E-2</v>
          </cell>
          <cell r="DN79">
            <v>-4.7579065211307281E-3</v>
          </cell>
          <cell r="DO79">
            <v>-5.191628159826045E-2</v>
          </cell>
          <cell r="DP79">
            <v>-8.1173982020095181E-2</v>
          </cell>
          <cell r="DQ79">
            <v>-8.4225553176302648E-2</v>
          </cell>
          <cell r="DR79">
            <v>-5.126818127178745E-2</v>
          </cell>
          <cell r="DT79">
            <v>-2.8965129358830111E-2</v>
          </cell>
          <cell r="DU79">
            <v>-5.7339449541282672E-4</v>
          </cell>
          <cell r="DV79">
            <v>1.1510791366906581E-3</v>
          </cell>
          <cell r="DW79">
            <v>-2.2408417770849565E-2</v>
          </cell>
          <cell r="DX79">
            <v>-1.3557174532784266E-2</v>
          </cell>
          <cell r="DZ79">
            <v>-4.6915725456125101E-2</v>
          </cell>
          <cell r="EA79">
            <v>-1.4916810097532984E-2</v>
          </cell>
          <cell r="EB79">
            <v>2.012072434607548E-3</v>
          </cell>
          <cell r="EC79">
            <v>7.1756029499701057E-3</v>
          </cell>
          <cell r="ED79">
            <v>-1.0211290218996805E-2</v>
          </cell>
          <cell r="EF79">
            <v>7.8699483439683915E-2</v>
          </cell>
          <cell r="EG79">
            <v>4.2807221898660375E-2</v>
          </cell>
          <cell r="EH79">
            <v>1.1187607573149849E-2</v>
          </cell>
          <cell r="EI79">
            <v>1.3259449831783066E-2</v>
          </cell>
          <cell r="EJ79">
            <v>2.361796003114458E-2</v>
          </cell>
          <cell r="EK79" t="str">
            <v>Sales</v>
          </cell>
          <cell r="EL79">
            <v>2.5633802816901419E-2</v>
          </cell>
          <cell r="EM79">
            <v>1.1728567439262871E-2</v>
          </cell>
          <cell r="EN79">
            <v>0.57588652482269498</v>
          </cell>
          <cell r="EO79">
            <v>0.86933593750000004</v>
          </cell>
          <cell r="EP79">
            <v>0.41924442190669375</v>
          </cell>
          <cell r="ER79">
            <v>0.62867344136226322</v>
          </cell>
          <cell r="ES79">
            <v>0.65470604471432514</v>
          </cell>
          <cell r="ET79">
            <v>5.9585958595859578E-2</v>
          </cell>
          <cell r="EU79">
            <v>-4.3046703583742518E-2</v>
          </cell>
          <cell r="EV79">
            <v>0.20455560518088434</v>
          </cell>
          <cell r="EX79">
            <v>-1.5177065767284503E-3</v>
          </cell>
          <cell r="EY79">
            <v>-1.7180984153461254E-2</v>
          </cell>
          <cell r="EZ79">
            <v>3.397893306150257E-3</v>
          </cell>
          <cell r="FA79">
            <v>-6.1687957200567745E-2</v>
          </cell>
          <cell r="FB79">
            <v>-2.4360400444938812E-2</v>
          </cell>
          <cell r="FD79">
            <v>-2.9386927883803371E-2</v>
          </cell>
          <cell r="FE79">
            <v>-2.9531568228105876E-2</v>
          </cell>
          <cell r="FF79">
            <v>-6.9928885878767333E-2</v>
          </cell>
          <cell r="FG79">
            <v>-7.6797765883174329E-2</v>
          </cell>
          <cell r="FH79">
            <v>-5.4003724394785846E-2</v>
          </cell>
          <cell r="FJ79">
            <v>-7.9867757090655966E-2</v>
          </cell>
          <cell r="FK79">
            <v>-7.5725778244141284E-2</v>
          </cell>
          <cell r="FL79">
            <v>-1.9661387220098359E-2</v>
          </cell>
          <cell r="FM79">
            <v>3.7811948575749987E-4</v>
          </cell>
          <cell r="FN79">
            <v>-4.0053029085650005E-2</v>
          </cell>
          <cell r="FP79">
            <v>5.4084720121028829E-2</v>
          </cell>
          <cell r="FQ79">
            <v>4.7682119205298079E-2</v>
          </cell>
          <cell r="FR79">
            <v>4.4196843082636939E-2</v>
          </cell>
          <cell r="FS79">
            <v>4.182940657679235E-2</v>
          </cell>
          <cell r="FT79">
            <v>4.6369533375183014E-2</v>
          </cell>
          <cell r="FV79">
            <v>5.6512378902045191E-2</v>
          </cell>
          <cell r="FW79">
            <v>7.2602492324363332E-2</v>
          </cell>
          <cell r="FX79">
            <v>4.0903432331495626E-2</v>
          </cell>
          <cell r="FY79">
            <v>5.5024791389527206E-2</v>
          </cell>
          <cell r="FZ79">
            <v>5.60732712074552E-2</v>
          </cell>
          <cell r="GB79">
            <v>4.313126167430803E-2</v>
          </cell>
          <cell r="GC79">
            <v>3.0139754167368249E-2</v>
          </cell>
          <cell r="GD79">
            <v>3.7021467099822347E-2</v>
          </cell>
          <cell r="GE79">
            <v>7.372007776590972E-2</v>
          </cell>
          <cell r="GF79">
            <v>4.8961204520547419E-2</v>
          </cell>
        </row>
        <row r="80">
          <cell r="A80" t="str">
            <v>Gross Profit</v>
          </cell>
          <cell r="C80" t="str">
            <v>--</v>
          </cell>
          <cell r="D80" t="str">
            <v>--</v>
          </cell>
          <cell r="E80" t="str">
            <v>--</v>
          </cell>
          <cell r="F80">
            <v>4.3771275428128309E-3</v>
          </cell>
          <cell r="G80">
            <v>3.6276141877347623E-2</v>
          </cell>
          <cell r="H80">
            <v>-3.2492537908579422E-4</v>
          </cell>
          <cell r="I80">
            <v>3.8822485147063324E-2</v>
          </cell>
          <cell r="K80" t="str">
            <v xml:space="preserve">--  </v>
          </cell>
          <cell r="L80">
            <v>2.4104472873397009E-2</v>
          </cell>
          <cell r="N80" t="str">
            <v>NA</v>
          </cell>
          <cell r="O80">
            <v>4.2862266857962794E-2</v>
          </cell>
          <cell r="P80">
            <v>3.5253654342218388E-2</v>
          </cell>
          <cell r="Q80">
            <v>2.109634551495021E-2</v>
          </cell>
          <cell r="R80">
            <v>4.9780380673499325E-2</v>
          </cell>
          <cell r="S80">
            <v>3.5642336897567128E-2</v>
          </cell>
          <cell r="T80">
            <v>-7.4966332485410736E-2</v>
          </cell>
          <cell r="U80">
            <v>1.0514396635393108E-2</v>
          </cell>
          <cell r="V80">
            <v>-1.6007683688170626E-3</v>
          </cell>
          <cell r="W80">
            <v>3.0944364277697645E-2</v>
          </cell>
          <cell r="X80">
            <v>0.418040435458787</v>
          </cell>
          <cell r="Y80">
            <v>0.2010309278350515</v>
          </cell>
          <cell r="Z80">
            <v>-2.8764496393023475E-2</v>
          </cell>
          <cell r="AA80">
            <v>-7.0797292215118435E-2</v>
          </cell>
          <cell r="AB80">
            <v>-2.6914904381260762E-2</v>
          </cell>
          <cell r="AC80">
            <v>5.843818238535925E-2</v>
          </cell>
          <cell r="AD80">
            <v>4.7941841045289424E-2</v>
          </cell>
          <cell r="AE80">
            <v>5.2283106976051208E-2</v>
          </cell>
          <cell r="AF80">
            <v>3.1446708308341842E-2</v>
          </cell>
          <cell r="AG80">
            <v>2.3016391982823015E-2</v>
          </cell>
          <cell r="AH80">
            <v>7.895213474916396E-3</v>
          </cell>
          <cell r="AI80">
            <v>5.0581747329294657E-3</v>
          </cell>
          <cell r="AJ80">
            <v>1.0000000000000009E-2</v>
          </cell>
          <cell r="AK80">
            <v>1.0000000000000231E-2</v>
          </cell>
          <cell r="AL80">
            <v>9.9999999999997868E-3</v>
          </cell>
          <cell r="AN80" t="str">
            <v>Gross Profit</v>
          </cell>
          <cell r="AU80">
            <v>6.5027775722650283E-3</v>
          </cell>
          <cell r="AV80">
            <v>3.7869418072755012E-2</v>
          </cell>
          <cell r="AW80">
            <v>-3.0220771411390679E-2</v>
          </cell>
          <cell r="AX80">
            <v>-2.6005050197239421E-2</v>
          </cell>
          <cell r="AY80">
            <v>-6.1546985500945395E-3</v>
          </cell>
          <cell r="BA80">
            <v>1.1670352425249941E-2</v>
          </cell>
          <cell r="BB80">
            <v>-1.4845097541082208E-2</v>
          </cell>
          <cell r="BC80">
            <v>7.1156503560925177E-2</v>
          </cell>
          <cell r="BD80">
            <v>0.10090327076774308</v>
          </cell>
          <cell r="BE80">
            <v>4.7257609611369489E-2</v>
          </cell>
          <cell r="BG80">
            <v>-6.9087592369292405E-3</v>
          </cell>
          <cell r="BH80">
            <v>2.1705715691430649E-2</v>
          </cell>
          <cell r="BI80">
            <v>-1.8726483357452972E-2</v>
          </cell>
          <cell r="BJ80">
            <v>4.8290496367902058E-3</v>
          </cell>
          <cell r="BK80">
            <v>-3.249253790856832E-4</v>
          </cell>
          <cell r="BM80">
            <v>1.2928263316267063E-2</v>
          </cell>
          <cell r="BN80">
            <v>3.1783854512606569E-2</v>
          </cell>
          <cell r="BO80">
            <v>4.5363312419325119E-2</v>
          </cell>
          <cell r="BP80">
            <v>5.6808313119516063E-2</v>
          </cell>
          <cell r="BQ80">
            <v>3.8822485147063324E-2</v>
          </cell>
          <cell r="BS80" t="str">
            <v xml:space="preserve"> --  </v>
          </cell>
          <cell r="BT80" t="str">
            <v xml:space="preserve"> --  </v>
          </cell>
          <cell r="BU80" t="str">
            <v xml:space="preserve"> --  </v>
          </cell>
          <cell r="BV80" t="str">
            <v xml:space="preserve"> --  </v>
          </cell>
          <cell r="BW80" t="str">
            <v xml:space="preserve"> --  </v>
          </cell>
          <cell r="BY80">
            <v>8.4989805548514319E-3</v>
          </cell>
          <cell r="BZ80">
            <v>6.1027079338339174E-2</v>
          </cell>
          <cell r="CA80">
            <v>-9.7742085728773631E-3</v>
          </cell>
          <cell r="CC80">
            <v>8.6561262946705408E-2</v>
          </cell>
          <cell r="CD80">
            <v>3.642482383578427E-2</v>
          </cell>
          <cell r="CE80">
            <v>0.1941411403085509</v>
          </cell>
          <cell r="CF80">
            <v>2.4104472873397009E-2</v>
          </cell>
          <cell r="CG80">
            <v>5.9100859621379565E-2</v>
          </cell>
          <cell r="CH80">
            <v>8.2881613838603707E-2</v>
          </cell>
          <cell r="CJ80">
            <v>0.1031062421623441</v>
          </cell>
          <cell r="CK80">
            <v>8.8312916724728296E-2</v>
          </cell>
          <cell r="CL80">
            <v>-3.8526770118407772E-4</v>
          </cell>
          <cell r="CM80">
            <v>-7.2087686537662954E-3</v>
          </cell>
          <cell r="CN80">
            <v>3.6671773517589878E-2</v>
          </cell>
          <cell r="CP80">
            <v>2.8127945059764459E-2</v>
          </cell>
          <cell r="CQ80">
            <v>5.0830517089523797E-2</v>
          </cell>
          <cell r="CR80">
            <v>2.8262914436901099E-2</v>
          </cell>
          <cell r="CS80">
            <v>2.7784685130880504E-3</v>
          </cell>
          <cell r="CT80">
            <v>2.4779188020634502E-2</v>
          </cell>
          <cell r="CV80">
            <v>9.6609808005589937E-3</v>
          </cell>
          <cell r="CW80">
            <v>4.0498966885695431E-2</v>
          </cell>
          <cell r="CX80">
            <v>-3.8617692586529473E-2</v>
          </cell>
          <cell r="CY80">
            <v>2.4693053195915082E-2</v>
          </cell>
          <cell r="CZ80">
            <v>9.7666629158388307E-3</v>
          </cell>
          <cell r="DB80">
            <v>6.8164794007490537E-2</v>
          </cell>
          <cell r="DC80">
            <v>0.19730305180979424</v>
          </cell>
          <cell r="DD80">
            <v>0.1995723449750535</v>
          </cell>
          <cell r="DE80">
            <v>0.23849999999999993</v>
          </cell>
          <cell r="DF80">
            <v>0.18317878639986995</v>
          </cell>
          <cell r="DH80">
            <v>-3.5063113604487661E-3</v>
          </cell>
          <cell r="DI80">
            <v>-0.10729104919976284</v>
          </cell>
          <cell r="DJ80">
            <v>-0.11645870469399877</v>
          </cell>
          <cell r="DK80">
            <v>-8.3972547436415024E-2</v>
          </cell>
          <cell r="DL80">
            <v>-8.1121957926577726E-2</v>
          </cell>
          <cell r="DN80">
            <v>-1.6185784658691027E-2</v>
          </cell>
          <cell r="DO80">
            <v>-9.6945551128818086E-2</v>
          </cell>
          <cell r="DP80">
            <v>-9.8184263618022904E-2</v>
          </cell>
          <cell r="DQ80">
            <v>-0.1092992507712649</v>
          </cell>
          <cell r="DR80">
            <v>-7.4966332485410736E-2</v>
          </cell>
          <cell r="DT80">
            <v>-1.6452074391988591E-2</v>
          </cell>
          <cell r="DU80">
            <v>5.5147058823529438E-2</v>
          </cell>
          <cell r="DV80">
            <v>1.9388516032811332E-2</v>
          </cell>
          <cell r="DW80">
            <v>-8.9064819396338368E-3</v>
          </cell>
          <cell r="DX80">
            <v>1.0514396635393108E-2</v>
          </cell>
          <cell r="DZ80">
            <v>-6.2545454545454571E-2</v>
          </cell>
          <cell r="EA80">
            <v>-1.8118466898954688E-2</v>
          </cell>
          <cell r="EB80">
            <v>2.0482809070958341E-2</v>
          </cell>
          <cell r="EC80">
            <v>3.4448327508736831E-2</v>
          </cell>
          <cell r="ED80">
            <v>-1.6007683688170626E-3</v>
          </cell>
          <cell r="EF80">
            <v>0.11016291698991476</v>
          </cell>
          <cell r="EG80">
            <v>5.2519517388218695E-2</v>
          </cell>
          <cell r="EH80">
            <v>1.6487455197132572E-2</v>
          </cell>
          <cell r="EI80">
            <v>1.2548262548262468E-2</v>
          </cell>
          <cell r="EJ80">
            <v>3.0944364277697645E-2</v>
          </cell>
          <cell r="EK80" t="str">
            <v>Gross Profit</v>
          </cell>
          <cell r="EL80">
            <v>2.3759608665268939E-2</v>
          </cell>
          <cell r="EM80">
            <v>9.4403236682401026E-3</v>
          </cell>
          <cell r="EN80">
            <v>0.58180535966149516</v>
          </cell>
          <cell r="EO80">
            <v>0.86510962821734982</v>
          </cell>
          <cell r="EP80">
            <v>0.418040435458787</v>
          </cell>
          <cell r="ER80">
            <v>0.57201365187713304</v>
          </cell>
          <cell r="ES80">
            <v>0.6867067468269874</v>
          </cell>
          <cell r="ET80">
            <v>5.7958091841284087E-2</v>
          </cell>
          <cell r="EU80">
            <v>-4.1656018400204498E-2</v>
          </cell>
          <cell r="EV80">
            <v>0.2010309278350515</v>
          </cell>
          <cell r="EX80">
            <v>2.3447676943117779E-2</v>
          </cell>
          <cell r="EY80">
            <v>-5.5445544554455495E-2</v>
          </cell>
          <cell r="EZ80">
            <v>-2.1913190054782983E-2</v>
          </cell>
          <cell r="FA80">
            <v>-4.720000000000002E-2</v>
          </cell>
          <cell r="FB80">
            <v>-2.8764496393023475E-2</v>
          </cell>
          <cell r="FD80">
            <v>-5.8124734832414093E-2</v>
          </cell>
          <cell r="FE80">
            <v>-5.4507337526205069E-3</v>
          </cell>
          <cell r="FF80">
            <v>-6.5489013356311965E-2</v>
          </cell>
          <cell r="FG80">
            <v>-0.12622446123705566</v>
          </cell>
          <cell r="FH80">
            <v>-7.0797292215118435E-2</v>
          </cell>
          <cell r="FJ80">
            <v>-9.5045045045045073E-2</v>
          </cell>
          <cell r="FK80">
            <v>-8.6003372681281665E-2</v>
          </cell>
          <cell r="FL80">
            <v>-1.152604887044717E-2</v>
          </cell>
          <cell r="FM80">
            <v>5.5733504163997472E-2</v>
          </cell>
          <cell r="FN80">
            <v>-2.6914904381260762E-2</v>
          </cell>
          <cell r="FP80">
            <v>9.3081134892981643E-2</v>
          </cell>
          <cell r="FQ80">
            <v>7.1494464944649394E-2</v>
          </cell>
          <cell r="FR80">
            <v>4.7574626865671599E-2</v>
          </cell>
          <cell r="FS80">
            <v>3.5800970873786309E-2</v>
          </cell>
          <cell r="FT80">
            <v>5.843818238535925E-2</v>
          </cell>
          <cell r="FV80">
            <v>4.8724954462659342E-2</v>
          </cell>
          <cell r="FW80">
            <v>6.8445975032285888E-2</v>
          </cell>
          <cell r="FX80">
            <v>2.8049866429207482E-2</v>
          </cell>
          <cell r="FY80">
            <v>4.6572934973637903E-2</v>
          </cell>
          <cell r="FZ80">
            <v>4.7941841045289424E-2</v>
          </cell>
          <cell r="GB80">
            <v>3.6039947894051183E-2</v>
          </cell>
          <cell r="GC80">
            <v>3.2634971796937862E-2</v>
          </cell>
          <cell r="GD80">
            <v>4.0964529018576501E-2</v>
          </cell>
          <cell r="GE80">
            <v>8.3715870307765616E-2</v>
          </cell>
          <cell r="GF80">
            <v>5.2283106976051208E-2</v>
          </cell>
        </row>
        <row r="81">
          <cell r="A81" t="str">
            <v>SG&amp;A Expenses</v>
          </cell>
          <cell r="C81" t="str">
            <v>--</v>
          </cell>
          <cell r="D81" t="str">
            <v>--</v>
          </cell>
          <cell r="E81" t="str">
            <v>--</v>
          </cell>
          <cell r="F81">
            <v>-5.8849835020142849E-2</v>
          </cell>
          <cell r="G81">
            <v>-1.5232729947342261E-2</v>
          </cell>
          <cell r="H81">
            <v>-3.021377428858929E-2</v>
          </cell>
          <cell r="I81">
            <v>-8.3061205190442244E-3</v>
          </cell>
          <cell r="K81" t="str">
            <v xml:space="preserve">--  </v>
          </cell>
          <cell r="L81">
            <v>-3.9988014314258802E-2</v>
          </cell>
          <cell r="N81" t="str">
            <v>NA</v>
          </cell>
          <cell r="O81">
            <v>1.8318746183594303E-3</v>
          </cell>
          <cell r="P81">
            <v>-4.937017472572125E-2</v>
          </cell>
          <cell r="Q81">
            <v>2.7783714468903042E-3</v>
          </cell>
          <cell r="R81">
            <v>1.449275362318847E-2</v>
          </cell>
          <cell r="S81">
            <v>3.1932773109243806E-2</v>
          </cell>
          <cell r="T81">
            <v>-2.157980456026054E-2</v>
          </cell>
          <cell r="U81">
            <v>6.2421972534332237E-3</v>
          </cell>
          <cell r="V81">
            <v>2.0678246484706619E-4</v>
          </cell>
          <cell r="W81">
            <v>1.9433533181724139E-2</v>
          </cell>
          <cell r="X81">
            <v>0.41553437436625429</v>
          </cell>
          <cell r="Y81">
            <v>0.24326647564469916</v>
          </cell>
          <cell r="Z81">
            <v>-1.4289006683567695E-2</v>
          </cell>
          <cell r="AA81">
            <v>-1.1222819733458067E-2</v>
          </cell>
          <cell r="AB81">
            <v>-3.4878221801844411E-2</v>
          </cell>
          <cell r="AC81">
            <v>1.1882886193801401E-2</v>
          </cell>
          <cell r="AD81">
            <v>2.5423728813558366E-3</v>
          </cell>
          <cell r="AE81">
            <v>3.2895457056668631E-2</v>
          </cell>
          <cell r="AF81">
            <v>2.8840556723293442E-2</v>
          </cell>
          <cell r="AG81">
            <v>1.5986747937983381E-2</v>
          </cell>
          <cell r="AH81">
            <v>7.0944938127868173E-3</v>
          </cell>
          <cell r="AI81">
            <v>6.7240930267471466E-3</v>
          </cell>
          <cell r="AJ81">
            <v>6.7134331383311707E-3</v>
          </cell>
          <cell r="AK81">
            <v>6.7027036483089386E-3</v>
          </cell>
          <cell r="AL81">
            <v>6.691903872772631E-3</v>
          </cell>
          <cell r="AN81" t="str">
            <v>SG&amp;A Expenses</v>
          </cell>
          <cell r="AU81">
            <v>-1.7970858333921758E-2</v>
          </cell>
          <cell r="AV81">
            <v>-4.3370859777825732E-2</v>
          </cell>
          <cell r="AW81">
            <v>-4.885680233851819E-2</v>
          </cell>
          <cell r="AX81">
            <v>-0.10812646337956822</v>
          </cell>
          <cell r="AY81">
            <v>-5.6935471396727388E-2</v>
          </cell>
          <cell r="BA81">
            <v>-5.9676054312083893E-2</v>
          </cell>
          <cell r="BB81">
            <v>-5.4336787028889333E-2</v>
          </cell>
          <cell r="BC81">
            <v>-1.490662329650605E-2</v>
          </cell>
          <cell r="BD81">
            <v>5.3097970099575953E-2</v>
          </cell>
          <cell r="BE81">
            <v>-1.7231747598988156E-2</v>
          </cell>
          <cell r="BG81">
            <v>-1.1720049306384261E-2</v>
          </cell>
          <cell r="BH81">
            <v>-3.149411479950881E-2</v>
          </cell>
          <cell r="BI81">
            <v>-1.6592873571444899E-2</v>
          </cell>
          <cell r="BJ81">
            <v>-5.6537813361945743E-2</v>
          </cell>
          <cell r="BK81">
            <v>-3.021377428858929E-2</v>
          </cell>
          <cell r="BM81">
            <v>-2.4337214952934727E-2</v>
          </cell>
          <cell r="BN81">
            <v>-9.9927988167103354E-3</v>
          </cell>
          <cell r="BO81">
            <v>1.1548493915620961E-2</v>
          </cell>
          <cell r="BP81">
            <v>-1.1683246647691825E-2</v>
          </cell>
          <cell r="BQ81">
            <v>-8.3061205190442244E-3</v>
          </cell>
          <cell r="BS81" t="str">
            <v xml:space="preserve"> --  </v>
          </cell>
          <cell r="BT81" t="str">
            <v xml:space="preserve"> --  </v>
          </cell>
          <cell r="BU81" t="str">
            <v xml:space="preserve"> --  </v>
          </cell>
          <cell r="BV81" t="str">
            <v xml:space="preserve"> --  </v>
          </cell>
          <cell r="BW81" t="str">
            <v xml:space="preserve"> --  </v>
          </cell>
          <cell r="BY81">
            <v>-2.3332298817000052E-2</v>
          </cell>
          <cell r="BZ81">
            <v>-1.4777138934813694E-2</v>
          </cell>
          <cell r="CA81">
            <v>-6.3667545852863383E-2</v>
          </cell>
          <cell r="CC81">
            <v>7.8699904820596966E-2</v>
          </cell>
          <cell r="CD81">
            <v>-5.4079481346700597E-2</v>
          </cell>
          <cell r="CE81">
            <v>7.0586242424796719E-2</v>
          </cell>
          <cell r="CF81">
            <v>-3.9988014314258802E-2</v>
          </cell>
          <cell r="CG81">
            <v>-6.2629764467387883E-3</v>
          </cell>
          <cell r="CH81">
            <v>3.0267979016805002E-2</v>
          </cell>
          <cell r="CJ81">
            <v>7.7672135100503858E-2</v>
          </cell>
          <cell r="CK81">
            <v>4.3166552266297842E-2</v>
          </cell>
          <cell r="CL81">
            <v>-6.9022795685438454E-2</v>
          </cell>
          <cell r="CM81">
            <v>-3.8207828109723896E-2</v>
          </cell>
          <cell r="CN81">
            <v>-2.0739918931514945E-3</v>
          </cell>
          <cell r="CP81">
            <v>1.8299922380784928E-2</v>
          </cell>
          <cell r="CQ81">
            <v>2.5416882109617456E-2</v>
          </cell>
          <cell r="CR81">
            <v>3.1718659615083133E-3</v>
          </cell>
          <cell r="CS81">
            <v>-3.4978053520589136E-2</v>
          </cell>
          <cell r="CT81">
            <v>1.7467615690507365E-3</v>
          </cell>
          <cell r="CV81">
            <v>-1.7174743605248288E-2</v>
          </cell>
          <cell r="CW81">
            <v>-2.6087763438265021E-4</v>
          </cell>
          <cell r="CX81">
            <v>-3.8103199943595567E-2</v>
          </cell>
          <cell r="CY81">
            <v>8.9595609007990795E-3</v>
          </cell>
          <cell r="CZ81">
            <v>-1.1536290016769368E-2</v>
          </cell>
          <cell r="DB81">
            <v>4.0727902946273931E-2</v>
          </cell>
          <cell r="DC81">
            <v>0.19877408056042034</v>
          </cell>
          <cell r="DD81">
            <v>0.20506108202443274</v>
          </cell>
          <cell r="DE81">
            <v>0.29679999999999995</v>
          </cell>
          <cell r="DF81">
            <v>0.18755328218243816</v>
          </cell>
          <cell r="DH81">
            <v>-4.079933388842627E-2</v>
          </cell>
          <cell r="DI81">
            <v>-0.19357195032870711</v>
          </cell>
          <cell r="DJ81">
            <v>-0.11803041274438808</v>
          </cell>
          <cell r="DK81">
            <v>-0.1128932757557064</v>
          </cell>
          <cell r="DL81">
            <v>-0.1184493898061737</v>
          </cell>
          <cell r="DN81">
            <v>1.388888888888884E-2</v>
          </cell>
          <cell r="DO81">
            <v>1.8115942028984477E-3</v>
          </cell>
          <cell r="DP81">
            <v>-2.7093596059113323E-2</v>
          </cell>
          <cell r="DQ81">
            <v>-0.10639777468706535</v>
          </cell>
          <cell r="DR81">
            <v>-2.157980456026054E-2</v>
          </cell>
          <cell r="DT81">
            <v>-1.1986301369863006E-2</v>
          </cell>
          <cell r="DU81">
            <v>2.6220614828209809E-2</v>
          </cell>
          <cell r="DV81">
            <v>-5.0632911392405333E-3</v>
          </cell>
          <cell r="DW81">
            <v>1.2451361867704236E-2</v>
          </cell>
          <cell r="DX81">
            <v>6.2421972534332237E-3</v>
          </cell>
          <cell r="DZ81">
            <v>-1.6464471403812797E-2</v>
          </cell>
          <cell r="EA81">
            <v>0</v>
          </cell>
          <cell r="EB81">
            <v>1.187446988973706E-2</v>
          </cell>
          <cell r="EC81">
            <v>7.6863950807082304E-4</v>
          </cell>
          <cell r="ED81">
            <v>2.0678246484706619E-4</v>
          </cell>
          <cell r="EF81">
            <v>5.2863436123347984E-2</v>
          </cell>
          <cell r="EG81">
            <v>6.3436123348017626E-2</v>
          </cell>
          <cell r="EH81">
            <v>1.1735121542330251E-2</v>
          </cell>
          <cell r="EI81">
            <v>1.5360983102918668E-2</v>
          </cell>
          <cell r="EJ81">
            <v>1.9433533181724139E-2</v>
          </cell>
          <cell r="EK81" t="str">
            <v>SG&amp;A Expenses</v>
          </cell>
          <cell r="EL81">
            <v>1.5062761506276168E-2</v>
          </cell>
          <cell r="EM81">
            <v>-8.2850041425019949E-4</v>
          </cell>
          <cell r="EN81">
            <v>0.63463131731565858</v>
          </cell>
          <cell r="EO81">
            <v>0.95763993948562787</v>
          </cell>
          <cell r="EP81">
            <v>0.41553437436625429</v>
          </cell>
          <cell r="ER81">
            <v>0.77576257213520194</v>
          </cell>
          <cell r="ES81">
            <v>0.75538971807628519</v>
          </cell>
          <cell r="ET81">
            <v>6.1327927014698469E-2</v>
          </cell>
          <cell r="EU81">
            <v>-0.10625965996908815</v>
          </cell>
          <cell r="EV81">
            <v>0.24326647564469916</v>
          </cell>
          <cell r="EX81">
            <v>-1.9034354688950761E-2</v>
          </cell>
          <cell r="EY81">
            <v>-3.7316957959376507E-2</v>
          </cell>
          <cell r="EZ81">
            <v>1.2893982808023008E-2</v>
          </cell>
          <cell r="FA81">
            <v>-1.3402507565931643E-2</v>
          </cell>
          <cell r="FB81">
            <v>-1.4289006683567695E-2</v>
          </cell>
          <cell r="FD81">
            <v>-1.5617605300520587E-2</v>
          </cell>
          <cell r="FE81">
            <v>-4.906771344455052E-4</v>
          </cell>
          <cell r="FF81">
            <v>-1.6973125884017004E-2</v>
          </cell>
          <cell r="FG81">
            <v>-1.1393514460999121E-2</v>
          </cell>
          <cell r="FH81">
            <v>-1.1222819733458067E-2</v>
          </cell>
          <cell r="FJ81">
            <v>-4.5673076923076872E-2</v>
          </cell>
          <cell r="FK81">
            <v>-7.4128620520373056E-2</v>
          </cell>
          <cell r="FL81">
            <v>-1.3908872901678637E-2</v>
          </cell>
          <cell r="FM81">
            <v>-8.8652482269503396E-3</v>
          </cell>
          <cell r="FN81">
            <v>-3.4878221801844411E-2</v>
          </cell>
          <cell r="FP81">
            <v>4.0302267002518821E-3</v>
          </cell>
          <cell r="FQ81">
            <v>3.5524920466595944E-2</v>
          </cell>
          <cell r="FR81">
            <v>6.3229571984435573E-3</v>
          </cell>
          <cell r="FS81">
            <v>4.025044722719251E-3</v>
          </cell>
          <cell r="FT81">
            <v>1.1882886193801401E-2</v>
          </cell>
          <cell r="FV81">
            <v>-1.003512293025588E-2</v>
          </cell>
          <cell r="FW81">
            <v>1.177675371223752E-2</v>
          </cell>
          <cell r="FX81">
            <v>-2.4649589173513786E-2</v>
          </cell>
          <cell r="FY81">
            <v>3.0734966592427693E-2</v>
          </cell>
          <cell r="FZ81">
            <v>2.5423728813558366E-3</v>
          </cell>
          <cell r="GB81">
            <v>1.1150532184490691E-2</v>
          </cell>
          <cell r="GC81">
            <v>1.6700404858299489E-2</v>
          </cell>
          <cell r="GD81">
            <v>5.1542171941152182E-2</v>
          </cell>
          <cell r="GE81">
            <v>4.9003965820669126E-2</v>
          </cell>
          <cell r="GF81">
            <v>3.2895457056668631E-2</v>
          </cell>
        </row>
        <row r="82">
          <cell r="A82" t="str">
            <v>EBITDA</v>
          </cell>
          <cell r="C82" t="str">
            <v>--</v>
          </cell>
          <cell r="D82" t="str">
            <v>--</v>
          </cell>
          <cell r="E82" t="str">
            <v>--</v>
          </cell>
          <cell r="F82" t="str">
            <v>NM</v>
          </cell>
          <cell r="G82">
            <v>0.25511948219509839</v>
          </cell>
          <cell r="H82">
            <v>0.11579253029559311</v>
          </cell>
          <cell r="I82">
            <v>0.24208657072438222</v>
          </cell>
          <cell r="K82" t="str">
            <v xml:space="preserve">--  </v>
          </cell>
          <cell r="L82">
            <v>0.19104509304457218</v>
          </cell>
          <cell r="N82" t="str">
            <v>NA</v>
          </cell>
          <cell r="O82">
            <v>0.22931034482758617</v>
          </cell>
          <cell r="P82">
            <v>0.3541374474053296</v>
          </cell>
          <cell r="Q82">
            <v>7.6644225789746168E-2</v>
          </cell>
          <cell r="R82">
            <v>0.13419913419913421</v>
          </cell>
          <cell r="S82">
            <v>2.714164546225617E-2</v>
          </cell>
          <cell r="T82">
            <v>-0.14739884393063585</v>
          </cell>
          <cell r="U82">
            <v>1.2590799031477085E-2</v>
          </cell>
          <cell r="V82">
            <v>9.0865614538497841E-3</v>
          </cell>
          <cell r="W82">
            <v>5.9715639810426602E-2</v>
          </cell>
          <cell r="X82">
            <v>0.39355992844364929</v>
          </cell>
          <cell r="Y82">
            <v>0.13543003851091151</v>
          </cell>
          <cell r="Z82">
            <v>-4.2962125494629744E-2</v>
          </cell>
          <cell r="AA82">
            <v>-0.20171293561724746</v>
          </cell>
          <cell r="AB82">
            <v>-1.442841287458374E-2</v>
          </cell>
          <cell r="AC82">
            <v>0.15202702702702697</v>
          </cell>
          <cell r="AD82">
            <v>0.13098729227761496</v>
          </cell>
          <cell r="AE82">
            <v>7.4451148577618476E-2</v>
          </cell>
          <cell r="AF82">
            <v>3.5273448529756779E-2</v>
          </cell>
          <cell r="AG82">
            <v>3.7987838047570444E-2</v>
          </cell>
          <cell r="AH82">
            <v>1.0360976857346715E-2</v>
          </cell>
          <cell r="AI82">
            <v>2.7152968378332254E-3</v>
          </cell>
          <cell r="AJ82">
            <v>1.7337626360135916E-2</v>
          </cell>
          <cell r="AK82">
            <v>1.7284703162167681E-2</v>
          </cell>
          <cell r="AL82">
            <v>1.7232537922685198E-2</v>
          </cell>
          <cell r="AN82" t="str">
            <v>EBITDA</v>
          </cell>
          <cell r="AU82" t="str">
            <v xml:space="preserve">NM  </v>
          </cell>
          <cell r="AV82" t="str">
            <v xml:space="preserve">NM  </v>
          </cell>
          <cell r="AW82" t="str">
            <v xml:space="preserve">NM  </v>
          </cell>
          <cell r="AX82" t="str">
            <v xml:space="preserve">NM  </v>
          </cell>
          <cell r="AY82" t="str">
            <v xml:space="preserve">NM  </v>
          </cell>
          <cell r="BA82">
            <v>0.30715301767933378</v>
          </cell>
          <cell r="BB82">
            <v>0.19582595632813016</v>
          </cell>
          <cell r="BC82">
            <v>0.44399266930912384</v>
          </cell>
          <cell r="BD82">
            <v>0.17898938622800387</v>
          </cell>
          <cell r="BE82">
            <v>0.26654996817313736</v>
          </cell>
          <cell r="BG82">
            <v>1.1949263328975057E-2</v>
          </cell>
          <cell r="BH82">
            <v>0.32806541343263529</v>
          </cell>
          <cell r="BI82">
            <v>-2.3925337363195243E-2</v>
          </cell>
          <cell r="BJ82">
            <v>0.16753388482697118</v>
          </cell>
          <cell r="BK82">
            <v>0.10749585674199169</v>
          </cell>
          <cell r="BM82">
            <v>0.17663366060081342</v>
          </cell>
          <cell r="BN82">
            <v>0.24957560913812671</v>
          </cell>
          <cell r="BO82">
            <v>0.18270446147240116</v>
          </cell>
          <cell r="BP82">
            <v>0.21384022994739493</v>
          </cell>
          <cell r="BQ82">
            <v>0.20540555871441057</v>
          </cell>
          <cell r="BS82" t="str">
            <v xml:space="preserve"> --  </v>
          </cell>
          <cell r="BT82" t="str">
            <v xml:space="preserve"> --  </v>
          </cell>
          <cell r="BU82" t="str">
            <v xml:space="preserve"> --  </v>
          </cell>
          <cell r="BV82" t="str">
            <v xml:space="preserve"> --  </v>
          </cell>
          <cell r="BW82" t="str">
            <v xml:space="preserve"> --  </v>
          </cell>
          <cell r="BY82">
            <v>7.2504330246708326E-2</v>
          </cell>
          <cell r="BZ82">
            <v>0.36575001727354395</v>
          </cell>
          <cell r="CA82">
            <v>0.18887628568682002</v>
          </cell>
          <cell r="CC82">
            <v>7.0314332404113333E-2</v>
          </cell>
          <cell r="CD82">
            <v>0.18944747525482786</v>
          </cell>
          <cell r="CE82">
            <v>0.25587278221762366</v>
          </cell>
          <cell r="CF82">
            <v>0.19104509304457218</v>
          </cell>
          <cell r="CG82">
            <v>0.23296276515129999</v>
          </cell>
          <cell r="CH82">
            <v>0.19849724971248839</v>
          </cell>
          <cell r="CJ82">
            <v>0.26127542683937688</v>
          </cell>
          <cell r="CK82">
            <v>0.29837098120557481</v>
          </cell>
          <cell r="CL82">
            <v>0.31803910016453618</v>
          </cell>
          <cell r="CM82">
            <v>4.8110886426154353E-2</v>
          </cell>
          <cell r="CN82">
            <v>0.17340990038484327</v>
          </cell>
          <cell r="CP82">
            <v>0.1030069993090823</v>
          </cell>
          <cell r="CQ82">
            <v>0.16002480753058013</v>
          </cell>
          <cell r="CR82">
            <v>0.13307730885383018</v>
          </cell>
          <cell r="CS82">
            <v>8.8538170625890755E-2</v>
          </cell>
          <cell r="CT82">
            <v>0.11286355453001029</v>
          </cell>
          <cell r="CV82">
            <v>0.14385315104308449</v>
          </cell>
          <cell r="CW82">
            <v>0.18403152938805323</v>
          </cell>
          <cell r="CX82">
            <v>-4.1302135827978592E-3</v>
          </cell>
          <cell r="CY82">
            <v>4.8178009780680986E-2</v>
          </cell>
          <cell r="CZ82">
            <v>7.6604083120670463E-2</v>
          </cell>
          <cell r="DB82">
            <v>0.18452380952380953</v>
          </cell>
          <cell r="DC82">
            <v>0.19385342789598115</v>
          </cell>
          <cell r="DD82">
            <v>0.1908212560386473</v>
          </cell>
          <cell r="DE82">
            <v>0.15121412803532008</v>
          </cell>
          <cell r="DF82">
            <v>0.17316017316017307</v>
          </cell>
          <cell r="DH82" t="str">
            <v>NA</v>
          </cell>
          <cell r="DI82" t="str">
            <v>NA</v>
          </cell>
          <cell r="DJ82" t="str">
            <v>NA</v>
          </cell>
          <cell r="DK82" t="str">
            <v>NA</v>
          </cell>
          <cell r="DL82" t="str">
            <v>NA</v>
          </cell>
          <cell r="DN82">
            <v>-0.10135135135135132</v>
          </cell>
          <cell r="DO82">
            <v>-0.26736111111111116</v>
          </cell>
          <cell r="DP82">
            <v>-0.26008968609865468</v>
          </cell>
          <cell r="DQ82">
            <v>-8.3249749247743199E-2</v>
          </cell>
          <cell r="DR82">
            <v>-0.14739884393063585</v>
          </cell>
          <cell r="DT82">
            <v>-3.2581453634085267E-2</v>
          </cell>
          <cell r="DU82">
            <v>0.1090047393364928</v>
          </cell>
          <cell r="DV82">
            <v>7.575757575757569E-2</v>
          </cell>
          <cell r="DW82">
            <v>-3.5010940919037226E-2</v>
          </cell>
          <cell r="DX82">
            <v>1.2590799031477085E-2</v>
          </cell>
          <cell r="DZ82">
            <v>-0.13471502590673579</v>
          </cell>
          <cell r="EA82">
            <v>-4.4871794871794823E-2</v>
          </cell>
          <cell r="EB82">
            <v>6.4788732394366111E-2</v>
          </cell>
          <cell r="EC82">
            <v>7.8231292517006779E-2</v>
          </cell>
          <cell r="ED82">
            <v>9.0865614538497841E-3</v>
          </cell>
          <cell r="EF82">
            <v>0.23652694610778435</v>
          </cell>
          <cell r="EG82">
            <v>1.5659955257270708E-2</v>
          </cell>
          <cell r="EH82">
            <v>2.9100529100529071E-2</v>
          </cell>
          <cell r="EI82">
            <v>3.0494216614090464E-2</v>
          </cell>
          <cell r="EJ82">
            <v>5.9715639810426602E-2</v>
          </cell>
          <cell r="EK82" t="str">
            <v>EBITDA</v>
          </cell>
          <cell r="EL82">
            <v>3.874092009685226E-2</v>
          </cell>
          <cell r="EM82">
            <v>3.3039647577092435E-2</v>
          </cell>
          <cell r="EN82">
            <v>0.45244215938303345</v>
          </cell>
          <cell r="EO82">
            <v>0.68673469387755093</v>
          </cell>
          <cell r="EP82">
            <v>0.39355992844364929</v>
          </cell>
          <cell r="ER82">
            <v>8.3916083916083961E-2</v>
          </cell>
          <cell r="ES82">
            <v>0.53944562899786774</v>
          </cell>
          <cell r="ET82">
            <v>5.1327433628318486E-2</v>
          </cell>
          <cell r="EU82">
            <v>6.291591046581968E-2</v>
          </cell>
          <cell r="EV82">
            <v>0.13543003851091151</v>
          </cell>
          <cell r="EX82">
            <v>0.23225806451612896</v>
          </cell>
          <cell r="EY82">
            <v>-6.6481994459833826E-2</v>
          </cell>
          <cell r="EZ82">
            <v>-0.12289562289562295</v>
          </cell>
          <cell r="FA82">
            <v>-7.9112122936824125E-2</v>
          </cell>
          <cell r="FB82">
            <v>-4.2962125494629744E-2</v>
          </cell>
          <cell r="FD82">
            <v>-0.20593368237347298</v>
          </cell>
          <cell r="FE82">
            <v>-3.5608308605341255E-2</v>
          </cell>
          <cell r="FF82">
            <v>-0.22456813819577737</v>
          </cell>
          <cell r="FG82">
            <v>-0.26205191594561184</v>
          </cell>
          <cell r="FH82">
            <v>-0.20171293561724746</v>
          </cell>
          <cell r="FJ82">
            <v>-0.28131868131868132</v>
          </cell>
          <cell r="FK82">
            <v>-0.10307692307692307</v>
          </cell>
          <cell r="FL82">
            <v>-3.7128712871287162E-2</v>
          </cell>
          <cell r="FM82">
            <v>0.14321608040200995</v>
          </cell>
          <cell r="FN82">
            <v>-1.442841287458374E-2</v>
          </cell>
          <cell r="FP82">
            <v>0.49847094801223246</v>
          </cell>
          <cell r="FQ82">
            <v>0.12864493996569459</v>
          </cell>
          <cell r="FR82">
            <v>0.2005141388174807</v>
          </cell>
          <cell r="FS82">
            <v>6.5201465201465192E-2</v>
          </cell>
          <cell r="FT82">
            <v>0.15202702702702697</v>
          </cell>
          <cell r="FV82">
            <v>0.2204081632653061</v>
          </cell>
          <cell r="FW82">
            <v>0.17629179331306988</v>
          </cell>
          <cell r="FX82">
            <v>0.2269807280513918</v>
          </cell>
          <cell r="FY82">
            <v>4.9518569463548934E-2</v>
          </cell>
          <cell r="FZ82">
            <v>0.13098729227761496</v>
          </cell>
          <cell r="GB82">
            <v>8.1939799331103735E-2</v>
          </cell>
          <cell r="GC82">
            <v>4.7803617571059442E-2</v>
          </cell>
          <cell r="GD82">
            <v>-2.7896948954977407E-2</v>
          </cell>
          <cell r="GE82">
            <v>0.12346322966193712</v>
          </cell>
          <cell r="GF82">
            <v>7.4451148577618476E-2</v>
          </cell>
        </row>
        <row r="83">
          <cell r="A83" t="str">
            <v>Operating Income</v>
          </cell>
          <cell r="C83" t="str">
            <v>--</v>
          </cell>
          <cell r="D83" t="str">
            <v>--</v>
          </cell>
          <cell r="E83" t="str">
            <v>--</v>
          </cell>
          <cell r="F83">
            <v>1.2260584584199381</v>
          </cell>
          <cell r="G83">
            <v>0.45706091331758403</v>
          </cell>
          <cell r="H83">
            <v>0.16469753714355728</v>
          </cell>
          <cell r="I83">
            <v>0.25548377242026232</v>
          </cell>
          <cell r="K83" t="str">
            <v xml:space="preserve">--  </v>
          </cell>
          <cell r="L83">
            <v>0.4567216509641896</v>
          </cell>
          <cell r="N83" t="str">
            <v>NA</v>
          </cell>
          <cell r="O83">
            <v>0.3469079939668176</v>
          </cell>
          <cell r="P83">
            <v>0.50167973124300103</v>
          </cell>
          <cell r="Q83">
            <v>8.5011185682326573E-2</v>
          </cell>
          <cell r="R83">
            <v>0.16357388316151211</v>
          </cell>
          <cell r="S83">
            <v>4.6072061429415223E-2</v>
          </cell>
          <cell r="T83">
            <v>-0.2230378317334839</v>
          </cell>
          <cell r="U83">
            <v>2.5436046511627897E-2</v>
          </cell>
          <cell r="V83">
            <v>-7.795889440113446E-3</v>
          </cell>
          <cell r="W83">
            <v>7.071428571428573E-2</v>
          </cell>
          <cell r="X83">
            <v>0.42628418945963986</v>
          </cell>
          <cell r="Y83">
            <v>6.3143124415341534E-2</v>
          </cell>
          <cell r="Z83">
            <v>-8.4029916410030769E-2</v>
          </cell>
          <cell r="AA83">
            <v>-0.31556195965417866</v>
          </cell>
          <cell r="AB83">
            <v>2.0350877192982564E-2</v>
          </cell>
          <cell r="AC83">
            <v>0.31980742778541948</v>
          </cell>
          <cell r="AD83">
            <v>0.24335591453882222</v>
          </cell>
          <cell r="AE83">
            <v>0.11957109062333027</v>
          </cell>
          <cell r="AF83">
            <v>3.9791523239996573E-2</v>
          </cell>
          <cell r="AG83">
            <v>4.528803078121646E-2</v>
          </cell>
          <cell r="AH83">
            <v>1.0360976857346937E-2</v>
          </cell>
          <cell r="AI83">
            <v>-5.5325270158723683E-5</v>
          </cell>
          <cell r="AJ83">
            <v>2.0156440430671108E-2</v>
          </cell>
          <cell r="AK83">
            <v>2.005532527015963E-2</v>
          </cell>
          <cell r="AL83">
            <v>1.9956203620788981E-2</v>
          </cell>
          <cell r="AN83" t="str">
            <v>Operating Income</v>
          </cell>
          <cell r="AU83">
            <v>0.56987295825771134</v>
          </cell>
          <cell r="AV83" t="str">
            <v xml:space="preserve">NM  </v>
          </cell>
          <cell r="AW83">
            <v>0.258731509050524</v>
          </cell>
          <cell r="AX83">
            <v>0.53731133005851817</v>
          </cell>
          <cell r="AY83">
            <v>0.97503939396181427</v>
          </cell>
          <cell r="BA83">
            <v>1.039041425818882</v>
          </cell>
          <cell r="BB83">
            <v>2.7225290868492564</v>
          </cell>
          <cell r="BC83">
            <v>1.0794863611616914</v>
          </cell>
          <cell r="BD83">
            <v>0.29114836628460927</v>
          </cell>
          <cell r="BE83">
            <v>0.64224712703953801</v>
          </cell>
          <cell r="BG83">
            <v>2.5041046054262051E-2</v>
          </cell>
          <cell r="BH83">
            <v>0.95848460931334034</v>
          </cell>
          <cell r="BI83">
            <v>-3.0568395204390919E-2</v>
          </cell>
          <cell r="BJ83">
            <v>0.20401741352387148</v>
          </cell>
          <cell r="BK83">
            <v>0.16469753714355861</v>
          </cell>
          <cell r="BM83">
            <v>0.25151818946543703</v>
          </cell>
          <cell r="BN83">
            <v>0.39556701861852006</v>
          </cell>
          <cell r="BO83">
            <v>0.23574714570412225</v>
          </cell>
          <cell r="BP83">
            <v>0.23101259604236768</v>
          </cell>
          <cell r="BQ83">
            <v>0.25548377242026232</v>
          </cell>
          <cell r="BS83" t="str">
            <v xml:space="preserve"> --  </v>
          </cell>
          <cell r="BT83" t="str">
            <v xml:space="preserve"> --  </v>
          </cell>
          <cell r="BU83" t="str">
            <v xml:space="preserve"> --  </v>
          </cell>
          <cell r="BV83" t="str">
            <v xml:space="preserve"> --  </v>
          </cell>
          <cell r="BW83" t="str">
            <v xml:space="preserve"> --  </v>
          </cell>
          <cell r="BY83">
            <v>0.58488289449760744</v>
          </cell>
          <cell r="BZ83">
            <v>2.6225838633246044</v>
          </cell>
          <cell r="CA83">
            <v>0.5039048962321151</v>
          </cell>
          <cell r="CC83">
            <v>0.16149103364900097</v>
          </cell>
          <cell r="CD83">
            <v>0.2784946444162697</v>
          </cell>
          <cell r="CE83">
            <v>0.34232616609710487</v>
          </cell>
          <cell r="CF83">
            <v>0.4567216509641896</v>
          </cell>
          <cell r="CG83">
            <v>0.50029950161174308</v>
          </cell>
          <cell r="CH83">
            <v>0.43801781192470157</v>
          </cell>
          <cell r="CJ83">
            <v>0.38691376307528902</v>
          </cell>
          <cell r="CK83">
            <v>0.50321864403862304</v>
          </cell>
          <cell r="CL83">
            <v>0.60719440435217531</v>
          </cell>
          <cell r="CM83">
            <v>5.8918948290300976E-2</v>
          </cell>
          <cell r="CN83">
            <v>0.22404468977879466</v>
          </cell>
          <cell r="CP83">
            <v>0.11334190559979795</v>
          </cell>
          <cell r="CQ83">
            <v>0.21290884004786315</v>
          </cell>
          <cell r="CR83">
            <v>0.15691921110803886</v>
          </cell>
          <cell r="CS83">
            <v>7.5933720802124238E-2</v>
          </cell>
          <cell r="CT83">
            <v>0.11558702516505659</v>
          </cell>
          <cell r="CV83">
            <v>0.22247737403755097</v>
          </cell>
          <cell r="CW83">
            <v>0.26026621353723955</v>
          </cell>
          <cell r="CX83">
            <v>-4.090520635465611E-2</v>
          </cell>
          <cell r="CY83">
            <v>5.2035056613513264E-2</v>
          </cell>
          <cell r="CZ83">
            <v>8.5185171373485913E-2</v>
          </cell>
          <cell r="DB83">
            <v>0.24309392265193375</v>
          </cell>
          <cell r="DC83">
            <v>0.1910112359550562</v>
          </cell>
          <cell r="DD83">
            <v>0.17509727626459148</v>
          </cell>
          <cell r="DE83">
            <v>0.14133333333333331</v>
          </cell>
          <cell r="DF83">
            <v>0.16907216494845367</v>
          </cell>
          <cell r="DH83">
            <v>0.19555555555555548</v>
          </cell>
          <cell r="DI83">
            <v>0.26415094339622636</v>
          </cell>
          <cell r="DJ83">
            <v>-0.10927152317880795</v>
          </cell>
          <cell r="DK83">
            <v>-2.9205607476635476E-2</v>
          </cell>
          <cell r="DL83">
            <v>4.1152263374485631E-2</v>
          </cell>
          <cell r="DN83">
            <v>-0.14498141263940523</v>
          </cell>
          <cell r="DO83">
            <v>-0.36815920398009949</v>
          </cell>
          <cell r="DP83">
            <v>-0.4200743494423792</v>
          </cell>
          <cell r="DQ83">
            <v>-0.11432009626955475</v>
          </cell>
          <cell r="DR83">
            <v>-0.2230378317334839</v>
          </cell>
          <cell r="DT83">
            <v>-3.9130434782608692E-2</v>
          </cell>
          <cell r="DU83">
            <v>0.18110236220472431</v>
          </cell>
          <cell r="DV83">
            <v>0.20512820512820507</v>
          </cell>
          <cell r="DW83">
            <v>-4.6195652173913082E-2</v>
          </cell>
          <cell r="DX83">
            <v>2.5436046511627897E-2</v>
          </cell>
          <cell r="DZ83">
            <v>-0.30316742081447967</v>
          </cell>
          <cell r="EA83">
            <v>-8.666666666666667E-2</v>
          </cell>
          <cell r="EB83">
            <v>7.4468085106383031E-2</v>
          </cell>
          <cell r="EC83">
            <v>9.6866096866096818E-2</v>
          </cell>
          <cell r="ED83">
            <v>-7.795889440113446E-3</v>
          </cell>
          <cell r="EF83">
            <v>0.53246753246753253</v>
          </cell>
          <cell r="EG83">
            <v>7.2992700729928028E-3</v>
          </cell>
          <cell r="EH83">
            <v>4.4554455445544594E-2</v>
          </cell>
          <cell r="EI83">
            <v>7.7922077922076838E-3</v>
          </cell>
          <cell r="EJ83">
            <v>7.071428571428573E-2</v>
          </cell>
          <cell r="EK83" t="str">
            <v>Operating Income</v>
          </cell>
          <cell r="EL83">
            <v>6.7796610169491567E-2</v>
          </cell>
          <cell r="EM83">
            <v>5.4347826086956541E-2</v>
          </cell>
          <cell r="EN83">
            <v>0.27962085308056861</v>
          </cell>
          <cell r="EO83">
            <v>0.70747422680412364</v>
          </cell>
          <cell r="EP83">
            <v>0.42628418945963986</v>
          </cell>
          <cell r="ER83">
            <v>-0.40873015873015872</v>
          </cell>
          <cell r="ES83">
            <v>0.402061855670103</v>
          </cell>
          <cell r="ET83">
            <v>3.3333333333333437E-2</v>
          </cell>
          <cell r="EU83">
            <v>8.452830188679239E-2</v>
          </cell>
          <cell r="EV83">
            <v>6.3143124415341534E-2</v>
          </cell>
          <cell r="EX83">
            <v>0.63758389261744974</v>
          </cell>
          <cell r="EY83">
            <v>-0.14950980392156865</v>
          </cell>
          <cell r="EZ83">
            <v>-0.28315412186379929</v>
          </cell>
          <cell r="FA83">
            <v>-0.10160055671537926</v>
          </cell>
          <cell r="FB83">
            <v>-8.4029916410030769E-2</v>
          </cell>
          <cell r="FD83">
            <v>-0.42622950819672134</v>
          </cell>
          <cell r="FE83">
            <v>-3.458213256484155E-2</v>
          </cell>
          <cell r="FF83">
            <v>-0.58000000000000007</v>
          </cell>
          <cell r="FG83">
            <v>-0.32920216886134779</v>
          </cell>
          <cell r="FH83">
            <v>-0.31556195965417866</v>
          </cell>
          <cell r="FJ83">
            <v>-0.82857142857142851</v>
          </cell>
          <cell r="FK83">
            <v>-0.15820895522388057</v>
          </cell>
          <cell r="FL83">
            <v>4.7619047619047672E-2</v>
          </cell>
          <cell r="FM83">
            <v>0.22401847575057743</v>
          </cell>
          <cell r="FN83">
            <v>2.0350877192982564E-2</v>
          </cell>
          <cell r="FP83">
            <v>7.4583333333333339</v>
          </cell>
          <cell r="FQ83">
            <v>0.31205673758865249</v>
          </cell>
          <cell r="FR83">
            <v>1.0113636363636362</v>
          </cell>
          <cell r="FS83">
            <v>0.10283018867924532</v>
          </cell>
          <cell r="FT83">
            <v>0.31980742778541948</v>
          </cell>
          <cell r="FV83">
            <v>0.62561576354679804</v>
          </cell>
          <cell r="FW83">
            <v>0.36756756756756759</v>
          </cell>
          <cell r="FX83">
            <v>0.64406779661016955</v>
          </cell>
          <cell r="FY83">
            <v>7.6988879384088937E-2</v>
          </cell>
          <cell r="FZ83">
            <v>0.24335591453882222</v>
          </cell>
          <cell r="GB83">
            <v>0.18484848484848482</v>
          </cell>
          <cell r="GC83">
            <v>9.486166007905128E-2</v>
          </cell>
          <cell r="GD83">
            <v>-3.238833495997262E-2</v>
          </cell>
          <cell r="GE83">
            <v>0.14751519277253244</v>
          </cell>
          <cell r="GF83">
            <v>0.11957109062333027</v>
          </cell>
        </row>
        <row r="84">
          <cell r="A84" t="str">
            <v>Pretax Income</v>
          </cell>
          <cell r="C84" t="str">
            <v>--</v>
          </cell>
          <cell r="D84" t="str">
            <v>--</v>
          </cell>
          <cell r="E84" t="str">
            <v>--</v>
          </cell>
          <cell r="F84" t="str">
            <v>NM</v>
          </cell>
          <cell r="G84">
            <v>3.354567465605613</v>
          </cell>
          <cell r="H84">
            <v>0.5852107910537101</v>
          </cell>
          <cell r="I84">
            <v>0.16298330523682636</v>
          </cell>
          <cell r="K84" t="str">
            <v xml:space="preserve">--  </v>
          </cell>
          <cell r="L84">
            <v>2.3013597703017585</v>
          </cell>
          <cell r="N84" t="str">
            <v>NA</v>
          </cell>
          <cell r="O84">
            <v>1.1831683168316833</v>
          </cell>
          <cell r="P84">
            <v>1.1723356009070294</v>
          </cell>
          <cell r="Q84">
            <v>0.21398747390396666</v>
          </cell>
          <cell r="R84">
            <v>0.1917454858125538</v>
          </cell>
          <cell r="S84">
            <v>-1.1544011544011523E-2</v>
          </cell>
          <cell r="T84">
            <v>-0.43065693430656937</v>
          </cell>
          <cell r="U84">
            <v>0.34358974358974348</v>
          </cell>
          <cell r="V84">
            <v>3.4351145038167941E-2</v>
          </cell>
          <cell r="W84">
            <v>2.9520295202952074E-2</v>
          </cell>
          <cell r="X84">
            <v>0.83154121863799291</v>
          </cell>
          <cell r="Y84">
            <v>-0.3272994129158513</v>
          </cell>
          <cell r="Z84">
            <v>-4.0000000000000036E-2</v>
          </cell>
          <cell r="AA84">
            <v>-0.66363636363636358</v>
          </cell>
          <cell r="AB84">
            <v>0.14189189189189189</v>
          </cell>
          <cell r="AC84">
            <v>1.6035502958579881</v>
          </cell>
          <cell r="AD84">
            <v>0.49090909090909096</v>
          </cell>
          <cell r="AE84">
            <v>0.13483432061642264</v>
          </cell>
          <cell r="AF84">
            <v>4.7726760420446546E-2</v>
          </cell>
          <cell r="AG84">
            <v>9.8097064157964153E-2</v>
          </cell>
          <cell r="AH84">
            <v>1.3816344190469065E-2</v>
          </cell>
          <cell r="AI84">
            <v>2.5802460075930789E-2</v>
          </cell>
          <cell r="AJ84">
            <v>3.8381471630567709E-2</v>
          </cell>
          <cell r="AK84">
            <v>3.0505651064043793E-2</v>
          </cell>
          <cell r="AL84">
            <v>2.3967090203863339E-2</v>
          </cell>
          <cell r="AN84" t="str">
            <v>Pretax Income</v>
          </cell>
          <cell r="AU84" t="str">
            <v xml:space="preserve">NM  </v>
          </cell>
          <cell r="AV84" t="str">
            <v xml:space="preserve">NM  </v>
          </cell>
          <cell r="AW84" t="str">
            <v xml:space="preserve">NM  </v>
          </cell>
          <cell r="AX84" t="str">
            <v xml:space="preserve">NM  </v>
          </cell>
          <cell r="AY84" t="str">
            <v xml:space="preserve">NM  </v>
          </cell>
          <cell r="BA84" t="str">
            <v xml:space="preserve">NM  </v>
          </cell>
          <cell r="BB84" t="str">
            <v xml:space="preserve">NM  </v>
          </cell>
          <cell r="BC84" t="str">
            <v xml:space="preserve">NM  </v>
          </cell>
          <cell r="BD84" t="str">
            <v xml:space="preserve">NM  </v>
          </cell>
          <cell r="BE84" t="str">
            <v xml:space="preserve">NM  </v>
          </cell>
          <cell r="BG84">
            <v>0.72610550139274821</v>
          </cell>
          <cell r="BH84" t="str">
            <v xml:space="preserve">NM  </v>
          </cell>
          <cell r="BI84">
            <v>0.13468983523903932</v>
          </cell>
          <cell r="BJ84">
            <v>0.403693706492398</v>
          </cell>
          <cell r="BK84">
            <v>0.58521079105371432</v>
          </cell>
          <cell r="BM84">
            <v>0.46418215285307451</v>
          </cell>
          <cell r="BN84">
            <v>-0.43248023879277786</v>
          </cell>
          <cell r="BO84">
            <v>0.24313258747917277</v>
          </cell>
          <cell r="BP84">
            <v>0.137789203084834</v>
          </cell>
          <cell r="BQ84">
            <v>0.16298330523682614</v>
          </cell>
          <cell r="BS84" t="str">
            <v xml:space="preserve"> --  </v>
          </cell>
          <cell r="BT84" t="str">
            <v xml:space="preserve"> --  </v>
          </cell>
          <cell r="BU84" t="str">
            <v xml:space="preserve"> --  </v>
          </cell>
          <cell r="BV84" t="str">
            <v xml:space="preserve"> --  </v>
          </cell>
          <cell r="BW84" t="str">
            <v xml:space="preserve"> --  </v>
          </cell>
          <cell r="BY84" t="str">
            <v xml:space="preserve">NM </v>
          </cell>
          <cell r="BZ84" t="str">
            <v xml:space="preserve">NM </v>
          </cell>
          <cell r="CA84" t="str">
            <v xml:space="preserve">NM </v>
          </cell>
          <cell r="CC84" t="str">
            <v xml:space="preserve">NM </v>
          </cell>
          <cell r="CD84">
            <v>0.45877033771958153</v>
          </cell>
          <cell r="CE84">
            <v>0.34524859013417819</v>
          </cell>
          <cell r="CF84">
            <v>2.3013597703017599</v>
          </cell>
          <cell r="CG84">
            <v>1.9218592556476608</v>
          </cell>
          <cell r="CH84">
            <v>1.1829459884067255</v>
          </cell>
          <cell r="CJ84" t="str">
            <v xml:space="preserve">NM </v>
          </cell>
          <cell r="CK84" t="str">
            <v xml:space="preserve">NM </v>
          </cell>
          <cell r="CL84" t="str">
            <v xml:space="preserve">NM </v>
          </cell>
          <cell r="CM84">
            <v>0.11877233094735073</v>
          </cell>
          <cell r="CN84">
            <v>1.1911304132026577</v>
          </cell>
          <cell r="CP84">
            <v>-1.7664490999052544</v>
          </cell>
          <cell r="CQ84">
            <v>-3.8248118414450696</v>
          </cell>
          <cell r="CR84">
            <v>1.3810766588686971</v>
          </cell>
          <cell r="CS84">
            <v>0.34793188919827567</v>
          </cell>
          <cell r="CT84">
            <v>1.1707387792270185</v>
          </cell>
          <cell r="CV84">
            <v>1.3807888652336051</v>
          </cell>
          <cell r="CW84">
            <v>0.7140776397239661</v>
          </cell>
          <cell r="CX84">
            <v>5.0640890943475458E-2</v>
          </cell>
          <cell r="CY84">
            <v>8.7986298721735912E-2</v>
          </cell>
          <cell r="CZ84">
            <v>0.2136200941259947</v>
          </cell>
          <cell r="DB84">
            <v>0.44230769230769229</v>
          </cell>
          <cell r="DC84">
            <v>0.20725388601036276</v>
          </cell>
          <cell r="DD84">
            <v>0.14054054054054044</v>
          </cell>
          <cell r="DE84">
            <v>0.10425844346549185</v>
          </cell>
          <cell r="DF84">
            <v>0.15735167669819439</v>
          </cell>
          <cell r="DH84">
            <v>0.33333333333333326</v>
          </cell>
          <cell r="DI84">
            <v>0.39055793991416299</v>
          </cell>
          <cell r="DJ84">
            <v>-0.12322274881516593</v>
          </cell>
          <cell r="DK84">
            <v>-0.12101063829787229</v>
          </cell>
          <cell r="DL84">
            <v>1.7830609212481363E-2</v>
          </cell>
          <cell r="DN84">
            <v>-0.5</v>
          </cell>
          <cell r="DO84">
            <v>-0.58333333333333326</v>
          </cell>
          <cell r="DP84">
            <v>-0.75135135135135134</v>
          </cell>
          <cell r="DQ84">
            <v>-0.24508320726172461</v>
          </cell>
          <cell r="DR84">
            <v>-0.43065693430656937</v>
          </cell>
          <cell r="DT84">
            <v>0.47</v>
          </cell>
          <cell r="DU84">
            <v>0.64444444444444438</v>
          </cell>
          <cell r="DV84">
            <v>1.5</v>
          </cell>
          <cell r="DW84">
            <v>0.13026052104208419</v>
          </cell>
          <cell r="DX84">
            <v>0.34358974358974348</v>
          </cell>
          <cell r="DZ84">
            <v>-0.48299319727891155</v>
          </cell>
          <cell r="EA84">
            <v>-0.10360360360360366</v>
          </cell>
          <cell r="EB84">
            <v>-2.6086956521739091E-2</v>
          </cell>
          <cell r="EC84">
            <v>0.23581560283687941</v>
          </cell>
          <cell r="ED84">
            <v>3.4351145038167941E-2</v>
          </cell>
          <cell r="EF84">
            <v>1.0657894736842106</v>
          </cell>
          <cell r="EG84">
            <v>-0.36683417085427139</v>
          </cell>
          <cell r="EH84">
            <v>7.1428571428571397E-2</v>
          </cell>
          <cell r="EI84">
            <v>2.2955523672883782E-2</v>
          </cell>
          <cell r="EJ84">
            <v>2.9520295202952074E-2</v>
          </cell>
          <cell r="EK84" t="str">
            <v>Pretax Income</v>
          </cell>
          <cell r="EL84">
            <v>0.26114649681528657</v>
          </cell>
          <cell r="EM84">
            <v>0.88095238095238093</v>
          </cell>
          <cell r="EN84">
            <v>3.5166666666666666</v>
          </cell>
          <cell r="EO84">
            <v>0.49649368863955123</v>
          </cell>
          <cell r="EP84">
            <v>0.83154121863799291</v>
          </cell>
          <cell r="ER84">
            <v>-1.595959595959596</v>
          </cell>
          <cell r="ES84">
            <v>0.29113924050632911</v>
          </cell>
          <cell r="ET84">
            <v>-0.94464944649446492</v>
          </cell>
          <cell r="EU84">
            <v>8.434864104967188E-2</v>
          </cell>
          <cell r="EV84">
            <v>-0.3272994129158513</v>
          </cell>
          <cell r="EX84">
            <v>-1.7033898305084745</v>
          </cell>
          <cell r="EY84">
            <v>-0.63071895424836599</v>
          </cell>
          <cell r="EZ84">
            <v>0.26666666666666661</v>
          </cell>
          <cell r="FA84">
            <v>-6.1365600691443367E-2</v>
          </cell>
          <cell r="FB84">
            <v>-4.0000000000000036E-2</v>
          </cell>
          <cell r="FD84">
            <v>-2.2771084337349397</v>
          </cell>
          <cell r="FE84">
            <v>7.079646017699126E-2</v>
          </cell>
          <cell r="FF84">
            <v>-2.9736842105263159</v>
          </cell>
          <cell r="FG84">
            <v>-0.53591160220994483</v>
          </cell>
          <cell r="FH84">
            <v>-0.66363636363636358</v>
          </cell>
          <cell r="FJ84">
            <v>1.4056603773584904</v>
          </cell>
          <cell r="FK84">
            <v>-9.9173553719008267E-2</v>
          </cell>
          <cell r="FL84">
            <v>9.3333333333333268E-2</v>
          </cell>
          <cell r="FM84">
            <v>0.45833333333333326</v>
          </cell>
          <cell r="FN84">
            <v>0.14189189189189189</v>
          </cell>
          <cell r="FP84">
            <v>-1.1607843137254903</v>
          </cell>
          <cell r="FQ84">
            <v>1.2018348623853212</v>
          </cell>
          <cell r="FR84">
            <v>-1.1585365853658536</v>
          </cell>
          <cell r="FS84">
            <v>0.39591836734693886</v>
          </cell>
          <cell r="FT84">
            <v>1.6035502958579881</v>
          </cell>
          <cell r="FV84">
            <v>4.2195121951219514</v>
          </cell>
          <cell r="FW84">
            <v>0.64583333333333326</v>
          </cell>
          <cell r="FX84">
            <v>13.076923076923077</v>
          </cell>
          <cell r="FY84">
            <v>0.14619883040935666</v>
          </cell>
          <cell r="FZ84">
            <v>0.49090909090909096</v>
          </cell>
          <cell r="GB84">
            <v>0.30373831775700944</v>
          </cell>
          <cell r="GC84">
            <v>0.13670886075949373</v>
          </cell>
          <cell r="GD84">
            <v>-4.5601122805202454E-2</v>
          </cell>
          <cell r="GE84">
            <v>0.13154672486944907</v>
          </cell>
          <cell r="GF84">
            <v>0.13483432061642264</v>
          </cell>
        </row>
        <row r="85">
          <cell r="A85" t="str">
            <v>Net Income, Reported</v>
          </cell>
          <cell r="C85" t="str">
            <v>--</v>
          </cell>
          <cell r="D85" t="str">
            <v>--</v>
          </cell>
          <cell r="E85" t="str">
            <v>--</v>
          </cell>
          <cell r="F85" t="str">
            <v>NM</v>
          </cell>
          <cell r="G85">
            <v>4.2697454632093716</v>
          </cell>
          <cell r="H85">
            <v>0.59022063477709041</v>
          </cell>
          <cell r="I85">
            <v>0.16972540099983413</v>
          </cell>
          <cell r="K85" t="str">
            <v xml:space="preserve">--  </v>
          </cell>
          <cell r="L85">
            <v>3.0486739791766411</v>
          </cell>
          <cell r="N85" t="str">
            <v>NA</v>
          </cell>
          <cell r="O85">
            <v>2.5466666666666669</v>
          </cell>
          <cell r="P85">
            <v>1.0150375939849625</v>
          </cell>
          <cell r="Q85">
            <v>0.2350746268656716</v>
          </cell>
          <cell r="R85">
            <v>0.20090634441087607</v>
          </cell>
          <cell r="S85">
            <v>-1.2314465408805031</v>
          </cell>
          <cell r="T85">
            <v>0.5</v>
          </cell>
          <cell r="U85">
            <v>-3.9637681159420288</v>
          </cell>
          <cell r="V85">
            <v>-0.15281173594132025</v>
          </cell>
          <cell r="W85">
            <v>-5.7720057720057616E-3</v>
          </cell>
          <cell r="X85">
            <v>1.0414969667227032</v>
          </cell>
          <cell r="Y85">
            <v>-0.29270505075164965</v>
          </cell>
          <cell r="Z85">
            <v>-0.10239979896971985</v>
          </cell>
          <cell r="AA85">
            <v>-6.3784994400895858</v>
          </cell>
          <cell r="AB85">
            <v>-1.0684988548823653</v>
          </cell>
          <cell r="AC85">
            <v>1.4486322188449847</v>
          </cell>
          <cell r="AD85">
            <v>0.55908639523336645</v>
          </cell>
          <cell r="AE85">
            <v>0.1213160701218674</v>
          </cell>
          <cell r="AF85">
            <v>4.6715019631404564E-2</v>
          </cell>
          <cell r="AG85">
            <v>9.8097064157964153E-2</v>
          </cell>
          <cell r="AH85">
            <v>1.3816344190469065E-2</v>
          </cell>
          <cell r="AI85">
            <v>2.5802460075930789E-2</v>
          </cell>
          <cell r="AJ85">
            <v>3.8381471630567709E-2</v>
          </cell>
          <cell r="AK85">
            <v>3.0505651064043793E-2</v>
          </cell>
          <cell r="AL85">
            <v>2.3967090203863339E-2</v>
          </cell>
          <cell r="AN85" t="str">
            <v>Net Income, Reported</v>
          </cell>
          <cell r="AU85" t="str">
            <v xml:space="preserve">NM  </v>
          </cell>
          <cell r="AV85" t="str">
            <v xml:space="preserve">NM  </v>
          </cell>
          <cell r="AW85" t="str">
            <v xml:space="preserve">NM  </v>
          </cell>
          <cell r="AX85" t="str">
            <v xml:space="preserve">NM  </v>
          </cell>
          <cell r="AY85" t="str">
            <v xml:space="preserve">NM  </v>
          </cell>
          <cell r="BA85" t="str">
            <v xml:space="preserve">NM  </v>
          </cell>
          <cell r="BB85" t="str">
            <v xml:space="preserve">NM  </v>
          </cell>
          <cell r="BC85" t="str">
            <v xml:space="preserve">NM  </v>
          </cell>
          <cell r="BD85" t="str">
            <v xml:space="preserve">NM  </v>
          </cell>
          <cell r="BE85" t="str">
            <v xml:space="preserve">NM  </v>
          </cell>
          <cell r="BG85">
            <v>0.83711479850996984</v>
          </cell>
          <cell r="BH85" t="str">
            <v xml:space="preserve">NM  </v>
          </cell>
          <cell r="BI85">
            <v>9.3154328414921661E-2</v>
          </cell>
          <cell r="BJ85">
            <v>0.38871392824181727</v>
          </cell>
          <cell r="BK85">
            <v>0.5902206347770973</v>
          </cell>
          <cell r="BM85">
            <v>0.48488479262673212</v>
          </cell>
          <cell r="BN85">
            <v>-0.57392974133063923</v>
          </cell>
          <cell r="BO85">
            <v>0.28441084462982458</v>
          </cell>
          <cell r="BP85">
            <v>0.14084873730799452</v>
          </cell>
          <cell r="BQ85">
            <v>0.16972540099983369</v>
          </cell>
          <cell r="BS85" t="str">
            <v xml:space="preserve"> --  </v>
          </cell>
          <cell r="BT85" t="str">
            <v xml:space="preserve"> --  </v>
          </cell>
          <cell r="BU85" t="str">
            <v xml:space="preserve"> --  </v>
          </cell>
          <cell r="BV85" t="str">
            <v xml:space="preserve"> --  </v>
          </cell>
          <cell r="BW85" t="str">
            <v xml:space="preserve"> --  </v>
          </cell>
          <cell r="BY85" t="str">
            <v xml:space="preserve">NM </v>
          </cell>
          <cell r="BZ85" t="str">
            <v xml:space="preserve">NM </v>
          </cell>
          <cell r="CA85" t="str">
            <v xml:space="preserve">NM </v>
          </cell>
          <cell r="CC85" t="str">
            <v xml:space="preserve">NM </v>
          </cell>
          <cell r="CD85">
            <v>0.37055020770788127</v>
          </cell>
          <cell r="CE85">
            <v>0.33441950883194549</v>
          </cell>
          <cell r="CF85">
            <v>3.0486739791766455</v>
          </cell>
          <cell r="CG85">
            <v>2.8686737346110953</v>
          </cell>
          <cell r="CH85">
            <v>1.0154646949248605</v>
          </cell>
          <cell r="CJ85" t="str">
            <v xml:space="preserve">NM </v>
          </cell>
          <cell r="CK85" t="str">
            <v xml:space="preserve">NM </v>
          </cell>
          <cell r="CL85" t="str">
            <v xml:space="preserve">NM </v>
          </cell>
          <cell r="CM85">
            <v>0.1821292076273795</v>
          </cell>
          <cell r="CN85">
            <v>2.5848804756704831</v>
          </cell>
          <cell r="CP85">
            <v>-1.6344171083511347</v>
          </cell>
          <cell r="CQ85">
            <v>-3.440701651160242</v>
          </cell>
          <cell r="CR85">
            <v>1.5146288366306782</v>
          </cell>
          <cell r="CS85">
            <v>0.31077931687886151</v>
          </cell>
          <cell r="CT85">
            <v>1.1611549267169936</v>
          </cell>
          <cell r="CV85">
            <v>1.5035953281516088</v>
          </cell>
          <cell r="CW85">
            <v>0.61217417507909366</v>
          </cell>
          <cell r="CX85">
            <v>4.6482866221435382E-2</v>
          </cell>
          <cell r="CY85">
            <v>7.6289965178854002E-2</v>
          </cell>
          <cell r="CZ85">
            <v>0.19249316508388858</v>
          </cell>
          <cell r="DB85">
            <v>0.44436696882159565</v>
          </cell>
          <cell r="DC85">
            <v>0.28037383177570097</v>
          </cell>
          <cell r="DD85">
            <v>0.11818181818181817</v>
          </cell>
          <cell r="DE85">
            <v>9.8039215686274606E-2</v>
          </cell>
          <cell r="DF85">
            <v>0.1601876147418253</v>
          </cell>
          <cell r="DH85">
            <v>2.2988505747126409E-2</v>
          </cell>
          <cell r="DI85">
            <v>-0.54014598540145986</v>
          </cell>
          <cell r="DJ85">
            <v>-6.4308943089430892</v>
          </cell>
          <cell r="DK85">
            <v>-0.2589285714285714</v>
          </cell>
          <cell r="DL85">
            <v>-1.2314465408805031</v>
          </cell>
          <cell r="DN85">
            <v>-0.348314606741573</v>
          </cell>
          <cell r="DO85">
            <v>0.74603174603174605</v>
          </cell>
          <cell r="DP85">
            <v>-1.0044910179640718</v>
          </cell>
          <cell r="DQ85">
            <v>-2.346385542168675</v>
          </cell>
          <cell r="DR85">
            <v>0.5</v>
          </cell>
          <cell r="DT85">
            <v>0.53448275862068972</v>
          </cell>
          <cell r="DU85">
            <v>1.5636363636363635</v>
          </cell>
          <cell r="DV85">
            <v>34.333333333333336</v>
          </cell>
          <cell r="DW85">
            <v>-1.7628635346756152</v>
          </cell>
          <cell r="DX85">
            <v>-3.9637681159420288</v>
          </cell>
          <cell r="DZ85">
            <v>-0.4831460674157303</v>
          </cell>
          <cell r="EA85">
            <v>-0.57446808510638303</v>
          </cell>
          <cell r="EB85">
            <v>-0.36792452830188682</v>
          </cell>
          <cell r="EC85">
            <v>0.34897360703812308</v>
          </cell>
          <cell r="ED85">
            <v>-0.15281173594132025</v>
          </cell>
          <cell r="EF85">
            <v>1.1086956521739131</v>
          </cell>
          <cell r="EG85">
            <v>-0.35</v>
          </cell>
          <cell r="EH85">
            <v>0.10447761194029859</v>
          </cell>
          <cell r="EI85">
            <v>-4.3478260869565188E-2</v>
          </cell>
          <cell r="EJ85">
            <v>-5.7720057720057616E-3</v>
          </cell>
          <cell r="EK85" t="str">
            <v>Net Income, Reported</v>
          </cell>
          <cell r="EL85">
            <v>0.2716907216494846</v>
          </cell>
          <cell r="EM85">
            <v>0.89743589743589736</v>
          </cell>
          <cell r="EN85">
            <v>4.895100136107331</v>
          </cell>
          <cell r="EO85">
            <v>0.58863636363636362</v>
          </cell>
          <cell r="EP85">
            <v>1.0414969667227032</v>
          </cell>
          <cell r="ER85">
            <v>-1.4215509833487361</v>
          </cell>
          <cell r="ES85">
            <v>1.1410472972972974</v>
          </cell>
          <cell r="ET85">
            <v>-1.006876989296964</v>
          </cell>
          <cell r="EU85">
            <v>4.8640915593705314E-2</v>
          </cell>
          <cell r="EV85">
            <v>-0.29270505075164965</v>
          </cell>
          <cell r="EX85">
            <v>-1.6923076923076923</v>
          </cell>
          <cell r="EY85">
            <v>-0.76646942800788953</v>
          </cell>
          <cell r="EZ85">
            <v>-12</v>
          </cell>
          <cell r="FA85">
            <v>2.3192360163710735E-2</v>
          </cell>
          <cell r="FB85">
            <v>-0.10239979896971985</v>
          </cell>
          <cell r="FD85">
            <v>-2.6388888888888888</v>
          </cell>
          <cell r="FE85">
            <v>-1.3513513513513487E-2</v>
          </cell>
          <cell r="FF85">
            <v>-2.333333333333333</v>
          </cell>
          <cell r="FG85">
            <v>-7.3639999999999999</v>
          </cell>
          <cell r="FH85">
            <v>-6.3784994400895858</v>
          </cell>
          <cell r="FJ85">
            <v>0.49152542372881358</v>
          </cell>
          <cell r="FK85">
            <v>-0.90410958904109595</v>
          </cell>
          <cell r="FL85">
            <v>-0.20454545454545459</v>
          </cell>
          <cell r="FM85">
            <v>-1.0932327676513722</v>
          </cell>
          <cell r="FN85">
            <v>-1.0684988548823653</v>
          </cell>
          <cell r="FP85">
            <v>-1.2613636363636362</v>
          </cell>
          <cell r="FQ85">
            <v>20</v>
          </cell>
          <cell r="FR85">
            <v>-1.2857142857142856</v>
          </cell>
          <cell r="FS85">
            <v>0.49887640449438209</v>
          </cell>
          <cell r="FT85">
            <v>1.5744680851063828</v>
          </cell>
          <cell r="FV85">
            <v>4.6956521739130439</v>
          </cell>
          <cell r="FW85">
            <v>0.63945578231292521</v>
          </cell>
          <cell r="FX85">
            <v>12.9</v>
          </cell>
          <cell r="FY85">
            <v>0.11694152923538237</v>
          </cell>
          <cell r="FZ85">
            <v>0.48288075560802834</v>
          </cell>
          <cell r="GB85">
            <v>0.38167938931297707</v>
          </cell>
          <cell r="GC85">
            <v>0.15767634854771795</v>
          </cell>
          <cell r="GD85">
            <v>-0.20839822624612792</v>
          </cell>
          <cell r="GE85">
            <v>0.12528904365272142</v>
          </cell>
          <cell r="GF85">
            <v>0.1213160701218674</v>
          </cell>
        </row>
        <row r="86">
          <cell r="A86" t="str">
            <v>EPS, Before All Extraordinary Items</v>
          </cell>
          <cell r="C86" t="str">
            <v>--</v>
          </cell>
          <cell r="D86" t="str">
            <v>--</v>
          </cell>
          <cell r="E86" t="str">
            <v>--</v>
          </cell>
          <cell r="F86" t="str">
            <v>NM</v>
          </cell>
          <cell r="G86">
            <v>4.2697454632093716</v>
          </cell>
          <cell r="H86">
            <v>0.49352714229736749</v>
          </cell>
          <cell r="I86">
            <v>0.16715720920010613</v>
          </cell>
          <cell r="K86" t="str">
            <v xml:space="preserve">--  </v>
          </cell>
          <cell r="L86">
            <v>1.2429413062163106</v>
          </cell>
          <cell r="N86" t="str">
            <v>NA</v>
          </cell>
          <cell r="O86">
            <v>2.0831760191846533</v>
          </cell>
          <cell r="P86">
            <v>1.1166002434653026</v>
          </cell>
          <cell r="Q86">
            <v>0.19781195988990907</v>
          </cell>
          <cell r="R86">
            <v>0.23893143472537992</v>
          </cell>
          <cell r="S86">
            <v>0.11804933673070495</v>
          </cell>
          <cell r="T86">
            <v>-0.23747100765953244</v>
          </cell>
          <cell r="U86">
            <v>6.7412153054829504E-2</v>
          </cell>
          <cell r="V86">
            <v>8.2618698493725606E-2</v>
          </cell>
          <cell r="W86">
            <v>0.19253228900861408</v>
          </cell>
          <cell r="X86">
            <v>0.13546350508465377</v>
          </cell>
          <cell r="Y86">
            <v>-0.17112431238754444</v>
          </cell>
          <cell r="Z86">
            <v>2.511156865799169E-2</v>
          </cell>
          <cell r="AA86">
            <v>-0.3926266519774968</v>
          </cell>
          <cell r="AB86">
            <v>5.4566031260215864E-2</v>
          </cell>
          <cell r="AC86">
            <v>0.54543966376654018</v>
          </cell>
          <cell r="AD86">
            <v>0.36638230546571982</v>
          </cell>
          <cell r="AE86">
            <v>0.18944449755233173</v>
          </cell>
          <cell r="AF86">
            <v>0.15178647079450802</v>
          </cell>
          <cell r="AG86">
            <v>0.21619225683545951</v>
          </cell>
          <cell r="AH86">
            <v>0.10368489317104679</v>
          </cell>
          <cell r="AI86">
            <v>7.5550799930256041E-2</v>
          </cell>
          <cell r="AJ86">
            <v>8.0391871180272023E-2</v>
          </cell>
          <cell r="AK86">
            <v>0.1050161104972096</v>
          </cell>
          <cell r="AL86">
            <v>0.11070075260190304</v>
          </cell>
          <cell r="AN86" t="str">
            <v>EPS, Before All Extraordinary Items</v>
          </cell>
          <cell r="AU86" t="str">
            <v xml:space="preserve">NM  </v>
          </cell>
          <cell r="AV86" t="str">
            <v xml:space="preserve">NM  </v>
          </cell>
          <cell r="AW86" t="str">
            <v xml:space="preserve">NM  </v>
          </cell>
          <cell r="AX86" t="str">
            <v xml:space="preserve">NM  </v>
          </cell>
          <cell r="AY86" t="str">
            <v xml:space="preserve">NM  </v>
          </cell>
          <cell r="BA86" t="str">
            <v xml:space="preserve">NM  </v>
          </cell>
          <cell r="BB86" t="str">
            <v xml:space="preserve">NM  </v>
          </cell>
          <cell r="BC86" t="str">
            <v xml:space="preserve">NM  </v>
          </cell>
          <cell r="BD86" t="str">
            <v xml:space="preserve">NM  </v>
          </cell>
          <cell r="BE86" t="str">
            <v xml:space="preserve">NM  </v>
          </cell>
          <cell r="BG86">
            <v>0.15093972231627273</v>
          </cell>
          <cell r="BH86" t="str">
            <v xml:space="preserve">NM  </v>
          </cell>
          <cell r="BI86">
            <v>7.7195871065800059E-2</v>
          </cell>
          <cell r="BJ86">
            <v>0.24705403271076887</v>
          </cell>
          <cell r="BK86">
            <v>0.30893389999095677</v>
          </cell>
          <cell r="BM86">
            <v>0.47058823529411753</v>
          </cell>
          <cell r="BN86">
            <v>1.2483031355031047</v>
          </cell>
          <cell r="BO86">
            <v>0.29629629629629606</v>
          </cell>
          <cell r="BP86">
            <v>0.25961538461538458</v>
          </cell>
          <cell r="BQ86">
            <v>0.33175630280524948</v>
          </cell>
          <cell r="BS86" t="str">
            <v xml:space="preserve"> --  </v>
          </cell>
          <cell r="BT86" t="str">
            <v xml:space="preserve"> --  </v>
          </cell>
          <cell r="BU86" t="str">
            <v xml:space="preserve"> --  </v>
          </cell>
          <cell r="BV86" t="str">
            <v xml:space="preserve"> --  </v>
          </cell>
          <cell r="BW86" t="str">
            <v xml:space="preserve"> --  </v>
          </cell>
          <cell r="BY86" t="str">
            <v xml:space="preserve">NM </v>
          </cell>
          <cell r="BZ86" t="str">
            <v xml:space="preserve">NM </v>
          </cell>
          <cell r="CA86" t="str">
            <v xml:space="preserve">NM </v>
          </cell>
          <cell r="CC86" t="str">
            <v xml:space="preserve">NM </v>
          </cell>
          <cell r="CD86">
            <v>0.25642012991861307</v>
          </cell>
          <cell r="CE86">
            <v>0.21559931910688945</v>
          </cell>
          <cell r="CF86">
            <v>1.242941306216311</v>
          </cell>
          <cell r="CG86">
            <v>1.273034974194021</v>
          </cell>
          <cell r="CH86">
            <v>0.80871126553133621</v>
          </cell>
          <cell r="CJ86" t="str">
            <v xml:space="preserve">NM </v>
          </cell>
          <cell r="CK86" t="str">
            <v xml:space="preserve">NM </v>
          </cell>
          <cell r="CL86" t="str">
            <v xml:space="preserve">NM </v>
          </cell>
          <cell r="CM86">
            <v>0.13358996848546845</v>
          </cell>
          <cell r="CN86">
            <v>0.5557153119638325</v>
          </cell>
          <cell r="CP86">
            <v>1.8847721822542178</v>
          </cell>
          <cell r="CQ86">
            <v>0.98095749761223572</v>
          </cell>
          <cell r="CR86">
            <v>0.5218694349129136</v>
          </cell>
          <cell r="CS86">
            <v>9.3307514801961533E-2</v>
          </cell>
          <cell r="CT86">
            <v>0.25831729550304816</v>
          </cell>
          <cell r="CV86">
            <v>1.5034529101088574</v>
          </cell>
          <cell r="CW86">
            <v>0.60059447200373395</v>
          </cell>
          <cell r="CX86">
            <v>-0.17311732873453067</v>
          </cell>
          <cell r="CY86">
            <v>7.9567640585938015E-2</v>
          </cell>
          <cell r="CZ86">
            <v>0.15234039797565679</v>
          </cell>
          <cell r="DB86">
            <v>-0.26911815031362007</v>
          </cell>
          <cell r="DC86">
            <v>-0.35868875191480443</v>
          </cell>
          <cell r="DD86">
            <v>-0.29612724531270496</v>
          </cell>
          <cell r="DE86">
            <v>-0.45822134788913216</v>
          </cell>
          <cell r="DF86">
            <v>-0.40232656840273939</v>
          </cell>
          <cell r="DH86">
            <v>0.3569488949468862</v>
          </cell>
          <cell r="DI86">
            <v>0.50706646361742713</v>
          </cell>
          <cell r="DJ86">
            <v>-3.0975973608567631E-2</v>
          </cell>
          <cell r="DK86">
            <v>9.1775708959831892E-2</v>
          </cell>
          <cell r="DL86">
            <v>0.16010779214312887</v>
          </cell>
          <cell r="DN86">
            <v>-0.20822262267582348</v>
          </cell>
          <cell r="DO86">
            <v>-0.43841864714537893</v>
          </cell>
          <cell r="DP86">
            <v>-0.59273991713233776</v>
          </cell>
          <cell r="DQ86">
            <v>-9.5511908313649863E-2</v>
          </cell>
          <cell r="DR86">
            <v>-0.23747100765953244</v>
          </cell>
          <cell r="DT86">
            <v>1.0022997402227452E-2</v>
          </cell>
          <cell r="DU86">
            <v>0.25077409537636819</v>
          </cell>
          <cell r="DV86">
            <v>0.73436521566609403</v>
          </cell>
          <cell r="DW86">
            <v>-8.1762364367958806E-3</v>
          </cell>
          <cell r="DX86">
            <v>6.7412153054829504E-2</v>
          </cell>
          <cell r="DZ86">
            <v>-0.38502923283127022</v>
          </cell>
          <cell r="EA86">
            <v>3.0104736134886956E-2</v>
          </cell>
          <cell r="EB86">
            <v>0.18641645511193183</v>
          </cell>
          <cell r="EC86">
            <v>0.16982420675683696</v>
          </cell>
          <cell r="ED86">
            <v>8.2618698493725606E-2</v>
          </cell>
          <cell r="EF86">
            <v>1.2002944973744478</v>
          </cell>
          <cell r="EG86">
            <v>9.1284054291573158E-2</v>
          </cell>
          <cell r="EH86">
            <v>0.21440795242992539</v>
          </cell>
          <cell r="EI86">
            <v>0.11331568332715758</v>
          </cell>
          <cell r="EJ86">
            <v>0.19253228900861408</v>
          </cell>
          <cell r="EK86" t="str">
            <v>EPS, Before All Extraordinary Items</v>
          </cell>
          <cell r="EL86">
            <v>0.20924520779639133</v>
          </cell>
          <cell r="EM86">
            <v>0.14652501106684346</v>
          </cell>
          <cell r="EN86">
            <v>-0.41739246783196837</v>
          </cell>
          <cell r="EO86">
            <v>2.6745738601636537E-2</v>
          </cell>
          <cell r="EP86">
            <v>0.13546350508465377</v>
          </cell>
          <cell r="ER86">
            <v>-0.96536392307397523</v>
          </cell>
          <cell r="ES86">
            <v>-0.22511768742991911</v>
          </cell>
          <cell r="ET86">
            <v>0.27056097610725471</v>
          </cell>
          <cell r="EU86">
            <v>0.19806697860755884</v>
          </cell>
          <cell r="EV86">
            <v>-0.17112431238754444</v>
          </cell>
          <cell r="EX86">
            <v>11.942309582309582</v>
          </cell>
          <cell r="EY86">
            <v>4.1797260273972681E-2</v>
          </cell>
          <cell r="EZ86">
            <v>-0.60815006068840372</v>
          </cell>
          <cell r="FA86">
            <v>4.4816334601294416E-2</v>
          </cell>
          <cell r="FB86">
            <v>2.511156865799169E-2</v>
          </cell>
          <cell r="FD86">
            <v>-0.9375</v>
          </cell>
          <cell r="FE86">
            <v>-0.14705882352941191</v>
          </cell>
          <cell r="FF86">
            <v>-2</v>
          </cell>
          <cell r="FG86">
            <v>-0.3652694610778443</v>
          </cell>
          <cell r="FH86">
            <v>-0.3926266519774968</v>
          </cell>
          <cell r="FJ86">
            <v>-17</v>
          </cell>
          <cell r="FK86">
            <v>-0.31034482758620685</v>
          </cell>
          <cell r="FL86">
            <v>-0.625</v>
          </cell>
          <cell r="FM86">
            <v>0.27358490566037741</v>
          </cell>
          <cell r="FN86">
            <v>5.4566031260215864E-2</v>
          </cell>
          <cell r="FP86">
            <v>-1.5865790708587517</v>
          </cell>
          <cell r="FQ86">
            <v>0.74999999999999978</v>
          </cell>
          <cell r="FR86">
            <v>-3.6816339257873398</v>
          </cell>
          <cell r="FS86">
            <v>0.17777777777777781</v>
          </cell>
          <cell r="FT86">
            <v>0.54543966376654018</v>
          </cell>
          <cell r="FV86">
            <v>2.2460581395348833</v>
          </cell>
          <cell r="FW86">
            <v>0.58437972519886916</v>
          </cell>
          <cell r="FX86">
            <v>3.0013949179745154</v>
          </cell>
          <cell r="FY86">
            <v>7.2258601986732174E-2</v>
          </cell>
          <cell r="FZ86">
            <v>0.36638230546571982</v>
          </cell>
          <cell r="GB86">
            <v>0.40222359547930187</v>
          </cell>
          <cell r="GC86">
            <v>0.20624824041917611</v>
          </cell>
          <cell r="GD86">
            <v>-0.15861801416910437</v>
          </cell>
          <cell r="GE86">
            <v>0.23691312416154275</v>
          </cell>
          <cell r="GF86">
            <v>0.1894444975523315</v>
          </cell>
        </row>
        <row r="87">
          <cell r="A87" t="str">
            <v>EPS Diluted, Reported</v>
          </cell>
          <cell r="N87" t="str">
            <v>NA</v>
          </cell>
          <cell r="O87">
            <v>2.2064682872901682</v>
          </cell>
          <cell r="P87">
            <v>0.93578477247880953</v>
          </cell>
          <cell r="Q87">
            <v>0.22992133264419734</v>
          </cell>
          <cell r="R87">
            <v>0.22243255164301989</v>
          </cell>
          <cell r="S87">
            <v>-1.2456829504645728</v>
          </cell>
          <cell r="T87">
            <v>0.55467184368737477</v>
          </cell>
          <cell r="U87">
            <v>-3.976817793141421</v>
          </cell>
          <cell r="V87">
            <v>-9.7762659297635945E-2</v>
          </cell>
          <cell r="W87">
            <v>4.0016904008823184E-2</v>
          </cell>
          <cell r="X87">
            <v>0.67589282323900779</v>
          </cell>
          <cell r="Y87">
            <v>-0.43876139320187513</v>
          </cell>
          <cell r="Z87">
            <v>6.3775441193242965E-2</v>
          </cell>
          <cell r="AA87">
            <v>-6.8981600687855193</v>
          </cell>
          <cell r="AB87">
            <v>-1.0683488337132727</v>
          </cell>
          <cell r="AC87">
            <v>1.5289650455927051</v>
          </cell>
          <cell r="AD87">
            <v>0.48223350253807107</v>
          </cell>
          <cell r="AE87">
            <v>0.17465753424657549</v>
          </cell>
          <cell r="AF87">
            <v>0.15026075561396901</v>
          </cell>
          <cell r="AG87">
            <v>0.21619225683545951</v>
          </cell>
          <cell r="AH87">
            <v>0.10368489317104679</v>
          </cell>
          <cell r="AI87">
            <v>7.5550799930256041E-2</v>
          </cell>
          <cell r="AJ87">
            <v>8.0391871180272023E-2</v>
          </cell>
          <cell r="AK87">
            <v>0.1050161104972096</v>
          </cell>
          <cell r="AL87">
            <v>0.11070075260190304</v>
          </cell>
          <cell r="AN87" t="str">
            <v>EPS Diluted, Reported</v>
          </cell>
          <cell r="CP87">
            <v>2.0499765917603208</v>
          </cell>
          <cell r="CQ87">
            <v>0.90901548672567323</v>
          </cell>
          <cell r="CR87">
            <v>0.44316340604453752</v>
          </cell>
          <cell r="CS87">
            <v>7.3039696864150017E-3</v>
          </cell>
          <cell r="CT87">
            <v>0.1820266466798135</v>
          </cell>
          <cell r="CV87">
            <v>1.1399977372987853</v>
          </cell>
          <cell r="CW87">
            <v>0.50736428049067683</v>
          </cell>
          <cell r="CX87">
            <v>-0.2015756294478438</v>
          </cell>
          <cell r="CY87">
            <v>0.13072202033902447</v>
          </cell>
          <cell r="CZ87">
            <v>0.13765736493310232</v>
          </cell>
          <cell r="DB87">
            <v>-0.22622031593063341</v>
          </cell>
          <cell r="DC87">
            <v>-0.32952032783985374</v>
          </cell>
          <cell r="DD87">
            <v>-0.26449326496369807</v>
          </cell>
          <cell r="DE87">
            <v>-0.45797109202935382</v>
          </cell>
          <cell r="DF87">
            <v>-0.38246866698014048</v>
          </cell>
          <cell r="DH87">
            <v>2.3345318412651306E-2</v>
          </cell>
          <cell r="DI87">
            <v>-0.51059181851599011</v>
          </cell>
          <cell r="DJ87">
            <v>-6.938605959903458</v>
          </cell>
          <cell r="DK87">
            <v>-0.1916586947278911</v>
          </cell>
          <cell r="DL87">
            <v>-1.2456549810940736</v>
          </cell>
          <cell r="DN87">
            <v>-0.30786393354904007</v>
          </cell>
          <cell r="DO87">
            <v>0.82388586697203925</v>
          </cell>
          <cell r="DP87">
            <v>-1.0046410262722243</v>
          </cell>
          <cell r="DQ87">
            <v>-2.356478387312368</v>
          </cell>
          <cell r="DR87">
            <v>0.55467184368737477</v>
          </cell>
          <cell r="DT87">
            <v>0.51052810137926508</v>
          </cell>
          <cell r="DU87">
            <v>1.5145052490507034</v>
          </cell>
          <cell r="DV87">
            <v>34.098859962565932</v>
          </cell>
          <cell r="DW87">
            <v>-1.7971226803581755</v>
          </cell>
          <cell r="DX87">
            <v>-3.976817793141421</v>
          </cell>
          <cell r="DZ87">
            <v>-0.43844927744028617</v>
          </cell>
          <cell r="EA87">
            <v>-0.53741589379887245</v>
          </cell>
          <cell r="EB87">
            <v>-0.33320632791782234</v>
          </cell>
          <cell r="EC87">
            <v>0.40472238035780639</v>
          </cell>
          <cell r="ED87">
            <v>-9.7762659297635945E-2</v>
          </cell>
          <cell r="EF87">
            <v>1.1693693055752252</v>
          </cell>
          <cell r="EG87">
            <v>-0.33142857142857152</v>
          </cell>
          <cell r="EH87">
            <v>0.17604066821854025</v>
          </cell>
          <cell r="EI87">
            <v>2.0326843538787331E-2</v>
          </cell>
          <cell r="EJ87">
            <v>4.0016904008823184E-2</v>
          </cell>
          <cell r="EK87" t="str">
            <v>EPS Diluted, Reported</v>
          </cell>
          <cell r="EL87">
            <v>0.35558698453608217</v>
          </cell>
          <cell r="EM87">
            <v>0.96547144754316094</v>
          </cell>
          <cell r="EN87">
            <v>3.2230661891029717</v>
          </cell>
          <cell r="EO87">
            <v>-1.1617072930678152E-2</v>
          </cell>
          <cell r="EP87">
            <v>0.67589282323900779</v>
          </cell>
          <cell r="ER87">
            <v>-1.2610896412998625</v>
          </cell>
          <cell r="ES87">
            <v>0.34542922079805116</v>
          </cell>
          <cell r="ET87">
            <v>-1.0060891181827454</v>
          </cell>
          <cell r="EU87">
            <v>0.10971318583546186</v>
          </cell>
          <cell r="EV87">
            <v>-0.43876139320187513</v>
          </cell>
          <cell r="EX87">
            <v>-1.810889362526642</v>
          </cell>
          <cell r="EY87">
            <v>-0.71474378362169477</v>
          </cell>
          <cell r="EZ87">
            <v>-14.807121661721066</v>
          </cell>
          <cell r="FA87">
            <v>0.27023895272896103</v>
          </cell>
          <cell r="FB87">
            <v>6.3775441193242965E-2</v>
          </cell>
          <cell r="FD87">
            <v>-2.8526666666666669</v>
          </cell>
          <cell r="FE87">
            <v>5.170270270270283E-2</v>
          </cell>
          <cell r="FF87">
            <v>-2.3275757575757576</v>
          </cell>
          <cell r="FG87">
            <v>-7.3726942536051361</v>
          </cell>
          <cell r="FH87">
            <v>-6.8981600687855193</v>
          </cell>
          <cell r="FJ87">
            <v>0.49999999999999978</v>
          </cell>
          <cell r="FK87">
            <v>-0.88235294117647056</v>
          </cell>
          <cell r="FL87">
            <v>-0.20000000000000007</v>
          </cell>
          <cell r="FM87">
            <v>-1.092674315975287</v>
          </cell>
          <cell r="FN87">
            <v>-1.0683488337132727</v>
          </cell>
          <cell r="FP87">
            <v>-1.2380952380952381</v>
          </cell>
          <cell r="FQ87">
            <v>16.23329425556858</v>
          </cell>
          <cell r="FR87">
            <v>-1.25</v>
          </cell>
          <cell r="FS87">
            <v>0.47619047619047628</v>
          </cell>
          <cell r="FT87">
            <v>1.5289650455927051</v>
          </cell>
          <cell r="FV87">
            <v>4.9999999999999991</v>
          </cell>
          <cell r="FW87">
            <v>0.60889988761266101</v>
          </cell>
          <cell r="FX87">
            <v>15</v>
          </cell>
          <cell r="FY87">
            <v>0.1225806451612903</v>
          </cell>
          <cell r="FZ87">
            <v>0.48223350253807107</v>
          </cell>
          <cell r="GB87">
            <v>0.43333333333333335</v>
          </cell>
          <cell r="GC87">
            <v>0.20822406639004165</v>
          </cell>
          <cell r="GD87">
            <v>-0.15625</v>
          </cell>
          <cell r="GE87">
            <v>0.21264367816091956</v>
          </cell>
          <cell r="GF87">
            <v>0.17465753424657549</v>
          </cell>
        </row>
        <row r="89">
          <cell r="AR89">
            <v>68.3</v>
          </cell>
          <cell r="AU89">
            <v>66.742000000000004</v>
          </cell>
          <cell r="AV89">
            <v>66.046999999999997</v>
          </cell>
          <cell r="AW89">
            <v>64.048000000000002</v>
          </cell>
          <cell r="AX89">
            <v>64.046999999999997</v>
          </cell>
          <cell r="AY89">
            <v>260.88400000000001</v>
          </cell>
          <cell r="BA89">
            <v>56.853999999999999</v>
          </cell>
          <cell r="BB89">
            <v>57.481000000000002</v>
          </cell>
          <cell r="BC89">
            <v>58.634</v>
          </cell>
          <cell r="BD89">
            <v>57.152999999999999</v>
          </cell>
          <cell r="BE89">
            <v>230.12199999999999</v>
          </cell>
          <cell r="BG89">
            <v>56.424999999999997</v>
          </cell>
          <cell r="BH89">
            <v>56.37</v>
          </cell>
          <cell r="BI89">
            <v>57.966999999999999</v>
          </cell>
          <cell r="BJ89">
            <v>59.017999999999986</v>
          </cell>
          <cell r="BK89">
            <v>229.77999999999997</v>
          </cell>
          <cell r="BM89">
            <v>59.893000000000001</v>
          </cell>
          <cell r="BN89">
            <v>61.381999999999998</v>
          </cell>
          <cell r="BO89">
            <v>62.862000000000002</v>
          </cell>
          <cell r="BP89">
            <v>67.269000000000005</v>
          </cell>
          <cell r="BQ89">
            <v>251.40600000000001</v>
          </cell>
          <cell r="BS89">
            <v>136.37</v>
          </cell>
          <cell r="BT89">
            <v>141.60000000000002</v>
          </cell>
          <cell r="BU89">
            <v>136</v>
          </cell>
          <cell r="BV89">
            <v>137.10000000000002</v>
          </cell>
          <cell r="BW89">
            <v>551.07000000000005</v>
          </cell>
          <cell r="BY89">
            <v>115.258</v>
          </cell>
          <cell r="BZ89">
            <v>121</v>
          </cell>
          <cell r="CA89">
            <v>122.6</v>
          </cell>
          <cell r="CB89">
            <v>134.25</v>
          </cell>
          <cell r="CC89">
            <v>134.25</v>
          </cell>
          <cell r="CD89">
            <v>121.56399999999999</v>
          </cell>
          <cell r="CE89">
            <v>131.88</v>
          </cell>
          <cell r="CF89">
            <v>474.94499999999999</v>
          </cell>
          <cell r="CG89">
            <v>496.911</v>
          </cell>
          <cell r="CH89">
            <v>496.911</v>
          </cell>
          <cell r="CJ89">
            <v>133.32499999999999</v>
          </cell>
          <cell r="CK89">
            <v>133.30000000000001</v>
          </cell>
          <cell r="CL89">
            <v>135.27600000000001</v>
          </cell>
          <cell r="CM89">
            <v>131.46199999999999</v>
          </cell>
          <cell r="CN89">
            <v>533.36300000000006</v>
          </cell>
          <cell r="CP89">
            <v>145.684</v>
          </cell>
          <cell r="CQ89">
            <v>145.39400000000001</v>
          </cell>
          <cell r="CR89">
            <v>147.756</v>
          </cell>
          <cell r="CS89">
            <v>151.453</v>
          </cell>
          <cell r="CT89">
            <v>590.28699999999992</v>
          </cell>
          <cell r="CV89">
            <v>155</v>
          </cell>
          <cell r="CW89">
            <v>156</v>
          </cell>
          <cell r="CX89">
            <v>157</v>
          </cell>
          <cell r="CY89">
            <v>156</v>
          </cell>
          <cell r="CZ89">
            <v>624</v>
          </cell>
          <cell r="DB89">
            <v>173</v>
          </cell>
          <cell r="DC89">
            <v>187</v>
          </cell>
          <cell r="DD89">
            <v>191</v>
          </cell>
          <cell r="DE89">
            <v>187</v>
          </cell>
          <cell r="DF89">
            <v>738</v>
          </cell>
        </row>
        <row r="90">
          <cell r="A90" t="str">
            <v>∆ Sales - ∆ Expenses</v>
          </cell>
          <cell r="AN90" t="str">
            <v>∆ Sales - ∆ Expenses</v>
          </cell>
          <cell r="AU90">
            <v>108.2620000000001</v>
          </cell>
          <cell r="AV90">
            <v>74.555999999999898</v>
          </cell>
          <cell r="AW90">
            <v>117.31500000000005</v>
          </cell>
          <cell r="AX90">
            <v>227.72300000000027</v>
          </cell>
          <cell r="AY90">
            <v>527.85600000000034</v>
          </cell>
          <cell r="BA90">
            <v>141.51500000000016</v>
          </cell>
          <cell r="BB90">
            <v>89.155999999999949</v>
          </cell>
          <cell r="BC90">
            <v>169.40199999999993</v>
          </cell>
          <cell r="BD90">
            <v>268.48300000000006</v>
          </cell>
          <cell r="BE90">
            <v>668.55600000000004</v>
          </cell>
          <cell r="BG90">
            <v>143.20600000000007</v>
          </cell>
          <cell r="BH90">
            <v>118.40499999999997</v>
          </cell>
          <cell r="BI90">
            <v>165.34899999999993</v>
          </cell>
          <cell r="BJ90">
            <v>313.46299999999979</v>
          </cell>
          <cell r="BK90">
            <v>740.42299999999909</v>
          </cell>
          <cell r="BM90">
            <v>168.50100000000018</v>
          </cell>
          <cell r="BN90">
            <v>147.95599999999985</v>
          </cell>
          <cell r="BO90">
            <v>195.559</v>
          </cell>
          <cell r="BP90">
            <v>380.49400000000003</v>
          </cell>
          <cell r="BQ90">
            <v>892.50999999999885</v>
          </cell>
          <cell r="BS90">
            <v>196.87099999999998</v>
          </cell>
          <cell r="BT90">
            <v>173.67600000000004</v>
          </cell>
          <cell r="BU90">
            <v>260.07500000000005</v>
          </cell>
          <cell r="BV90">
            <v>603.24900000000014</v>
          </cell>
          <cell r="BW90">
            <v>1233.8709999999996</v>
          </cell>
          <cell r="BY90">
            <v>211.1449999999997</v>
          </cell>
          <cell r="BZ90">
            <v>237.19800000000009</v>
          </cell>
          <cell r="CA90">
            <v>309.19699999999978</v>
          </cell>
          <cell r="CC90">
            <v>278.36199999999985</v>
          </cell>
          <cell r="CD90">
            <v>717.53299999999979</v>
          </cell>
          <cell r="CE90">
            <v>757.60399999999947</v>
          </cell>
          <cell r="CF90">
            <v>1469.5959999999989</v>
          </cell>
          <cell r="CG90">
            <v>1521.3169999999991</v>
          </cell>
          <cell r="CH90">
            <v>1478.7909999999974</v>
          </cell>
          <cell r="CJ90">
            <v>266.31199999999984</v>
          </cell>
          <cell r="CK90">
            <v>307.97100000000006</v>
          </cell>
          <cell r="CL90">
            <v>366.89200000000045</v>
          </cell>
          <cell r="CM90">
            <v>794.05299999999966</v>
          </cell>
          <cell r="CN90">
            <v>1735.2279999999998</v>
          </cell>
          <cell r="CP90">
            <v>293.74400000000014</v>
          </cell>
          <cell r="CQ90">
            <v>357.25400000000036</v>
          </cell>
          <cell r="CR90">
            <v>415.71699999999998</v>
          </cell>
          <cell r="CS90">
            <v>864.35699999999997</v>
          </cell>
          <cell r="CT90">
            <v>1931.0720000000006</v>
          </cell>
          <cell r="CV90">
            <v>336</v>
          </cell>
          <cell r="CW90">
            <v>423</v>
          </cell>
          <cell r="CX90">
            <v>414</v>
          </cell>
          <cell r="CY90">
            <v>906</v>
          </cell>
          <cell r="CZ90">
            <v>2079</v>
          </cell>
          <cell r="DB90">
            <v>398</v>
          </cell>
          <cell r="DC90">
            <v>505</v>
          </cell>
          <cell r="DD90">
            <v>493</v>
          </cell>
          <cell r="DE90">
            <v>1043</v>
          </cell>
          <cell r="DF90">
            <v>2439</v>
          </cell>
          <cell r="FJ90">
            <v>-3.4194680167579095E-2</v>
          </cell>
          <cell r="FK90">
            <v>-1.5971577237682277E-3</v>
          </cell>
          <cell r="FL90">
            <v>-5.7525143184197214E-3</v>
          </cell>
          <cell r="FM90">
            <v>9.2433677127078395E-3</v>
          </cell>
          <cell r="FN90">
            <v>-5.1748072838055936E-3</v>
          </cell>
          <cell r="FP90">
            <v>5.0054493420776947E-2</v>
          </cell>
          <cell r="FQ90">
            <v>1.2157198738702135E-2</v>
          </cell>
          <cell r="FR90">
            <v>3.7873885884193381E-2</v>
          </cell>
          <cell r="FS90">
            <v>3.7804361854073099E-2</v>
          </cell>
          <cell r="FT90">
            <v>3.4486647181381613E-2</v>
          </cell>
          <cell r="FV90">
            <v>6.654750183230107E-2</v>
          </cell>
          <cell r="FW90">
            <v>6.0825738612125813E-2</v>
          </cell>
          <cell r="FX90">
            <v>6.5553021505009412E-2</v>
          </cell>
          <cell r="FY90">
            <v>2.4289824797099513E-2</v>
          </cell>
          <cell r="FZ90">
            <v>5.3530898326099363E-2</v>
          </cell>
          <cell r="GB90">
            <v>3.1980729489817339E-2</v>
          </cell>
          <cell r="GC90">
            <v>1.343934930906876E-2</v>
          </cell>
          <cell r="GD90">
            <v>-1.4520704841329835E-2</v>
          </cell>
          <cell r="GE90">
            <v>2.4716111945240593E-2</v>
          </cell>
          <cell r="GF90">
            <v>1.6065747463878788E-2</v>
          </cell>
        </row>
        <row r="91">
          <cell r="A91" t="str">
            <v>E = MorFYn Stanley Research Estimates</v>
          </cell>
        </row>
        <row r="92">
          <cell r="A92" t="str">
            <v>Macy's Inc.</v>
          </cell>
          <cell r="AN92" t="str">
            <v>Macy's Inc.</v>
          </cell>
        </row>
        <row r="93">
          <cell r="A93" t="str">
            <v>Annual Store Model</v>
          </cell>
          <cell r="F93" t="str">
            <v>Federated (Post-Bankruptcy)</v>
          </cell>
          <cell r="AN93" t="str">
            <v>Quarterly Store Model</v>
          </cell>
        </row>
        <row r="94">
          <cell r="A94" t="str">
            <v>($ Millions)</v>
          </cell>
          <cell r="J94" t="str">
            <v>91P-94E</v>
          </cell>
          <cell r="K94" t="str">
            <v>PFMA</v>
          </cell>
          <cell r="AN94" t="str">
            <v>($ Millions)</v>
          </cell>
          <cell r="EX94">
            <v>39447</v>
          </cell>
          <cell r="FD94">
            <v>39813</v>
          </cell>
          <cell r="FJ94">
            <v>40178</v>
          </cell>
          <cell r="FP94">
            <v>40543</v>
          </cell>
          <cell r="FV94">
            <v>40908</v>
          </cell>
          <cell r="GB94">
            <v>41274</v>
          </cell>
          <cell r="GG94" t="str">
            <v xml:space="preserve"> </v>
          </cell>
        </row>
        <row r="95">
          <cell r="A95">
            <v>41396.636050578702</v>
          </cell>
          <cell r="B95">
            <v>1987</v>
          </cell>
          <cell r="C95">
            <v>1988</v>
          </cell>
          <cell r="D95">
            <v>1989</v>
          </cell>
          <cell r="E95">
            <v>1990</v>
          </cell>
          <cell r="F95">
            <v>1991</v>
          </cell>
          <cell r="G95" t="str">
            <v>1992</v>
          </cell>
          <cell r="H95">
            <v>1993</v>
          </cell>
          <cell r="I95">
            <v>1994</v>
          </cell>
          <cell r="J95" t="str">
            <v>CAGR</v>
          </cell>
          <cell r="K95">
            <v>1994</v>
          </cell>
          <cell r="M95">
            <v>1994</v>
          </cell>
          <cell r="N95">
            <v>1995</v>
          </cell>
          <cell r="O95">
            <v>1996</v>
          </cell>
          <cell r="P95">
            <v>1997</v>
          </cell>
          <cell r="Q95">
            <v>1998</v>
          </cell>
          <cell r="R95">
            <v>1999</v>
          </cell>
          <cell r="S95">
            <v>2000</v>
          </cell>
          <cell r="T95">
            <v>2001</v>
          </cell>
          <cell r="U95">
            <v>2002</v>
          </cell>
          <cell r="V95">
            <v>2003</v>
          </cell>
          <cell r="W95">
            <v>2004</v>
          </cell>
          <cell r="X95">
            <v>2005</v>
          </cell>
          <cell r="Y95">
            <v>2006</v>
          </cell>
          <cell r="Z95">
            <v>2007</v>
          </cell>
          <cell r="AA95">
            <v>2008</v>
          </cell>
          <cell r="AB95">
            <v>2009</v>
          </cell>
          <cell r="AC95">
            <v>2010</v>
          </cell>
          <cell r="AD95">
            <v>2011</v>
          </cell>
          <cell r="AE95" t="str">
            <v>2012E</v>
          </cell>
          <cell r="AF95" t="str">
            <v>2013E</v>
          </cell>
          <cell r="AG95" t="str">
            <v>2014E</v>
          </cell>
          <cell r="AH95" t="str">
            <v>2015E</v>
          </cell>
          <cell r="AI95" t="str">
            <v>2016E</v>
          </cell>
          <cell r="AJ95" t="str">
            <v>2017E</v>
          </cell>
          <cell r="AK95" t="str">
            <v>2017E</v>
          </cell>
          <cell r="AL95" t="str">
            <v>2017E</v>
          </cell>
          <cell r="AN95">
            <v>41396.636050578702</v>
          </cell>
          <cell r="BS95" t="str">
            <v>1994 (Pro forma for Macy's)</v>
          </cell>
          <cell r="BY95" t="str">
            <v>1995E</v>
          </cell>
          <cell r="CJ95" t="str">
            <v>1996A</v>
          </cell>
          <cell r="CP95" t="str">
            <v>1997A</v>
          </cell>
          <cell r="CX95">
            <v>1998</v>
          </cell>
          <cell r="DD95">
            <v>1999</v>
          </cell>
          <cell r="DJ95">
            <v>2000</v>
          </cell>
          <cell r="DP95">
            <v>2001</v>
          </cell>
          <cell r="DV95">
            <v>2002</v>
          </cell>
          <cell r="EB95">
            <v>2003</v>
          </cell>
          <cell r="EH95">
            <v>2004</v>
          </cell>
          <cell r="EN95">
            <v>2005</v>
          </cell>
          <cell r="ET95">
            <v>2006</v>
          </cell>
          <cell r="EX95">
            <v>1</v>
          </cell>
          <cell r="EY95">
            <v>2</v>
          </cell>
          <cell r="EZ95">
            <v>3</v>
          </cell>
          <cell r="FA95">
            <v>4</v>
          </cell>
          <cell r="FB95" t="str">
            <v>Year</v>
          </cell>
          <cell r="FD95">
            <v>1</v>
          </cell>
          <cell r="FE95">
            <v>2</v>
          </cell>
          <cell r="FF95">
            <v>3</v>
          </cell>
          <cell r="FG95">
            <v>4</v>
          </cell>
          <cell r="FH95" t="str">
            <v>Year</v>
          </cell>
          <cell r="FJ95">
            <v>1</v>
          </cell>
          <cell r="FK95">
            <v>2</v>
          </cell>
          <cell r="FL95">
            <v>3</v>
          </cell>
          <cell r="FM95">
            <v>4</v>
          </cell>
          <cell r="FN95" t="str">
            <v>Year</v>
          </cell>
          <cell r="FP95">
            <v>1</v>
          </cell>
          <cell r="FQ95">
            <v>2</v>
          </cell>
          <cell r="FR95">
            <v>3</v>
          </cell>
          <cell r="FS95">
            <v>4</v>
          </cell>
          <cell r="FT95" t="str">
            <v>Year</v>
          </cell>
          <cell r="FV95">
            <v>1</v>
          </cell>
          <cell r="FW95">
            <v>2</v>
          </cell>
          <cell r="FX95">
            <v>3</v>
          </cell>
          <cell r="FY95">
            <v>4</v>
          </cell>
          <cell r="FZ95" t="str">
            <v>Year</v>
          </cell>
          <cell r="GB95">
            <v>1</v>
          </cell>
          <cell r="GC95">
            <v>2</v>
          </cell>
          <cell r="GD95">
            <v>3</v>
          </cell>
          <cell r="GE95">
            <v>4</v>
          </cell>
          <cell r="GF95" t="str">
            <v>Year</v>
          </cell>
        </row>
        <row r="96">
          <cell r="A96" t="str">
            <v>TOTAL RETAIL COMPANY (A)</v>
          </cell>
          <cell r="AN96" t="str">
            <v>TOTAL RETAIL COMPANY (A)</v>
          </cell>
        </row>
        <row r="97">
          <cell r="A97" t="str">
            <v>Sales</v>
          </cell>
          <cell r="N97">
            <v>14614</v>
          </cell>
          <cell r="O97">
            <v>14833</v>
          </cell>
          <cell r="P97">
            <v>15220</v>
          </cell>
          <cell r="Q97">
            <v>15365</v>
          </cell>
          <cell r="R97">
            <v>16029</v>
          </cell>
          <cell r="S97">
            <v>16638</v>
          </cell>
          <cell r="T97">
            <v>15785</v>
          </cell>
          <cell r="U97">
            <v>15571</v>
          </cell>
          <cell r="V97">
            <v>15412</v>
          </cell>
          <cell r="W97">
            <v>15776</v>
          </cell>
          <cell r="X97">
            <v>22390</v>
          </cell>
          <cell r="Y97">
            <v>26970</v>
          </cell>
          <cell r="Z97">
            <v>26313</v>
          </cell>
          <cell r="AA97">
            <v>24892</v>
          </cell>
          <cell r="AB97">
            <v>23895</v>
          </cell>
          <cell r="AC97">
            <v>25003</v>
          </cell>
          <cell r="AD97">
            <v>26405</v>
          </cell>
          <cell r="AE97">
            <v>27697.820605365057</v>
          </cell>
          <cell r="AF97">
            <v>28358.892641397051</v>
          </cell>
          <cell r="AG97">
            <v>28905.408744504351</v>
          </cell>
          <cell r="AH97">
            <v>29204.897015558319</v>
          </cell>
          <cell r="AI97">
            <v>29496.945985713905</v>
          </cell>
          <cell r="AJ97">
            <v>29791.915445571045</v>
          </cell>
          <cell r="AK97">
            <v>30089.834600026756</v>
          </cell>
          <cell r="AL97">
            <v>30390.732946027023</v>
          </cell>
          <cell r="AN97" t="str">
            <v>Sales</v>
          </cell>
          <cell r="DB97">
            <v>3470</v>
          </cell>
          <cell r="DC97">
            <v>3609</v>
          </cell>
          <cell r="DD97">
            <v>3691</v>
          </cell>
          <cell r="DE97">
            <v>5259</v>
          </cell>
          <cell r="DF97">
            <v>16029</v>
          </cell>
          <cell r="DH97">
            <v>3573</v>
          </cell>
          <cell r="DI97">
            <v>3679</v>
          </cell>
          <cell r="DJ97">
            <v>3782</v>
          </cell>
          <cell r="DK97">
            <v>5604</v>
          </cell>
          <cell r="DL97">
            <v>16638</v>
          </cell>
          <cell r="DN97">
            <v>3556</v>
          </cell>
          <cell r="DO97">
            <v>3488</v>
          </cell>
          <cell r="DP97">
            <v>3475</v>
          </cell>
          <cell r="DQ97">
            <v>5132</v>
          </cell>
          <cell r="DR97">
            <v>15785</v>
          </cell>
          <cell r="DT97">
            <v>3453</v>
          </cell>
          <cell r="DU97">
            <v>3486</v>
          </cell>
          <cell r="DV97">
            <v>3479</v>
          </cell>
          <cell r="DW97">
            <v>5017</v>
          </cell>
          <cell r="DX97">
            <v>15571</v>
          </cell>
          <cell r="DZ97">
            <v>3291</v>
          </cell>
          <cell r="EA97">
            <v>3434</v>
          </cell>
          <cell r="EB97">
            <v>3486</v>
          </cell>
          <cell r="EC97">
            <v>5053</v>
          </cell>
          <cell r="ED97">
            <v>15412</v>
          </cell>
          <cell r="EF97">
            <v>3550</v>
          </cell>
          <cell r="EG97">
            <v>3581</v>
          </cell>
          <cell r="EH97">
            <v>3525</v>
          </cell>
          <cell r="EI97">
            <v>5120</v>
          </cell>
          <cell r="EJ97">
            <v>15776</v>
          </cell>
          <cell r="EL97">
            <v>3641</v>
          </cell>
          <cell r="EM97">
            <v>3623</v>
          </cell>
          <cell r="EN97">
            <v>5555</v>
          </cell>
          <cell r="EO97">
            <v>9571</v>
          </cell>
          <cell r="EP97">
            <v>22390</v>
          </cell>
          <cell r="ER97">
            <v>5930</v>
          </cell>
          <cell r="ES97">
            <v>5995</v>
          </cell>
          <cell r="ET97">
            <v>5886</v>
          </cell>
          <cell r="EU97">
            <v>9159</v>
          </cell>
          <cell r="EV97">
            <v>26970</v>
          </cell>
          <cell r="EX97">
            <v>5921</v>
          </cell>
          <cell r="EY97">
            <v>5892</v>
          </cell>
          <cell r="EZ97">
            <v>5906</v>
          </cell>
          <cell r="FA97">
            <v>8594</v>
          </cell>
          <cell r="FB97">
            <v>26313</v>
          </cell>
          <cell r="FD97">
            <v>5747</v>
          </cell>
          <cell r="FE97">
            <v>5718</v>
          </cell>
          <cell r="FF97">
            <v>5493</v>
          </cell>
          <cell r="FG97">
            <v>7934</v>
          </cell>
          <cell r="FH97">
            <v>24892</v>
          </cell>
          <cell r="FJ97">
            <v>5288</v>
          </cell>
          <cell r="FK97">
            <v>5285</v>
          </cell>
          <cell r="FL97">
            <v>5385</v>
          </cell>
          <cell r="FM97">
            <v>7937</v>
          </cell>
          <cell r="FN97">
            <v>23895</v>
          </cell>
          <cell r="FP97">
            <v>5574</v>
          </cell>
          <cell r="FQ97">
            <v>5537</v>
          </cell>
          <cell r="FR97">
            <v>5623</v>
          </cell>
          <cell r="FS97">
            <v>8269</v>
          </cell>
          <cell r="FT97">
            <v>25003</v>
          </cell>
          <cell r="FV97">
            <v>5889</v>
          </cell>
          <cell r="FW97">
            <v>5939</v>
          </cell>
          <cell r="FX97">
            <v>5853</v>
          </cell>
          <cell r="FY97">
            <v>8724</v>
          </cell>
          <cell r="FZ97">
            <v>26405</v>
          </cell>
          <cell r="GB97">
            <v>6143</v>
          </cell>
          <cell r="GC97">
            <v>6118</v>
          </cell>
          <cell r="GD97">
            <v>6069.6866469352608</v>
          </cell>
          <cell r="GE97">
            <v>9367.1339584297966</v>
          </cell>
          <cell r="GF97">
            <v>27697.820605365057</v>
          </cell>
        </row>
        <row r="98">
          <cell r="A98" t="str">
            <v>% Change</v>
          </cell>
          <cell r="N98" t="str">
            <v>NA</v>
          </cell>
          <cell r="O98">
            <v>1.4985630217599466E-2</v>
          </cell>
          <cell r="P98">
            <v>2.6090473943234604E-2</v>
          </cell>
          <cell r="Q98">
            <v>9.5269382391589552E-3</v>
          </cell>
          <cell r="R98">
            <v>4.3215099251545652E-2</v>
          </cell>
          <cell r="S98">
            <v>3.7993636533782515E-2</v>
          </cell>
          <cell r="T98">
            <v>-5.126818127178745E-2</v>
          </cell>
          <cell r="U98">
            <v>-1.3557174532784266E-2</v>
          </cell>
          <cell r="V98">
            <v>-1.0211290218996805E-2</v>
          </cell>
          <cell r="W98">
            <v>2.361796003114458E-2</v>
          </cell>
          <cell r="X98">
            <v>0.41924442190669375</v>
          </cell>
          <cell r="Y98">
            <v>0.20455560518088434</v>
          </cell>
          <cell r="Z98">
            <v>-2.4360400444938812E-2</v>
          </cell>
          <cell r="AA98">
            <v>-5.4003724394785846E-2</v>
          </cell>
          <cell r="AB98">
            <v>-4.0053029085650005E-2</v>
          </cell>
          <cell r="AC98">
            <v>4.6369533375183014E-2</v>
          </cell>
          <cell r="AD98">
            <v>5.60732712074552E-2</v>
          </cell>
          <cell r="AE98">
            <v>4.8961204520547419E-2</v>
          </cell>
          <cell r="AF98">
            <v>2.3867294306323394E-2</v>
          </cell>
          <cell r="AG98">
            <v>1.9271419022529823E-2</v>
          </cell>
          <cell r="AH98">
            <v>1.0360976857347159E-2</v>
          </cell>
          <cell r="AI98">
            <v>1.0000000000000009E-2</v>
          </cell>
          <cell r="AJ98">
            <v>1.0000000000000009E-2</v>
          </cell>
          <cell r="AK98">
            <v>1.0000000000000009E-2</v>
          </cell>
          <cell r="AL98">
            <v>1.0000000000000009E-2</v>
          </cell>
          <cell r="AN98" t="str">
            <v>% Change</v>
          </cell>
          <cell r="DH98">
            <v>2.9682997118155585E-2</v>
          </cell>
          <cell r="DI98">
            <v>1.9395954558049322E-2</v>
          </cell>
          <cell r="DJ98">
            <v>2.4654565158493735E-2</v>
          </cell>
          <cell r="DK98">
            <v>6.560182544209936E-2</v>
          </cell>
          <cell r="DL98">
            <v>3.7993636533782515E-2</v>
          </cell>
          <cell r="DN98">
            <v>-4.7579065211307281E-3</v>
          </cell>
          <cell r="DO98">
            <v>-5.191628159826045E-2</v>
          </cell>
          <cell r="DP98">
            <v>-8.1173982020095181E-2</v>
          </cell>
          <cell r="DQ98">
            <v>-8.4225553176302648E-2</v>
          </cell>
          <cell r="DR98">
            <v>-5.126818127178745E-2</v>
          </cell>
          <cell r="DT98">
            <v>-2.8965129358830111E-2</v>
          </cell>
          <cell r="DU98">
            <v>-5.7339449541282672E-4</v>
          </cell>
          <cell r="DV98">
            <v>1.1510791366906581E-3</v>
          </cell>
          <cell r="DW98">
            <v>-2.2408417770849565E-2</v>
          </cell>
          <cell r="DX98">
            <v>-1.3557174532784266E-2</v>
          </cell>
          <cell r="DZ98">
            <v>-4.6915725456125101E-2</v>
          </cell>
          <cell r="EA98">
            <v>-1.4916810097532984E-2</v>
          </cell>
          <cell r="EB98">
            <v>2.012072434607548E-3</v>
          </cell>
          <cell r="EC98">
            <v>7.1756029499701057E-3</v>
          </cell>
          <cell r="ED98">
            <v>-1.0211290218996805E-2</v>
          </cell>
          <cell r="EF98">
            <v>7.8699483439683915E-2</v>
          </cell>
          <cell r="EG98">
            <v>4.2807221898660375E-2</v>
          </cell>
          <cell r="EH98">
            <v>1.1187607573149849E-2</v>
          </cell>
          <cell r="EI98">
            <v>1.3259449831783066E-2</v>
          </cell>
          <cell r="EJ98">
            <v>2.361796003114458E-2</v>
          </cell>
          <cell r="EL98">
            <v>2.5633802816901419E-2</v>
          </cell>
          <cell r="EM98">
            <v>1.1728567439262871E-2</v>
          </cell>
          <cell r="EN98">
            <v>0.57588652482269498</v>
          </cell>
          <cell r="EO98">
            <v>0.86933593750000004</v>
          </cell>
          <cell r="EP98">
            <v>0.41924442190669375</v>
          </cell>
          <cell r="ER98">
            <v>0.62867344136226322</v>
          </cell>
          <cell r="ES98">
            <v>0.65470604471432514</v>
          </cell>
          <cell r="ET98">
            <v>5.9585958595859578E-2</v>
          </cell>
          <cell r="EU98">
            <v>-4.3046703583742518E-2</v>
          </cell>
          <cell r="EV98">
            <v>0.20455560518088434</v>
          </cell>
          <cell r="EX98">
            <v>-1.5177065767284503E-3</v>
          </cell>
          <cell r="EY98">
            <v>-1.7180984153461254E-2</v>
          </cell>
          <cell r="EZ98">
            <v>3.397893306150257E-3</v>
          </cell>
          <cell r="FA98">
            <v>-6.1687957200567745E-2</v>
          </cell>
          <cell r="FB98">
            <v>-2.4360400444938812E-2</v>
          </cell>
          <cell r="FD98">
            <v>-2.9386927883803371E-2</v>
          </cell>
          <cell r="FE98">
            <v>-2.9531568228105876E-2</v>
          </cell>
          <cell r="FF98">
            <v>-6.9928885878767333E-2</v>
          </cell>
          <cell r="FG98">
            <v>-7.6797765883174329E-2</v>
          </cell>
          <cell r="FH98">
            <v>-5.4003724394785846E-2</v>
          </cell>
          <cell r="FJ98">
            <v>-7.9867757090655966E-2</v>
          </cell>
          <cell r="FK98">
            <v>-7.5725778244141284E-2</v>
          </cell>
          <cell r="FL98">
            <v>-1.9661387220098359E-2</v>
          </cell>
          <cell r="FM98">
            <v>3.7811948575749987E-4</v>
          </cell>
          <cell r="FN98">
            <v>-4.0053029085650005E-2</v>
          </cell>
          <cell r="FP98">
            <v>5.4084720121028829E-2</v>
          </cell>
          <cell r="FQ98">
            <v>4.7682119205298079E-2</v>
          </cell>
          <cell r="FR98">
            <v>4.4196843082636939E-2</v>
          </cell>
          <cell r="FS98">
            <v>4.182940657679235E-2</v>
          </cell>
          <cell r="FT98">
            <v>4.6369533375183014E-2</v>
          </cell>
          <cell r="FV98">
            <v>5.6512378902045191E-2</v>
          </cell>
          <cell r="FW98">
            <v>7.2602492324363332E-2</v>
          </cell>
          <cell r="FX98">
            <v>4.0903432331495626E-2</v>
          </cell>
          <cell r="FY98">
            <v>5.5024791389527206E-2</v>
          </cell>
          <cell r="FZ98">
            <v>5.60732712074552E-2</v>
          </cell>
          <cell r="GB98">
            <v>4.313126167430803E-2</v>
          </cell>
          <cell r="GC98">
            <v>3.0139754167368249E-2</v>
          </cell>
          <cell r="GD98">
            <v>3.7021467099822347E-2</v>
          </cell>
          <cell r="GE98">
            <v>7.372007776590972E-2</v>
          </cell>
          <cell r="GF98">
            <v>4.8961204520547419E-2</v>
          </cell>
        </row>
        <row r="99">
          <cell r="A99" t="str">
            <v>Sales/Ave. Sq. Ft.</v>
          </cell>
          <cell r="N99">
            <v>185.41332301426695</v>
          </cell>
          <cell r="O99">
            <v>178.15063475096383</v>
          </cell>
          <cell r="P99">
            <v>185.57015271131161</v>
          </cell>
          <cell r="Q99">
            <v>188.14093733737411</v>
          </cell>
          <cell r="R99">
            <v>195.1982853628686</v>
          </cell>
          <cell r="S99">
            <v>201.28966693685953</v>
          </cell>
          <cell r="T99">
            <v>188.59020310633213</v>
          </cell>
          <cell r="U99">
            <v>185.92238805970149</v>
          </cell>
          <cell r="V99">
            <v>184.02388059701494</v>
          </cell>
          <cell r="W99">
            <v>188.59533771667662</v>
          </cell>
          <cell r="X99">
            <v>185.19437551695614</v>
          </cell>
          <cell r="Y99">
            <v>171.29247380120674</v>
          </cell>
          <cell r="Z99">
            <v>169.01924133080252</v>
          </cell>
          <cell r="AA99">
            <v>161.08616025782067</v>
          </cell>
          <cell r="AB99">
            <v>154.91537840650133</v>
          </cell>
          <cell r="AC99">
            <v>162.05355551450691</v>
          </cell>
          <cell r="AD99">
            <v>172.31421812545884</v>
          </cell>
          <cell r="AE99">
            <v>181.86236863425094</v>
          </cell>
          <cell r="AF99">
            <v>186.01972201820288</v>
          </cell>
          <cell r="AG99">
            <v>189.48961276294534</v>
          </cell>
          <cell r="AH99">
            <v>191.48711704856575</v>
          </cell>
          <cell r="AI99">
            <v>193.36743935804478</v>
          </cell>
          <cell r="AJ99">
            <v>195.30111375162525</v>
          </cell>
          <cell r="AK99">
            <v>197.25412488914151</v>
          </cell>
          <cell r="AL99">
            <v>199.22666613803293</v>
          </cell>
          <cell r="AN99" t="str">
            <v>Sales/Ave. Sq. Ft.</v>
          </cell>
          <cell r="DN99">
            <v>42.637889688249395</v>
          </cell>
          <cell r="DO99" t="str">
            <v>NA</v>
          </cell>
          <cell r="DP99" t="str">
            <v>NA</v>
          </cell>
          <cell r="DQ99">
            <v>61.095238095238095</v>
          </cell>
          <cell r="DR99">
            <v>188.59020310633213</v>
          </cell>
          <cell r="DT99">
            <v>40.928309062964026</v>
          </cell>
          <cell r="DU99">
            <v>41.051569071497894</v>
          </cell>
          <cell r="DV99">
            <v>40.531173985405189</v>
          </cell>
          <cell r="DW99">
            <v>58.999502465059471</v>
          </cell>
          <cell r="DX99">
            <v>185.92238805970149</v>
          </cell>
          <cell r="DZ99">
            <v>39.370030102818724</v>
          </cell>
          <cell r="EA99">
            <v>40.857109529919512</v>
          </cell>
          <cell r="EB99">
            <v>41.073351045396791</v>
          </cell>
          <cell r="EC99">
            <v>59.682254173501882</v>
          </cell>
          <cell r="ED99">
            <v>184.02388059701494</v>
          </cell>
          <cell r="EF99">
            <v>42.261904761904759</v>
          </cell>
          <cell r="EG99">
            <v>42.723255711192614</v>
          </cell>
          <cell r="EH99">
            <v>42.055145596747828</v>
          </cell>
          <cell r="EI99">
            <v>61.207411835026896</v>
          </cell>
          <cell r="EJ99">
            <v>188.59533771667662</v>
          </cell>
          <cell r="EL99">
            <v>43.709483793517407</v>
          </cell>
          <cell r="EM99">
            <v>43.445778155702293</v>
          </cell>
          <cell r="EN99">
            <v>43.791542109400297</v>
          </cell>
          <cell r="EO99">
            <v>58.232044198895025</v>
          </cell>
          <cell r="EP99">
            <v>185.19437551695614</v>
          </cell>
          <cell r="ER99">
            <v>37.564453920983773</v>
          </cell>
          <cell r="ES99">
            <v>38.241149916138319</v>
          </cell>
          <cell r="ET99">
            <v>37.633373672820916</v>
          </cell>
          <cell r="EU99">
            <v>58.543624876054047</v>
          </cell>
          <cell r="EV99">
            <v>171.29247380120674</v>
          </cell>
          <cell r="EX99">
            <v>37.779911755416386</v>
          </cell>
          <cell r="EY99">
            <v>37.537030548211384</v>
          </cell>
          <cell r="EZ99">
            <v>37.569496571290443</v>
          </cell>
          <cell r="FA99">
            <v>55.004768274652626</v>
          </cell>
          <cell r="FB99">
            <v>169.01924133080252</v>
          </cell>
          <cell r="FD99">
            <v>37.076342944882242</v>
          </cell>
          <cell r="FE99">
            <v>36.812659743637617</v>
          </cell>
          <cell r="FF99">
            <v>35.32180589404102</v>
          </cell>
          <cell r="FG99">
            <v>51.267967858977556</v>
          </cell>
          <cell r="FH99">
            <v>161.08616025782067</v>
          </cell>
          <cell r="FJ99">
            <v>34.278231896646723</v>
          </cell>
          <cell r="FK99">
            <v>34.219744501207565</v>
          </cell>
          <cell r="FL99">
            <v>34.76615964672159</v>
          </cell>
          <cell r="FM99">
            <v>51.249269551011977</v>
          </cell>
          <cell r="FN99">
            <v>154.91537840650133</v>
          </cell>
          <cell r="FP99">
            <v>36.112145899807253</v>
          </cell>
          <cell r="FQ99">
            <v>35.883477528271925</v>
          </cell>
          <cell r="FR99">
            <v>36.398238022338667</v>
          </cell>
          <cell r="FS99">
            <v>53.540615176423742</v>
          </cell>
          <cell r="FT99">
            <v>162.05355551450691</v>
          </cell>
          <cell r="FV99">
            <v>38.175188396402241</v>
          </cell>
          <cell r="FW99">
            <v>38.484218165795113</v>
          </cell>
          <cell r="FX99">
            <v>37.934811492569239</v>
          </cell>
          <cell r="FY99">
            <v>56.911364659373348</v>
          </cell>
          <cell r="FZ99">
            <v>172.31421812545884</v>
          </cell>
          <cell r="GB99">
            <v>40.344225186845712</v>
          </cell>
          <cell r="GC99">
            <v>40.196844961596831</v>
          </cell>
          <cell r="GD99">
            <v>39.865531591519826</v>
          </cell>
          <cell r="GE99">
            <v>61.502875554350474</v>
          </cell>
          <cell r="GF99">
            <v>181.86236863425094</v>
          </cell>
        </row>
        <row r="100">
          <cell r="A100" t="str">
            <v>% Change</v>
          </cell>
          <cell r="N100" t="str">
            <v>NA</v>
          </cell>
          <cell r="O100">
            <v>-3.9170261042914767E-2</v>
          </cell>
          <cell r="P100">
            <v>4.16474404973044E-2</v>
          </cell>
          <cell r="Q100">
            <v>1.3853438112226168E-2</v>
          </cell>
          <cell r="R100">
            <v>3.751096452144953E-2</v>
          </cell>
          <cell r="S100">
            <v>3.1206122342044118E-2</v>
          </cell>
          <cell r="T100">
            <v>-6.3090490554147394E-2</v>
          </cell>
          <cell r="U100">
            <v>-1.4146095622615373E-2</v>
          </cell>
          <cell r="V100">
            <v>-1.0211290218996805E-2</v>
          </cell>
          <cell r="W100">
            <v>2.4841651555389754E-2</v>
          </cell>
          <cell r="X100">
            <v>-1.8033119168776479E-2</v>
          </cell>
          <cell r="Y100">
            <v>-7.5066543878253844E-2</v>
          </cell>
          <cell r="Z100">
            <v>-1.3271058675014658E-2</v>
          </cell>
          <cell r="AA100">
            <v>-4.6935964275542585E-2</v>
          </cell>
          <cell r="AB100">
            <v>-3.8307337150770171E-2</v>
          </cell>
          <cell r="AC100">
            <v>4.607791157618224E-2</v>
          </cell>
          <cell r="AD100">
            <v>6.3316491750984083E-2</v>
          </cell>
          <cell r="AE100">
            <v>5.5411274894566542E-2</v>
          </cell>
          <cell r="AF100">
            <v>2.2859888030563047E-2</v>
          </cell>
          <cell r="AG100">
            <v>1.8653348726125563E-2</v>
          </cell>
          <cell r="AH100">
            <v>1.0541497533795186E-2</v>
          </cell>
          <cell r="AI100">
            <v>9.8195760553547728E-3</v>
          </cell>
          <cell r="AJ100">
            <v>1.0000000000000231E-2</v>
          </cell>
          <cell r="AK100">
            <v>1.0000000000000009E-2</v>
          </cell>
          <cell r="AL100">
            <v>1.0000000000000009E-2</v>
          </cell>
          <cell r="AN100" t="str">
            <v>% Change</v>
          </cell>
          <cell r="DN100" t="str">
            <v>NA</v>
          </cell>
          <cell r="DO100" t="str">
            <v>NA</v>
          </cell>
          <cell r="DP100" t="str">
            <v>NA</v>
          </cell>
          <cell r="DQ100" t="str">
            <v>NA</v>
          </cell>
          <cell r="DR100" t="str">
            <v>NA</v>
          </cell>
          <cell r="DT100">
            <v>-4.0095338624521859E-2</v>
          </cell>
          <cell r="DU100" t="str">
            <v>NA</v>
          </cell>
          <cell r="DV100" t="str">
            <v>NA</v>
          </cell>
          <cell r="DW100">
            <v>-3.430276557579981E-2</v>
          </cell>
          <cell r="DX100">
            <v>-1.4146095622615373E-2</v>
          </cell>
          <cell r="DZ100">
            <v>-3.8073377469566294E-2</v>
          </cell>
          <cell r="EA100">
            <v>-4.736957587167967E-3</v>
          </cell>
          <cell r="EB100">
            <v>1.3376791409664968E-2</v>
          </cell>
          <cell r="EC100">
            <v>1.1572160440619816E-2</v>
          </cell>
          <cell r="ED100">
            <v>-1.0211290218996805E-2</v>
          </cell>
          <cell r="EF100">
            <v>7.3453707084643272E-2</v>
          </cell>
          <cell r="EG100">
            <v>4.5674943791766065E-2</v>
          </cell>
          <cell r="EH100">
            <v>2.3903444115526362E-2</v>
          </cell>
          <cell r="EI100">
            <v>2.5554625619388371E-2</v>
          </cell>
          <cell r="EJ100">
            <v>2.4841651555389754E-2</v>
          </cell>
          <cell r="EL100">
            <v>3.4252574269144409E-2</v>
          </cell>
          <cell r="EM100">
            <v>1.6911689722194811E-2</v>
          </cell>
          <cell r="EN100">
            <v>4.1288562624468561E-2</v>
          </cell>
          <cell r="EO100">
            <v>-4.8611231008287348E-2</v>
          </cell>
          <cell r="EP100">
            <v>-1.8033119168776479E-2</v>
          </cell>
          <cell r="ER100">
            <v>-0.14058802207691612</v>
          </cell>
          <cell r="ES100">
            <v>-0.11979594935350146</v>
          </cell>
          <cell r="ET100">
            <v>-0.14062460785680952</v>
          </cell>
          <cell r="EU100">
            <v>5.3506738677213672E-3</v>
          </cell>
          <cell r="EV100">
            <v>-7.5066543878253844E-2</v>
          </cell>
          <cell r="EX100">
            <v>5.7356839230466861E-3</v>
          </cell>
          <cell r="EY100">
            <v>-1.8412609701095484E-2</v>
          </cell>
          <cell r="EZ100">
            <v>-1.6973525170985715E-3</v>
          </cell>
          <cell r="FA100">
            <v>-6.0448197543177873E-2</v>
          </cell>
          <cell r="FB100">
            <v>-1.3271058675014658E-2</v>
          </cell>
          <cell r="FD100">
            <v>-1.8622828319160289E-2</v>
          </cell>
          <cell r="FE100">
            <v>-1.9297498869640384E-2</v>
          </cell>
          <cell r="FF100">
            <v>-5.9827543150180129E-2</v>
          </cell>
          <cell r="FG100">
            <v>-6.7935935972246786E-2</v>
          </cell>
          <cell r="FH100">
            <v>-4.6935964275542585E-2</v>
          </cell>
          <cell r="FJ100">
            <v>-7.5468906207799336E-2</v>
          </cell>
          <cell r="FK100">
            <v>-7.0435422501037515E-2</v>
          </cell>
          <cell r="FL100">
            <v>-1.5730969390021166E-2</v>
          </cell>
          <cell r="FM100">
            <v>-3.6471716641883756E-4</v>
          </cell>
          <cell r="FN100">
            <v>-3.8307337150770171E-2</v>
          </cell>
          <cell r="FP100">
            <v>5.3500834252187213E-2</v>
          </cell>
          <cell r="FQ100">
            <v>4.8619095534323753E-2</v>
          </cell>
          <cell r="FR100">
            <v>4.6944453807999942E-2</v>
          </cell>
          <cell r="FS100">
            <v>4.4709820168871373E-2</v>
          </cell>
          <cell r="FT100">
            <v>4.607791157618224E-2</v>
          </cell>
          <cell r="FV100">
            <v>5.7128770533849682E-2</v>
          </cell>
          <cell r="FW100">
            <v>7.2477385601050326E-2</v>
          </cell>
          <cell r="FX100">
            <v>4.2215600361960703E-2</v>
          </cell>
          <cell r="FY100">
            <v>6.2956868759212359E-2</v>
          </cell>
          <cell r="FZ100">
            <v>6.3316491750984083E-2</v>
          </cell>
          <cell r="GB100">
            <v>5.681797213207429E-2</v>
          </cell>
          <cell r="GC100">
            <v>4.4502055061206969E-2</v>
          </cell>
          <cell r="GD100">
            <v>5.0895734629623268E-2</v>
          </cell>
          <cell r="GE100">
            <v>8.0678277923193376E-2</v>
          </cell>
          <cell r="GF100">
            <v>5.5411274894566542E-2</v>
          </cell>
        </row>
        <row r="102">
          <cell r="A102" t="str">
            <v>Number of Stores</v>
          </cell>
          <cell r="M102">
            <v>355</v>
          </cell>
          <cell r="N102">
            <v>412</v>
          </cell>
          <cell r="O102">
            <v>411</v>
          </cell>
          <cell r="P102">
            <v>400</v>
          </cell>
          <cell r="Q102">
            <v>401</v>
          </cell>
          <cell r="R102">
            <v>403</v>
          </cell>
          <cell r="S102">
            <v>440</v>
          </cell>
          <cell r="T102">
            <v>459</v>
          </cell>
          <cell r="U102">
            <v>455</v>
          </cell>
          <cell r="V102">
            <v>459</v>
          </cell>
          <cell r="W102">
            <v>459</v>
          </cell>
          <cell r="X102">
            <v>868</v>
          </cell>
          <cell r="Y102">
            <v>858</v>
          </cell>
          <cell r="Z102">
            <v>853</v>
          </cell>
          <cell r="AA102">
            <v>847</v>
          </cell>
          <cell r="AB102">
            <v>850</v>
          </cell>
          <cell r="AC102">
            <v>850</v>
          </cell>
          <cell r="AD102">
            <v>842</v>
          </cell>
          <cell r="AE102">
            <v>844</v>
          </cell>
          <cell r="AF102">
            <v>848</v>
          </cell>
          <cell r="AG102">
            <v>848</v>
          </cell>
          <cell r="AH102">
            <v>848</v>
          </cell>
          <cell r="AI102">
            <v>848</v>
          </cell>
          <cell r="AJ102">
            <v>848</v>
          </cell>
          <cell r="AK102">
            <v>848</v>
          </cell>
          <cell r="AL102">
            <v>848</v>
          </cell>
          <cell r="AN102" t="str">
            <v>Number of Stores</v>
          </cell>
          <cell r="DK102">
            <v>440</v>
          </cell>
          <cell r="DL102">
            <v>440</v>
          </cell>
          <cell r="DN102" t="str">
            <v>NA</v>
          </cell>
          <cell r="DO102" t="str">
            <v>NA</v>
          </cell>
          <cell r="DP102" t="str">
            <v>NA</v>
          </cell>
          <cell r="DQ102">
            <v>459</v>
          </cell>
          <cell r="DR102">
            <v>459</v>
          </cell>
          <cell r="DT102">
            <v>463</v>
          </cell>
          <cell r="DU102">
            <v>465</v>
          </cell>
          <cell r="DV102">
            <v>473</v>
          </cell>
          <cell r="DW102">
            <v>455</v>
          </cell>
          <cell r="DX102">
            <v>455</v>
          </cell>
          <cell r="DZ102">
            <v>456</v>
          </cell>
          <cell r="EA102">
            <v>460</v>
          </cell>
          <cell r="EB102">
            <v>465</v>
          </cell>
          <cell r="EC102">
            <v>459</v>
          </cell>
          <cell r="ED102">
            <v>459</v>
          </cell>
          <cell r="EF102">
            <v>459</v>
          </cell>
          <cell r="EG102">
            <v>457</v>
          </cell>
          <cell r="EH102">
            <v>459</v>
          </cell>
          <cell r="EI102">
            <v>459</v>
          </cell>
          <cell r="EJ102">
            <v>459</v>
          </cell>
          <cell r="EL102">
            <v>459</v>
          </cell>
          <cell r="EM102">
            <v>460</v>
          </cell>
          <cell r="EN102">
            <v>935</v>
          </cell>
          <cell r="EO102">
            <v>868</v>
          </cell>
          <cell r="EP102">
            <v>868</v>
          </cell>
          <cell r="ER102">
            <v>861</v>
          </cell>
          <cell r="ES102">
            <v>856</v>
          </cell>
          <cell r="ET102">
            <v>857</v>
          </cell>
          <cell r="EU102">
            <v>858</v>
          </cell>
          <cell r="EV102">
            <v>858</v>
          </cell>
          <cell r="EX102">
            <v>863</v>
          </cell>
          <cell r="EY102">
            <v>863</v>
          </cell>
          <cell r="EZ102">
            <v>866</v>
          </cell>
          <cell r="FA102">
            <v>852</v>
          </cell>
          <cell r="FB102">
            <v>852</v>
          </cell>
          <cell r="FD102">
            <v>851</v>
          </cell>
          <cell r="FE102">
            <v>855</v>
          </cell>
          <cell r="FF102">
            <v>856</v>
          </cell>
          <cell r="FG102">
            <v>847</v>
          </cell>
          <cell r="FH102">
            <v>847</v>
          </cell>
          <cell r="FJ102">
            <v>848</v>
          </cell>
          <cell r="FK102">
            <v>848</v>
          </cell>
          <cell r="FL102">
            <v>854</v>
          </cell>
          <cell r="FM102">
            <v>850</v>
          </cell>
          <cell r="FN102">
            <v>850</v>
          </cell>
          <cell r="FP102">
            <v>849</v>
          </cell>
          <cell r="FQ102">
            <v>849</v>
          </cell>
          <cell r="FR102">
            <v>854</v>
          </cell>
          <cell r="FS102">
            <v>850</v>
          </cell>
          <cell r="FT102">
            <v>850</v>
          </cell>
          <cell r="FV102">
            <v>850</v>
          </cell>
          <cell r="FW102">
            <v>849</v>
          </cell>
          <cell r="FX102">
            <v>850</v>
          </cell>
          <cell r="FY102">
            <v>842</v>
          </cell>
          <cell r="FZ102">
            <v>842</v>
          </cell>
          <cell r="GB102">
            <v>844</v>
          </cell>
          <cell r="GC102">
            <v>845</v>
          </cell>
          <cell r="GD102">
            <v>847</v>
          </cell>
          <cell r="GE102">
            <v>844</v>
          </cell>
          <cell r="GF102">
            <v>844</v>
          </cell>
          <cell r="GS102" t="str">
            <v>mstag:numberOfStores</v>
          </cell>
          <cell r="GT102">
            <v>0</v>
          </cell>
          <cell r="GU102" t="str">
            <v>ms_eqr_gcim_Decimal:ms_eqr_gcim_decimal</v>
          </cell>
          <cell r="GV102" t="b">
            <v>0</v>
          </cell>
          <cell r="GW102" t="b">
            <v>0</v>
          </cell>
        </row>
        <row r="103">
          <cell r="A103" t="str">
            <v>% Change</v>
          </cell>
          <cell r="N103">
            <v>0.16056338028169015</v>
          </cell>
          <cell r="O103">
            <v>-2.4271844660194164E-3</v>
          </cell>
          <cell r="P103">
            <v>-2.676399026763987E-2</v>
          </cell>
          <cell r="Q103">
            <v>2.4999999999999467E-3</v>
          </cell>
          <cell r="R103">
            <v>4.9875311720697368E-3</v>
          </cell>
          <cell r="S103">
            <v>9.1811414392059643E-2</v>
          </cell>
          <cell r="T103">
            <v>4.318181818181821E-2</v>
          </cell>
          <cell r="U103">
            <v>-8.7145969498910736E-3</v>
          </cell>
          <cell r="V103">
            <v>8.79120879120876E-3</v>
          </cell>
          <cell r="W103">
            <v>0</v>
          </cell>
          <cell r="X103">
            <v>0.89106753812636175</v>
          </cell>
          <cell r="Y103">
            <v>-1.1520737327188946E-2</v>
          </cell>
          <cell r="Z103">
            <v>-5.8275058275057967E-3</v>
          </cell>
          <cell r="AA103">
            <v>-7.0339976553340788E-3</v>
          </cell>
          <cell r="AB103">
            <v>3.5419126328217754E-3</v>
          </cell>
          <cell r="AC103">
            <v>0</v>
          </cell>
          <cell r="AD103">
            <v>-9.4117647058823417E-3</v>
          </cell>
          <cell r="AE103">
            <v>2.3752969121140222E-3</v>
          </cell>
          <cell r="AF103">
            <v>4.7393364928909332E-3</v>
          </cell>
          <cell r="AG103">
            <v>0</v>
          </cell>
          <cell r="AH103">
            <v>0</v>
          </cell>
          <cell r="AI103">
            <v>0</v>
          </cell>
          <cell r="AJ103">
            <v>0</v>
          </cell>
          <cell r="AK103">
            <v>0</v>
          </cell>
          <cell r="AL103">
            <v>0</v>
          </cell>
          <cell r="AN103" t="str">
            <v>% Change</v>
          </cell>
          <cell r="DL103">
            <v>9.1811414392059643E-2</v>
          </cell>
          <cell r="DN103" t="str">
            <v>NA</v>
          </cell>
          <cell r="DO103" t="str">
            <v>NA</v>
          </cell>
          <cell r="DP103" t="str">
            <v>NA</v>
          </cell>
          <cell r="DQ103">
            <v>4.318181818181821E-2</v>
          </cell>
          <cell r="DR103">
            <v>4.318181818181821E-2</v>
          </cell>
          <cell r="DT103" t="str">
            <v>NA</v>
          </cell>
          <cell r="DU103" t="str">
            <v>NA</v>
          </cell>
          <cell r="DV103" t="str">
            <v>NA</v>
          </cell>
          <cell r="DW103">
            <v>-8.7145969498910736E-3</v>
          </cell>
          <cell r="DX103">
            <v>-8.7145969498910736E-3</v>
          </cell>
          <cell r="DZ103">
            <v>-1.5118790496760237E-2</v>
          </cell>
          <cell r="EA103">
            <v>-1.0752688172043001E-2</v>
          </cell>
          <cell r="EB103">
            <v>-1.6913319238900604E-2</v>
          </cell>
          <cell r="EC103">
            <v>8.79120879120876E-3</v>
          </cell>
          <cell r="ED103">
            <v>8.79120879120876E-3</v>
          </cell>
          <cell r="EF103">
            <v>6.5789473684210176E-3</v>
          </cell>
          <cell r="EG103">
            <v>-6.521739130434745E-3</v>
          </cell>
          <cell r="EH103">
            <v>-1.2903225806451646E-2</v>
          </cell>
          <cell r="EI103">
            <v>0</v>
          </cell>
          <cell r="EJ103">
            <v>0</v>
          </cell>
          <cell r="EL103">
            <v>0</v>
          </cell>
          <cell r="EM103">
            <v>6.5645514223193757E-3</v>
          </cell>
          <cell r="EN103">
            <v>1.0370370370370372</v>
          </cell>
          <cell r="EO103">
            <v>0.89106753812636175</v>
          </cell>
          <cell r="EP103">
            <v>0.89106753812636175</v>
          </cell>
          <cell r="ER103">
            <v>0.87581699346405228</v>
          </cell>
          <cell r="ES103">
            <v>0.86086956521739122</v>
          </cell>
          <cell r="ET103">
            <v>-8.3422459893048084E-2</v>
          </cell>
          <cell r="EU103">
            <v>-1.1520737327188946E-2</v>
          </cell>
          <cell r="EV103">
            <v>-1.1520737327188946E-2</v>
          </cell>
          <cell r="EX103">
            <v>2.3228803716608404E-3</v>
          </cell>
          <cell r="EY103">
            <v>8.1775700934578754E-3</v>
          </cell>
          <cell r="EZ103">
            <v>1.0501750291715295E-2</v>
          </cell>
          <cell r="FA103">
            <v>-6.9930069930069783E-3</v>
          </cell>
          <cell r="FB103">
            <v>-6.9930069930069783E-3</v>
          </cell>
          <cell r="FD103">
            <v>-1.3904982618771711E-2</v>
          </cell>
          <cell r="FE103">
            <v>-9.2699884125144738E-3</v>
          </cell>
          <cell r="FF103">
            <v>-1.1547344110854452E-2</v>
          </cell>
          <cell r="FG103">
            <v>-5.8685446009389963E-3</v>
          </cell>
          <cell r="FH103">
            <v>-5.8685446009389963E-3</v>
          </cell>
          <cell r="FJ103">
            <v>-3.5252643948295859E-3</v>
          </cell>
          <cell r="FK103">
            <v>-8.1871345029239651E-3</v>
          </cell>
          <cell r="FL103">
            <v>-2.3364485981308691E-3</v>
          </cell>
          <cell r="FM103">
            <v>3.5419126328217754E-3</v>
          </cell>
          <cell r="FN103">
            <v>3.5419126328217754E-3</v>
          </cell>
          <cell r="FP103">
            <v>1.179245283018826E-3</v>
          </cell>
          <cell r="FQ103">
            <v>1.179245283018826E-3</v>
          </cell>
          <cell r="FR103">
            <v>0</v>
          </cell>
          <cell r="FS103">
            <v>0</v>
          </cell>
          <cell r="FT103">
            <v>0</v>
          </cell>
          <cell r="FV103">
            <v>1.1778563015312216E-3</v>
          </cell>
          <cell r="FW103">
            <v>0</v>
          </cell>
          <cell r="FX103">
            <v>-4.6838407494145251E-3</v>
          </cell>
          <cell r="FY103">
            <v>-9.4117647058823417E-3</v>
          </cell>
          <cell r="FZ103">
            <v>-9.4117647058823417E-3</v>
          </cell>
          <cell r="GB103">
            <v>-7.058823529411784E-3</v>
          </cell>
          <cell r="GC103">
            <v>-4.7114252061248862E-3</v>
          </cell>
          <cell r="GD103">
            <v>-3.529411764705892E-3</v>
          </cell>
          <cell r="GE103">
            <v>2.3752969121140222E-3</v>
          </cell>
          <cell r="GF103">
            <v>2.3752969121140222E-3</v>
          </cell>
        </row>
        <row r="104">
          <cell r="A104" t="str">
            <v>EOP Gross Square Feet (MM)</v>
          </cell>
          <cell r="M104">
            <v>74.134</v>
          </cell>
          <cell r="N104">
            <v>83.503</v>
          </cell>
          <cell r="O104">
            <v>83.018999999999991</v>
          </cell>
          <cell r="P104">
            <v>81.016000000000005</v>
          </cell>
          <cell r="Q104">
            <v>82.319000000000003</v>
          </cell>
          <cell r="R104">
            <v>81.914000000000001</v>
          </cell>
          <cell r="S104">
            <v>83.4</v>
          </cell>
          <cell r="T104">
            <v>84</v>
          </cell>
          <cell r="U104">
            <v>83.5</v>
          </cell>
          <cell r="V104">
            <v>84</v>
          </cell>
          <cell r="W104">
            <v>83.3</v>
          </cell>
          <cell r="X104">
            <v>158.5</v>
          </cell>
          <cell r="Y104">
            <v>156.4</v>
          </cell>
          <cell r="Z104">
            <v>154.96100000000001</v>
          </cell>
          <cell r="AA104">
            <v>154.09100000000001</v>
          </cell>
          <cell r="AB104">
            <v>154.4</v>
          </cell>
          <cell r="AC104">
            <v>154.17699999999999</v>
          </cell>
          <cell r="AD104">
            <v>152.298</v>
          </cell>
          <cell r="AE104">
            <v>152.30400000000003</v>
          </cell>
          <cell r="AF104">
            <v>152.59800000000001</v>
          </cell>
          <cell r="AG104">
            <v>152.489</v>
          </cell>
          <cell r="AH104">
            <v>152.54349999999999</v>
          </cell>
          <cell r="AI104">
            <v>152.54349999999999</v>
          </cell>
          <cell r="AJ104">
            <v>152.54349999999999</v>
          </cell>
          <cell r="AK104">
            <v>152.54349999999999</v>
          </cell>
          <cell r="AL104">
            <v>152.54349999999999</v>
          </cell>
          <cell r="AN104" t="str">
            <v>EOP Gross Square Feet (MM)</v>
          </cell>
          <cell r="DK104">
            <v>83.4</v>
          </cell>
          <cell r="DL104">
            <v>83.4</v>
          </cell>
          <cell r="DN104" t="str">
            <v>NA</v>
          </cell>
          <cell r="DO104" t="str">
            <v>NA</v>
          </cell>
          <cell r="DP104" t="str">
            <v>NA</v>
          </cell>
          <cell r="DQ104">
            <v>84</v>
          </cell>
          <cell r="DR104">
            <v>84</v>
          </cell>
          <cell r="DT104">
            <v>84.734065934065939</v>
          </cell>
          <cell r="DU104">
            <v>85.101098901098908</v>
          </cell>
          <cell r="DV104">
            <v>86.569230769230771</v>
          </cell>
          <cell r="DW104">
            <v>83.5</v>
          </cell>
          <cell r="DX104">
            <v>83.5</v>
          </cell>
          <cell r="DZ104">
            <v>83.683006535947712</v>
          </cell>
          <cell r="EA104">
            <v>84.415032679738559</v>
          </cell>
          <cell r="EB104">
            <v>85.330065359477118</v>
          </cell>
          <cell r="EC104">
            <v>84</v>
          </cell>
          <cell r="ED104">
            <v>84</v>
          </cell>
          <cell r="EF104">
            <v>84</v>
          </cell>
          <cell r="EG104">
            <v>83.637037037037032</v>
          </cell>
          <cell r="EH104">
            <v>84</v>
          </cell>
          <cell r="EI104">
            <v>83.3</v>
          </cell>
          <cell r="EJ104">
            <v>83.3</v>
          </cell>
          <cell r="EL104">
            <v>83.3</v>
          </cell>
          <cell r="EM104">
            <v>83.48260368663594</v>
          </cell>
          <cell r="EN104">
            <v>170.21935483870968</v>
          </cell>
          <cell r="EO104">
            <v>158.5</v>
          </cell>
          <cell r="EP104">
            <v>158.5</v>
          </cell>
          <cell r="ER104">
            <v>157.22400932400933</v>
          </cell>
          <cell r="ES104">
            <v>156.31258741258742</v>
          </cell>
          <cell r="ET104">
            <v>156.49487179487181</v>
          </cell>
          <cell r="EU104">
            <v>156.4</v>
          </cell>
          <cell r="EV104">
            <v>156.4</v>
          </cell>
          <cell r="EX104">
            <v>157.047</v>
          </cell>
          <cell r="EY104">
            <v>156.88300000000001</v>
          </cell>
          <cell r="EZ104">
            <v>157.52099999999999</v>
          </cell>
          <cell r="FA104">
            <v>154.96100000000001</v>
          </cell>
          <cell r="FB104">
            <v>154.96100000000001</v>
          </cell>
          <cell r="FD104">
            <v>155.048</v>
          </cell>
          <cell r="FE104">
            <v>155.60599999999999</v>
          </cell>
          <cell r="FF104">
            <v>155.41999999999999</v>
          </cell>
          <cell r="FG104">
            <v>154.09100000000001</v>
          </cell>
          <cell r="FH104">
            <v>154.09100000000001</v>
          </cell>
          <cell r="FJ104">
            <v>154.44300000000001</v>
          </cell>
          <cell r="FK104">
            <v>154.44300000000001</v>
          </cell>
          <cell r="FL104">
            <v>155.34100000000001</v>
          </cell>
          <cell r="FM104">
            <v>154.4</v>
          </cell>
          <cell r="FN104">
            <v>154.4</v>
          </cell>
          <cell r="FP104">
            <v>154.30500000000001</v>
          </cell>
          <cell r="FQ104">
            <v>154.30500000000001</v>
          </cell>
          <cell r="FR104">
            <v>154.666</v>
          </cell>
          <cell r="FS104">
            <v>154.221</v>
          </cell>
          <cell r="FT104">
            <v>154.17699999999999</v>
          </cell>
          <cell r="FV104">
            <v>154.34800000000001</v>
          </cell>
          <cell r="FW104">
            <v>154.298</v>
          </cell>
          <cell r="FX104">
            <v>154.28399999999999</v>
          </cell>
          <cell r="FY104">
            <v>152.298</v>
          </cell>
          <cell r="FZ104">
            <v>152.298</v>
          </cell>
          <cell r="GB104">
            <v>152.19800000000001</v>
          </cell>
          <cell r="GC104">
            <v>152.20400000000001</v>
          </cell>
          <cell r="GD104">
            <v>152.30400000000003</v>
          </cell>
          <cell r="GE104">
            <v>152.30400000000003</v>
          </cell>
          <cell r="GF104">
            <v>152.30400000000003</v>
          </cell>
          <cell r="GS104" t="str">
            <v>mstag:floorspace</v>
          </cell>
          <cell r="GT104">
            <v>6</v>
          </cell>
          <cell r="GU104" t="str">
            <v>area:squareFeet</v>
          </cell>
          <cell r="GV104" t="b">
            <v>0</v>
          </cell>
          <cell r="GW104" t="b">
            <v>0</v>
          </cell>
        </row>
        <row r="105">
          <cell r="A105" t="str">
            <v>% Change</v>
          </cell>
          <cell r="N105">
            <v>0.12637925917932402</v>
          </cell>
          <cell r="O105">
            <v>-5.7961989389603286E-3</v>
          </cell>
          <cell r="P105">
            <v>-2.4127007070670392E-2</v>
          </cell>
          <cell r="Q105">
            <v>1.6083242816233856E-2</v>
          </cell>
          <cell r="R105">
            <v>-4.9198848382512317E-3</v>
          </cell>
          <cell r="S105">
            <v>1.8140977122347968E-2</v>
          </cell>
          <cell r="T105">
            <v>7.194244604316502E-3</v>
          </cell>
          <cell r="U105">
            <v>-5.9523809523809312E-3</v>
          </cell>
          <cell r="V105">
            <v>5.9880239520957446E-3</v>
          </cell>
          <cell r="W105">
            <v>-8.3333333333334147E-3</v>
          </cell>
          <cell r="X105">
            <v>0.90276110444177671</v>
          </cell>
          <cell r="Y105">
            <v>-1.3249211356466839E-2</v>
          </cell>
          <cell r="Z105">
            <v>-9.200767263427112E-3</v>
          </cell>
          <cell r="AA105">
            <v>-5.614315860119623E-3</v>
          </cell>
          <cell r="AB105">
            <v>2.0053085514404323E-3</v>
          </cell>
          <cell r="AC105">
            <v>-1.4443005181348223E-3</v>
          </cell>
          <cell r="AD105">
            <v>-1.2187291230209341E-2</v>
          </cell>
          <cell r="AE105">
            <v>3.9396446440687072E-5</v>
          </cell>
          <cell r="AF105">
            <v>1.930349826662292E-3</v>
          </cell>
          <cell r="AG105">
            <v>-7.1429507595122121E-4</v>
          </cell>
          <cell r="AH105">
            <v>3.5740282905649678E-4</v>
          </cell>
          <cell r="AI105">
            <v>0</v>
          </cell>
          <cell r="AJ105">
            <v>0</v>
          </cell>
          <cell r="AK105">
            <v>0</v>
          </cell>
          <cell r="AL105">
            <v>0</v>
          </cell>
          <cell r="AN105" t="str">
            <v>% Change</v>
          </cell>
          <cell r="DL105">
            <v>1.8140977122347968E-2</v>
          </cell>
          <cell r="DN105" t="str">
            <v>NA</v>
          </cell>
          <cell r="DO105" t="str">
            <v>NA</v>
          </cell>
          <cell r="DP105" t="str">
            <v>NA</v>
          </cell>
          <cell r="DQ105">
            <v>7.194244604316502E-3</v>
          </cell>
          <cell r="DR105">
            <v>7.194244604316502E-3</v>
          </cell>
          <cell r="DT105" t="str">
            <v>NA</v>
          </cell>
          <cell r="DU105" t="str">
            <v>NA</v>
          </cell>
          <cell r="DV105" t="str">
            <v>NA</v>
          </cell>
          <cell r="DW105">
            <v>-5.9523809523809312E-3</v>
          </cell>
          <cell r="DX105">
            <v>-5.9523809523809312E-3</v>
          </cell>
          <cell r="DZ105">
            <v>-1.2404212951802496E-2</v>
          </cell>
          <cell r="EA105">
            <v>-8.0617786399875824E-3</v>
          </cell>
          <cell r="EB105">
            <v>-1.4314155257506234E-2</v>
          </cell>
          <cell r="EC105">
            <v>5.9880239520957446E-3</v>
          </cell>
          <cell r="ED105">
            <v>5.9880239520957446E-3</v>
          </cell>
          <cell r="EF105">
            <v>3.7880267114460686E-3</v>
          </cell>
          <cell r="EG105">
            <v>-9.2163163124411307E-3</v>
          </cell>
          <cell r="EH105">
            <v>-1.558730037149092E-2</v>
          </cell>
          <cell r="EI105">
            <v>-8.3333333333334147E-3</v>
          </cell>
          <cell r="EJ105">
            <v>-8.3333333333334147E-3</v>
          </cell>
          <cell r="EL105">
            <v>-8.3333333333334147E-3</v>
          </cell>
          <cell r="EM105">
            <v>-1.8464708444023703E-3</v>
          </cell>
          <cell r="EN105">
            <v>1.02642089093702</v>
          </cell>
          <cell r="EO105">
            <v>0.90276110444177671</v>
          </cell>
          <cell r="EP105">
            <v>0.90276110444177671</v>
          </cell>
          <cell r="ER105">
            <v>0.88744308912376146</v>
          </cell>
          <cell r="ES105">
            <v>0.87239712838053518</v>
          </cell>
          <cell r="ET105">
            <v>-8.0628216790284646E-2</v>
          </cell>
          <cell r="EU105">
            <v>-1.3249211356466839E-2</v>
          </cell>
          <cell r="EV105">
            <v>-1.3249211356466839E-2</v>
          </cell>
          <cell r="EX105">
            <v>-1.1258415605249761E-3</v>
          </cell>
          <cell r="EY105">
            <v>3.649178846403256E-3</v>
          </cell>
          <cell r="EZ105">
            <v>6.5569446037387902E-3</v>
          </cell>
          <cell r="FA105">
            <v>-9.200767263427112E-3</v>
          </cell>
          <cell r="FB105">
            <v>-9.200767263427112E-3</v>
          </cell>
          <cell r="FD105">
            <v>-1.272867358179397E-2</v>
          </cell>
          <cell r="FE105">
            <v>-8.13982394523316E-3</v>
          </cell>
          <cell r="FF105">
            <v>-1.3337904152462166E-2</v>
          </cell>
          <cell r="FG105">
            <v>-5.614315860119623E-3</v>
          </cell>
          <cell r="FH105">
            <v>-5.614315860119623E-3</v>
          </cell>
          <cell r="FJ105">
            <v>-3.9020174397604857E-3</v>
          </cell>
          <cell r="FK105">
            <v>-7.4740048584244212E-3</v>
          </cell>
          <cell r="FL105">
            <v>-5.0830009007840626E-4</v>
          </cell>
          <cell r="FM105">
            <v>2.0053085514404323E-3</v>
          </cell>
          <cell r="FN105">
            <v>2.0053085514404323E-3</v>
          </cell>
          <cell r="FP105">
            <v>-8.9353353664467505E-4</v>
          </cell>
          <cell r="FQ105">
            <v>-8.9353353664467505E-4</v>
          </cell>
          <cell r="FR105">
            <v>-4.3452790956670651E-3</v>
          </cell>
          <cell r="FS105">
            <v>-1.1593264248704882E-3</v>
          </cell>
          <cell r="FT105">
            <v>-1.4443005181348223E-3</v>
          </cell>
          <cell r="FV105">
            <v>2.7866887009508901E-4</v>
          </cell>
          <cell r="FW105">
            <v>-4.5364699782890483E-5</v>
          </cell>
          <cell r="FX105">
            <v>-2.4698382320613721E-3</v>
          </cell>
          <cell r="FY105">
            <v>-1.2469118991576988E-2</v>
          </cell>
          <cell r="FZ105">
            <v>-1.2187291230209341E-2</v>
          </cell>
          <cell r="GB105">
            <v>-1.3929561769507881E-2</v>
          </cell>
          <cell r="GC105">
            <v>-1.3571141557246369E-2</v>
          </cell>
          <cell r="GD105">
            <v>-1.2833475927510052E-2</v>
          </cell>
          <cell r="GE105">
            <v>3.9396446440687072E-5</v>
          </cell>
          <cell r="GF105">
            <v>3.9396446440687072E-5</v>
          </cell>
        </row>
        <row r="106">
          <cell r="A106" t="str">
            <v>Ave. Square Feet (MM)</v>
          </cell>
          <cell r="N106">
            <v>78.8185</v>
          </cell>
          <cell r="O106">
            <v>83.260999999999996</v>
          </cell>
          <cell r="P106">
            <v>82.017499999999998</v>
          </cell>
          <cell r="Q106">
            <v>81.667500000000004</v>
          </cell>
          <cell r="R106">
            <v>82.116500000000002</v>
          </cell>
          <cell r="S106">
            <v>82.657000000000011</v>
          </cell>
          <cell r="T106">
            <v>83.7</v>
          </cell>
          <cell r="U106">
            <v>83.75</v>
          </cell>
          <cell r="V106">
            <v>83.75</v>
          </cell>
          <cell r="W106">
            <v>83.65</v>
          </cell>
          <cell r="X106">
            <v>120.9</v>
          </cell>
          <cell r="Y106">
            <v>157.44999999999999</v>
          </cell>
          <cell r="Z106">
            <v>155.68049999999999</v>
          </cell>
          <cell r="AA106">
            <v>154.52600000000001</v>
          </cell>
          <cell r="AB106">
            <v>154.24549999999999</v>
          </cell>
          <cell r="AC106">
            <v>154.2885</v>
          </cell>
          <cell r="AD106">
            <v>153.23750000000001</v>
          </cell>
          <cell r="AE106">
            <v>152.30100000000002</v>
          </cell>
          <cell r="AF106">
            <v>152.45100000000002</v>
          </cell>
          <cell r="AG106">
            <v>152.54349999999999</v>
          </cell>
          <cell r="AH106">
            <v>152.51625000000001</v>
          </cell>
          <cell r="AI106">
            <v>152.54349999999999</v>
          </cell>
          <cell r="AJ106">
            <v>152.54349999999999</v>
          </cell>
          <cell r="AK106">
            <v>152.54349999999999</v>
          </cell>
          <cell r="AL106">
            <v>152.54349999999999</v>
          </cell>
          <cell r="AN106" t="str">
            <v>Ave. Square Feet (MM)</v>
          </cell>
          <cell r="DL106">
            <v>82.657000000000011</v>
          </cell>
          <cell r="DN106">
            <v>83.4</v>
          </cell>
          <cell r="DO106" t="str">
            <v>NA</v>
          </cell>
          <cell r="DP106" t="str">
            <v>NA</v>
          </cell>
          <cell r="DQ106">
            <v>84</v>
          </cell>
          <cell r="DR106">
            <v>83.7</v>
          </cell>
          <cell r="DT106">
            <v>84.367032967032969</v>
          </cell>
          <cell r="DU106">
            <v>84.917582417582423</v>
          </cell>
          <cell r="DV106">
            <v>85.835164835164846</v>
          </cell>
          <cell r="DW106">
            <v>85.034615384615392</v>
          </cell>
          <cell r="DX106">
            <v>83.75</v>
          </cell>
          <cell r="DZ106">
            <v>83.591503267973849</v>
          </cell>
          <cell r="EA106">
            <v>84.049019607843135</v>
          </cell>
          <cell r="EB106">
            <v>84.872549019607845</v>
          </cell>
          <cell r="EC106">
            <v>84.665032679738559</v>
          </cell>
          <cell r="ED106">
            <v>83.75</v>
          </cell>
          <cell r="EF106">
            <v>84</v>
          </cell>
          <cell r="EG106">
            <v>83.818518518518516</v>
          </cell>
          <cell r="EH106">
            <v>83.818518518518516</v>
          </cell>
          <cell r="EI106">
            <v>83.65</v>
          </cell>
          <cell r="EJ106">
            <v>83.65</v>
          </cell>
          <cell r="EL106">
            <v>83.3</v>
          </cell>
          <cell r="EM106">
            <v>83.391301843317962</v>
          </cell>
          <cell r="EN106">
            <v>126.85097926267281</v>
          </cell>
          <cell r="EO106">
            <v>164.35967741935485</v>
          </cell>
          <cell r="EP106">
            <v>120.9</v>
          </cell>
          <cell r="ER106">
            <v>157.86200466200467</v>
          </cell>
          <cell r="ES106">
            <v>156.76829836829836</v>
          </cell>
          <cell r="ET106">
            <v>156.40372960372963</v>
          </cell>
          <cell r="EU106">
            <v>156.44743589743592</v>
          </cell>
          <cell r="EV106">
            <v>157.44999999999999</v>
          </cell>
          <cell r="EX106">
            <v>156.7235</v>
          </cell>
          <cell r="EY106">
            <v>156.965</v>
          </cell>
          <cell r="EZ106">
            <v>157.202</v>
          </cell>
          <cell r="FA106">
            <v>156.24099999999999</v>
          </cell>
          <cell r="FB106">
            <v>155.68049999999999</v>
          </cell>
          <cell r="FD106">
            <v>155.00450000000001</v>
          </cell>
          <cell r="FE106">
            <v>155.327</v>
          </cell>
          <cell r="FF106">
            <v>155.51299999999998</v>
          </cell>
          <cell r="FG106">
            <v>154.75549999999998</v>
          </cell>
          <cell r="FH106">
            <v>154.52600000000001</v>
          </cell>
          <cell r="FJ106">
            <v>154.267</v>
          </cell>
          <cell r="FK106">
            <v>154.44300000000001</v>
          </cell>
          <cell r="FL106">
            <v>154.892</v>
          </cell>
          <cell r="FM106">
            <v>154.87049999999999</v>
          </cell>
          <cell r="FN106">
            <v>154.24549999999999</v>
          </cell>
          <cell r="FP106">
            <v>154.35250000000002</v>
          </cell>
          <cell r="FQ106">
            <v>154.30500000000001</v>
          </cell>
          <cell r="FR106">
            <v>154.4855</v>
          </cell>
          <cell r="FS106">
            <v>154.4435</v>
          </cell>
          <cell r="FT106">
            <v>154.2885</v>
          </cell>
          <cell r="FV106">
            <v>154.26249999999999</v>
          </cell>
          <cell r="FW106">
            <v>154.32300000000001</v>
          </cell>
          <cell r="FX106">
            <v>154.291</v>
          </cell>
          <cell r="FY106">
            <v>153.291</v>
          </cell>
          <cell r="FZ106">
            <v>153.23750000000001</v>
          </cell>
          <cell r="GB106">
            <v>152.24799999999999</v>
          </cell>
          <cell r="GC106">
            <v>152.20100000000002</v>
          </cell>
          <cell r="GD106">
            <v>152.25400000000002</v>
          </cell>
          <cell r="GE106">
            <v>152.30400000000003</v>
          </cell>
          <cell r="GF106">
            <v>152.30100000000002</v>
          </cell>
        </row>
        <row r="107">
          <cell r="A107" t="str">
            <v>% Change</v>
          </cell>
          <cell r="N107" t="str">
            <v>NA</v>
          </cell>
          <cell r="O107">
            <v>5.6363670965572821E-2</v>
          </cell>
          <cell r="P107">
            <v>-1.4934963548359992E-2</v>
          </cell>
          <cell r="Q107">
            <v>-4.2673819611667163E-3</v>
          </cell>
          <cell r="R107">
            <v>5.4979030826216579E-3</v>
          </cell>
          <cell r="S107">
            <v>6.5821119994156074E-3</v>
          </cell>
          <cell r="T107">
            <v>1.2618411023869625E-2</v>
          </cell>
          <cell r="U107">
            <v>5.9737156511352474E-4</v>
          </cell>
          <cell r="V107">
            <v>0</v>
          </cell>
          <cell r="W107">
            <v>-1.1940298507462366E-3</v>
          </cell>
          <cell r="X107">
            <v>0.44530783024506881</v>
          </cell>
          <cell r="Y107">
            <v>0.30231596360628599</v>
          </cell>
          <cell r="Z107">
            <v>-1.1238488409018643E-2</v>
          </cell>
          <cell r="AA107">
            <v>-7.4158292143202686E-3</v>
          </cell>
          <cell r="AB107">
            <v>-1.8152285052355221E-3</v>
          </cell>
          <cell r="AC107">
            <v>2.7877636624729085E-4</v>
          </cell>
          <cell r="AD107">
            <v>-6.8119140441444959E-3</v>
          </cell>
          <cell r="AE107">
            <v>-6.1114283383636447E-3</v>
          </cell>
          <cell r="AF107">
            <v>9.8489176039562309E-4</v>
          </cell>
          <cell r="AG107">
            <v>6.0675233353646441E-4</v>
          </cell>
          <cell r="AH107">
            <v>-1.7863756895564187E-4</v>
          </cell>
          <cell r="AI107">
            <v>1.7866948603817434E-4</v>
          </cell>
          <cell r="AJ107">
            <v>0</v>
          </cell>
          <cell r="AK107">
            <v>0</v>
          </cell>
          <cell r="AL107">
            <v>0</v>
          </cell>
          <cell r="AN107" t="str">
            <v>% Change</v>
          </cell>
          <cell r="DL107">
            <v>6.5821119994156074E-3</v>
          </cell>
          <cell r="DN107" t="str">
            <v>NA</v>
          </cell>
          <cell r="DO107" t="str">
            <v>NA</v>
          </cell>
          <cell r="DP107" t="str">
            <v>NA</v>
          </cell>
          <cell r="DQ107" t="str">
            <v>NA</v>
          </cell>
          <cell r="DR107">
            <v>1.2618411023869625E-2</v>
          </cell>
          <cell r="DT107">
            <v>1.1595119508788443E-2</v>
          </cell>
          <cell r="DU107" t="str">
            <v>NA</v>
          </cell>
          <cell r="DV107" t="str">
            <v>NA</v>
          </cell>
          <cell r="DW107">
            <v>1.2316849816849995E-2</v>
          </cell>
          <cell r="DX107">
            <v>5.9737156511352474E-4</v>
          </cell>
          <cell r="DZ107">
            <v>-9.1923310774976175E-3</v>
          </cell>
          <cell r="EA107">
            <v>-1.0228303550472329E-2</v>
          </cell>
          <cell r="EB107">
            <v>-1.1214702242438479E-2</v>
          </cell>
          <cell r="EC107">
            <v>-4.3462618511908024E-3</v>
          </cell>
          <cell r="ED107">
            <v>0</v>
          </cell>
          <cell r="EF107">
            <v>4.8868212205326333E-3</v>
          </cell>
          <cell r="EG107">
            <v>-2.7424601785969172E-3</v>
          </cell>
          <cell r="EH107">
            <v>-1.2418980144520253E-2</v>
          </cell>
          <cell r="EI107">
            <v>-1.1988806330213153E-2</v>
          </cell>
          <cell r="EJ107">
            <v>-1.1940298507462366E-3</v>
          </cell>
          <cell r="EL107">
            <v>-8.3333333333334147E-3</v>
          </cell>
          <cell r="EM107">
            <v>-5.096924674302894E-3</v>
          </cell>
          <cell r="EN107">
            <v>0.51340039772531743</v>
          </cell>
          <cell r="EO107">
            <v>0.9648497001716061</v>
          </cell>
          <cell r="EP107">
            <v>0.44530783024506881</v>
          </cell>
          <cell r="ER107">
            <v>0.8951020967827692</v>
          </cell>
          <cell r="ES107">
            <v>0.87991187213801725</v>
          </cell>
          <cell r="ET107">
            <v>0.23297218920053719</v>
          </cell>
          <cell r="EU107">
            <v>-4.8139797097138781E-2</v>
          </cell>
          <cell r="EV107">
            <v>0.30231596360628599</v>
          </cell>
          <cell r="EX107">
            <v>-7.2120246061887494E-3</v>
          </cell>
          <cell r="EY107">
            <v>1.2547283714181567E-3</v>
          </cell>
          <cell r="EZ107">
            <v>5.1039089559621331E-3</v>
          </cell>
          <cell r="FA107">
            <v>-1.3195224086079982E-3</v>
          </cell>
          <cell r="FB107">
            <v>-1.1238488409018643E-2</v>
          </cell>
          <cell r="FD107">
            <v>-1.0968361477378896E-2</v>
          </cell>
          <cell r="FE107">
            <v>-1.0435447392730945E-2</v>
          </cell>
          <cell r="FF107">
            <v>-1.0744138115291291E-2</v>
          </cell>
          <cell r="FG107">
            <v>-9.5077476462643862E-3</v>
          </cell>
          <cell r="FH107">
            <v>-7.4158292143202686E-3</v>
          </cell>
          <cell r="FJ107">
            <v>-4.7579263827824958E-3</v>
          </cell>
          <cell r="FK107">
            <v>-5.6912191698802461E-3</v>
          </cell>
          <cell r="FL107">
            <v>-3.9932352922262826E-3</v>
          </cell>
          <cell r="FM107">
            <v>7.4310767630225705E-4</v>
          </cell>
          <cell r="FN107">
            <v>-1.8152285052355221E-3</v>
          </cell>
          <cell r="FP107">
            <v>5.5423389318542959E-4</v>
          </cell>
          <cell r="FQ107">
            <v>-8.9353353664467505E-4</v>
          </cell>
          <cell r="FR107">
            <v>-2.6244092658109786E-3</v>
          </cell>
          <cell r="FS107">
            <v>-2.7571422575635163E-3</v>
          </cell>
          <cell r="FT107">
            <v>2.7877636624729085E-4</v>
          </cell>
          <cell r="FV107">
            <v>-5.8308093487335899E-4</v>
          </cell>
          <cell r="FW107">
            <v>1.1665208515609926E-4</v>
          </cell>
          <cell r="FX107">
            <v>-1.25901783662552E-3</v>
          </cell>
          <cell r="FY107">
            <v>-7.4622758484494955E-3</v>
          </cell>
          <cell r="FZ107">
            <v>-6.8119140441444959E-3</v>
          </cell>
          <cell r="GB107">
            <v>-1.3058909326634782E-2</v>
          </cell>
          <cell r="GC107">
            <v>-1.3750380695035647E-2</v>
          </cell>
          <cell r="GD107">
            <v>-1.320232547588629E-2</v>
          </cell>
          <cell r="GE107">
            <v>-6.4387341722603741E-3</v>
          </cell>
          <cell r="GF107">
            <v>-6.1114283383636447E-3</v>
          </cell>
        </row>
        <row r="108">
          <cell r="A108" t="str">
            <v>Ave. Square Feet Per Store (000's)</v>
          </cell>
          <cell r="N108">
            <v>205.52411994784876</v>
          </cell>
          <cell r="O108">
            <v>202.33535844471447</v>
          </cell>
          <cell r="P108">
            <v>202.26263871763254</v>
          </cell>
          <cell r="Q108">
            <v>203.91385767790263</v>
          </cell>
          <cell r="R108">
            <v>204.26990049751242</v>
          </cell>
          <cell r="S108">
            <v>196.10201660735473</v>
          </cell>
          <cell r="T108">
            <v>186.20689655172413</v>
          </cell>
          <cell r="U108">
            <v>183.26039387308535</v>
          </cell>
          <cell r="V108">
            <v>183.26039387308535</v>
          </cell>
          <cell r="W108">
            <v>182.24400871459696</v>
          </cell>
          <cell r="X108">
            <v>182.21552373775432</v>
          </cell>
          <cell r="Y108">
            <v>182.44495944380068</v>
          </cell>
          <cell r="Z108">
            <v>181.97603740502629</v>
          </cell>
          <cell r="AA108">
            <v>181.79529411764705</v>
          </cell>
          <cell r="AB108">
            <v>181.78609310548026</v>
          </cell>
          <cell r="AC108">
            <v>181.51588235294119</v>
          </cell>
          <cell r="AD108">
            <v>181.13179669030734</v>
          </cell>
          <cell r="AE108">
            <v>180.6654804270463</v>
          </cell>
          <cell r="AF108">
            <v>180.2021276595745</v>
          </cell>
          <cell r="AG108">
            <v>179.88620283018867</v>
          </cell>
          <cell r="AH108">
            <v>179.88620283018867</v>
          </cell>
          <cell r="AI108">
            <v>179.88620283018867</v>
          </cell>
          <cell r="AJ108">
            <v>179.88620283018867</v>
          </cell>
          <cell r="AK108">
            <v>179.88620283018867</v>
          </cell>
          <cell r="AL108">
            <v>179.88620283018867</v>
          </cell>
          <cell r="AN108" t="str">
            <v>Ave. Square Feet Per Store (000's)</v>
          </cell>
          <cell r="DL108">
            <v>196.10201660735473</v>
          </cell>
          <cell r="DN108">
            <v>189.54545454545453</v>
          </cell>
          <cell r="DO108" t="str">
            <v>NA</v>
          </cell>
          <cell r="DP108" t="str">
            <v>NA</v>
          </cell>
          <cell r="DQ108">
            <v>183.00653594771242</v>
          </cell>
          <cell r="DR108">
            <v>186.20689655172413</v>
          </cell>
          <cell r="DT108">
            <v>183.00874830158995</v>
          </cell>
          <cell r="DU108">
            <v>183.01203107237592</v>
          </cell>
          <cell r="DV108">
            <v>183.01740903020223</v>
          </cell>
          <cell r="DW108">
            <v>183.26425729442971</v>
          </cell>
          <cell r="DX108">
            <v>183.26039387308535</v>
          </cell>
          <cell r="DZ108">
            <v>183.51592374966816</v>
          </cell>
          <cell r="EA108">
            <v>183.5131432485658</v>
          </cell>
          <cell r="EB108">
            <v>183.50821409644939</v>
          </cell>
          <cell r="EC108">
            <v>183.25764649294061</v>
          </cell>
          <cell r="ED108">
            <v>183.26039387308535</v>
          </cell>
          <cell r="EF108">
            <v>183.00653594771242</v>
          </cell>
          <cell r="EG108">
            <v>183.00986576095744</v>
          </cell>
          <cell r="EH108">
            <v>183.00986576095744</v>
          </cell>
          <cell r="EI108">
            <v>182.24400871459696</v>
          </cell>
          <cell r="EJ108">
            <v>182.24400871459696</v>
          </cell>
          <cell r="EL108">
            <v>181.4814814814815</v>
          </cell>
          <cell r="EM108">
            <v>181.48270259699231</v>
          </cell>
          <cell r="EN108">
            <v>181.86520324397534</v>
          </cell>
          <cell r="EO108">
            <v>182.31800046517455</v>
          </cell>
          <cell r="EP108">
            <v>182.21552373775432</v>
          </cell>
          <cell r="ER108">
            <v>182.60497936611299</v>
          </cell>
          <cell r="ES108">
            <v>182.60721999801788</v>
          </cell>
          <cell r="ET108">
            <v>182.60797385140646</v>
          </cell>
          <cell r="EU108">
            <v>182.44598938476494</v>
          </cell>
          <cell r="EV108">
            <v>182.44495944380068</v>
          </cell>
          <cell r="EX108">
            <v>182.13073794305637</v>
          </cell>
          <cell r="EY108">
            <v>181.88296639629201</v>
          </cell>
          <cell r="EZ108">
            <v>181.84152689415848</v>
          </cell>
          <cell r="FA108">
            <v>181.88707799767172</v>
          </cell>
          <cell r="FB108">
            <v>181.97603740502629</v>
          </cell>
          <cell r="FD108">
            <v>182.03699354081033</v>
          </cell>
          <cell r="FE108">
            <v>182.09495896834702</v>
          </cell>
          <cell r="FF108">
            <v>181.78024547048506</v>
          </cell>
          <cell r="FG108">
            <v>181.74456840869053</v>
          </cell>
          <cell r="FH108">
            <v>181.79529411764705</v>
          </cell>
          <cell r="FJ108">
            <v>182.02595870206488</v>
          </cell>
          <cell r="FK108">
            <v>182.12617924528303</v>
          </cell>
          <cell r="FL108">
            <v>182.01175088131609</v>
          </cell>
          <cell r="FM108">
            <v>181.77288732394365</v>
          </cell>
          <cell r="FN108">
            <v>179.88620283018867</v>
          </cell>
          <cell r="FP108">
            <v>181.69805768098885</v>
          </cell>
          <cell r="FQ108">
            <v>181.74911660777386</v>
          </cell>
          <cell r="FR108">
            <v>181.42748091603053</v>
          </cell>
          <cell r="FS108">
            <v>181.27171361502349</v>
          </cell>
          <cell r="FT108">
            <v>0</v>
          </cell>
          <cell r="FV108">
            <v>181.48529411764707</v>
          </cell>
          <cell r="FW108">
            <v>181.66333137139495</v>
          </cell>
          <cell r="FX108">
            <v>181.62566215420836</v>
          </cell>
          <cell r="FY108">
            <v>181.1950354609929</v>
          </cell>
          <cell r="FZ108">
            <v>181.13179669030734</v>
          </cell>
          <cell r="GB108">
            <v>180.60260972716489</v>
          </cell>
          <cell r="GC108">
            <v>180.22616933096509</v>
          </cell>
          <cell r="GD108">
            <v>179.96926713947994</v>
          </cell>
          <cell r="GE108">
            <v>180.13483146067418</v>
          </cell>
          <cell r="GF108">
            <v>180.6654804270463</v>
          </cell>
        </row>
        <row r="109">
          <cell r="A109" t="str">
            <v>% Change</v>
          </cell>
          <cell r="N109" t="str">
            <v>NA</v>
          </cell>
          <cell r="O109">
            <v>-1.5515266548488005E-2</v>
          </cell>
          <cell r="P109">
            <v>-3.5940197324335621E-4</v>
          </cell>
          <cell r="Q109">
            <v>8.1637368657849763E-3</v>
          </cell>
          <cell r="R109">
            <v>1.7460452352981992E-3</v>
          </cell>
          <cell r="S109">
            <v>-3.9985743715859723E-2</v>
          </cell>
          <cell r="T109">
            <v>-5.045904283301228E-2</v>
          </cell>
          <cell r="U109">
            <v>-1.5823810681578676E-2</v>
          </cell>
          <cell r="V109">
            <v>0</v>
          </cell>
          <cell r="W109">
            <v>-5.5461255812441212E-3</v>
          </cell>
          <cell r="X109">
            <v>-1.5630130748078841E-4</v>
          </cell>
          <cell r="Y109">
            <v>1.2591446729675049E-3</v>
          </cell>
          <cell r="Z109">
            <v>-2.570210984200072E-3</v>
          </cell>
          <cell r="AA109">
            <v>-9.9322575629534615E-4</v>
          </cell>
          <cell r="AB109">
            <v>-5.0611938067213202E-5</v>
          </cell>
          <cell r="AC109">
            <v>-1.4864214743989246E-3</v>
          </cell>
          <cell r="AD109">
            <v>-2.1159892878521713E-3</v>
          </cell>
          <cell r="AE109">
            <v>-2.5744583324501802E-3</v>
          </cell>
          <cell r="AF109">
            <v>-2.5647000543577159E-3</v>
          </cell>
          <cell r="AG109">
            <v>-1.7531692521558506E-3</v>
          </cell>
          <cell r="AH109">
            <v>0</v>
          </cell>
          <cell r="AI109">
            <v>0</v>
          </cell>
          <cell r="AJ109">
            <v>0</v>
          </cell>
          <cell r="AK109">
            <v>0</v>
          </cell>
          <cell r="AL109">
            <v>0</v>
          </cell>
          <cell r="AN109" t="str">
            <v>% Change</v>
          </cell>
          <cell r="DL109">
            <v>-3.9985743715859723E-2</v>
          </cell>
          <cell r="DN109" t="str">
            <v>NA</v>
          </cell>
          <cell r="DO109" t="str">
            <v>NA</v>
          </cell>
          <cell r="DP109" t="str">
            <v>NA</v>
          </cell>
          <cell r="DQ109" t="str">
            <v>NA</v>
          </cell>
          <cell r="DR109">
            <v>-5.045904283301228E-2</v>
          </cell>
          <cell r="DT109">
            <v>-3.4486219991611722E-2</v>
          </cell>
          <cell r="DU109" t="str">
            <v>NA</v>
          </cell>
          <cell r="DV109" t="str">
            <v>NA</v>
          </cell>
          <cell r="DW109">
            <v>1.4082630731337975E-3</v>
          </cell>
          <cell r="DX109">
            <v>-1.5823810681578676E-2</v>
          </cell>
          <cell r="DZ109">
            <v>2.7713180532900061E-3</v>
          </cell>
          <cell r="EA109">
            <v>2.7381378877309182E-3</v>
          </cell>
          <cell r="EB109">
            <v>2.681739780100223E-3</v>
          </cell>
          <cell r="EC109">
            <v>-3.6072508555085037E-5</v>
          </cell>
          <cell r="ED109">
            <v>0</v>
          </cell>
          <cell r="EF109">
            <v>-2.7757144532623013E-3</v>
          </cell>
          <cell r="EG109">
            <v>-2.7424601785970282E-3</v>
          </cell>
          <cell r="EH109">
            <v>-2.7156731808747336E-3</v>
          </cell>
          <cell r="EI109">
            <v>-5.5312168291035135E-3</v>
          </cell>
          <cell r="EJ109">
            <v>-5.5461255812441212E-3</v>
          </cell>
          <cell r="EL109">
            <v>-8.3333333333333037E-3</v>
          </cell>
          <cell r="EM109">
            <v>-8.3447040279230889E-3</v>
          </cell>
          <cell r="EN109">
            <v>-6.2546492355620709E-3</v>
          </cell>
          <cell r="EO109">
            <v>4.0600374793919869E-4</v>
          </cell>
          <cell r="EP109">
            <v>-1.5630130748078841E-4</v>
          </cell>
          <cell r="ER109">
            <v>6.1907026296021961E-3</v>
          </cell>
          <cell r="ES109">
            <v>6.1962786807441272E-3</v>
          </cell>
          <cell r="ET109">
            <v>4.0841820985109134E-3</v>
          </cell>
          <cell r="EU109">
            <v>7.0200923257068837E-4</v>
          </cell>
          <cell r="EV109">
            <v>1.2591446729675049E-3</v>
          </cell>
          <cell r="EX109">
            <v>-2.5970892179548732E-3</v>
          </cell>
          <cell r="EY109">
            <v>-3.9661827266946892E-3</v>
          </cell>
          <cell r="EZ109">
            <v>-4.1972261182398052E-3</v>
          </cell>
          <cell r="FA109">
            <v>-3.0634347676150586E-3</v>
          </cell>
          <cell r="FB109">
            <v>-2.570210984200072E-3</v>
          </cell>
          <cell r="FD109">
            <v>-5.147093966937355E-4</v>
          </cell>
          <cell r="FE109">
            <v>1.1655438453379574E-3</v>
          </cell>
          <cell r="FF109">
            <v>-3.3700455952001551E-4</v>
          </cell>
          <cell r="FG109">
            <v>-7.8350584631980968E-4</v>
          </cell>
          <cell r="FH109">
            <v>-9.9322575629534615E-4</v>
          </cell>
          <cell r="FJ109">
            <v>-6.061866069528854E-5</v>
          </cell>
          <cell r="FK109">
            <v>1.7145052841049946E-4</v>
          </cell>
          <cell r="FL109">
            <v>1.2735454847243588E-3</v>
          </cell>
          <cell r="FM109">
            <v>1.5581712015433347E-4</v>
          </cell>
          <cell r="FN109">
            <v>-1.0501324012396784E-2</v>
          </cell>
          <cell r="FP109">
            <v>-1.8013970282817482E-3</v>
          </cell>
          <cell r="FQ109">
            <v>-2.070337384069032E-3</v>
          </cell>
          <cell r="FR109">
            <v>-3.2100672756373294E-3</v>
          </cell>
          <cell r="FS109">
            <v>-2.7571422575634053E-3</v>
          </cell>
          <cell r="FT109">
            <v>-1</v>
          </cell>
          <cell r="FV109">
            <v>-1.1709732402056527E-3</v>
          </cell>
          <cell r="FW109">
            <v>-4.7199809264575343E-4</v>
          </cell>
          <cell r="FX109">
            <v>1.0923440990151523E-3</v>
          </cell>
          <cell r="FY109">
            <v>-4.2300120907690086E-4</v>
          </cell>
          <cell r="FZ109" t="str">
            <v>NA</v>
          </cell>
          <cell r="GB109">
            <v>-4.8636689533091415E-3</v>
          </cell>
          <cell r="GC109">
            <v>-7.9111289525550799E-3</v>
          </cell>
          <cell r="GD109">
            <v>-9.1198291864839076E-3</v>
          </cell>
          <cell r="GE109">
            <v>-5.8511757655024255E-3</v>
          </cell>
          <cell r="GF109">
            <v>-2.5744583324501802E-3</v>
          </cell>
        </row>
        <row r="110">
          <cell r="A110" t="str">
            <v>Productivity Factor</v>
          </cell>
          <cell r="N110" t="str">
            <v>NA</v>
          </cell>
          <cell r="O110">
            <v>0.99020658295615083</v>
          </cell>
          <cell r="P110">
            <v>1.0238160014396207</v>
          </cell>
          <cell r="Q110">
            <v>0.97215995399387289</v>
          </cell>
          <cell r="R110">
            <v>1.0032277258841547</v>
          </cell>
          <cell r="S110">
            <v>0.99950875467894218</v>
          </cell>
          <cell r="T110">
            <v>0.99467282247112343</v>
          </cell>
          <cell r="U110">
            <v>1.0230408956015324</v>
          </cell>
          <cell r="V110">
            <v>0.99283260375178717</v>
          </cell>
          <cell r="W110">
            <v>1.0060621750760674</v>
          </cell>
          <cell r="X110">
            <v>0.73631472463543401</v>
          </cell>
          <cell r="Y110">
            <v>1.1692809442164345</v>
          </cell>
          <cell r="Z110">
            <v>0.99766929211669775</v>
          </cell>
          <cell r="AA110">
            <v>0.99616480017746767</v>
          </cell>
          <cell r="AB110">
            <v>1.011642907621854</v>
          </cell>
          <cell r="AC110">
            <v>1.0017002547102301</v>
          </cell>
          <cell r="AD110">
            <v>1.0152922484576603</v>
          </cell>
          <cell r="AE110">
            <v>1.0083583012001358</v>
          </cell>
          <cell r="AF110">
            <v>1</v>
          </cell>
          <cell r="AG110">
            <v>1</v>
          </cell>
          <cell r="AH110">
            <v>1</v>
          </cell>
          <cell r="AI110">
            <v>1</v>
          </cell>
          <cell r="AJ110">
            <v>1</v>
          </cell>
          <cell r="AK110">
            <v>1</v>
          </cell>
          <cell r="AL110">
            <v>1</v>
          </cell>
        </row>
        <row r="111">
          <cell r="BS111" t="str">
            <v>Q1P</v>
          </cell>
          <cell r="BT111" t="str">
            <v>Q2P</v>
          </cell>
          <cell r="BU111" t="str">
            <v>Q3P</v>
          </cell>
          <cell r="BV111" t="str">
            <v>Q4P</v>
          </cell>
          <cell r="BW111" t="str">
            <v>Year P</v>
          </cell>
          <cell r="BY111" t="str">
            <v>Q1E</v>
          </cell>
          <cell r="BZ111" t="str">
            <v>Q2E</v>
          </cell>
          <cell r="CA111" t="str">
            <v>Q3E</v>
          </cell>
          <cell r="CB111" t="str">
            <v>Q4E</v>
          </cell>
          <cell r="CF111" t="str">
            <v>Year</v>
          </cell>
          <cell r="CJ111" t="str">
            <v>Q1A</v>
          </cell>
          <cell r="CK111" t="str">
            <v>Q2A</v>
          </cell>
          <cell r="CL111" t="str">
            <v>Q3A</v>
          </cell>
          <cell r="CM111" t="str">
            <v>Q4A</v>
          </cell>
          <cell r="CN111" t="str">
            <v>Year</v>
          </cell>
          <cell r="CP111" t="str">
            <v>Q1A</v>
          </cell>
          <cell r="CQ111" t="str">
            <v>Q2A</v>
          </cell>
          <cell r="CR111" t="str">
            <v>Q3A</v>
          </cell>
          <cell r="CS111" t="str">
            <v>Q4A</v>
          </cell>
          <cell r="CT111" t="str">
            <v>Year</v>
          </cell>
          <cell r="CV111" t="str">
            <v>Q1</v>
          </cell>
          <cell r="CW111" t="str">
            <v>Q2</v>
          </cell>
          <cell r="CX111" t="str">
            <v>Q3</v>
          </cell>
          <cell r="CY111" t="str">
            <v>Q4</v>
          </cell>
          <cell r="CZ111" t="str">
            <v>Year</v>
          </cell>
          <cell r="DB111" t="str">
            <v>Q1</v>
          </cell>
          <cell r="DC111" t="str">
            <v>Q2</v>
          </cell>
          <cell r="DD111" t="str">
            <v>Q3</v>
          </cell>
          <cell r="DE111" t="str">
            <v>Q4</v>
          </cell>
          <cell r="DF111" t="str">
            <v>Year</v>
          </cell>
          <cell r="DH111" t="str">
            <v>Q1</v>
          </cell>
          <cell r="DI111" t="str">
            <v>Q2</v>
          </cell>
          <cell r="DJ111" t="str">
            <v>Q3</v>
          </cell>
          <cell r="DK111" t="str">
            <v>Q4</v>
          </cell>
          <cell r="DL111">
            <v>2000</v>
          </cell>
          <cell r="DN111" t="str">
            <v>Q1A</v>
          </cell>
          <cell r="DO111" t="str">
            <v>Q2A</v>
          </cell>
          <cell r="DP111" t="str">
            <v>Q3A</v>
          </cell>
          <cell r="DQ111" t="str">
            <v>Q4A</v>
          </cell>
          <cell r="DR111">
            <v>2001</v>
          </cell>
          <cell r="DT111" t="str">
            <v>Q1A</v>
          </cell>
          <cell r="DU111" t="str">
            <v>Q2A</v>
          </cell>
          <cell r="DV111" t="str">
            <v>Q3A</v>
          </cell>
          <cell r="DW111" t="str">
            <v>Q4A</v>
          </cell>
          <cell r="DX111">
            <v>2002</v>
          </cell>
          <cell r="DZ111" t="str">
            <v>Q1A</v>
          </cell>
          <cell r="EA111" t="str">
            <v>Q2A</v>
          </cell>
          <cell r="EB111" t="str">
            <v>Q3A</v>
          </cell>
          <cell r="EC111" t="str">
            <v>Q4A</v>
          </cell>
          <cell r="ED111">
            <v>2003</v>
          </cell>
          <cell r="EF111" t="str">
            <v>Q1A</v>
          </cell>
          <cell r="EG111" t="str">
            <v>Q2A</v>
          </cell>
          <cell r="EH111" t="str">
            <v>Q3A</v>
          </cell>
          <cell r="EI111" t="str">
            <v>Q4A</v>
          </cell>
          <cell r="EJ111">
            <v>2004</v>
          </cell>
          <cell r="EL111" t="str">
            <v>Q1A</v>
          </cell>
          <cell r="EM111" t="str">
            <v>Q2A</v>
          </cell>
          <cell r="EN111" t="str">
            <v>Q3A</v>
          </cell>
          <cell r="EO111" t="str">
            <v>Q4A</v>
          </cell>
          <cell r="EP111">
            <v>2005</v>
          </cell>
          <cell r="ER111" t="str">
            <v>Q1A</v>
          </cell>
          <cell r="ES111" t="str">
            <v>Q2A</v>
          </cell>
          <cell r="ET111" t="str">
            <v>Q3A</v>
          </cell>
          <cell r="EU111" t="str">
            <v>Q4A</v>
          </cell>
          <cell r="EV111">
            <v>2006</v>
          </cell>
          <cell r="EX111">
            <v>1</v>
          </cell>
          <cell r="EY111">
            <v>2</v>
          </cell>
          <cell r="EZ111">
            <v>3</v>
          </cell>
          <cell r="FA111">
            <v>4</v>
          </cell>
          <cell r="FB111" t="str">
            <v>Year</v>
          </cell>
          <cell r="FD111">
            <v>1</v>
          </cell>
          <cell r="FE111">
            <v>2</v>
          </cell>
          <cell r="FF111">
            <v>3</v>
          </cell>
          <cell r="FG111">
            <v>4</v>
          </cell>
          <cell r="FH111" t="str">
            <v>Year</v>
          </cell>
          <cell r="FJ111">
            <v>1</v>
          </cell>
          <cell r="FK111">
            <v>2</v>
          </cell>
          <cell r="FL111">
            <v>3</v>
          </cell>
          <cell r="FM111">
            <v>4</v>
          </cell>
          <cell r="FN111" t="str">
            <v>Year</v>
          </cell>
          <cell r="FP111">
            <v>1</v>
          </cell>
          <cell r="FQ111">
            <v>2</v>
          </cell>
          <cell r="FR111">
            <v>3</v>
          </cell>
          <cell r="FS111">
            <v>4</v>
          </cell>
          <cell r="FT111" t="str">
            <v>Year</v>
          </cell>
          <cell r="FV111">
            <v>1</v>
          </cell>
          <cell r="FW111">
            <v>2</v>
          </cell>
          <cell r="FX111">
            <v>3</v>
          </cell>
          <cell r="FY111">
            <v>4</v>
          </cell>
          <cell r="FZ111" t="str">
            <v>Year</v>
          </cell>
          <cell r="GB111">
            <v>1</v>
          </cell>
          <cell r="GC111">
            <v>2</v>
          </cell>
          <cell r="GD111">
            <v>3</v>
          </cell>
          <cell r="GE111">
            <v>4</v>
          </cell>
          <cell r="GF111" t="str">
            <v>Year</v>
          </cell>
        </row>
        <row r="112">
          <cell r="A112" t="str">
            <v>Consolidated Stores Monthly Sales ($)</v>
          </cell>
          <cell r="AN112" t="str">
            <v>Consolidated Stores Monthly Sales ($)</v>
          </cell>
          <cell r="EU112">
            <v>356</v>
          </cell>
        </row>
        <row r="113">
          <cell r="A113" t="str">
            <v>Month 1</v>
          </cell>
          <cell r="AN113" t="str">
            <v>Month 1</v>
          </cell>
          <cell r="BS113">
            <v>876.8</v>
          </cell>
          <cell r="BT113">
            <v>954.9</v>
          </cell>
          <cell r="BU113">
            <v>1050.0999999999999</v>
          </cell>
          <cell r="BV113">
            <v>1322.7</v>
          </cell>
          <cell r="BY113">
            <v>912</v>
          </cell>
          <cell r="BZ113">
            <v>1021.7430000000001</v>
          </cell>
          <cell r="CA113">
            <v>1059.5508999999997</v>
          </cell>
          <cell r="CB113">
            <v>1354.4448</v>
          </cell>
          <cell r="CJ113">
            <v>1033.0999999999999</v>
          </cell>
          <cell r="CK113">
            <v>1111.8</v>
          </cell>
          <cell r="CL113">
            <v>1121.3</v>
          </cell>
          <cell r="CM113">
            <v>1550.7</v>
          </cell>
          <cell r="CP113">
            <v>1058.4000000000001</v>
          </cell>
          <cell r="CQ113">
            <v>1147</v>
          </cell>
          <cell r="CR113">
            <v>1168.5</v>
          </cell>
          <cell r="CS113">
            <v>1563.5</v>
          </cell>
          <cell r="CV113">
            <v>1058.4000000000001</v>
          </cell>
          <cell r="CW113">
            <v>1155.5</v>
          </cell>
          <cell r="CX113">
            <v>1127.6025</v>
          </cell>
          <cell r="CY113">
            <v>1539</v>
          </cell>
          <cell r="DB113">
            <v>1025</v>
          </cell>
          <cell r="DC113">
            <v>1147</v>
          </cell>
          <cell r="DD113">
            <v>1119</v>
          </cell>
          <cell r="DE113">
            <v>1499</v>
          </cell>
          <cell r="DN113">
            <v>1081</v>
          </cell>
          <cell r="DO113">
            <v>1161</v>
          </cell>
          <cell r="DP113">
            <v>1130</v>
          </cell>
          <cell r="DQ113">
            <v>1565</v>
          </cell>
          <cell r="DT113">
            <v>1048</v>
          </cell>
          <cell r="DU113">
            <v>1150</v>
          </cell>
          <cell r="DV113">
            <v>1086</v>
          </cell>
          <cell r="DW113">
            <v>1473</v>
          </cell>
          <cell r="DZ113">
            <v>985</v>
          </cell>
          <cell r="EA113">
            <v>1137</v>
          </cell>
          <cell r="EB113">
            <v>1078</v>
          </cell>
          <cell r="EC113">
            <v>1460</v>
          </cell>
          <cell r="EF113">
            <v>1080</v>
          </cell>
          <cell r="EG113">
            <v>1182</v>
          </cell>
          <cell r="EH113">
            <v>1056</v>
          </cell>
          <cell r="EI113">
            <v>1446</v>
          </cell>
          <cell r="EL113">
            <v>1097</v>
          </cell>
          <cell r="EM113">
            <v>1189</v>
          </cell>
          <cell r="EN113">
            <v>1068</v>
          </cell>
          <cell r="EO113">
            <v>2617</v>
          </cell>
          <cell r="ER113">
            <v>1800</v>
          </cell>
          <cell r="ES113">
            <v>2026</v>
          </cell>
          <cell r="ET113">
            <v>1727</v>
          </cell>
          <cell r="EU113">
            <v>2385</v>
          </cell>
          <cell r="EX113">
            <v>1802</v>
          </cell>
          <cell r="EY113">
            <v>1976</v>
          </cell>
          <cell r="EZ113">
            <v>1788</v>
          </cell>
          <cell r="FA113">
            <v>2707</v>
          </cell>
          <cell r="FD113">
            <v>1737</v>
          </cell>
          <cell r="FE113">
            <v>1926</v>
          </cell>
          <cell r="FF113">
            <v>1686</v>
          </cell>
          <cell r="FG113">
            <v>2324</v>
          </cell>
          <cell r="FJ113">
            <v>1602.5975291456411</v>
          </cell>
          <cell r="FK113">
            <v>1783.7565582371458</v>
          </cell>
          <cell r="FL113">
            <v>1576.1490988530857</v>
          </cell>
          <cell r="FM113">
            <v>2202.7766574237457</v>
          </cell>
          <cell r="FP113">
            <v>1667</v>
          </cell>
          <cell r="FQ113">
            <v>1789</v>
          </cell>
          <cell r="FR113">
            <v>1638</v>
          </cell>
          <cell r="FS113">
            <v>2341</v>
          </cell>
          <cell r="FV113">
            <v>1763</v>
          </cell>
          <cell r="FW113">
            <v>1937</v>
          </cell>
          <cell r="FX113">
            <v>1714</v>
          </cell>
          <cell r="FY113">
            <v>2465</v>
          </cell>
          <cell r="GB113">
            <v>1860</v>
          </cell>
          <cell r="GC113">
            <v>2015</v>
          </cell>
          <cell r="GD113">
            <v>1812</v>
          </cell>
          <cell r="GE113">
            <v>2539.5720461726355</v>
          </cell>
        </row>
        <row r="114">
          <cell r="A114" t="str">
            <v>Month 2</v>
          </cell>
          <cell r="AN114" t="str">
            <v>Month 2</v>
          </cell>
          <cell r="BS114">
            <v>1162.8</v>
          </cell>
          <cell r="BT114">
            <v>1162.4000000000001</v>
          </cell>
          <cell r="BU114">
            <v>1281.9000000000001</v>
          </cell>
          <cell r="BV114">
            <v>2551.6999999999998</v>
          </cell>
          <cell r="BY114">
            <v>1133.73</v>
          </cell>
          <cell r="BZ114">
            <v>1218.1952000000001</v>
          </cell>
          <cell r="CA114">
            <v>1344.7130999999999</v>
          </cell>
          <cell r="CB114">
            <v>2584.8720999999996</v>
          </cell>
          <cell r="CJ114">
            <v>1277.0999999999999</v>
          </cell>
          <cell r="CK114">
            <v>1278.2</v>
          </cell>
          <cell r="CL114">
            <v>1397.4</v>
          </cell>
          <cell r="CM114">
            <v>2742.6</v>
          </cell>
          <cell r="CP114">
            <v>1289.2</v>
          </cell>
          <cell r="CQ114">
            <v>1328</v>
          </cell>
          <cell r="CR114">
            <v>1446.2</v>
          </cell>
          <cell r="CS114">
            <v>2748.7</v>
          </cell>
          <cell r="CV114">
            <v>1288</v>
          </cell>
          <cell r="CW114">
            <v>1358.5</v>
          </cell>
          <cell r="CX114">
            <v>1417.2760000000001</v>
          </cell>
          <cell r="CY114">
            <v>2869.0930599999992</v>
          </cell>
          <cell r="DB114">
            <v>1343</v>
          </cell>
          <cell r="DC114">
            <v>1407</v>
          </cell>
          <cell r="DD114">
            <v>1423</v>
          </cell>
          <cell r="DE114">
            <v>2916</v>
          </cell>
          <cell r="DN114">
            <v>1317</v>
          </cell>
          <cell r="DO114">
            <v>1326</v>
          </cell>
          <cell r="DP114">
            <v>1289</v>
          </cell>
          <cell r="DQ114">
            <v>2795</v>
          </cell>
          <cell r="DT114">
            <v>1311</v>
          </cell>
          <cell r="DU114">
            <v>1367</v>
          </cell>
          <cell r="DV114">
            <v>1315</v>
          </cell>
          <cell r="DW114">
            <v>2772</v>
          </cell>
          <cell r="DZ114">
            <v>1233</v>
          </cell>
          <cell r="EA114">
            <v>1337</v>
          </cell>
          <cell r="EB114">
            <v>1352</v>
          </cell>
          <cell r="EC114">
            <v>2782</v>
          </cell>
          <cell r="EF114">
            <v>1326</v>
          </cell>
          <cell r="EG114">
            <v>1394</v>
          </cell>
          <cell r="EH114">
            <v>1361</v>
          </cell>
          <cell r="EI114">
            <v>2856</v>
          </cell>
          <cell r="EL114">
            <v>1371</v>
          </cell>
          <cell r="EM114">
            <v>1436</v>
          </cell>
          <cell r="EN114">
            <v>2464</v>
          </cell>
          <cell r="EO114">
            <v>5459</v>
          </cell>
          <cell r="ER114">
            <v>2255</v>
          </cell>
          <cell r="ES114">
            <v>2367</v>
          </cell>
          <cell r="ET114">
            <v>2303</v>
          </cell>
          <cell r="EU114">
            <v>4997</v>
          </cell>
          <cell r="EX114">
            <v>2288</v>
          </cell>
          <cell r="EY114">
            <v>2321</v>
          </cell>
          <cell r="EZ114">
            <v>2274</v>
          </cell>
          <cell r="FA114">
            <v>4624</v>
          </cell>
          <cell r="FD114">
            <v>2142</v>
          </cell>
          <cell r="FE114">
            <v>2249</v>
          </cell>
          <cell r="FF114">
            <v>2093</v>
          </cell>
          <cell r="FG114">
            <v>4397</v>
          </cell>
          <cell r="FJ114">
            <v>1963.7990255785628</v>
          </cell>
          <cell r="FK114">
            <v>2092.5916404337181</v>
          </cell>
          <cell r="FL114">
            <v>2084.1512834516657</v>
          </cell>
          <cell r="FM114">
            <v>4474.7693471136881</v>
          </cell>
          <cell r="FP114">
            <v>2172</v>
          </cell>
          <cell r="FQ114">
            <v>2229</v>
          </cell>
          <cell r="FR114">
            <v>2181</v>
          </cell>
          <cell r="FS114">
            <v>4619</v>
          </cell>
          <cell r="FV114">
            <v>2206</v>
          </cell>
          <cell r="FW114">
            <v>2392</v>
          </cell>
          <cell r="FX114">
            <v>2298</v>
          </cell>
          <cell r="FY114">
            <v>4925</v>
          </cell>
          <cell r="GB114">
            <v>2358</v>
          </cell>
          <cell r="GC114">
            <v>2412</v>
          </cell>
          <cell r="GD114">
            <v>2339.3160690399509</v>
          </cell>
          <cell r="GE114">
            <v>5073.9928305883286</v>
          </cell>
        </row>
        <row r="115">
          <cell r="A115" t="str">
            <v>Month 3</v>
          </cell>
          <cell r="AN115" t="str">
            <v>Month 3</v>
          </cell>
          <cell r="BS115">
            <v>898.4</v>
          </cell>
          <cell r="BT115">
            <v>813.5</v>
          </cell>
          <cell r="BU115">
            <v>1020.6</v>
          </cell>
          <cell r="BV115">
            <v>605.70000000000005</v>
          </cell>
          <cell r="CJ115">
            <v>990.5</v>
          </cell>
          <cell r="CK115">
            <v>894.2</v>
          </cell>
          <cell r="CL115">
            <v>1090.4000000000001</v>
          </cell>
          <cell r="CM115">
            <v>742.1</v>
          </cell>
          <cell r="CP115">
            <v>1061</v>
          </cell>
          <cell r="CQ115">
            <v>977.8</v>
          </cell>
          <cell r="CR115">
            <v>1131.4000000000001</v>
          </cell>
          <cell r="CS115">
            <v>749.2</v>
          </cell>
          <cell r="CV115">
            <v>1111</v>
          </cell>
          <cell r="CW115">
            <v>1010.5</v>
          </cell>
          <cell r="CX115">
            <v>1101.0784800000001</v>
          </cell>
          <cell r="CY115">
            <v>800</v>
          </cell>
          <cell r="DB115">
            <v>1077</v>
          </cell>
          <cell r="DC115">
            <v>1015</v>
          </cell>
          <cell r="DD115">
            <v>1105</v>
          </cell>
          <cell r="DE115">
            <v>783</v>
          </cell>
          <cell r="DN115">
            <v>1162</v>
          </cell>
          <cell r="DO115">
            <v>1005</v>
          </cell>
          <cell r="DP115">
            <v>1058</v>
          </cell>
          <cell r="DQ115">
            <v>774</v>
          </cell>
          <cell r="DT115">
            <v>1097</v>
          </cell>
          <cell r="DU115">
            <v>970</v>
          </cell>
          <cell r="DV115">
            <v>1083</v>
          </cell>
          <cell r="DW115">
            <v>775</v>
          </cell>
          <cell r="DZ115">
            <v>1076</v>
          </cell>
          <cell r="EA115">
            <v>963</v>
          </cell>
          <cell r="EB115">
            <v>1058</v>
          </cell>
          <cell r="EC115">
            <v>814</v>
          </cell>
          <cell r="EF115">
            <v>1144</v>
          </cell>
          <cell r="EG115">
            <v>1005</v>
          </cell>
          <cell r="EH115">
            <v>1108</v>
          </cell>
          <cell r="EI115">
            <v>818</v>
          </cell>
          <cell r="EL115">
            <v>1173</v>
          </cell>
          <cell r="EM115">
            <v>998</v>
          </cell>
          <cell r="EN115">
            <v>2023</v>
          </cell>
          <cell r="EO115">
            <v>1495</v>
          </cell>
          <cell r="ER115">
            <v>1878</v>
          </cell>
          <cell r="ES115">
            <v>1608</v>
          </cell>
          <cell r="ET115">
            <v>1863</v>
          </cell>
          <cell r="EU115">
            <v>1780</v>
          </cell>
          <cell r="EX115">
            <v>1837</v>
          </cell>
          <cell r="EY115">
            <v>1602</v>
          </cell>
          <cell r="EZ115">
            <v>1849</v>
          </cell>
          <cell r="FA115">
            <v>1273</v>
          </cell>
          <cell r="FD115">
            <v>1868</v>
          </cell>
          <cell r="FE115">
            <v>1543</v>
          </cell>
          <cell r="FF115">
            <v>1714</v>
          </cell>
          <cell r="FG115">
            <v>1213</v>
          </cell>
          <cell r="FJ115">
            <v>1720.603445275796</v>
          </cell>
          <cell r="FK115">
            <v>1409.6518013291361</v>
          </cell>
          <cell r="FL115">
            <v>1725.6996176952484</v>
          </cell>
          <cell r="FM115">
            <v>1268.4539954625661</v>
          </cell>
          <cell r="FP115">
            <v>1739</v>
          </cell>
          <cell r="FQ115">
            <v>1528</v>
          </cell>
          <cell r="FR115">
            <v>1806</v>
          </cell>
          <cell r="FS115">
            <v>1310</v>
          </cell>
          <cell r="FV115">
            <v>1920</v>
          </cell>
          <cell r="FW115">
            <v>1612</v>
          </cell>
          <cell r="FX115">
            <v>1842</v>
          </cell>
          <cell r="FY115">
            <v>1336</v>
          </cell>
          <cell r="GB115">
            <v>1928</v>
          </cell>
          <cell r="GC115">
            <v>1693</v>
          </cell>
          <cell r="GD115">
            <v>1918.3705778953104</v>
          </cell>
          <cell r="GE115">
            <v>1753.5690816688336</v>
          </cell>
        </row>
        <row r="116">
          <cell r="A116" t="str">
            <v>Total</v>
          </cell>
          <cell r="AN116" t="str">
            <v>Total</v>
          </cell>
          <cell r="BS116">
            <v>2938</v>
          </cell>
          <cell r="BT116">
            <v>2930.8</v>
          </cell>
          <cell r="BU116">
            <v>3352.6</v>
          </cell>
          <cell r="BV116">
            <v>4480.0999999999995</v>
          </cell>
          <cell r="BW116">
            <v>13701.5</v>
          </cell>
          <cell r="CJ116">
            <v>3300.7</v>
          </cell>
          <cell r="CK116">
            <v>3284.2</v>
          </cell>
          <cell r="CL116">
            <v>3609.1</v>
          </cell>
          <cell r="CM116">
            <v>5035.4000000000005</v>
          </cell>
          <cell r="CN116">
            <v>15229.400000000001</v>
          </cell>
          <cell r="CP116">
            <v>3408.6000000000004</v>
          </cell>
          <cell r="CQ116">
            <v>3452.8</v>
          </cell>
          <cell r="CR116">
            <v>3746.1</v>
          </cell>
          <cell r="CS116">
            <v>5061.3999999999996</v>
          </cell>
          <cell r="CT116">
            <v>15668.9</v>
          </cell>
          <cell r="CV116">
            <v>3357</v>
          </cell>
          <cell r="CW116">
            <v>3524.5</v>
          </cell>
          <cell r="CX116">
            <v>3645.9569799999999</v>
          </cell>
          <cell r="CY116">
            <v>5208.0930599999992</v>
          </cell>
          <cell r="CZ116">
            <v>15735.550039999998</v>
          </cell>
          <cell r="DB116">
            <v>3470</v>
          </cell>
          <cell r="DC116">
            <v>3609</v>
          </cell>
          <cell r="DD116">
            <v>3691</v>
          </cell>
          <cell r="DE116">
            <v>5259</v>
          </cell>
          <cell r="DF116">
            <v>16029</v>
          </cell>
          <cell r="DH116">
            <v>3573</v>
          </cell>
          <cell r="DI116">
            <v>3679</v>
          </cell>
          <cell r="DJ116">
            <v>3782</v>
          </cell>
          <cell r="DK116">
            <v>5604</v>
          </cell>
          <cell r="DL116">
            <v>16638</v>
          </cell>
          <cell r="DN116">
            <v>3556</v>
          </cell>
          <cell r="DO116">
            <v>3488</v>
          </cell>
          <cell r="DP116">
            <v>3475</v>
          </cell>
          <cell r="DQ116">
            <v>5132</v>
          </cell>
          <cell r="DR116">
            <v>15785</v>
          </cell>
          <cell r="DT116">
            <v>3453</v>
          </cell>
          <cell r="DU116">
            <v>3486</v>
          </cell>
          <cell r="DV116">
            <v>3479</v>
          </cell>
          <cell r="DW116">
            <v>5017</v>
          </cell>
          <cell r="DX116">
            <v>15571</v>
          </cell>
          <cell r="DZ116">
            <v>3291</v>
          </cell>
          <cell r="EA116">
            <v>3434</v>
          </cell>
          <cell r="EB116">
            <v>3486</v>
          </cell>
          <cell r="EC116">
            <v>5053</v>
          </cell>
          <cell r="ED116">
            <v>15412</v>
          </cell>
          <cell r="EF116">
            <v>3550</v>
          </cell>
          <cell r="EG116">
            <v>3581</v>
          </cell>
          <cell r="EH116">
            <v>3525</v>
          </cell>
          <cell r="EI116">
            <v>5120</v>
          </cell>
          <cell r="EJ116">
            <v>15776</v>
          </cell>
          <cell r="EL116">
            <v>3641</v>
          </cell>
          <cell r="EM116">
            <v>3623</v>
          </cell>
          <cell r="EN116">
            <v>5555</v>
          </cell>
          <cell r="EO116">
            <v>9571</v>
          </cell>
          <cell r="EP116">
            <v>22390</v>
          </cell>
          <cell r="ER116">
            <v>5930</v>
          </cell>
          <cell r="ES116">
            <v>5995</v>
          </cell>
          <cell r="ET116">
            <v>5886</v>
          </cell>
          <cell r="EU116">
            <v>9159</v>
          </cell>
          <cell r="EV116">
            <v>26970</v>
          </cell>
          <cell r="EX116">
            <v>5921</v>
          </cell>
          <cell r="EY116">
            <v>5892</v>
          </cell>
          <cell r="EZ116">
            <v>5906</v>
          </cell>
          <cell r="FA116">
            <v>8594</v>
          </cell>
          <cell r="FB116">
            <v>26313</v>
          </cell>
          <cell r="FD116">
            <v>5747</v>
          </cell>
          <cell r="FE116">
            <v>5718</v>
          </cell>
          <cell r="FF116">
            <v>5493</v>
          </cell>
          <cell r="FG116">
            <v>7934</v>
          </cell>
          <cell r="FH116">
            <v>24892</v>
          </cell>
          <cell r="FJ116">
            <v>5288</v>
          </cell>
          <cell r="FK116">
            <v>5285</v>
          </cell>
          <cell r="FL116">
            <v>5385</v>
          </cell>
          <cell r="FM116">
            <v>7937</v>
          </cell>
          <cell r="FN116">
            <v>23895</v>
          </cell>
          <cell r="FP116">
            <v>5574</v>
          </cell>
          <cell r="FQ116">
            <v>5537</v>
          </cell>
          <cell r="FR116">
            <v>5623</v>
          </cell>
          <cell r="FS116">
            <v>8269</v>
          </cell>
          <cell r="FT116">
            <v>25003</v>
          </cell>
          <cell r="FV116">
            <v>5889</v>
          </cell>
          <cell r="FW116">
            <v>5939</v>
          </cell>
          <cell r="FX116">
            <v>5853</v>
          </cell>
          <cell r="FY116">
            <v>8724</v>
          </cell>
          <cell r="FZ116">
            <v>26405</v>
          </cell>
          <cell r="GB116">
            <v>6143</v>
          </cell>
          <cell r="GC116">
            <v>6118</v>
          </cell>
          <cell r="GD116">
            <v>6069.6866469352608</v>
          </cell>
          <cell r="GE116">
            <v>9367.1339584297966</v>
          </cell>
          <cell r="GF116">
            <v>27697.820605365057</v>
          </cell>
        </row>
        <row r="117">
          <cell r="FJ117">
            <v>1255</v>
          </cell>
          <cell r="FK117">
            <v>4426</v>
          </cell>
          <cell r="FL117">
            <v>2177</v>
          </cell>
          <cell r="FM117">
            <v>7849</v>
          </cell>
        </row>
        <row r="118">
          <cell r="A118" t="str">
            <v>Consolidated Monthly Comps</v>
          </cell>
          <cell r="AN118" t="str">
            <v>Consolidated Monthly Comps</v>
          </cell>
        </row>
        <row r="119">
          <cell r="A119" t="str">
            <v>Month 1</v>
          </cell>
          <cell r="AN119" t="str">
            <v>Month 1</v>
          </cell>
          <cell r="BS119">
            <v>3.9E-2</v>
          </cell>
          <cell r="BT119">
            <v>8.9999999999999993E-3</v>
          </cell>
          <cell r="BU119">
            <v>4.7E-2</v>
          </cell>
          <cell r="BV119">
            <v>4.2999999999999997E-2</v>
          </cell>
          <cell r="BY119">
            <v>3.1E-2</v>
          </cell>
          <cell r="BZ119">
            <v>7.0000000000000007E-2</v>
          </cell>
          <cell r="CA119">
            <v>8.9999999999999993E-3</v>
          </cell>
          <cell r="CB119">
            <v>2.4E-2</v>
          </cell>
          <cell r="CJ119">
            <v>0.09</v>
          </cell>
          <cell r="CK119">
            <v>2.1000000000000001E-2</v>
          </cell>
          <cell r="CL119">
            <v>2.5000000000000001E-2</v>
          </cell>
          <cell r="CM119">
            <v>9.6000000000000002E-2</v>
          </cell>
          <cell r="CP119">
            <v>2.1999999999999999E-2</v>
          </cell>
          <cell r="CQ119">
            <v>2.5000000000000001E-2</v>
          </cell>
          <cell r="CR119">
            <v>3.5000000000000003E-2</v>
          </cell>
          <cell r="CS119">
            <v>0.02</v>
          </cell>
          <cell r="CV119">
            <v>1.4999999999999999E-2</v>
          </cell>
          <cell r="CW119">
            <v>1.7999999999999999E-2</v>
          </cell>
          <cell r="CX119">
            <v>-1.2999999999999999E-2</v>
          </cell>
          <cell r="CY119">
            <v>-2E-3</v>
          </cell>
          <cell r="DB119">
            <v>0.01</v>
          </cell>
          <cell r="DC119">
            <v>4.1000000000000002E-2</v>
          </cell>
          <cell r="DD119">
            <v>2.9000000000000001E-2</v>
          </cell>
          <cell r="DE119">
            <v>1.0999999999999999E-2</v>
          </cell>
          <cell r="DH119">
            <v>5.2999999999999999E-2</v>
          </cell>
          <cell r="DI119">
            <v>4.2000000000000003E-2</v>
          </cell>
          <cell r="DJ119">
            <v>1.0999999999999999E-2</v>
          </cell>
          <cell r="DK119">
            <v>1.4E-2</v>
          </cell>
          <cell r="DN119">
            <v>-1.6E-2</v>
          </cell>
          <cell r="DO119">
            <v>-3.3000000000000002E-2</v>
          </cell>
          <cell r="DP119">
            <v>-2.5999999999999999E-2</v>
          </cell>
          <cell r="DQ119">
            <v>8.9999999999999993E-3</v>
          </cell>
          <cell r="DT119">
            <v>-2.8000000000000001E-2</v>
          </cell>
          <cell r="DU119">
            <v>-3.4000000000000002E-2</v>
          </cell>
          <cell r="DV119">
            <v>-5.8000000000000003E-2</v>
          </cell>
          <cell r="DW119">
            <v>-7.3999999999999996E-2</v>
          </cell>
          <cell r="DZ119">
            <v>-6.8000000000000005E-2</v>
          </cell>
          <cell r="EA119">
            <v>-8.0000000000000002E-3</v>
          </cell>
          <cell r="EB119">
            <v>-8.0000000000000002E-3</v>
          </cell>
          <cell r="EC119">
            <v>-1E-3</v>
          </cell>
          <cell r="EF119">
            <v>0.09</v>
          </cell>
          <cell r="EG119">
            <v>2.9000000000000001E-2</v>
          </cell>
          <cell r="EH119">
            <v>-2.4E-2</v>
          </cell>
          <cell r="EI119">
            <v>-1.4E-2</v>
          </cell>
          <cell r="EL119">
            <v>1.7999999999999999E-2</v>
          </cell>
          <cell r="EM119">
            <v>8.0000000000000002E-3</v>
          </cell>
          <cell r="EN119">
            <v>1.0999999999999999E-2</v>
          </cell>
          <cell r="EO119">
            <v>-3.4000000000000002E-2</v>
          </cell>
          <cell r="ER119">
            <v>0.01</v>
          </cell>
          <cell r="ES119">
            <v>9.1999999999999998E-2</v>
          </cell>
          <cell r="ET119">
            <v>3.7999999999999999E-2</v>
          </cell>
          <cell r="EU119">
            <v>8.5000000000000006E-2</v>
          </cell>
          <cell r="EX119">
            <v>1.2E-2</v>
          </cell>
          <cell r="EY119">
            <v>-3.3000000000000002E-2</v>
          </cell>
          <cell r="EZ119">
            <v>2.4E-2</v>
          </cell>
          <cell r="FA119">
            <v>0.13400000000000001</v>
          </cell>
          <cell r="FD119">
            <v>-3.5000000000000003E-2</v>
          </cell>
          <cell r="FE119">
            <v>-1.4999999999999999E-2</v>
          </cell>
          <cell r="FF119">
            <v>-4.8000000000000001E-2</v>
          </cell>
          <cell r="FG119">
            <v>-0.13300000000000001</v>
          </cell>
          <cell r="FJ119">
            <v>-8.5000000000000006E-2</v>
          </cell>
          <cell r="FK119">
            <v>-9.0999999999999998E-2</v>
          </cell>
          <cell r="FL119">
            <v>-8.1000000000000003E-2</v>
          </cell>
          <cell r="FM119">
            <v>-6.0999999999999999E-2</v>
          </cell>
          <cell r="FP119">
            <v>3.6999999999999998E-2</v>
          </cell>
          <cell r="FQ119">
            <v>1.4E-2</v>
          </cell>
          <cell r="FR119">
            <v>4.2999999999999997E-2</v>
          </cell>
          <cell r="FS119">
            <v>6.0999999999999999E-2</v>
          </cell>
          <cell r="FV119">
            <v>5.8000000000000003E-2</v>
          </cell>
          <cell r="FW119">
            <v>7.3999999999999996E-2</v>
          </cell>
          <cell r="FX119">
            <v>0.05</v>
          </cell>
          <cell r="FY119">
            <v>4.8000000000000001E-2</v>
          </cell>
          <cell r="GB119">
            <v>4.5999999999999999E-2</v>
          </cell>
          <cell r="GC119">
            <v>4.2000000000000003E-2</v>
          </cell>
          <cell r="GD119">
            <v>5.0999999999999997E-2</v>
          </cell>
          <cell r="GE119">
            <v>0.04</v>
          </cell>
        </row>
        <row r="120">
          <cell r="A120" t="str">
            <v>Month 2</v>
          </cell>
          <cell r="AN120" t="str">
            <v>Month 2</v>
          </cell>
          <cell r="BS120">
            <v>0.08</v>
          </cell>
          <cell r="BT120">
            <v>1.9E-2</v>
          </cell>
          <cell r="BU120">
            <v>3.7999999999999999E-2</v>
          </cell>
          <cell r="BV120">
            <v>2.1000000000000001E-2</v>
          </cell>
          <cell r="BY120">
            <v>-2.5000000000000001E-2</v>
          </cell>
          <cell r="BZ120">
            <v>4.8000000000000001E-2</v>
          </cell>
          <cell r="CA120">
            <v>4.9000000000000002E-2</v>
          </cell>
          <cell r="CB120">
            <v>1.2999999999999999E-2</v>
          </cell>
          <cell r="CJ120">
            <v>6.0999999999999999E-2</v>
          </cell>
          <cell r="CK120">
            <v>1.4999999999999999E-2</v>
          </cell>
          <cell r="CL120">
            <v>8.0000000000000002E-3</v>
          </cell>
          <cell r="CM120">
            <v>0</v>
          </cell>
          <cell r="CP120">
            <v>-2E-3</v>
          </cell>
          <cell r="CQ120">
            <v>3.2000000000000001E-2</v>
          </cell>
          <cell r="CR120">
            <v>2.7E-2</v>
          </cell>
          <cell r="CS120">
            <v>0.01</v>
          </cell>
          <cell r="CV120">
            <v>8.9999999999999993E-3</v>
          </cell>
          <cell r="CW120">
            <v>3.4000000000000002E-2</v>
          </cell>
          <cell r="CX120">
            <v>-7.0000000000000001E-3</v>
          </cell>
          <cell r="CY120">
            <v>5.7000000000000002E-2</v>
          </cell>
          <cell r="DB120">
            <v>0.09</v>
          </cell>
          <cell r="DC120">
            <v>8.4000000000000005E-2</v>
          </cell>
          <cell r="DD120">
            <v>3.6999999999999998E-2</v>
          </cell>
          <cell r="DE120">
            <v>6.4000000000000001E-2</v>
          </cell>
          <cell r="DH120">
            <v>-6.0000000000000001E-3</v>
          </cell>
          <cell r="DI120">
            <v>5.0000000000000001E-3</v>
          </cell>
          <cell r="DJ120">
            <v>2.9000000000000001E-2</v>
          </cell>
          <cell r="DK120">
            <v>1.2E-2</v>
          </cell>
          <cell r="DN120">
            <v>-3.2000000000000001E-2</v>
          </cell>
          <cell r="DO120">
            <v>-6.4000000000000001E-2</v>
          </cell>
          <cell r="DP120">
            <v>-0.129</v>
          </cell>
          <cell r="DQ120">
            <v>-8.6999999999999994E-2</v>
          </cell>
          <cell r="DT120">
            <v>-2E-3</v>
          </cell>
          <cell r="DU120">
            <v>-4.0000000000000001E-3</v>
          </cell>
          <cell r="DV120">
            <v>0</v>
          </cell>
          <cell r="DW120">
            <v>-2.5999999999999999E-2</v>
          </cell>
          <cell r="DZ120">
            <v>-6.5000000000000002E-2</v>
          </cell>
          <cell r="EA120">
            <v>-0.02</v>
          </cell>
          <cell r="EB120">
            <v>3.2000000000000001E-2</v>
          </cell>
          <cell r="EC120">
            <v>1.2E-2</v>
          </cell>
          <cell r="EF120">
            <v>6.8000000000000005E-2</v>
          </cell>
          <cell r="EG120">
            <v>3.4000000000000002E-2</v>
          </cell>
          <cell r="EH120">
            <v>1E-3</v>
          </cell>
          <cell r="EI120">
            <v>2.3E-2</v>
          </cell>
          <cell r="EL120">
            <v>3.4000000000000002E-2</v>
          </cell>
          <cell r="EM120">
            <v>2.9000000000000001E-2</v>
          </cell>
          <cell r="EN120">
            <v>1.2999999999999999E-2</v>
          </cell>
          <cell r="EO120">
            <v>3.4000000000000002E-2</v>
          </cell>
          <cell r="ER120">
            <v>0</v>
          </cell>
          <cell r="ES120">
            <v>1.7000000000000001E-2</v>
          </cell>
          <cell r="ET120">
            <v>6.5000000000000002E-2</v>
          </cell>
          <cell r="EU120">
            <v>4.3999999999999997E-2</v>
          </cell>
          <cell r="EX120">
            <v>2.3E-2</v>
          </cell>
          <cell r="EY120">
            <v>-2.7E-2</v>
          </cell>
          <cell r="EZ120">
            <v>-2.7E-2</v>
          </cell>
          <cell r="FA120">
            <v>-7.9000000000000001E-2</v>
          </cell>
          <cell r="FD120">
            <v>-6.2E-2</v>
          </cell>
          <cell r="FE120">
            <v>-2.1000000000000001E-2</v>
          </cell>
          <cell r="FF120">
            <v>-6.6000000000000003E-2</v>
          </cell>
          <cell r="FG120">
            <v>-0.04</v>
          </cell>
          <cell r="FJ120">
            <v>-9.1999999999999998E-2</v>
          </cell>
          <cell r="FK120">
            <v>-8.8999999999999996E-2</v>
          </cell>
          <cell r="FL120">
            <v>-2.3E-2</v>
          </cell>
          <cell r="FM120">
            <v>0.01</v>
          </cell>
          <cell r="FP120">
            <v>0.10800000000000001</v>
          </cell>
          <cell r="FQ120">
            <v>6.5000000000000002E-2</v>
          </cell>
          <cell r="FR120">
            <v>4.8000000000000001E-2</v>
          </cell>
          <cell r="FS120">
            <v>3.9E-2</v>
          </cell>
          <cell r="FV120">
            <v>8.9999999999999993E-3</v>
          </cell>
          <cell r="FW120">
            <v>6.7000000000000004E-2</v>
          </cell>
          <cell r="FX120">
            <v>4.9000000000000002E-2</v>
          </cell>
          <cell r="FY120">
            <v>6.2E-2</v>
          </cell>
          <cell r="GB120">
            <v>7.2999999999999995E-2</v>
          </cell>
          <cell r="GC120">
            <v>1.2E-2</v>
          </cell>
          <cell r="GD120">
            <v>0.03</v>
          </cell>
          <cell r="GE120">
            <v>0.04</v>
          </cell>
        </row>
        <row r="121">
          <cell r="A121" t="str">
            <v>Month 3</v>
          </cell>
          <cell r="AN121" t="str">
            <v>Month 3</v>
          </cell>
          <cell r="BS121">
            <v>-8.9999999999999993E-3</v>
          </cell>
          <cell r="BT121">
            <v>-8.0000000000000002E-3</v>
          </cell>
          <cell r="BU121">
            <v>2.5000000000000001E-2</v>
          </cell>
          <cell r="BV121">
            <v>8.8999999999999996E-2</v>
          </cell>
          <cell r="BY121">
            <v>4.1000000000000002E-2</v>
          </cell>
          <cell r="BZ121">
            <v>7.0999999999999994E-2</v>
          </cell>
          <cell r="CA121">
            <v>-1.7999999999999999E-2</v>
          </cell>
          <cell r="CB121">
            <v>5.0999999999999997E-2</v>
          </cell>
          <cell r="CJ121">
            <v>-1.0999999999999999E-2</v>
          </cell>
          <cell r="CK121">
            <v>-1.7000000000000001E-2</v>
          </cell>
          <cell r="CL121">
            <v>4.9000000000000002E-2</v>
          </cell>
          <cell r="CM121">
            <v>9.4E-2</v>
          </cell>
          <cell r="CP121">
            <v>6.2E-2</v>
          </cell>
          <cell r="CQ121">
            <v>8.5999999999999993E-2</v>
          </cell>
          <cell r="CR121">
            <v>0.03</v>
          </cell>
          <cell r="CS121">
            <v>1.4999999999999999E-2</v>
          </cell>
          <cell r="CV121">
            <v>0.05</v>
          </cell>
          <cell r="CW121">
            <v>3.9E-2</v>
          </cell>
          <cell r="CX121">
            <v>-1.9E-2</v>
          </cell>
          <cell r="CY121">
            <v>7.2999999999999995E-2</v>
          </cell>
          <cell r="DB121">
            <v>1.4999999999999999E-2</v>
          </cell>
          <cell r="DC121">
            <v>4.7E-2</v>
          </cell>
          <cell r="DD121">
            <v>4.4999999999999998E-2</v>
          </cell>
          <cell r="DE121">
            <v>4.2000000000000003E-2</v>
          </cell>
          <cell r="DH121">
            <v>5.1999999999999998E-2</v>
          </cell>
          <cell r="DI121">
            <v>1.6E-2</v>
          </cell>
          <cell r="DJ121">
            <v>1.6E-2</v>
          </cell>
          <cell r="DK121">
            <v>3.6999999999999998E-2</v>
          </cell>
          <cell r="DN121">
            <v>8.0000000000000002E-3</v>
          </cell>
          <cell r="DO121">
            <v>-4.2000000000000003E-2</v>
          </cell>
          <cell r="DP121">
            <v>-8.6999999999999994E-2</v>
          </cell>
          <cell r="DQ121">
            <v>-8.7999999999999995E-2</v>
          </cell>
          <cell r="DT121">
            <v>-5.8999999999999997E-2</v>
          </cell>
          <cell r="DU121">
            <v>-5.1999999999999998E-2</v>
          </cell>
          <cell r="DV121">
            <v>3.0000000000000001E-3</v>
          </cell>
          <cell r="DW121">
            <v>-1.2E-2</v>
          </cell>
          <cell r="DZ121">
            <v>-1.3999999999999999E-2</v>
          </cell>
          <cell r="EA121">
            <v>-4.0000000000000001E-3</v>
          </cell>
          <cell r="EB121">
            <v>-0.02</v>
          </cell>
          <cell r="EC121">
            <v>5.5E-2</v>
          </cell>
          <cell r="EF121">
            <v>5.3999999999999999E-2</v>
          </cell>
          <cell r="EG121">
            <v>3.6999999999999998E-2</v>
          </cell>
          <cell r="EH121">
            <v>0.04</v>
          </cell>
          <cell r="EI121">
            <v>-4.0000000000000001E-3</v>
          </cell>
          <cell r="EL121">
            <v>2.8000000000000001E-2</v>
          </cell>
          <cell r="EM121">
            <v>-8.9999999999999993E-3</v>
          </cell>
          <cell r="EN121">
            <v>-7.0000000000000001E-3</v>
          </cell>
          <cell r="EO121">
            <v>0.01</v>
          </cell>
          <cell r="ER121">
            <v>-8.0000000000000002E-3</v>
          </cell>
          <cell r="ES121">
            <v>3.3000000000000002E-2</v>
          </cell>
          <cell r="ET121">
            <v>7.6999999999999999E-2</v>
          </cell>
          <cell r="EU121">
            <v>8.5999999999999993E-2</v>
          </cell>
          <cell r="EX121">
            <v>-2.1999999999999999E-2</v>
          </cell>
          <cell r="EY121">
            <v>-1.4E-2</v>
          </cell>
          <cell r="EZ121">
            <v>-1.4999999999999999E-2</v>
          </cell>
          <cell r="FA121">
            <v>-7.0999999999999994E-2</v>
          </cell>
          <cell r="FD121">
            <v>0.03</v>
          </cell>
          <cell r="FE121">
            <v>-2.9000000000000001E-2</v>
          </cell>
          <cell r="FF121">
            <v>-6.3E-2</v>
          </cell>
          <cell r="FG121">
            <v>-4.4999999999999998E-2</v>
          </cell>
          <cell r="FJ121">
            <v>-9.0999999999999998E-2</v>
          </cell>
          <cell r="FK121">
            <v>-0.107</v>
          </cell>
          <cell r="FL121">
            <v>-8.0000000000000002E-3</v>
          </cell>
          <cell r="FM121">
            <v>3.4000000000000002E-2</v>
          </cell>
          <cell r="FP121">
            <v>1.0999999999999999E-2</v>
          </cell>
          <cell r="FQ121">
            <v>7.2999999999999995E-2</v>
          </cell>
          <cell r="FR121">
            <v>2.5000000000000001E-2</v>
          </cell>
          <cell r="FS121">
            <v>2.5999999999999999E-2</v>
          </cell>
          <cell r="FV121">
            <v>0.108</v>
          </cell>
          <cell r="FW121">
            <v>0.05</v>
          </cell>
          <cell r="FX121">
            <v>2.1999999999999999E-2</v>
          </cell>
          <cell r="FY121">
            <v>2.4E-2</v>
          </cell>
          <cell r="GB121">
            <v>1.2E-2</v>
          </cell>
          <cell r="GC121">
            <v>4.1000000000000002E-2</v>
          </cell>
          <cell r="GD121">
            <v>5.5E-2</v>
          </cell>
          <cell r="GE121">
            <v>0.05</v>
          </cell>
        </row>
        <row r="122">
          <cell r="A122" t="str">
            <v>Total</v>
          </cell>
          <cell r="AN122" t="str">
            <v>Total</v>
          </cell>
          <cell r="BS122">
            <v>3.9E-2</v>
          </cell>
          <cell r="BT122">
            <v>8.0000000000000002E-3</v>
          </cell>
          <cell r="BU122">
            <v>3.6999999999999998E-2</v>
          </cell>
          <cell r="BV122">
            <v>3.5999999999999997E-2</v>
          </cell>
          <cell r="BW122">
            <v>3.0898675327518881E-2</v>
          </cell>
          <cell r="CJ122">
            <v>4.8470506256248672E-2</v>
          </cell>
          <cell r="CK122">
            <v>8.3184337129285652E-3</v>
          </cell>
          <cell r="CL122">
            <v>8.9999999999999993E-3</v>
          </cell>
          <cell r="CM122">
            <v>4.3417523930571543E-2</v>
          </cell>
          <cell r="CN122">
            <v>3.0844572544785176E-2</v>
          </cell>
          <cell r="CP122">
            <v>2.5000000000000001E-2</v>
          </cell>
          <cell r="CQ122">
            <v>4.3999999999999997E-2</v>
          </cell>
          <cell r="CR122">
            <v>3.1E-2</v>
          </cell>
          <cell r="CS122">
            <v>1.4E-2</v>
          </cell>
          <cell r="CT122">
            <v>2.7069152758765591E-2</v>
          </cell>
          <cell r="CU122">
            <v>0</v>
          </cell>
          <cell r="CV122">
            <v>2.4E-2</v>
          </cell>
          <cell r="CW122">
            <v>3.0187969924812031E-2</v>
          </cell>
          <cell r="CX122">
            <v>-1.2479646871752174E-2</v>
          </cell>
          <cell r="CY122">
            <v>4.1000000000000002E-2</v>
          </cell>
          <cell r="CZ122">
            <v>4.4999999999999998E-2</v>
          </cell>
          <cell r="DB122">
            <v>0.04</v>
          </cell>
          <cell r="DC122">
            <v>5.8999999999999997E-2</v>
          </cell>
          <cell r="DD122">
            <v>3.9E-2</v>
          </cell>
          <cell r="DE122">
            <v>4.3999999999999997E-2</v>
          </cell>
          <cell r="DF122">
            <v>4.4999999999999998E-2</v>
          </cell>
          <cell r="DH122">
            <v>2.9000000000000001E-2</v>
          </cell>
          <cell r="DI122">
            <v>1.9E-2</v>
          </cell>
          <cell r="DJ122">
            <v>1.9E-2</v>
          </cell>
          <cell r="DK122">
            <v>1.6E-2</v>
          </cell>
          <cell r="DL122">
            <v>0.02</v>
          </cell>
          <cell r="DN122">
            <v>-1.4999999999999999E-2</v>
          </cell>
          <cell r="DO122">
            <v>-4.8000000000000001E-2</v>
          </cell>
          <cell r="DP122">
            <v>-8.5999999999999993E-2</v>
          </cell>
          <cell r="DQ122">
            <v>-0.06</v>
          </cell>
          <cell r="DR122">
            <v>-5.2999999999999999E-2</v>
          </cell>
          <cell r="DT122">
            <v>-2.9000000000000001E-2</v>
          </cell>
          <cell r="DU122">
            <v>-2.8000000000000001E-2</v>
          </cell>
          <cell r="DV122">
            <v>-0.02</v>
          </cell>
          <cell r="DW122">
            <v>-3.9E-2</v>
          </cell>
          <cell r="DX122">
            <v>-0.03</v>
          </cell>
          <cell r="DZ122">
            <v>-0.05</v>
          </cell>
          <cell r="EA122">
            <v>-1.2E-2</v>
          </cell>
          <cell r="EB122">
            <v>2E-3</v>
          </cell>
          <cell r="EC122">
            <v>1.3999999999999999E-2</v>
          </cell>
          <cell r="ED122">
            <v>-9.0000000000000011E-3</v>
          </cell>
          <cell r="EF122">
            <v>6.9000000000000006E-2</v>
          </cell>
          <cell r="EG122">
            <v>3.3000000000000002E-2</v>
          </cell>
          <cell r="EH122">
            <v>4.0000000000000001E-3</v>
          </cell>
          <cell r="EI122">
            <v>8.0000000000000002E-3</v>
          </cell>
          <cell r="EJ122">
            <v>2.5999999999999999E-2</v>
          </cell>
          <cell r="EL122">
            <v>2.5999999999999999E-2</v>
          </cell>
          <cell r="EM122">
            <v>1.0999999999999999E-2</v>
          </cell>
          <cell r="EN122">
            <v>6.0000000000000001E-3</v>
          </cell>
          <cell r="EO122">
            <v>1.0999999999999999E-2</v>
          </cell>
          <cell r="EP122">
            <v>1.2999999999999999E-2</v>
          </cell>
          <cell r="ER122">
            <v>0</v>
          </cell>
          <cell r="ES122">
            <v>4.5999999999999999E-2</v>
          </cell>
          <cell r="ET122">
            <v>5.8999999999999997E-2</v>
          </cell>
          <cell r="EU122">
            <v>6.0999999999999999E-2</v>
          </cell>
          <cell r="EV122">
            <v>4.3999999999999997E-2</v>
          </cell>
          <cell r="EX122">
            <v>6.0000000000000001E-3</v>
          </cell>
          <cell r="EY122">
            <v>-2.5999999999999999E-2</v>
          </cell>
          <cell r="EZ122">
            <v>-8.0000000000000002E-3</v>
          </cell>
          <cell r="FA122">
            <v>-0.02</v>
          </cell>
          <cell r="FB122">
            <v>-1.2999999999999999E-2</v>
          </cell>
          <cell r="FD122">
            <v>-2.5999999999999999E-2</v>
          </cell>
          <cell r="FE122">
            <v>-2.1000000000000001E-2</v>
          </cell>
          <cell r="FF122">
            <v>-0.06</v>
          </cell>
          <cell r="FG122">
            <v>-7.0000000000000007E-2</v>
          </cell>
          <cell r="FH122">
            <v>-4.4999999999999998E-2</v>
          </cell>
          <cell r="FJ122">
            <v>-0.09</v>
          </cell>
          <cell r="FK122">
            <v>-9.5000000000000001E-2</v>
          </cell>
          <cell r="FL122">
            <v>-3.5999999999999997E-2</v>
          </cell>
          <cell r="FM122">
            <v>-8.0000000000000002E-3</v>
          </cell>
          <cell r="FN122">
            <v>-5.2999999999999999E-2</v>
          </cell>
          <cell r="FP122">
            <v>5.5E-2</v>
          </cell>
          <cell r="FQ122">
            <v>4.9000000000000002E-2</v>
          </cell>
          <cell r="FR122">
            <v>3.9E-2</v>
          </cell>
          <cell r="FS122">
            <v>4.2999999999999997E-2</v>
          </cell>
          <cell r="FT122">
            <v>4.610434747830261E-2</v>
          </cell>
          <cell r="FV122">
            <v>5.3999999999999999E-2</v>
          </cell>
          <cell r="FW122">
            <v>6.4000000000000001E-2</v>
          </cell>
          <cell r="FX122">
            <v>0.04</v>
          </cell>
          <cell r="FY122">
            <v>5.1999999999999998E-2</v>
          </cell>
          <cell r="FZ122">
            <v>5.2999999999999999E-2</v>
          </cell>
          <cell r="GB122">
            <v>4.3999999999999997E-2</v>
          </cell>
          <cell r="GC122">
            <v>0.03</v>
          </cell>
          <cell r="GD122">
            <v>4.4170626829774157E-2</v>
          </cell>
          <cell r="GE122">
            <v>4.1872044415560798E-2</v>
          </cell>
          <cell r="GF122">
            <v>4.02253638971692E-2</v>
          </cell>
        </row>
        <row r="124">
          <cell r="A124" t="str">
            <v>Consolidated Productivity Factor</v>
          </cell>
          <cell r="AN124" t="str">
            <v>Consolidated Productivity Factor</v>
          </cell>
        </row>
        <row r="125">
          <cell r="A125" t="str">
            <v>Month 1</v>
          </cell>
          <cell r="AN125" t="str">
            <v>Month 1</v>
          </cell>
          <cell r="EF125">
            <v>1.0043063843845854</v>
          </cell>
          <cell r="EG125">
            <v>1.010810633855717</v>
          </cell>
          <cell r="EH125">
            <v>1.0130234439561103</v>
          </cell>
          <cell r="EI125">
            <v>1.0261552566722514</v>
          </cell>
          <cell r="EL125">
            <v>1.0039733185357242</v>
          </cell>
          <cell r="EM125">
            <v>0.99978472992257905</v>
          </cell>
          <cell r="EN125">
            <v>1.0012187282870586</v>
          </cell>
          <cell r="EO125">
            <v>0.91407567624195751</v>
          </cell>
          <cell r="ER125">
            <v>0.85379589916801657</v>
          </cell>
          <cell r="ES125">
            <v>0.82852877251430668</v>
          </cell>
          <cell r="ET125">
            <v>0.83475030563790842</v>
          </cell>
          <cell r="EU125">
            <v>0.91480422703367681</v>
          </cell>
          <cell r="EX125">
            <v>1.0042251017232908</v>
          </cell>
          <cell r="EY125">
            <v>1.0108075527611304</v>
          </cell>
          <cell r="EZ125">
            <v>1.0032705612197608</v>
          </cell>
          <cell r="FA125">
            <v>0.99617129302855612</v>
          </cell>
          <cell r="FD125">
            <v>1.0047260256693704</v>
          </cell>
          <cell r="FE125">
            <v>1.0011731147187122</v>
          </cell>
          <cell r="FF125">
            <v>1.0015681684828099</v>
          </cell>
          <cell r="FG125">
            <v>0.9980273685296247</v>
          </cell>
          <cell r="FJ125">
            <v>1.0146680194879518</v>
          </cell>
          <cell r="FK125">
            <v>1.0229325701507319</v>
          </cell>
          <cell r="FL125">
            <v>1.0237530410429481</v>
          </cell>
          <cell r="FM125">
            <v>1.0168796021749338</v>
          </cell>
          <cell r="FP125">
            <v>1.0016060228776302</v>
          </cell>
          <cell r="FQ125">
            <v>0.98881215735067063</v>
          </cell>
          <cell r="FR125">
            <v>1.0007452413933455</v>
          </cell>
          <cell r="FS125">
            <v>1.0028115913956974</v>
          </cell>
          <cell r="FV125">
            <v>1.0005096291516782</v>
          </cell>
          <cell r="FW125">
            <v>1.0081721608307339</v>
          </cell>
          <cell r="FX125">
            <v>0.99435769750356207</v>
          </cell>
          <cell r="FY125">
            <v>1.0114048185081832</v>
          </cell>
          <cell r="GB125">
            <v>1.0253009585429893</v>
          </cell>
          <cell r="GC125">
            <v>1.0133052611979987</v>
          </cell>
          <cell r="GD125">
            <v>1.018088666893139</v>
          </cell>
          <cell r="GE125">
            <v>1.0011764705882353</v>
          </cell>
        </row>
        <row r="126">
          <cell r="A126" t="str">
            <v>Month 2</v>
          </cell>
          <cell r="AN126" t="str">
            <v>Month 2</v>
          </cell>
          <cell r="EF126">
            <v>1.0053433076034095</v>
          </cell>
          <cell r="EG126">
            <v>1.0066663386950321</v>
          </cell>
          <cell r="EH126">
            <v>1.012796599849775</v>
          </cell>
          <cell r="EI126">
            <v>1.0251796947783753</v>
          </cell>
          <cell r="EL126">
            <v>1.0061447584995618</v>
          </cell>
          <cell r="EM126">
            <v>1.0029492195249803</v>
          </cell>
          <cell r="EN126">
            <v>0.88191400316768354</v>
          </cell>
          <cell r="EO126">
            <v>0.90286524641517052</v>
          </cell>
          <cell r="ER126">
            <v>0.87143545576033965</v>
          </cell>
          <cell r="ES126">
            <v>0.86259214604526391</v>
          </cell>
          <cell r="ET126">
            <v>0.95476655228407081</v>
          </cell>
          <cell r="EU126">
            <v>0.95390310394604827</v>
          </cell>
          <cell r="EX126">
            <v>0.99756383077735888</v>
          </cell>
          <cell r="EY126">
            <v>1.0076309712339664</v>
          </cell>
          <cell r="EZ126">
            <v>1.0058439901456568</v>
          </cell>
          <cell r="FA126">
            <v>1.0104925603418453</v>
          </cell>
          <cell r="FD126">
            <v>1.0038919718017412</v>
          </cell>
          <cell r="FE126">
            <v>1.0002262623646179</v>
          </cell>
          <cell r="FF126">
            <v>1.0022779610885877</v>
          </cell>
          <cell r="FG126">
            <v>0.98797059201406712</v>
          </cell>
          <cell r="FJ126">
            <v>1.0172356632303496</v>
          </cell>
          <cell r="FK126">
            <v>1.0266388149144143</v>
          </cell>
          <cell r="FL126">
            <v>1.0185440088098592</v>
          </cell>
          <cell r="FM126">
            <v>1.0150644106268683</v>
          </cell>
          <cell r="FP126">
            <v>0.9967530496300272</v>
          </cell>
          <cell r="FQ126">
            <v>0.99989171377441255</v>
          </cell>
          <cell r="FR126">
            <v>1.0028971230689774</v>
          </cell>
          <cell r="FS126">
            <v>0.9946391314592461</v>
          </cell>
          <cell r="FV126">
            <v>1.0074992903911262</v>
          </cell>
          <cell r="FW126">
            <v>1.0057878604073234</v>
          </cell>
          <cell r="FX126">
            <v>1.0057401642886414</v>
          </cell>
          <cell r="FY126">
            <v>1.0118477756232767</v>
          </cell>
          <cell r="GB126">
            <v>1.0102541230632647</v>
          </cell>
          <cell r="GC126">
            <v>1.011143062170935</v>
          </cell>
          <cell r="GD126">
            <v>1</v>
          </cell>
          <cell r="GE126">
            <v>1</v>
          </cell>
        </row>
        <row r="127">
          <cell r="A127" t="str">
            <v>Month 3</v>
          </cell>
          <cell r="AN127" t="str">
            <v>Month 3</v>
          </cell>
          <cell r="EF127">
            <v>1.0049191704800837</v>
          </cell>
          <cell r="EG127">
            <v>1.0157391039871562</v>
          </cell>
          <cell r="EH127">
            <v>1.0229244178565875</v>
          </cell>
          <cell r="EI127">
            <v>1.0174283739131365</v>
          </cell>
          <cell r="EL127">
            <v>1.0058035349864145</v>
          </cell>
          <cell r="EM127">
            <v>1.0039069906098907</v>
          </cell>
          <cell r="EN127">
            <v>0.90735496459885556</v>
          </cell>
          <cell r="EO127">
            <v>0.95100379512625965</v>
          </cell>
          <cell r="ER127">
            <v>0.85509041472763314</v>
          </cell>
          <cell r="ES127">
            <v>0.83302342705472399</v>
          </cell>
          <cell r="ET127">
            <v>0.9300581404093593</v>
          </cell>
          <cell r="EU127">
            <v>0.88885616548937241</v>
          </cell>
          <cell r="EX127">
            <v>1.0012993536198342</v>
          </cell>
          <cell r="EY127">
            <v>1.0067406823426219</v>
          </cell>
          <cell r="EZ127">
            <v>1.0010354929971583</v>
          </cell>
          <cell r="FA127">
            <v>0.77697496531497701</v>
          </cell>
          <cell r="FD127">
            <v>0.99998610863561077</v>
          </cell>
          <cell r="FE127">
            <v>1.0000776716315167</v>
          </cell>
          <cell r="FF127">
            <v>1.0026881239876493</v>
          </cell>
          <cell r="FG127">
            <v>1.0034001517037674</v>
          </cell>
          <cell r="FJ127">
            <v>1.017274065207098</v>
          </cell>
          <cell r="FK127">
            <v>1.0307481774152398</v>
          </cell>
          <cell r="FL127">
            <v>1.0154616377110075</v>
          </cell>
          <cell r="FM127">
            <v>1.009307170702717</v>
          </cell>
          <cell r="FP127">
            <v>1.0005893323256754</v>
          </cell>
          <cell r="FQ127">
            <v>1.0111137394005785</v>
          </cell>
          <cell r="FR127">
            <v>1.0254628236300125</v>
          </cell>
          <cell r="FS127">
            <v>1.00775043725629</v>
          </cell>
          <cell r="FV127">
            <v>0.99618702023241001</v>
          </cell>
          <cell r="FW127">
            <v>1.0047825549823146</v>
          </cell>
          <cell r="FX127">
            <v>1.0004489851343907</v>
          </cell>
          <cell r="FY127">
            <v>1.008520012530175</v>
          </cell>
          <cell r="GB127">
            <v>1.0062765433093959</v>
          </cell>
          <cell r="GC127">
            <v>1.0227639737625074</v>
          </cell>
          <cell r="GD127">
            <v>1</v>
          </cell>
          <cell r="GE127">
            <v>1.25</v>
          </cell>
        </row>
        <row r="128">
          <cell r="EX128">
            <v>0.99364581839822941</v>
          </cell>
          <cell r="EY128">
            <v>1.0053855991928882</v>
          </cell>
          <cell r="EZ128">
            <v>1.0049007333596589</v>
          </cell>
          <cell r="FA128">
            <v>0.96635245216954013</v>
          </cell>
          <cell r="FD128">
            <v>1.0093706103322386</v>
          </cell>
          <cell r="FE128">
            <v>0.99942053289687438</v>
          </cell>
          <cell r="FF128">
            <v>1.0028127761391281</v>
          </cell>
          <cell r="FG128">
            <v>0.99829531956488382</v>
          </cell>
          <cell r="FH128">
            <v>0.99616480017746767</v>
          </cell>
          <cell r="FJ128">
            <v>1.0150952522446879</v>
          </cell>
          <cell r="FK128">
            <v>1.028988144998136</v>
          </cell>
          <cell r="FL128">
            <v>1.0174659464761271</v>
          </cell>
          <cell r="FM128">
            <v>1.004258927748259</v>
          </cell>
          <cell r="FN128">
            <v>1.0094977226152135</v>
          </cell>
          <cell r="FP128">
            <v>1.0000259928958455</v>
          </cell>
          <cell r="FQ128">
            <v>0.99963688802128137</v>
          </cell>
          <cell r="FR128">
            <v>1.0093878458063197</v>
          </cell>
          <cell r="FS128">
            <v>1.0000370362620763</v>
          </cell>
          <cell r="FT128">
            <v>1.0017002547102301</v>
          </cell>
          <cell r="FV128">
            <v>1.0021044058948783</v>
          </cell>
          <cell r="FW128">
            <v>1.0081307827273334</v>
          </cell>
          <cell r="FX128">
            <v>1.0033467891940979</v>
          </cell>
          <cell r="FY128">
            <v>1.0155381429309334</v>
          </cell>
          <cell r="FZ128">
            <v>1.0152922484576603</v>
          </cell>
          <cell r="GB128">
            <v>1.0132824557239268</v>
          </cell>
          <cell r="GC128">
            <v>1.0138954016780533</v>
          </cell>
          <cell r="GD128">
            <v>1.0060645702976547</v>
          </cell>
          <cell r="GE128">
            <v>1.0305274860110949</v>
          </cell>
          <cell r="GF128">
            <v>1.0083583012001358</v>
          </cell>
        </row>
        <row r="129">
          <cell r="A129" t="str">
            <v>Consolidated Store Count</v>
          </cell>
          <cell r="AN129" t="str">
            <v>Consolidated Store Count</v>
          </cell>
        </row>
        <row r="130">
          <cell r="A130" t="str">
            <v>Month 1</v>
          </cell>
          <cell r="AN130" t="str">
            <v>Month 1</v>
          </cell>
          <cell r="DZ130">
            <v>456</v>
          </cell>
          <cell r="EA130">
            <v>456</v>
          </cell>
          <cell r="EB130">
            <v>460</v>
          </cell>
          <cell r="EC130">
            <v>465</v>
          </cell>
          <cell r="EF130">
            <v>458</v>
          </cell>
          <cell r="EG130">
            <v>457</v>
          </cell>
          <cell r="EH130">
            <v>457</v>
          </cell>
          <cell r="EI130">
            <v>459</v>
          </cell>
          <cell r="EL130">
            <v>459</v>
          </cell>
          <cell r="EM130">
            <v>460</v>
          </cell>
          <cell r="EN130">
            <v>459</v>
          </cell>
          <cell r="EO130">
            <v>935</v>
          </cell>
          <cell r="ER130">
            <v>868</v>
          </cell>
          <cell r="ES130">
            <v>861</v>
          </cell>
          <cell r="ET130">
            <v>854</v>
          </cell>
          <cell r="EU130">
            <v>860</v>
          </cell>
          <cell r="EX130">
            <v>858</v>
          </cell>
          <cell r="EY130">
            <v>863</v>
          </cell>
          <cell r="EZ130">
            <v>864</v>
          </cell>
          <cell r="FA130">
            <v>866</v>
          </cell>
          <cell r="FD130">
            <v>852</v>
          </cell>
          <cell r="FE130">
            <v>852</v>
          </cell>
          <cell r="FF130">
            <v>856</v>
          </cell>
          <cell r="FG130">
            <v>859</v>
          </cell>
          <cell r="FJ130">
            <v>847</v>
          </cell>
          <cell r="FK130">
            <v>848</v>
          </cell>
          <cell r="FL130">
            <v>849</v>
          </cell>
          <cell r="FM130">
            <v>854</v>
          </cell>
          <cell r="FP130">
            <v>850</v>
          </cell>
          <cell r="FQ130">
            <v>850</v>
          </cell>
          <cell r="FR130">
            <v>849</v>
          </cell>
          <cell r="FS130">
            <v>854</v>
          </cell>
          <cell r="FV130">
            <v>850</v>
          </cell>
          <cell r="FW130">
            <v>850</v>
          </cell>
          <cell r="FX130">
            <v>849</v>
          </cell>
          <cell r="FY130">
            <v>851</v>
          </cell>
          <cell r="GB130">
            <v>842</v>
          </cell>
          <cell r="GC130">
            <v>844</v>
          </cell>
          <cell r="GD130">
            <v>846</v>
          </cell>
          <cell r="GE130">
            <v>847</v>
          </cell>
        </row>
        <row r="131">
          <cell r="A131" t="str">
            <v>Month 2</v>
          </cell>
          <cell r="AN131" t="str">
            <v>Month 2</v>
          </cell>
          <cell r="DZ131">
            <v>456</v>
          </cell>
          <cell r="EA131">
            <v>455</v>
          </cell>
          <cell r="EB131">
            <v>460</v>
          </cell>
          <cell r="EC131">
            <v>465</v>
          </cell>
          <cell r="EF131">
            <v>458</v>
          </cell>
          <cell r="EG131">
            <v>457</v>
          </cell>
          <cell r="EH131">
            <v>458</v>
          </cell>
          <cell r="EI131">
            <v>459</v>
          </cell>
          <cell r="EL131">
            <v>459</v>
          </cell>
          <cell r="EM131">
            <v>460</v>
          </cell>
          <cell r="EN131">
            <v>933</v>
          </cell>
          <cell r="EO131">
            <v>934</v>
          </cell>
          <cell r="ER131">
            <v>861</v>
          </cell>
          <cell r="ES131">
            <v>859</v>
          </cell>
          <cell r="ET131">
            <v>855</v>
          </cell>
          <cell r="EU131">
            <v>860</v>
          </cell>
          <cell r="EX131">
            <v>859</v>
          </cell>
          <cell r="EY131">
            <v>863</v>
          </cell>
          <cell r="EZ131">
            <v>866</v>
          </cell>
          <cell r="FA131">
            <v>857</v>
          </cell>
          <cell r="FD131">
            <v>853</v>
          </cell>
          <cell r="FE131">
            <v>853</v>
          </cell>
          <cell r="FF131">
            <v>853</v>
          </cell>
          <cell r="FG131">
            <v>859</v>
          </cell>
          <cell r="FJ131">
            <v>847</v>
          </cell>
          <cell r="FK131">
            <v>848</v>
          </cell>
          <cell r="FL131">
            <v>852</v>
          </cell>
          <cell r="FM131">
            <v>854</v>
          </cell>
          <cell r="FP131">
            <v>850</v>
          </cell>
          <cell r="FQ131">
            <v>850</v>
          </cell>
          <cell r="FR131">
            <v>852</v>
          </cell>
          <cell r="FS131">
            <v>854</v>
          </cell>
          <cell r="FV131">
            <v>850</v>
          </cell>
          <cell r="FW131">
            <v>850</v>
          </cell>
          <cell r="FX131">
            <v>849</v>
          </cell>
          <cell r="FY131">
            <v>850</v>
          </cell>
          <cell r="GB131">
            <v>844</v>
          </cell>
          <cell r="GC131">
            <v>846</v>
          </cell>
          <cell r="GD131">
            <v>847</v>
          </cell>
          <cell r="GE131">
            <v>848</v>
          </cell>
        </row>
        <row r="132">
          <cell r="A132" t="str">
            <v>Month 3</v>
          </cell>
          <cell r="AN132" t="str">
            <v>Month 3</v>
          </cell>
          <cell r="DZ132">
            <v>456</v>
          </cell>
          <cell r="EA132">
            <v>460</v>
          </cell>
          <cell r="EB132">
            <v>465</v>
          </cell>
          <cell r="EC132">
            <v>459</v>
          </cell>
          <cell r="EF132">
            <v>459</v>
          </cell>
          <cell r="EG132">
            <v>457</v>
          </cell>
          <cell r="EH132">
            <v>459</v>
          </cell>
          <cell r="EI132">
            <v>459</v>
          </cell>
          <cell r="EL132">
            <v>459</v>
          </cell>
          <cell r="EM132">
            <v>460</v>
          </cell>
          <cell r="EN132">
            <v>935</v>
          </cell>
          <cell r="EO132">
            <v>868</v>
          </cell>
          <cell r="ER132">
            <v>861</v>
          </cell>
          <cell r="ES132">
            <v>856</v>
          </cell>
          <cell r="ET132">
            <v>857</v>
          </cell>
          <cell r="EU132">
            <v>858</v>
          </cell>
          <cell r="EX132">
            <v>863</v>
          </cell>
          <cell r="EY132">
            <v>863</v>
          </cell>
          <cell r="EZ132">
            <v>866</v>
          </cell>
          <cell r="FA132">
            <v>852</v>
          </cell>
          <cell r="FD132">
            <v>851</v>
          </cell>
          <cell r="FE132">
            <v>855</v>
          </cell>
          <cell r="FF132">
            <v>856</v>
          </cell>
          <cell r="FG132">
            <v>847</v>
          </cell>
          <cell r="FJ132">
            <v>848</v>
          </cell>
          <cell r="FK132">
            <v>848</v>
          </cell>
          <cell r="FL132">
            <v>854</v>
          </cell>
          <cell r="FM132">
            <v>850</v>
          </cell>
          <cell r="FP132">
            <v>849</v>
          </cell>
          <cell r="FQ132">
            <v>849</v>
          </cell>
          <cell r="FR132">
            <v>854</v>
          </cell>
          <cell r="FS132">
            <v>850</v>
          </cell>
          <cell r="FV132">
            <v>850</v>
          </cell>
          <cell r="FW132">
            <v>849</v>
          </cell>
          <cell r="FX132">
            <v>850</v>
          </cell>
          <cell r="FY132">
            <v>842</v>
          </cell>
          <cell r="GB132">
            <v>844</v>
          </cell>
          <cell r="GC132">
            <v>845</v>
          </cell>
          <cell r="GD132">
            <v>847</v>
          </cell>
          <cell r="GE132">
            <v>844</v>
          </cell>
        </row>
        <row r="133">
          <cell r="A133" t="str">
            <v>Total</v>
          </cell>
          <cell r="AN133" t="str">
            <v>Total</v>
          </cell>
          <cell r="DZ133">
            <v>456</v>
          </cell>
          <cell r="EA133">
            <v>460</v>
          </cell>
          <cell r="EB133">
            <v>465</v>
          </cell>
          <cell r="EC133">
            <v>459</v>
          </cell>
          <cell r="ED133">
            <v>459</v>
          </cell>
          <cell r="EF133">
            <v>459</v>
          </cell>
          <cell r="EG133">
            <v>457</v>
          </cell>
          <cell r="EH133">
            <v>459</v>
          </cell>
          <cell r="EI133">
            <v>459</v>
          </cell>
          <cell r="EJ133">
            <v>459</v>
          </cell>
          <cell r="EL133">
            <v>459</v>
          </cell>
          <cell r="EM133">
            <v>460</v>
          </cell>
          <cell r="EN133">
            <v>935</v>
          </cell>
          <cell r="EO133">
            <v>868</v>
          </cell>
          <cell r="EP133">
            <v>868</v>
          </cell>
          <cell r="ER133">
            <v>861</v>
          </cell>
          <cell r="ES133">
            <v>856</v>
          </cell>
          <cell r="ET133">
            <v>857</v>
          </cell>
          <cell r="EU133">
            <v>858</v>
          </cell>
          <cell r="EV133">
            <v>858</v>
          </cell>
          <cell r="EX133">
            <v>863</v>
          </cell>
          <cell r="EY133">
            <v>863</v>
          </cell>
          <cell r="EZ133">
            <v>866</v>
          </cell>
          <cell r="FA133">
            <v>852</v>
          </cell>
          <cell r="FB133">
            <v>852</v>
          </cell>
          <cell r="FD133">
            <v>851</v>
          </cell>
          <cell r="FE133">
            <v>855</v>
          </cell>
          <cell r="FF133">
            <v>856</v>
          </cell>
          <cell r="FG133">
            <v>847</v>
          </cell>
          <cell r="FH133">
            <v>847</v>
          </cell>
          <cell r="FJ133">
            <v>848</v>
          </cell>
          <cell r="FK133">
            <v>848</v>
          </cell>
          <cell r="FL133">
            <v>854</v>
          </cell>
          <cell r="FM133">
            <v>850</v>
          </cell>
          <cell r="FN133">
            <v>850</v>
          </cell>
          <cell r="FP133">
            <v>849</v>
          </cell>
          <cell r="FQ133">
            <v>849</v>
          </cell>
          <cell r="FR133">
            <v>854</v>
          </cell>
          <cell r="FS133">
            <v>850</v>
          </cell>
          <cell r="FT133">
            <v>850</v>
          </cell>
          <cell r="FV133">
            <v>850</v>
          </cell>
          <cell r="FW133">
            <v>849</v>
          </cell>
          <cell r="FX133">
            <v>850</v>
          </cell>
          <cell r="FY133">
            <v>842</v>
          </cell>
          <cell r="FZ133">
            <v>842</v>
          </cell>
          <cell r="GB133">
            <v>844</v>
          </cell>
          <cell r="GC133">
            <v>845</v>
          </cell>
          <cell r="GD133">
            <v>847</v>
          </cell>
          <cell r="GE133">
            <v>844</v>
          </cell>
          <cell r="GF133">
            <v>844</v>
          </cell>
        </row>
        <row r="134">
          <cell r="GB134">
            <v>2</v>
          </cell>
          <cell r="GC134">
            <v>1</v>
          </cell>
          <cell r="GD134">
            <v>2</v>
          </cell>
          <cell r="GE134">
            <v>-3</v>
          </cell>
        </row>
        <row r="135">
          <cell r="A135" t="str">
            <v>Consolidated EOP Sq. Ft. (Estimated)</v>
          </cell>
          <cell r="AN135" t="str">
            <v>Consolidated EOP Sq. Ft. (Estimated)</v>
          </cell>
        </row>
        <row r="136">
          <cell r="A136" t="str">
            <v>Month 1</v>
          </cell>
          <cell r="AN136" t="str">
            <v>Month 1</v>
          </cell>
          <cell r="DZ136">
            <v>83.683006535947712</v>
          </cell>
          <cell r="EA136">
            <v>83.680988917306053</v>
          </cell>
          <cell r="EB136">
            <v>84.412537774966609</v>
          </cell>
          <cell r="EC136">
            <v>85.098039215686271</v>
          </cell>
          <cell r="EF136">
            <v>83.816993464052288</v>
          </cell>
          <cell r="EG136">
            <v>83.637037037037032</v>
          </cell>
          <cell r="EH136">
            <v>83.633986928104576</v>
          </cell>
          <cell r="EI136">
            <v>83.3</v>
          </cell>
          <cell r="EL136">
            <v>83.3</v>
          </cell>
          <cell r="EM136">
            <v>83.48260368663594</v>
          </cell>
          <cell r="EN136">
            <v>83.562228739002933</v>
          </cell>
          <cell r="EO136">
            <v>170.73444700460828</v>
          </cell>
          <cell r="ER136">
            <v>158.50225330225331</v>
          </cell>
          <cell r="ES136">
            <v>157.2256282269133</v>
          </cell>
          <cell r="ET136">
            <v>155.94704843969723</v>
          </cell>
          <cell r="EU136">
            <v>156.76456876456876</v>
          </cell>
          <cell r="EX136">
            <v>156.13711008111241</v>
          </cell>
          <cell r="EY136">
            <v>156.88300000000001</v>
          </cell>
          <cell r="EZ136">
            <v>157.15721016166282</v>
          </cell>
          <cell r="FA136">
            <v>157.50730751173711</v>
          </cell>
          <cell r="FD136">
            <v>155.23019506462987</v>
          </cell>
          <cell r="FE136">
            <v>155.06001403508773</v>
          </cell>
          <cell r="FF136">
            <v>155.41999999999999</v>
          </cell>
          <cell r="FG136">
            <v>156.27410743801653</v>
          </cell>
          <cell r="FJ136">
            <v>154.26087382075474</v>
          </cell>
          <cell r="FK136">
            <v>154.44300000000001</v>
          </cell>
          <cell r="FL136">
            <v>154.43150936768151</v>
          </cell>
          <cell r="FM136">
            <v>155.12658823529412</v>
          </cell>
          <cell r="FP136">
            <v>154.48674911660777</v>
          </cell>
          <cell r="FQ136">
            <v>154.48674911660777</v>
          </cell>
          <cell r="FR136">
            <v>153.76046135831382</v>
          </cell>
          <cell r="FS136">
            <v>154.94674588235296</v>
          </cell>
          <cell r="FV136">
            <v>154.34800000000001</v>
          </cell>
          <cell r="FW136">
            <v>154.47974087161367</v>
          </cell>
          <cell r="FX136">
            <v>154.10248941176471</v>
          </cell>
          <cell r="FY136">
            <v>153.92588836104514</v>
          </cell>
          <cell r="GB136">
            <v>151.83734123222749</v>
          </cell>
          <cell r="GC136">
            <v>152.19800000000001</v>
          </cell>
          <cell r="GD136">
            <v>152.25400000000002</v>
          </cell>
          <cell r="GE136">
            <v>152.30400000000003</v>
          </cell>
        </row>
        <row r="137">
          <cell r="A137" t="str">
            <v>Month 2</v>
          </cell>
          <cell r="AN137" t="str">
            <v>Month 2</v>
          </cell>
          <cell r="DZ137">
            <v>83.683006535947712</v>
          </cell>
          <cell r="EA137">
            <v>83.497477976697922</v>
          </cell>
          <cell r="EB137">
            <v>84.412537774966609</v>
          </cell>
          <cell r="EC137">
            <v>85.098039215686271</v>
          </cell>
          <cell r="EF137">
            <v>83.816993464052288</v>
          </cell>
          <cell r="EG137">
            <v>83.637037037037032</v>
          </cell>
          <cell r="EH137">
            <v>83.816993464052288</v>
          </cell>
          <cell r="EI137">
            <v>83.3</v>
          </cell>
          <cell r="EL137">
            <v>83.3</v>
          </cell>
          <cell r="EM137">
            <v>83.48260368663594</v>
          </cell>
          <cell r="EN137">
            <v>169.85524926686216</v>
          </cell>
          <cell r="EO137">
            <v>170.55184331797236</v>
          </cell>
          <cell r="ER137">
            <v>157.22400932400933</v>
          </cell>
          <cell r="ES137">
            <v>156.86041190118294</v>
          </cell>
          <cell r="ET137">
            <v>156.12965622475542</v>
          </cell>
          <cell r="EU137">
            <v>156.76456876456876</v>
          </cell>
          <cell r="EX137">
            <v>156.31908806488991</v>
          </cell>
          <cell r="EY137">
            <v>156.88300000000001</v>
          </cell>
          <cell r="EZ137">
            <v>157.52099999999999</v>
          </cell>
          <cell r="FA137">
            <v>155.87039553990613</v>
          </cell>
          <cell r="FD137">
            <v>155.41239012925971</v>
          </cell>
          <cell r="FE137">
            <v>155.24200935672516</v>
          </cell>
          <cell r="FF137">
            <v>154.87530373831774</v>
          </cell>
          <cell r="FG137">
            <v>156.27410743801653</v>
          </cell>
          <cell r="FJ137">
            <v>154.26087382075474</v>
          </cell>
          <cell r="FK137">
            <v>154.44300000000001</v>
          </cell>
          <cell r="FL137">
            <v>154.97720374707259</v>
          </cell>
          <cell r="FM137">
            <v>155.12658823529412</v>
          </cell>
          <cell r="FP137">
            <v>154.48674911660777</v>
          </cell>
          <cell r="FQ137">
            <v>154.48674911660777</v>
          </cell>
          <cell r="FR137">
            <v>154.30378454332552</v>
          </cell>
          <cell r="FS137">
            <v>154.94674588235296</v>
          </cell>
          <cell r="FV137">
            <v>154.34800000000001</v>
          </cell>
          <cell r="FW137">
            <v>154.47974087161367</v>
          </cell>
          <cell r="FX137">
            <v>154.10248941176471</v>
          </cell>
          <cell r="FY137">
            <v>153.74501187648457</v>
          </cell>
          <cell r="GB137">
            <v>152.19800000000001</v>
          </cell>
          <cell r="GC137">
            <v>152.22800000000001</v>
          </cell>
          <cell r="GD137">
            <v>152.30400000000003</v>
          </cell>
          <cell r="GE137">
            <v>152.30400000000003</v>
          </cell>
        </row>
        <row r="138">
          <cell r="A138" t="str">
            <v>Month 3</v>
          </cell>
          <cell r="AN138" t="str">
            <v>Month 3</v>
          </cell>
          <cell r="DZ138">
            <v>83.683006535947712</v>
          </cell>
          <cell r="EA138">
            <v>84.415032679738559</v>
          </cell>
          <cell r="EB138">
            <v>85.330065359477118</v>
          </cell>
          <cell r="EC138">
            <v>84</v>
          </cell>
          <cell r="EF138">
            <v>84</v>
          </cell>
          <cell r="EG138">
            <v>83.637037037037032</v>
          </cell>
          <cell r="EH138">
            <v>84</v>
          </cell>
          <cell r="EI138">
            <v>83.3</v>
          </cell>
          <cell r="EL138">
            <v>83.3</v>
          </cell>
          <cell r="EM138">
            <v>83.48260368663594</v>
          </cell>
          <cell r="EN138">
            <v>170.21935483870968</v>
          </cell>
          <cell r="EO138">
            <v>158.5</v>
          </cell>
          <cell r="ER138">
            <v>157.22400932400933</v>
          </cell>
          <cell r="ES138">
            <v>156.31258741258742</v>
          </cell>
          <cell r="ET138">
            <v>156.49487179487181</v>
          </cell>
          <cell r="EU138">
            <v>156.4</v>
          </cell>
          <cell r="EX138">
            <v>157.047</v>
          </cell>
          <cell r="EY138">
            <v>156.88300000000001</v>
          </cell>
          <cell r="EZ138">
            <v>157.52099999999999</v>
          </cell>
          <cell r="FA138">
            <v>154.96100000000001</v>
          </cell>
          <cell r="FD138">
            <v>155.048</v>
          </cell>
          <cell r="FE138">
            <v>155.60599999999999</v>
          </cell>
          <cell r="FF138">
            <v>155.41999999999999</v>
          </cell>
          <cell r="FG138">
            <v>154.09100000000001</v>
          </cell>
          <cell r="FJ138">
            <v>154.44300000000001</v>
          </cell>
          <cell r="FK138">
            <v>154.44300000000001</v>
          </cell>
          <cell r="FL138">
            <v>155.34100000000001</v>
          </cell>
          <cell r="FM138">
            <v>154.4</v>
          </cell>
          <cell r="FP138">
            <v>154.30500000000001</v>
          </cell>
          <cell r="FQ138">
            <v>154.30500000000001</v>
          </cell>
          <cell r="FR138">
            <v>154.666</v>
          </cell>
          <cell r="FS138">
            <v>154.221</v>
          </cell>
          <cell r="FV138">
            <v>154.34800000000001</v>
          </cell>
          <cell r="FW138">
            <v>154.298</v>
          </cell>
          <cell r="FX138">
            <v>154.28399999999999</v>
          </cell>
          <cell r="FY138">
            <v>152.298</v>
          </cell>
          <cell r="GB138">
            <v>152.19800000000001</v>
          </cell>
          <cell r="GC138">
            <v>152.20400000000001</v>
          </cell>
          <cell r="GD138">
            <v>152.30400000000003</v>
          </cell>
          <cell r="GE138">
            <v>152.30400000000003</v>
          </cell>
        </row>
        <row r="139">
          <cell r="A139" t="str">
            <v>Total</v>
          </cell>
          <cell r="AN139" t="str">
            <v>Total</v>
          </cell>
          <cell r="DZ139">
            <v>83.683006535947712</v>
          </cell>
          <cell r="EA139">
            <v>84.415032679738559</v>
          </cell>
          <cell r="EB139">
            <v>85.330065359477118</v>
          </cell>
          <cell r="EC139">
            <v>84</v>
          </cell>
          <cell r="ED139">
            <v>84</v>
          </cell>
          <cell r="EF139">
            <v>84</v>
          </cell>
          <cell r="EG139">
            <v>83.637037037037032</v>
          </cell>
          <cell r="EH139">
            <v>84</v>
          </cell>
          <cell r="EI139">
            <v>83.3</v>
          </cell>
          <cell r="EJ139">
            <v>83.3</v>
          </cell>
          <cell r="EL139">
            <v>83.3</v>
          </cell>
          <cell r="EM139">
            <v>83.48260368663594</v>
          </cell>
          <cell r="EN139">
            <v>170.21935483870968</v>
          </cell>
          <cell r="EO139">
            <v>158.5</v>
          </cell>
          <cell r="EP139">
            <v>158.5</v>
          </cell>
          <cell r="ER139">
            <v>157.22400932400933</v>
          </cell>
          <cell r="ES139">
            <v>156.31258741258742</v>
          </cell>
          <cell r="ET139">
            <v>156.49487179487181</v>
          </cell>
          <cell r="EU139">
            <v>156.4</v>
          </cell>
          <cell r="EV139">
            <v>156.4</v>
          </cell>
          <cell r="EX139">
            <v>157.047</v>
          </cell>
          <cell r="EY139">
            <v>156.88300000000001</v>
          </cell>
          <cell r="EZ139">
            <v>157.52099999999999</v>
          </cell>
          <cell r="FA139">
            <v>154.96100000000001</v>
          </cell>
          <cell r="FB139">
            <v>154.96100000000001</v>
          </cell>
          <cell r="FD139">
            <v>155.048</v>
          </cell>
          <cell r="FE139">
            <v>155.60599999999999</v>
          </cell>
          <cell r="FF139">
            <v>155.41999999999999</v>
          </cell>
          <cell r="FG139">
            <v>154.09100000000001</v>
          </cell>
          <cell r="FH139">
            <v>154.09100000000001</v>
          </cell>
          <cell r="FJ139">
            <v>154.44300000000001</v>
          </cell>
          <cell r="FK139">
            <v>154.44300000000001</v>
          </cell>
          <cell r="FL139">
            <v>155.34100000000001</v>
          </cell>
          <cell r="FM139">
            <v>154.4</v>
          </cell>
          <cell r="FN139">
            <v>154.4</v>
          </cell>
          <cell r="FP139">
            <v>154.30500000000001</v>
          </cell>
          <cell r="FQ139">
            <v>154.30500000000001</v>
          </cell>
          <cell r="FR139">
            <v>154.666</v>
          </cell>
          <cell r="FS139">
            <v>154.221</v>
          </cell>
          <cell r="FT139">
            <v>154.221</v>
          </cell>
          <cell r="FV139">
            <v>154.34800000000001</v>
          </cell>
          <cell r="FW139">
            <v>154.298</v>
          </cell>
          <cell r="FX139">
            <v>154.28399999999999</v>
          </cell>
          <cell r="FY139">
            <v>152.298</v>
          </cell>
          <cell r="FZ139">
            <v>152.298</v>
          </cell>
          <cell r="GB139">
            <v>152.19800000000001</v>
          </cell>
          <cell r="GC139">
            <v>152.20400000000001</v>
          </cell>
          <cell r="GD139">
            <v>152.30400000000003</v>
          </cell>
          <cell r="GE139">
            <v>152.30400000000003</v>
          </cell>
          <cell r="GF139">
            <v>152.30400000000003</v>
          </cell>
        </row>
        <row r="141">
          <cell r="A141" t="str">
            <v>Dept. Stores Monthly Sales - % change</v>
          </cell>
          <cell r="AN141" t="str">
            <v>Dept. Stores Monthly Sales - % change</v>
          </cell>
        </row>
        <row r="142">
          <cell r="A142" t="str">
            <v>Month 1</v>
          </cell>
          <cell r="AN142" t="str">
            <v>Month 1</v>
          </cell>
          <cell r="BS142" t="str">
            <v xml:space="preserve"> --  </v>
          </cell>
          <cell r="BT142" t="str">
            <v xml:space="preserve"> --  </v>
          </cell>
          <cell r="BU142" t="str">
            <v xml:space="preserve"> --  </v>
          </cell>
          <cell r="BV142" t="str">
            <v xml:space="preserve"> --  </v>
          </cell>
          <cell r="BY142">
            <v>4.014598540145986E-2</v>
          </cell>
          <cell r="BZ142">
            <v>7.0000000000000062E-2</v>
          </cell>
          <cell r="CA142">
            <v>8.999999999999897E-3</v>
          </cell>
          <cell r="CB142">
            <v>2.4000000000000021E-2</v>
          </cell>
          <cell r="CP142">
            <v>2.4489400832446107E-2</v>
          </cell>
          <cell r="CQ142">
            <v>3.166037057024651E-2</v>
          </cell>
          <cell r="CR142">
            <v>4.2093998037991742E-2</v>
          </cell>
          <cell r="CS142">
            <v>8.2543367511445087E-3</v>
          </cell>
          <cell r="CV142">
            <v>0</v>
          </cell>
          <cell r="CW142">
            <v>7.4106364428945248E-3</v>
          </cell>
          <cell r="CX142">
            <v>-3.5000000000000031E-2</v>
          </cell>
          <cell r="CY142">
            <v>-1.5669971218420176E-2</v>
          </cell>
          <cell r="DB142">
            <v>-3.1557067271353101E-2</v>
          </cell>
          <cell r="DC142">
            <v>-7.3561228905235643E-3</v>
          </cell>
          <cell r="DD142">
            <v>-7.6290182045534172E-3</v>
          </cell>
          <cell r="DE142">
            <v>-2.5990903183885639E-2</v>
          </cell>
          <cell r="DH142">
            <v>-1</v>
          </cell>
          <cell r="DI142">
            <v>-1</v>
          </cell>
          <cell r="DJ142">
            <v>-1</v>
          </cell>
          <cell r="DK142">
            <v>-1</v>
          </cell>
          <cell r="DN142" t="str">
            <v>NA</v>
          </cell>
          <cell r="DO142" t="str">
            <v>NA</v>
          </cell>
          <cell r="DP142" t="str">
            <v>NA</v>
          </cell>
          <cell r="DQ142" t="str">
            <v>NA</v>
          </cell>
          <cell r="DT142">
            <v>-3.0527289546716019E-2</v>
          </cell>
          <cell r="DU142">
            <v>-9.4745908699397363E-3</v>
          </cell>
          <cell r="DV142">
            <v>-3.8938053097345104E-2</v>
          </cell>
          <cell r="DW142">
            <v>-5.8785942492012744E-2</v>
          </cell>
          <cell r="DZ142">
            <v>-6.0114503816793841E-2</v>
          </cell>
          <cell r="EA142">
            <v>-1.1304347826086913E-2</v>
          </cell>
          <cell r="EB142">
            <v>-7.3664825046040328E-3</v>
          </cell>
          <cell r="EC142">
            <v>-8.8255261371350535E-3</v>
          </cell>
          <cell r="EF142">
            <v>9.6446700507614169E-2</v>
          </cell>
          <cell r="EG142">
            <v>3.9577836411609502E-2</v>
          </cell>
          <cell r="EH142">
            <v>-2.0408163265306145E-2</v>
          </cell>
          <cell r="EI142">
            <v>-9.5890410958904271E-3</v>
          </cell>
          <cell r="EL142">
            <v>1.5740740740740833E-2</v>
          </cell>
          <cell r="EM142">
            <v>5.9221658206429773E-3</v>
          </cell>
          <cell r="EN142">
            <v>1.1363636363636465E-2</v>
          </cell>
          <cell r="EO142">
            <v>0.80982019363762103</v>
          </cell>
          <cell r="ER142">
            <v>0.64083865086599823</v>
          </cell>
          <cell r="ES142">
            <v>0.70395290159798152</v>
          </cell>
          <cell r="ET142">
            <v>0.61704119850187267</v>
          </cell>
          <cell r="EU142">
            <v>-8.8651127244936956E-2</v>
          </cell>
          <cell r="EX142">
            <v>1.1111111111110628E-3</v>
          </cell>
          <cell r="EY142">
            <v>-2.4679170779861814E-2</v>
          </cell>
          <cell r="EZ142">
            <v>3.5321366531557707E-2</v>
          </cell>
          <cell r="FA142">
            <v>0.13501048218029355</v>
          </cell>
          <cell r="FD142">
            <v>-3.6071032186459462E-2</v>
          </cell>
          <cell r="FE142">
            <v>-2.5303643724696401E-2</v>
          </cell>
          <cell r="FF142">
            <v>-5.7046979865771785E-2</v>
          </cell>
          <cell r="FG142">
            <v>-0.14148503878832652</v>
          </cell>
          <cell r="FJ142">
            <v>-7.7376206594334418E-2</v>
          </cell>
          <cell r="FK142">
            <v>-7.3854331133361484E-2</v>
          </cell>
          <cell r="FL142">
            <v>-6.5154745638739242E-2</v>
          </cell>
          <cell r="FM142">
            <v>-5.2161507132639562E-2</v>
          </cell>
          <cell r="FP142">
            <v>4.0186303599689444E-2</v>
          </cell>
          <cell r="FQ142">
            <v>2.9395500964750632E-3</v>
          </cell>
          <cell r="FR142">
            <v>3.9241783148511233E-2</v>
          </cell>
          <cell r="FS142">
            <v>6.2749594749162307E-2</v>
          </cell>
          <cell r="FV142">
            <v>5.7588482303539301E-2</v>
          </cell>
          <cell r="FW142">
            <v>8.2727780883175006E-2</v>
          </cell>
          <cell r="FX142">
            <v>4.6398046398046455E-2</v>
          </cell>
          <cell r="FY142">
            <v>5.2968816744980884E-2</v>
          </cell>
          <cell r="GB142">
            <v>5.5019852524106572E-2</v>
          </cell>
          <cell r="GC142">
            <v>4.0268456375838868E-2</v>
          </cell>
          <cell r="GD142">
            <v>5.7176196032672211E-2</v>
          </cell>
          <cell r="GE142">
            <v>3.0252351388493137E-2</v>
          </cell>
        </row>
        <row r="143">
          <cell r="A143" t="str">
            <v>Month 2</v>
          </cell>
          <cell r="AN143" t="str">
            <v>Month 2</v>
          </cell>
          <cell r="BS143" t="str">
            <v xml:space="preserve"> --  </v>
          </cell>
          <cell r="BT143" t="str">
            <v xml:space="preserve"> --  </v>
          </cell>
          <cell r="BU143" t="str">
            <v xml:space="preserve"> --  </v>
          </cell>
          <cell r="BV143" t="str">
            <v xml:space="preserve"> --  </v>
          </cell>
          <cell r="BY143">
            <v>-2.4999999999999911E-2</v>
          </cell>
          <cell r="BZ143">
            <v>4.8000000000000043E-2</v>
          </cell>
          <cell r="CA143">
            <v>4.8999999999999932E-2</v>
          </cell>
          <cell r="CB143">
            <v>1.2999999999999901E-2</v>
          </cell>
          <cell r="CP143">
            <v>9.4745908699398473E-3</v>
          </cell>
          <cell r="CQ143">
            <v>3.8961038961038863E-2</v>
          </cell>
          <cell r="CR143">
            <v>3.4921997996278709E-2</v>
          </cell>
          <cell r="CS143">
            <v>2.2241668489753064E-3</v>
          </cell>
          <cell r="CV143">
            <v>-9.3080980452997508E-4</v>
          </cell>
          <cell r="CW143">
            <v>2.2966867469879526E-2</v>
          </cell>
          <cell r="CX143">
            <v>-2.0000000000000018E-2</v>
          </cell>
          <cell r="CY143">
            <v>4.3799999999999839E-2</v>
          </cell>
          <cell r="DB143">
            <v>4.2701863354037251E-2</v>
          </cell>
          <cell r="DC143">
            <v>3.5701140964298883E-2</v>
          </cell>
          <cell r="DD143">
            <v>4.0387334577032252E-3</v>
          </cell>
          <cell r="DE143">
            <v>1.6349047946182971E-2</v>
          </cell>
          <cell r="DH143">
            <v>-1</v>
          </cell>
          <cell r="DI143">
            <v>-1</v>
          </cell>
          <cell r="DJ143">
            <v>-1</v>
          </cell>
          <cell r="DK143">
            <v>-1</v>
          </cell>
          <cell r="DN143" t="str">
            <v>NA</v>
          </cell>
          <cell r="DO143" t="str">
            <v>NA</v>
          </cell>
          <cell r="DP143" t="str">
            <v>NA</v>
          </cell>
          <cell r="DQ143" t="str">
            <v>NA</v>
          </cell>
          <cell r="DT143">
            <v>-4.5558086560364419E-3</v>
          </cell>
          <cell r="DU143">
            <v>3.0920060331824928E-2</v>
          </cell>
          <cell r="DV143">
            <v>2.0170674941815347E-2</v>
          </cell>
          <cell r="DW143">
            <v>-8.2289803220035873E-3</v>
          </cell>
          <cell r="DZ143">
            <v>-5.9496567505720854E-2</v>
          </cell>
          <cell r="EA143">
            <v>-2.1945866861741048E-2</v>
          </cell>
          <cell r="EB143">
            <v>2.8136882129277563E-2</v>
          </cell>
          <cell r="EC143">
            <v>3.6075036075036149E-3</v>
          </cell>
          <cell r="EF143">
            <v>7.5425790754257926E-2</v>
          </cell>
          <cell r="EG143">
            <v>4.2632759910246731E-2</v>
          </cell>
          <cell r="EH143">
            <v>6.6568047337278724E-3</v>
          </cell>
          <cell r="EI143">
            <v>2.6599568655643502E-2</v>
          </cell>
          <cell r="EL143">
            <v>3.3936651583710509E-2</v>
          </cell>
          <cell r="EM143">
            <v>3.0129124820659881E-2</v>
          </cell>
          <cell r="EN143">
            <v>0.81043350477590015</v>
          </cell>
          <cell r="EO143">
            <v>0.91141456582633062</v>
          </cell>
          <cell r="ER143">
            <v>0.64478482859226838</v>
          </cell>
          <cell r="ES143">
            <v>0.64832869080779942</v>
          </cell>
          <cell r="ET143">
            <v>-6.5340909090909061E-2</v>
          </cell>
          <cell r="EU143">
            <v>-8.4630884777431747E-2</v>
          </cell>
          <cell r="EX143">
            <v>1.4634146341463428E-2</v>
          </cell>
          <cell r="EY143">
            <v>-1.9433882551753268E-2</v>
          </cell>
          <cell r="EZ143">
            <v>-1.2592270950933515E-2</v>
          </cell>
          <cell r="FA143">
            <v>-7.4644786872123281E-2</v>
          </cell>
          <cell r="FD143">
            <v>-6.3811188811188857E-2</v>
          </cell>
          <cell r="FE143">
            <v>-3.1021111589832007E-2</v>
          </cell>
          <cell r="FF143">
            <v>-7.9595426561125726E-2</v>
          </cell>
          <cell r="FG143">
            <v>-4.9091695501730093E-2</v>
          </cell>
          <cell r="FJ143">
            <v>-8.3193732222893169E-2</v>
          </cell>
          <cell r="FK143">
            <v>-6.9545735689765187E-2</v>
          </cell>
          <cell r="FL143">
            <v>-4.2277671038386533E-3</v>
          </cell>
          <cell r="FM143">
            <v>1.7686910874161521E-2</v>
          </cell>
          <cell r="FP143">
            <v>0.10601949166366365</v>
          </cell>
          <cell r="FQ143">
            <v>6.5186325382629029E-2</v>
          </cell>
          <cell r="FR143">
            <v>4.6469139412921301E-2</v>
          </cell>
          <cell r="FS143">
            <v>3.2231974812141573E-2</v>
          </cell>
          <cell r="FV143">
            <v>1.5653775322283625E-2</v>
          </cell>
          <cell r="FW143">
            <v>7.3126962763571113E-2</v>
          </cell>
          <cell r="FX143">
            <v>5.3645116918844549E-2</v>
          </cell>
          <cell r="FY143">
            <v>6.6248105650573708E-2</v>
          </cell>
          <cell r="GB143">
            <v>6.8902991840435135E-2</v>
          </cell>
          <cell r="GC143">
            <v>8.3612040133780319E-3</v>
          </cell>
          <cell r="GD143">
            <v>1.7979142315035279E-2</v>
          </cell>
          <cell r="GE143">
            <v>3.0252351388493137E-2</v>
          </cell>
        </row>
        <row r="144">
          <cell r="A144" t="str">
            <v>Month 3</v>
          </cell>
          <cell r="AN144" t="str">
            <v>Month 3</v>
          </cell>
          <cell r="BS144" t="str">
            <v xml:space="preserve"> --  </v>
          </cell>
          <cell r="BT144" t="str">
            <v xml:space="preserve"> --  </v>
          </cell>
          <cell r="BU144" t="str">
            <v xml:space="preserve"> --  </v>
          </cell>
          <cell r="BV144" t="str">
            <v xml:space="preserve"> --  </v>
          </cell>
          <cell r="BY144">
            <v>-1</v>
          </cell>
          <cell r="BZ144">
            <v>-1</v>
          </cell>
          <cell r="CA144">
            <v>-1</v>
          </cell>
          <cell r="CB144">
            <v>-1</v>
          </cell>
          <cell r="CP144">
            <v>7.1176173649671881E-2</v>
          </cell>
          <cell r="CQ144">
            <v>9.3491388951017607E-2</v>
          </cell>
          <cell r="CR144">
            <v>3.7600880410858295E-2</v>
          </cell>
          <cell r="CS144">
            <v>9.5674437407358148E-3</v>
          </cell>
          <cell r="CV144">
            <v>4.7125353440150786E-2</v>
          </cell>
          <cell r="CW144">
            <v>3.3442421763141716E-2</v>
          </cell>
          <cell r="CX144">
            <v>-2.6799999999999935E-2</v>
          </cell>
          <cell r="CY144">
            <v>6.7805659369994498E-2</v>
          </cell>
          <cell r="DB144">
            <v>-3.0603060306030549E-2</v>
          </cell>
          <cell r="DC144">
            <v>4.4532409698170294E-3</v>
          </cell>
          <cell r="DD144">
            <v>5.2999999999999999E-2</v>
          </cell>
          <cell r="DE144">
            <v>-2.1249999999999991E-2</v>
          </cell>
          <cell r="DH144">
            <v>-1</v>
          </cell>
          <cell r="DI144">
            <v>-1</v>
          </cell>
          <cell r="DJ144">
            <v>-1</v>
          </cell>
          <cell r="DK144">
            <v>-1</v>
          </cell>
          <cell r="DN144" t="str">
            <v>NA</v>
          </cell>
          <cell r="DO144" t="str">
            <v>NA</v>
          </cell>
          <cell r="DP144" t="str">
            <v>NA</v>
          </cell>
          <cell r="DQ144" t="str">
            <v>NA</v>
          </cell>
          <cell r="DT144">
            <v>-5.5938037865748691E-2</v>
          </cell>
          <cell r="DU144">
            <v>-3.4825870646766122E-2</v>
          </cell>
          <cell r="DV144">
            <v>2.3629489603024467E-2</v>
          </cell>
          <cell r="DW144">
            <v>1.2919896640826156E-3</v>
          </cell>
          <cell r="DZ144">
            <v>-1.9143117593436676E-2</v>
          </cell>
          <cell r="EA144">
            <v>-7.2164948453607991E-3</v>
          </cell>
          <cell r="EB144">
            <v>-2.3084025854108958E-2</v>
          </cell>
          <cell r="EC144">
            <v>5.0322580645161263E-2</v>
          </cell>
          <cell r="EF144">
            <v>6.3197026022304925E-2</v>
          </cell>
          <cell r="EG144">
            <v>4.3613707165109039E-2</v>
          </cell>
          <cell r="EH144">
            <v>4.7258979206049156E-2</v>
          </cell>
          <cell r="EI144">
            <v>4.9140049140048436E-3</v>
          </cell>
          <cell r="EL144">
            <v>2.5349650349650421E-2</v>
          </cell>
          <cell r="EM144">
            <v>-6.9651741293532687E-3</v>
          </cell>
          <cell r="EN144">
            <v>0.82581227436823101</v>
          </cell>
          <cell r="EO144">
            <v>0.82762836185819078</v>
          </cell>
          <cell r="ER144">
            <v>0.60102301790281332</v>
          </cell>
          <cell r="ES144">
            <v>0.61122244488977961</v>
          </cell>
          <cell r="ET144">
            <v>-7.909045971329709E-2</v>
          </cell>
          <cell r="EU144">
            <v>0.19063545150501682</v>
          </cell>
          <cell r="EX144">
            <v>-2.183173588924392E-2</v>
          </cell>
          <cell r="EY144">
            <v>-3.7313432835820448E-3</v>
          </cell>
          <cell r="EZ144">
            <v>-7.5147611379495771E-3</v>
          </cell>
          <cell r="FA144">
            <v>-0.28483146067415732</v>
          </cell>
          <cell r="FD144">
            <v>1.6875340228633684E-2</v>
          </cell>
          <cell r="FE144">
            <v>-3.6828963795255909E-2</v>
          </cell>
          <cell r="FF144">
            <v>-7.3012439156300735E-2</v>
          </cell>
          <cell r="FG144">
            <v>-4.7132757266300063E-2</v>
          </cell>
          <cell r="FJ144">
            <v>-7.8906078546147729E-2</v>
          </cell>
          <cell r="FK144">
            <v>-8.6421386047222271E-2</v>
          </cell>
          <cell r="FL144">
            <v>6.8259146413351957E-3</v>
          </cell>
          <cell r="FM144">
            <v>4.5716401865264711E-2</v>
          </cell>
          <cell r="FP144">
            <v>1.0691920195042393E-2</v>
          </cell>
          <cell r="FQ144">
            <v>8.3955625466711314E-2</v>
          </cell>
          <cell r="FR144">
            <v>4.6532073995587009E-2</v>
          </cell>
          <cell r="FS144">
            <v>3.2753260808866314E-2</v>
          </cell>
          <cell r="FV144">
            <v>0.10408280621046573</v>
          </cell>
          <cell r="FW144">
            <v>5.4973821989528826E-2</v>
          </cell>
          <cell r="FX144">
            <v>1.9933554817275656E-2</v>
          </cell>
          <cell r="FY144">
            <v>1.984732824427482E-2</v>
          </cell>
          <cell r="GB144">
            <v>4.1666666666666519E-3</v>
          </cell>
          <cell r="GC144">
            <v>5.0248138957816435E-2</v>
          </cell>
          <cell r="GD144">
            <v>4.1460682896476753E-2</v>
          </cell>
          <cell r="GE144">
            <v>0.31255170783595321</v>
          </cell>
        </row>
        <row r="145">
          <cell r="A145" t="str">
            <v>Total</v>
          </cell>
          <cell r="AN145" t="str">
            <v>Total</v>
          </cell>
          <cell r="BS145" t="str">
            <v xml:space="preserve"> --  </v>
          </cell>
          <cell r="BT145" t="str">
            <v xml:space="preserve"> --  </v>
          </cell>
          <cell r="BU145" t="str">
            <v xml:space="preserve"> --  </v>
          </cell>
          <cell r="BV145" t="str">
            <v xml:space="preserve"> --  </v>
          </cell>
          <cell r="BW145" t="str">
            <v xml:space="preserve"> --  </v>
          </cell>
          <cell r="BY145">
            <v>-1</v>
          </cell>
          <cell r="BZ145">
            <v>-1</v>
          </cell>
          <cell r="CA145">
            <v>-1</v>
          </cell>
          <cell r="CB145">
            <v>-1</v>
          </cell>
          <cell r="CF145">
            <v>-1</v>
          </cell>
          <cell r="CP145">
            <v>3.2690035447026533E-2</v>
          </cell>
          <cell r="CQ145">
            <v>5.1336703002253348E-2</v>
          </cell>
          <cell r="CR145">
            <v>3.7959602116871327E-2</v>
          </cell>
          <cell r="CS145">
            <v>5.1634428248001907E-3</v>
          </cell>
          <cell r="CT145">
            <v>3.3414978803579842</v>
          </cell>
          <cell r="CV145">
            <v>-1.5138179897905446E-2</v>
          </cell>
          <cell r="CW145">
            <v>2.0765755329008373E-2</v>
          </cell>
          <cell r="CX145">
            <v>-2.6732607244868034E-2</v>
          </cell>
          <cell r="CY145">
            <v>2.8982704390089653E-2</v>
          </cell>
          <cell r="CZ145">
            <v>4.2536515007434161E-3</v>
          </cell>
          <cell r="DB145">
            <v>3.3661006851355424E-2</v>
          </cell>
          <cell r="DC145">
            <v>2.3975031919421186E-2</v>
          </cell>
          <cell r="DD145">
            <v>1.2354237926307077E-2</v>
          </cell>
          <cell r="DE145">
            <v>9.7745834057736403E-3</v>
          </cell>
          <cell r="DF145">
            <v>1.8648853027320111E-2</v>
          </cell>
          <cell r="DH145">
            <v>2.9682997118155585E-2</v>
          </cell>
          <cell r="DI145">
            <v>1.9395954558049322E-2</v>
          </cell>
          <cell r="DJ145">
            <v>2.4654565158493735E-2</v>
          </cell>
          <cell r="DK145">
            <v>6.560182544209936E-2</v>
          </cell>
          <cell r="DL145">
            <v>3.7993636533782515E-2</v>
          </cell>
          <cell r="DN145">
            <v>-4.7579065211307281E-3</v>
          </cell>
          <cell r="DO145">
            <v>-5.191628159826045E-2</v>
          </cell>
          <cell r="DP145">
            <v>-8.1173982020095181E-2</v>
          </cell>
          <cell r="DQ145">
            <v>-8.4225553176302648E-2</v>
          </cell>
          <cell r="DR145">
            <v>-5.126818127178745E-2</v>
          </cell>
          <cell r="DT145">
            <v>-2.8965129358830111E-2</v>
          </cell>
          <cell r="DU145">
            <v>-5.7339449541282672E-4</v>
          </cell>
          <cell r="DV145">
            <v>1.1510791366906581E-3</v>
          </cell>
          <cell r="DW145">
            <v>-2.2408417770849565E-2</v>
          </cell>
          <cell r="DX145">
            <v>-1.3557174532784266E-2</v>
          </cell>
          <cell r="DZ145">
            <v>-4.6915725456125101E-2</v>
          </cell>
          <cell r="EA145">
            <v>-1.4916810097532984E-2</v>
          </cell>
          <cell r="EB145">
            <v>2.012072434607548E-3</v>
          </cell>
          <cell r="EC145">
            <v>7.1756029499701057E-3</v>
          </cell>
          <cell r="ED145">
            <v>-1.0211290218996805E-2</v>
          </cell>
          <cell r="EF145">
            <v>7.8699483439683915E-2</v>
          </cell>
          <cell r="EG145">
            <v>4.2807221898660375E-2</v>
          </cell>
          <cell r="EH145">
            <v>1.1187607573149849E-2</v>
          </cell>
          <cell r="EI145">
            <v>1.3259449831783066E-2</v>
          </cell>
          <cell r="EJ145">
            <v>2.361796003114458E-2</v>
          </cell>
          <cell r="EL145">
            <v>2.5633802816901419E-2</v>
          </cell>
          <cell r="EM145">
            <v>1.1728567439262871E-2</v>
          </cell>
          <cell r="EN145">
            <v>0.57588652482269498</v>
          </cell>
          <cell r="EO145">
            <v>0.86933593750000004</v>
          </cell>
          <cell r="EP145">
            <v>0.41924442190669375</v>
          </cell>
          <cell r="ER145">
            <v>0.62867344136226322</v>
          </cell>
          <cell r="ES145">
            <v>0.65470604471432514</v>
          </cell>
          <cell r="ET145">
            <v>5.9585958595859578E-2</v>
          </cell>
          <cell r="EU145">
            <v>-4.3046703583742518E-2</v>
          </cell>
          <cell r="EV145">
            <v>0.20455560518088434</v>
          </cell>
          <cell r="EX145">
            <v>-1.5177065767284503E-3</v>
          </cell>
          <cell r="EY145">
            <v>-1.7180984153461254E-2</v>
          </cell>
          <cell r="EZ145">
            <v>3.397893306150257E-3</v>
          </cell>
          <cell r="FA145">
            <v>-6.1687957200567745E-2</v>
          </cell>
          <cell r="FB145">
            <v>-2.4360400444938812E-2</v>
          </cell>
          <cell r="FD145">
            <v>-2.9386927883803371E-2</v>
          </cell>
          <cell r="FE145">
            <v>-2.9531568228105876E-2</v>
          </cell>
          <cell r="FF145">
            <v>-6.9928885878767333E-2</v>
          </cell>
          <cell r="FG145">
            <v>-7.6797765883174329E-2</v>
          </cell>
          <cell r="FH145">
            <v>-5.4003724394785846E-2</v>
          </cell>
          <cell r="FJ145">
            <v>-7.9867757090655966E-2</v>
          </cell>
          <cell r="FK145">
            <v>-7.5725778244141284E-2</v>
          </cell>
          <cell r="FL145">
            <v>-1.9661387220098359E-2</v>
          </cell>
          <cell r="FM145">
            <v>3.7811948575749987E-4</v>
          </cell>
          <cell r="FN145">
            <v>-4.0053029085650005E-2</v>
          </cell>
          <cell r="FP145">
            <v>5.4084720121028829E-2</v>
          </cell>
          <cell r="FQ145">
            <v>4.7682119205298079E-2</v>
          </cell>
          <cell r="FR145">
            <v>4.4196843082636939E-2</v>
          </cell>
          <cell r="FS145">
            <v>4.182940657679235E-2</v>
          </cell>
          <cell r="FT145">
            <v>4.6369533375183014E-2</v>
          </cell>
          <cell r="FV145">
            <v>5.6512378902045191E-2</v>
          </cell>
          <cell r="FW145">
            <v>7.2602492324363332E-2</v>
          </cell>
          <cell r="FX145">
            <v>4.0903432331495626E-2</v>
          </cell>
          <cell r="FY145">
            <v>5.5024791389527206E-2</v>
          </cell>
          <cell r="FZ145">
            <v>5.60732712074552E-2</v>
          </cell>
          <cell r="GB145">
            <v>4.313126167430803E-2</v>
          </cell>
          <cell r="GC145">
            <v>3.0139754167368249E-2</v>
          </cell>
          <cell r="GD145">
            <v>3.7021467099822347E-2</v>
          </cell>
          <cell r="GE145">
            <v>7.372007776590972E-2</v>
          </cell>
          <cell r="GF145">
            <v>4.8961204520547419E-2</v>
          </cell>
        </row>
        <row r="147">
          <cell r="A147" t="str">
            <v>Dept. Stores Monthly Sales - % of Total Year</v>
          </cell>
          <cell r="AN147" t="str">
            <v>Dept. Stores Monthly Sales - % of Total Year</v>
          </cell>
        </row>
        <row r="148">
          <cell r="A148" t="str">
            <v>Month 1</v>
          </cell>
          <cell r="AN148" t="str">
            <v>Month 1</v>
          </cell>
          <cell r="BS148">
            <v>6.3992993467868478E-2</v>
          </cell>
          <cell r="BT148">
            <v>6.9693099295697544E-2</v>
          </cell>
          <cell r="BU148">
            <v>7.6641243659453337E-2</v>
          </cell>
          <cell r="BV148">
            <v>9.6536875524577598E-2</v>
          </cell>
          <cell r="CP148">
            <v>6.7547817651526273E-2</v>
          </cell>
          <cell r="CQ148">
            <v>7.3202330731576559E-2</v>
          </cell>
          <cell r="CR148">
            <v>7.4574475553484926E-2</v>
          </cell>
          <cell r="CS148">
            <v>9.9783647862964217E-2</v>
          </cell>
          <cell r="CV148">
            <v>6.7261709778783194E-2</v>
          </cell>
          <cell r="CW148">
            <v>7.3432450537966709E-2</v>
          </cell>
          <cell r="CX148">
            <v>7.1659554139106546E-2</v>
          </cell>
          <cell r="CY148">
            <v>9.7804016770169422E-2</v>
          </cell>
          <cell r="DB148">
            <v>6.3946596793312119E-2</v>
          </cell>
          <cell r="DC148">
            <v>7.1557801484808781E-2</v>
          </cell>
          <cell r="DD148">
            <v>6.9810967621186604E-2</v>
          </cell>
          <cell r="DE148">
            <v>9.3517998627487678E-2</v>
          </cell>
          <cell r="DH148">
            <v>0</v>
          </cell>
          <cell r="DI148">
            <v>0</v>
          </cell>
          <cell r="DJ148">
            <v>0</v>
          </cell>
          <cell r="DK148">
            <v>0</v>
          </cell>
          <cell r="DN148">
            <v>6.8482736775419703E-2</v>
          </cell>
          <cell r="DO148">
            <v>7.3550839404497942E-2</v>
          </cell>
          <cell r="DP148">
            <v>7.1586949635730118E-2</v>
          </cell>
          <cell r="DQ148">
            <v>9.9144757681343051E-2</v>
          </cell>
          <cell r="DT148">
            <v>6.7304604713891214E-2</v>
          </cell>
          <cell r="DU148">
            <v>7.3855243722304287E-2</v>
          </cell>
          <cell r="DV148">
            <v>6.9745038854280392E-2</v>
          </cell>
          <cell r="DW148">
            <v>9.459893391561236E-2</v>
          </cell>
          <cell r="DZ148">
            <v>6.3911237996366471E-2</v>
          </cell>
          <cell r="EA148">
            <v>7.3773682844536725E-2</v>
          </cell>
          <cell r="EB148">
            <v>6.9945497015312746E-2</v>
          </cell>
          <cell r="EC148">
            <v>9.4731378146898526E-2</v>
          </cell>
          <cell r="EF148">
            <v>6.8458417849898576E-2</v>
          </cell>
          <cell r="EG148">
            <v>7.4923935091277885E-2</v>
          </cell>
          <cell r="EH148">
            <v>6.6937119675456389E-2</v>
          </cell>
          <cell r="EI148">
            <v>9.1658215010141986E-2</v>
          </cell>
          <cell r="EL148">
            <v>4.899508709245199E-2</v>
          </cell>
          <cell r="EM148">
            <v>5.3104064314426082E-2</v>
          </cell>
          <cell r="EN148">
            <v>4.769986601161233E-2</v>
          </cell>
          <cell r="EO148">
            <v>0.11688253684680661</v>
          </cell>
          <cell r="ER148">
            <v>6.6740823136818686E-2</v>
          </cell>
          <cell r="ES148">
            <v>7.5120504263997037E-2</v>
          </cell>
          <cell r="ET148">
            <v>6.4034111976269931E-2</v>
          </cell>
          <cell r="EU148">
            <v>8.8431590656284767E-2</v>
          </cell>
          <cell r="EX148">
            <v>6.8483259225477905E-2</v>
          </cell>
          <cell r="EY148">
            <v>7.5095960171778206E-2</v>
          </cell>
          <cell r="EZ148">
            <v>6.795120282749971E-2</v>
          </cell>
          <cell r="FA148">
            <v>0.10287690495192491</v>
          </cell>
          <cell r="FD148">
            <v>6.9781455889442387E-2</v>
          </cell>
          <cell r="FE148">
            <v>7.7374256789329909E-2</v>
          </cell>
          <cell r="FF148">
            <v>6.7732604852964812E-2</v>
          </cell>
          <cell r="FG148">
            <v>9.3363329583802029E-2</v>
          </cell>
          <cell r="FJ148">
            <v>6.7068320951899615E-2</v>
          </cell>
          <cell r="FK148">
            <v>7.4649782725973876E-2</v>
          </cell>
          <cell r="FL148">
            <v>6.5961460508603714E-2</v>
          </cell>
          <cell r="FM148">
            <v>9.2185673045563743E-2</v>
          </cell>
          <cell r="FP148">
            <v>6.6671999360076797E-2</v>
          </cell>
          <cell r="FQ148">
            <v>7.155141383034036E-2</v>
          </cell>
          <cell r="FR148">
            <v>6.5512138543374801E-2</v>
          </cell>
          <cell r="FS148">
            <v>9.3628764548254209E-2</v>
          </cell>
          <cell r="FV148">
            <v>6.6767657640598374E-2</v>
          </cell>
          <cell r="FW148">
            <v>7.3357318689642112E-2</v>
          </cell>
          <cell r="FX148">
            <v>6.49119484946033E-2</v>
          </cell>
          <cell r="FY148">
            <v>9.3353531528119676E-2</v>
          </cell>
          <cell r="GB148">
            <v>6.7153297961635244E-2</v>
          </cell>
          <cell r="GC148">
            <v>7.2749406125104846E-2</v>
          </cell>
          <cell r="GD148">
            <v>6.5420309627141432E-2</v>
          </cell>
          <cell r="GE148">
            <v>9.1688515221328329E-2</v>
          </cell>
        </row>
        <row r="149">
          <cell r="A149" t="str">
            <v>Month 2</v>
          </cell>
          <cell r="AN149" t="str">
            <v>Month 2</v>
          </cell>
          <cell r="BS149">
            <v>8.4866620443017182E-2</v>
          </cell>
          <cell r="BT149">
            <v>8.483742655913587E-2</v>
          </cell>
          <cell r="BU149">
            <v>9.3559099368682272E-2</v>
          </cell>
          <cell r="BV149">
            <v>0.18623508374995437</v>
          </cell>
          <cell r="CP149">
            <v>8.2277632762989106E-2</v>
          </cell>
          <cell r="CQ149">
            <v>8.4753875511363277E-2</v>
          </cell>
          <cell r="CR149">
            <v>9.2297480997389741E-2</v>
          </cell>
          <cell r="CS149">
            <v>0.1754239289292803</v>
          </cell>
          <cell r="CV149">
            <v>8.1852874333968956E-2</v>
          </cell>
          <cell r="CW149">
            <v>8.6333175297124864E-2</v>
          </cell>
          <cell r="CX149">
            <v>9.0068411742663196E-2</v>
          </cell>
          <cell r="CY149">
            <v>0.18233192056882172</v>
          </cell>
          <cell r="DB149">
            <v>8.3785638530164075E-2</v>
          </cell>
          <cell r="DC149">
            <v>8.7778401647014781E-2</v>
          </cell>
          <cell r="DD149">
            <v>8.8776592426227457E-2</v>
          </cell>
          <cell r="DE149">
            <v>0.18192026951151039</v>
          </cell>
          <cell r="DH149">
            <v>0</v>
          </cell>
          <cell r="DI149">
            <v>0</v>
          </cell>
          <cell r="DJ149">
            <v>0</v>
          </cell>
          <cell r="DK149">
            <v>0</v>
          </cell>
          <cell r="DN149">
            <v>8.3433639531200504E-2</v>
          </cell>
          <cell r="DO149">
            <v>8.4003801076971807E-2</v>
          </cell>
          <cell r="DP149">
            <v>8.1659803611023124E-2</v>
          </cell>
          <cell r="DQ149">
            <v>0.17706683560342096</v>
          </cell>
          <cell r="DT149">
            <v>8.4194977843426888E-2</v>
          </cell>
          <cell r="DU149">
            <v>8.7791407102947791E-2</v>
          </cell>
          <cell r="DV149">
            <v>8.445186564767837E-2</v>
          </cell>
          <cell r="DW149">
            <v>0.17802324834628477</v>
          </cell>
          <cell r="DZ149">
            <v>8.0002595380223196E-2</v>
          </cell>
          <cell r="EA149">
            <v>8.6750583960550215E-2</v>
          </cell>
          <cell r="EB149">
            <v>8.7723851544251233E-2</v>
          </cell>
          <cell r="EC149">
            <v>0.18050869452374774</v>
          </cell>
          <cell r="EF149">
            <v>8.4051724137931036E-2</v>
          </cell>
          <cell r="EG149">
            <v>8.8362068965517238E-2</v>
          </cell>
          <cell r="EH149">
            <v>8.6270283975659223E-2</v>
          </cell>
          <cell r="EI149">
            <v>0.18103448275862069</v>
          </cell>
          <cell r="EL149">
            <v>6.1232693166592231E-2</v>
          </cell>
          <cell r="EM149">
            <v>6.413577489950871E-2</v>
          </cell>
          <cell r="EN149">
            <v>0.11004912907548013</v>
          </cell>
          <cell r="EO149">
            <v>0.24381420276909335</v>
          </cell>
          <cell r="ER149">
            <v>8.3611420096403405E-2</v>
          </cell>
          <cell r="ES149">
            <v>8.776418242491657E-2</v>
          </cell>
          <cell r="ET149">
            <v>8.5391175380051906E-2</v>
          </cell>
          <cell r="EU149">
            <v>0.18527994067482387</v>
          </cell>
          <cell r="EX149">
            <v>8.695321704100635E-2</v>
          </cell>
          <cell r="EY149">
            <v>8.8207349979097779E-2</v>
          </cell>
          <cell r="EZ149">
            <v>8.6421160643028155E-2</v>
          </cell>
          <cell r="FA149">
            <v>0.17573062744650933</v>
          </cell>
          <cell r="FD149">
            <v>8.6051743532058494E-2</v>
          </cell>
          <cell r="FE149">
            <v>9.0350313353687928E-2</v>
          </cell>
          <cell r="FF149">
            <v>8.4083239595050624E-2</v>
          </cell>
          <cell r="FG149">
            <v>0.17664309818415555</v>
          </cell>
          <cell r="FJ149">
            <v>8.2184516659492057E-2</v>
          </cell>
          <cell r="FK149">
            <v>8.7574456599025657E-2</v>
          </cell>
          <cell r="FL149">
            <v>8.7221229690381485E-2</v>
          </cell>
          <cell r="FM149">
            <v>0.18726802038559062</v>
          </cell>
          <cell r="FP149">
            <v>8.686957565092189E-2</v>
          </cell>
          <cell r="FQ149">
            <v>8.9149302083749951E-2</v>
          </cell>
          <cell r="FR149">
            <v>8.7229532456105263E-2</v>
          </cell>
          <cell r="FS149">
            <v>0.18473783146022477</v>
          </cell>
          <cell r="FV149">
            <v>8.3544783185002844E-2</v>
          </cell>
          <cell r="FW149">
            <v>9.0588903616739255E-2</v>
          </cell>
          <cell r="FX149">
            <v>8.7028971785646655E-2</v>
          </cell>
          <cell r="FY149">
            <v>0.18651770498011741</v>
          </cell>
          <cell r="GB149">
            <v>8.5133051932008555E-2</v>
          </cell>
          <cell r="GC149">
            <v>8.7082663808314087E-2</v>
          </cell>
          <cell r="GD149">
            <v>8.4458488715419958E-2</v>
          </cell>
          <cell r="GE149">
            <v>0.18319104968155864</v>
          </cell>
        </row>
        <row r="150">
          <cell r="A150" t="str">
            <v>Month 3</v>
          </cell>
          <cell r="AN150" t="str">
            <v>Month 3</v>
          </cell>
          <cell r="BS150">
            <v>6.5569463197460126E-2</v>
          </cell>
          <cell r="BT150">
            <v>5.9373061343648503E-2</v>
          </cell>
          <cell r="BU150">
            <v>7.4488194723205489E-2</v>
          </cell>
          <cell r="BV150">
            <v>4.4206838667299207E-2</v>
          </cell>
          <cell r="CP150">
            <v>6.7713751443943093E-2</v>
          </cell>
          <cell r="CQ150">
            <v>6.2403870086604675E-2</v>
          </cell>
          <cell r="CR150">
            <v>7.2206727977075613E-2</v>
          </cell>
          <cell r="CS150">
            <v>4.7814460491802234E-2</v>
          </cell>
          <cell r="CV150">
            <v>7.0604459149875398E-2</v>
          </cell>
          <cell r="CW150">
            <v>6.4217647138568035E-2</v>
          </cell>
          <cell r="CX150">
            <v>6.9973942900060218E-2</v>
          </cell>
          <cell r="CY150">
            <v>5.0840294617372023E-2</v>
          </cell>
          <cell r="DB150">
            <v>6.7190716825753324E-2</v>
          </cell>
          <cell r="DC150">
            <v>6.3322727556304192E-2</v>
          </cell>
          <cell r="DD150">
            <v>6.8937550689375501E-2</v>
          </cell>
          <cell r="DE150">
            <v>4.8848961257720383E-2</v>
          </cell>
          <cell r="DH150">
            <v>0</v>
          </cell>
          <cell r="DI150">
            <v>0</v>
          </cell>
          <cell r="DJ150">
            <v>0</v>
          </cell>
          <cell r="DK150">
            <v>0</v>
          </cell>
          <cell r="DN150">
            <v>7.3614190687361414E-2</v>
          </cell>
          <cell r="DO150">
            <v>6.366803927779538E-2</v>
          </cell>
          <cell r="DP150">
            <v>6.702565726955971E-2</v>
          </cell>
          <cell r="DQ150">
            <v>4.9033892936331959E-2</v>
          </cell>
          <cell r="DT150">
            <v>7.0451480315971995E-2</v>
          </cell>
          <cell r="DU150">
            <v>6.229529253098709E-2</v>
          </cell>
          <cell r="DV150">
            <v>6.9552373001091766E-2</v>
          </cell>
          <cell r="DW150">
            <v>4.97720120737268E-2</v>
          </cell>
          <cell r="DZ150">
            <v>6.9815728004152602E-2</v>
          </cell>
          <cell r="EA150">
            <v>6.2483778873604984E-2</v>
          </cell>
          <cell r="EB150">
            <v>6.8647806903711389E-2</v>
          </cell>
          <cell r="EC150">
            <v>5.2815987542174932E-2</v>
          </cell>
          <cell r="EF150">
            <v>7.2515212981744417E-2</v>
          </cell>
          <cell r="EG150">
            <v>6.3704361054766734E-2</v>
          </cell>
          <cell r="EH150">
            <v>7.0233265720081137E-2</v>
          </cell>
          <cell r="EI150">
            <v>5.1850912778904662E-2</v>
          </cell>
          <cell r="EL150">
            <v>5.2389459580169717E-2</v>
          </cell>
          <cell r="EM150">
            <v>4.4573470299240733E-2</v>
          </cell>
          <cell r="EN150">
            <v>9.0352836087539079E-2</v>
          </cell>
          <cell r="EO150">
            <v>6.6770879857079052E-2</v>
          </cell>
          <cell r="ER150">
            <v>6.9632925472747492E-2</v>
          </cell>
          <cell r="ES150">
            <v>5.9621802002224694E-2</v>
          </cell>
          <cell r="ET150">
            <v>6.907675194660734E-2</v>
          </cell>
          <cell r="EU150">
            <v>6.5999258435298483E-2</v>
          </cell>
          <cell r="EX150">
            <v>6.9813400220423372E-2</v>
          </cell>
          <cell r="EY150">
            <v>6.0882453540075245E-2</v>
          </cell>
          <cell r="EZ150">
            <v>7.0269448561547529E-2</v>
          </cell>
          <cell r="FA150">
            <v>4.8379128187587883E-2</v>
          </cell>
          <cell r="FD150">
            <v>7.5044190904708347E-2</v>
          </cell>
          <cell r="FE150">
            <v>6.1987787240880603E-2</v>
          </cell>
          <cell r="FF150">
            <v>6.8857464245540734E-2</v>
          </cell>
          <cell r="FG150">
            <v>4.8730515828378597E-2</v>
          </cell>
          <cell r="FJ150">
            <v>7.2006840145461229E-2</v>
          </cell>
          <cell r="FK150">
            <v>5.899358867248948E-2</v>
          </cell>
          <cell r="FL150">
            <v>7.2220113734892177E-2</v>
          </cell>
          <cell r="FM150">
            <v>5.3084494474265165E-2</v>
          </cell>
          <cell r="FP150">
            <v>6.9551653801543808E-2</v>
          </cell>
          <cell r="FQ150">
            <v>6.11126664800224E-2</v>
          </cell>
          <cell r="FR150">
            <v>7.2231332240131188E-2</v>
          </cell>
          <cell r="FS150">
            <v>5.2393712754469461E-2</v>
          </cell>
          <cell r="FV150">
            <v>7.2713501230827496E-2</v>
          </cell>
          <cell r="FW150">
            <v>6.1049043741715582E-2</v>
          </cell>
          <cell r="FX150">
            <v>6.9759515243325132E-2</v>
          </cell>
          <cell r="FY150">
            <v>5.0596477939784133E-2</v>
          </cell>
          <cell r="GB150">
            <v>6.9608364768834807E-2</v>
          </cell>
          <cell r="GC150">
            <v>6.112394271454219E-2</v>
          </cell>
          <cell r="GD150">
            <v>6.9260704848515153E-2</v>
          </cell>
          <cell r="GE150">
            <v>6.3310724213773262E-2</v>
          </cell>
        </row>
        <row r="151">
          <cell r="A151" t="str">
            <v>Total</v>
          </cell>
          <cell r="AN151" t="str">
            <v>Total</v>
          </cell>
          <cell r="BS151">
            <v>0.2144290771083458</v>
          </cell>
          <cell r="BT151">
            <v>0.21390358719848193</v>
          </cell>
          <cell r="BU151">
            <v>0.24468853775134108</v>
          </cell>
          <cell r="BV151">
            <v>0.32697879794183116</v>
          </cell>
          <cell r="BW151">
            <v>1</v>
          </cell>
          <cell r="CP151">
            <v>0.21753920185845851</v>
          </cell>
          <cell r="CQ151">
            <v>0.22036007632954452</v>
          </cell>
          <cell r="CR151">
            <v>0.23907868452795028</v>
          </cell>
          <cell r="CS151">
            <v>0.32302203728404671</v>
          </cell>
          <cell r="CT151">
            <v>1</v>
          </cell>
          <cell r="CV151">
            <v>0.21333858628814734</v>
          </cell>
          <cell r="CW151">
            <v>0.22398327297365961</v>
          </cell>
          <cell r="CX151">
            <v>0.23170190878182992</v>
          </cell>
          <cell r="CY151">
            <v>0.33097623195636316</v>
          </cell>
          <cell r="CZ151">
            <v>1</v>
          </cell>
          <cell r="DB151">
            <v>0.21648262524174933</v>
          </cell>
          <cell r="DC151">
            <v>0.22515440763615946</v>
          </cell>
          <cell r="DD151">
            <v>0.23027013537962443</v>
          </cell>
          <cell r="DE151">
            <v>0.32809283174246678</v>
          </cell>
          <cell r="DF151">
            <v>1</v>
          </cell>
          <cell r="DH151">
            <v>0.214749368914533</v>
          </cell>
          <cell r="DI151">
            <v>0.2211203269623753</v>
          </cell>
          <cell r="DJ151">
            <v>0.22731097487678809</v>
          </cell>
          <cell r="DK151">
            <v>0.33681932924630364</v>
          </cell>
          <cell r="DL151">
            <v>1</v>
          </cell>
          <cell r="DN151">
            <v>0.22527716186252772</v>
          </cell>
          <cell r="DO151">
            <v>0.22096927462781121</v>
          </cell>
          <cell r="DP151">
            <v>0.22014570795058599</v>
          </cell>
          <cell r="DQ151">
            <v>0.325118783655369</v>
          </cell>
          <cell r="DR151">
            <v>1</v>
          </cell>
          <cell r="DT151">
            <v>0.22175839702010147</v>
          </cell>
          <cell r="DU151">
            <v>0.22387772140517628</v>
          </cell>
          <cell r="DV151">
            <v>0.22342816774773619</v>
          </cell>
          <cell r="DW151">
            <v>0.32220152848243527</v>
          </cell>
          <cell r="DX151">
            <v>1</v>
          </cell>
          <cell r="DZ151">
            <v>0.21353490786400209</v>
          </cell>
          <cell r="EA151">
            <v>0.22281339216195173</v>
          </cell>
          <cell r="EB151">
            <v>0.22618738645211522</v>
          </cell>
          <cell r="EC151">
            <v>0.32786140669608099</v>
          </cell>
          <cell r="ED151">
            <v>1</v>
          </cell>
          <cell r="EF151">
            <v>0.22502535496957404</v>
          </cell>
          <cell r="EG151">
            <v>0.22699036511156187</v>
          </cell>
          <cell r="EH151">
            <v>0.22344066937119675</v>
          </cell>
          <cell r="EI151">
            <v>0.32454361054766734</v>
          </cell>
          <cell r="EJ151">
            <v>1</v>
          </cell>
          <cell r="EL151">
            <v>0.16261723983921395</v>
          </cell>
          <cell r="EM151">
            <v>0.16181330951317552</v>
          </cell>
          <cell r="EN151">
            <v>0.24810183117463153</v>
          </cell>
          <cell r="EO151">
            <v>0.42746761947297901</v>
          </cell>
          <cell r="EP151">
            <v>1</v>
          </cell>
          <cell r="ER151">
            <v>0.21987393400074157</v>
          </cell>
          <cell r="ES151">
            <v>0.22228401928068223</v>
          </cell>
          <cell r="ET151">
            <v>0.21824249165739712</v>
          </cell>
          <cell r="EU151">
            <v>0.33959955506117911</v>
          </cell>
          <cell r="EV151">
            <v>1</v>
          </cell>
          <cell r="EX151">
            <v>0.22502185231634553</v>
          </cell>
          <cell r="EY151">
            <v>0.22391973549196215</v>
          </cell>
          <cell r="EZ151">
            <v>0.22445179188994033</v>
          </cell>
          <cell r="FA151">
            <v>0.32660662030175197</v>
          </cell>
          <cell r="FB151">
            <v>1</v>
          </cell>
          <cell r="FD151">
            <v>0.23087739032620921</v>
          </cell>
          <cell r="FE151">
            <v>0.22971235738389845</v>
          </cell>
          <cell r="FF151">
            <v>0.22067330869355617</v>
          </cell>
          <cell r="FG151">
            <v>0.3187369435963362</v>
          </cell>
          <cell r="FH151">
            <v>1</v>
          </cell>
          <cell r="FJ151">
            <v>0.22130152751621679</v>
          </cell>
          <cell r="FK151">
            <v>0.22117597823812513</v>
          </cell>
          <cell r="FL151">
            <v>0.22536095417451349</v>
          </cell>
          <cell r="FM151">
            <v>0.33216154007114457</v>
          </cell>
          <cell r="FN151">
            <v>1</v>
          </cell>
          <cell r="FP151">
            <v>0.22293324801023878</v>
          </cell>
          <cell r="FQ151">
            <v>0.22145342558892933</v>
          </cell>
          <cell r="FR151">
            <v>0.22489301283845939</v>
          </cell>
          <cell r="FS151">
            <v>0.33072031356237253</v>
          </cell>
          <cell r="FT151">
            <v>1</v>
          </cell>
          <cell r="FV151">
            <v>0.2230259420564287</v>
          </cell>
          <cell r="FW151">
            <v>0.22491952281764818</v>
          </cell>
          <cell r="FX151">
            <v>0.22166256390835068</v>
          </cell>
          <cell r="FY151">
            <v>0.33039197121757241</v>
          </cell>
          <cell r="FZ151">
            <v>1</v>
          </cell>
          <cell r="GB151">
            <v>0.22178640289157275</v>
          </cell>
          <cell r="GC151">
            <v>0.22088380480069056</v>
          </cell>
          <cell r="GD151">
            <v>0.2191395031910765</v>
          </cell>
          <cell r="GE151">
            <v>0.33819028911666016</v>
          </cell>
          <cell r="GF151">
            <v>1</v>
          </cell>
        </row>
        <row r="153">
          <cell r="A153" t="str">
            <v>Original Federated Doors Monthly Sales</v>
          </cell>
          <cell r="AN153" t="str">
            <v>Original Federated Doors Monthly Sales</v>
          </cell>
        </row>
        <row r="154">
          <cell r="A154" t="str">
            <v>Month 1</v>
          </cell>
          <cell r="AN154" t="str">
            <v>Month 1</v>
          </cell>
          <cell r="DZ154">
            <v>985</v>
          </cell>
          <cell r="EA154">
            <v>1137</v>
          </cell>
          <cell r="EB154">
            <v>1078</v>
          </cell>
          <cell r="EC154">
            <v>1460</v>
          </cell>
          <cell r="EF154">
            <v>1080</v>
          </cell>
          <cell r="EG154">
            <v>1182</v>
          </cell>
          <cell r="EH154">
            <v>1056</v>
          </cell>
          <cell r="EI154">
            <v>1446</v>
          </cell>
          <cell r="EL154">
            <v>1097</v>
          </cell>
          <cell r="EM154">
            <v>1189</v>
          </cell>
          <cell r="EN154">
            <v>1068</v>
          </cell>
        </row>
        <row r="155">
          <cell r="A155" t="str">
            <v>Month 2</v>
          </cell>
          <cell r="AN155" t="str">
            <v>Month 2</v>
          </cell>
          <cell r="DZ155">
            <v>1233</v>
          </cell>
          <cell r="EA155">
            <v>1337</v>
          </cell>
          <cell r="EB155">
            <v>1352</v>
          </cell>
          <cell r="EC155">
            <v>2782</v>
          </cell>
          <cell r="EF155">
            <v>1326</v>
          </cell>
          <cell r="EG155">
            <v>1394</v>
          </cell>
          <cell r="EH155">
            <v>1361</v>
          </cell>
          <cell r="EI155">
            <v>2856</v>
          </cell>
          <cell r="EL155">
            <v>1371</v>
          </cell>
          <cell r="EM155">
            <v>1436</v>
          </cell>
        </row>
        <row r="156">
          <cell r="A156" t="str">
            <v>Month 3</v>
          </cell>
          <cell r="AN156" t="str">
            <v>Month 3</v>
          </cell>
          <cell r="DZ156">
            <v>1076</v>
          </cell>
          <cell r="EA156">
            <v>963</v>
          </cell>
          <cell r="EB156">
            <v>1058</v>
          </cell>
          <cell r="EC156">
            <v>814</v>
          </cell>
          <cell r="EF156">
            <v>1144</v>
          </cell>
          <cell r="EG156">
            <v>1005</v>
          </cell>
          <cell r="EH156">
            <v>1108</v>
          </cell>
          <cell r="EI156">
            <v>818</v>
          </cell>
          <cell r="EL156">
            <v>1173</v>
          </cell>
          <cell r="EM156">
            <v>998</v>
          </cell>
        </row>
        <row r="157">
          <cell r="A157" t="str">
            <v>Total</v>
          </cell>
          <cell r="AN157" t="str">
            <v>Total</v>
          </cell>
          <cell r="DZ157">
            <v>3291</v>
          </cell>
          <cell r="EA157">
            <v>3434</v>
          </cell>
          <cell r="EB157">
            <v>3486</v>
          </cell>
          <cell r="EC157">
            <v>5053</v>
          </cell>
          <cell r="ED157">
            <v>15412</v>
          </cell>
          <cell r="EF157">
            <v>3550</v>
          </cell>
          <cell r="EG157">
            <v>3581</v>
          </cell>
          <cell r="EH157">
            <v>3525</v>
          </cell>
          <cell r="EI157">
            <v>5120</v>
          </cell>
          <cell r="EJ157">
            <v>15776</v>
          </cell>
          <cell r="EL157">
            <v>3641</v>
          </cell>
          <cell r="EM157">
            <v>3623</v>
          </cell>
        </row>
        <row r="159">
          <cell r="A159" t="str">
            <v>Original Federated Doors Monthly Comps</v>
          </cell>
          <cell r="AN159" t="str">
            <v>Original Federated Doors Monthly Comps</v>
          </cell>
        </row>
        <row r="160">
          <cell r="A160" t="str">
            <v>Month 1</v>
          </cell>
          <cell r="AN160" t="str">
            <v>Month 1</v>
          </cell>
          <cell r="DH160">
            <v>5.2999999999999999E-2</v>
          </cell>
          <cell r="DI160">
            <v>4.2000000000000003E-2</v>
          </cell>
          <cell r="DJ160">
            <v>1.0999999999999999E-2</v>
          </cell>
          <cell r="DK160">
            <v>1.4E-2</v>
          </cell>
          <cell r="DN160">
            <v>-1.6E-2</v>
          </cell>
          <cell r="DO160">
            <v>-3.3000000000000002E-2</v>
          </cell>
          <cell r="DP160">
            <v>-2.5999999999999999E-2</v>
          </cell>
          <cell r="DQ160">
            <v>8.9999999999999993E-3</v>
          </cell>
          <cell r="DT160">
            <v>-2.8000000000000001E-2</v>
          </cell>
          <cell r="DU160">
            <v>-3.4000000000000002E-2</v>
          </cell>
          <cell r="DV160">
            <v>-5.8000000000000003E-2</v>
          </cell>
          <cell r="DW160">
            <v>-7.3999999999999996E-2</v>
          </cell>
          <cell r="DZ160">
            <v>-6.8000000000000005E-2</v>
          </cell>
          <cell r="EA160">
            <v>-8.0000000000000002E-3</v>
          </cell>
          <cell r="EB160">
            <v>-8.0000000000000002E-3</v>
          </cell>
          <cell r="EC160">
            <v>-1E-3</v>
          </cell>
          <cell r="EF160">
            <v>0.09</v>
          </cell>
          <cell r="EG160">
            <v>2.9000000000000001E-2</v>
          </cell>
          <cell r="EH160">
            <v>-2.4E-2</v>
          </cell>
          <cell r="EI160">
            <v>-1.4E-2</v>
          </cell>
          <cell r="EL160">
            <v>1.7999999999999999E-2</v>
          </cell>
          <cell r="EM160">
            <v>8.0000000000000002E-3</v>
          </cell>
          <cell r="EN160">
            <v>1.0999999999999999E-2</v>
          </cell>
          <cell r="EO160">
            <v>-3.4000000000000002E-2</v>
          </cell>
          <cell r="ER160">
            <v>0.01</v>
          </cell>
          <cell r="ES160">
            <v>9.1999999999999998E-2</v>
          </cell>
          <cell r="ET160">
            <v>3.7999999999999999E-2</v>
          </cell>
          <cell r="EU160">
            <v>8.5000000000000006E-2</v>
          </cell>
          <cell r="EX160">
            <v>1.2E-2</v>
          </cell>
          <cell r="EY160">
            <v>-3.3000000000000002E-2</v>
          </cell>
          <cell r="EZ160">
            <v>2.4E-2</v>
          </cell>
          <cell r="FA160">
            <v>0.13400000000000001</v>
          </cell>
          <cell r="FD160">
            <v>-3.5000000000000003E-2</v>
          </cell>
          <cell r="FE160">
            <v>-1.4999999999999999E-2</v>
          </cell>
          <cell r="FF160">
            <v>-4.8000000000000001E-2</v>
          </cell>
          <cell r="FG160">
            <v>-0.13300000000000001</v>
          </cell>
          <cell r="FJ160">
            <v>-8.5000000000000006E-2</v>
          </cell>
          <cell r="FK160">
            <v>-9.0999999999999998E-2</v>
          </cell>
          <cell r="FL160">
            <v>-8.1000000000000003E-2</v>
          </cell>
          <cell r="FM160">
            <v>-6.0999999999999999E-2</v>
          </cell>
          <cell r="FP160">
            <v>3.6999999999999998E-2</v>
          </cell>
          <cell r="FQ160">
            <v>1.4E-2</v>
          </cell>
          <cell r="FR160">
            <v>4.2999999999999997E-2</v>
          </cell>
          <cell r="FS160">
            <v>6.0999999999999999E-2</v>
          </cell>
          <cell r="FV160">
            <v>5.8000000000000003E-2</v>
          </cell>
          <cell r="FW160">
            <v>7.3999999999999996E-2</v>
          </cell>
          <cell r="FX160">
            <v>0.05</v>
          </cell>
          <cell r="FY160">
            <v>4.8000000000000001E-2</v>
          </cell>
          <cell r="GB160">
            <v>4.5999999999999999E-2</v>
          </cell>
          <cell r="GC160">
            <v>4.2000000000000003E-2</v>
          </cell>
          <cell r="GD160">
            <v>5.0999999999999997E-2</v>
          </cell>
          <cell r="GE160">
            <v>0.04</v>
          </cell>
        </row>
        <row r="161">
          <cell r="A161" t="str">
            <v>Month 2</v>
          </cell>
          <cell r="AN161" t="str">
            <v>Month 2</v>
          </cell>
          <cell r="DH161">
            <v>-6.0000000000000001E-3</v>
          </cell>
          <cell r="DI161">
            <v>5.0000000000000001E-3</v>
          </cell>
          <cell r="DJ161">
            <v>2.9000000000000001E-2</v>
          </cell>
          <cell r="DK161">
            <v>1.2E-2</v>
          </cell>
          <cell r="DN161">
            <v>-3.2000000000000001E-2</v>
          </cell>
          <cell r="DO161">
            <v>-6.4000000000000001E-2</v>
          </cell>
          <cell r="DP161">
            <v>-0.129</v>
          </cell>
          <cell r="DQ161">
            <v>-8.6999999999999994E-2</v>
          </cell>
          <cell r="DT161">
            <v>-2E-3</v>
          </cell>
          <cell r="DU161">
            <v>-4.0000000000000001E-3</v>
          </cell>
          <cell r="DV161">
            <v>0</v>
          </cell>
          <cell r="DW161">
            <v>-2.5999999999999999E-2</v>
          </cell>
          <cell r="DZ161">
            <v>-6.5000000000000002E-2</v>
          </cell>
          <cell r="EA161">
            <v>-0.02</v>
          </cell>
          <cell r="EB161">
            <v>3.2000000000000001E-2</v>
          </cell>
          <cell r="EC161">
            <v>1.2E-2</v>
          </cell>
          <cell r="EF161">
            <v>6.8000000000000005E-2</v>
          </cell>
          <cell r="EG161">
            <v>3.4000000000000002E-2</v>
          </cell>
          <cell r="EH161">
            <v>1E-3</v>
          </cell>
          <cell r="EI161">
            <v>2.3E-2</v>
          </cell>
          <cell r="EL161">
            <v>3.4000000000000002E-2</v>
          </cell>
          <cell r="EM161">
            <v>2.9000000000000001E-2</v>
          </cell>
          <cell r="EN161">
            <v>1.2999999999999999E-2</v>
          </cell>
          <cell r="EO161">
            <v>3.4000000000000002E-2</v>
          </cell>
          <cell r="ER161">
            <v>0</v>
          </cell>
          <cell r="ES161">
            <v>1.7000000000000001E-2</v>
          </cell>
          <cell r="ET161">
            <v>6.5000000000000002E-2</v>
          </cell>
          <cell r="EU161">
            <v>4.3999999999999997E-2</v>
          </cell>
          <cell r="EX161">
            <v>2.3E-2</v>
          </cell>
          <cell r="EY161">
            <v>-2.7E-2</v>
          </cell>
          <cell r="EZ161">
            <v>-2.7E-2</v>
          </cell>
          <cell r="FA161">
            <v>-7.9000000000000001E-2</v>
          </cell>
          <cell r="FD161">
            <v>-6.2E-2</v>
          </cell>
          <cell r="FE161">
            <v>-2.1000000000000001E-2</v>
          </cell>
          <cell r="FF161">
            <v>-6.6000000000000003E-2</v>
          </cell>
          <cell r="FG161">
            <v>-0.04</v>
          </cell>
          <cell r="FJ161">
            <v>-9.1999999999999998E-2</v>
          </cell>
          <cell r="FK161">
            <v>-8.8999999999999996E-2</v>
          </cell>
          <cell r="FL161">
            <v>-2.3E-2</v>
          </cell>
          <cell r="FM161">
            <v>0.01</v>
          </cell>
          <cell r="FP161">
            <v>0.10800000000000001</v>
          </cell>
          <cell r="FQ161">
            <v>6.5000000000000002E-2</v>
          </cell>
          <cell r="FR161">
            <v>4.8000000000000001E-2</v>
          </cell>
          <cell r="FS161">
            <v>3.9E-2</v>
          </cell>
          <cell r="FV161">
            <v>8.9999999999999993E-3</v>
          </cell>
          <cell r="FW161">
            <v>6.7000000000000004E-2</v>
          </cell>
          <cell r="FX161">
            <v>4.9000000000000002E-2</v>
          </cell>
          <cell r="FY161">
            <v>6.2E-2</v>
          </cell>
          <cell r="GB161">
            <v>7.2999999999999995E-2</v>
          </cell>
          <cell r="GC161">
            <v>1.2E-2</v>
          </cell>
          <cell r="GD161">
            <v>0.03</v>
          </cell>
          <cell r="GE161">
            <v>0.04</v>
          </cell>
        </row>
        <row r="162">
          <cell r="A162" t="str">
            <v>Month 3</v>
          </cell>
          <cell r="AN162" t="str">
            <v>Month 3</v>
          </cell>
          <cell r="DH162">
            <v>5.1999999999999998E-2</v>
          </cell>
          <cell r="DI162">
            <v>1.6E-2</v>
          </cell>
          <cell r="DJ162">
            <v>1.6E-2</v>
          </cell>
          <cell r="DK162">
            <v>3.6999999999999998E-2</v>
          </cell>
          <cell r="DN162">
            <v>8.0000000000000002E-3</v>
          </cell>
          <cell r="DO162">
            <v>-4.2000000000000003E-2</v>
          </cell>
          <cell r="DP162">
            <v>-8.6999999999999994E-2</v>
          </cell>
          <cell r="DQ162">
            <v>-8.7999999999999995E-2</v>
          </cell>
          <cell r="DT162">
            <v>-5.8999999999999997E-2</v>
          </cell>
          <cell r="DU162">
            <v>-5.1999999999999998E-2</v>
          </cell>
          <cell r="DV162">
            <v>3.0000000000000001E-3</v>
          </cell>
          <cell r="DW162">
            <v>-1.2E-2</v>
          </cell>
          <cell r="DZ162">
            <v>-1.3999999999999999E-2</v>
          </cell>
          <cell r="EA162">
            <v>-4.0000000000000001E-3</v>
          </cell>
          <cell r="EB162">
            <v>-0.02</v>
          </cell>
          <cell r="EC162">
            <v>5.5E-2</v>
          </cell>
          <cell r="EF162">
            <v>5.3999999999999999E-2</v>
          </cell>
          <cell r="EG162">
            <v>3.6999999999999998E-2</v>
          </cell>
          <cell r="EH162">
            <v>0.04</v>
          </cell>
          <cell r="EI162">
            <v>-4.0000000000000001E-3</v>
          </cell>
          <cell r="EL162">
            <v>2.8000000000000001E-2</v>
          </cell>
          <cell r="EM162">
            <v>-8.9999999999999993E-3</v>
          </cell>
          <cell r="EN162">
            <v>-7.0000000000000001E-3</v>
          </cell>
          <cell r="EO162">
            <v>0.01</v>
          </cell>
          <cell r="ER162">
            <v>-8.0000000000000002E-3</v>
          </cell>
          <cell r="ES162">
            <v>3.3000000000000002E-2</v>
          </cell>
          <cell r="ET162">
            <v>7.6999999999999999E-2</v>
          </cell>
          <cell r="EU162">
            <v>8.5999999999999993E-2</v>
          </cell>
          <cell r="EX162">
            <v>-2.1999999999999999E-2</v>
          </cell>
          <cell r="EY162">
            <v>-1.4E-2</v>
          </cell>
          <cell r="EZ162">
            <v>-1.4999999999999999E-2</v>
          </cell>
          <cell r="FA162">
            <v>-7.0999999999999994E-2</v>
          </cell>
          <cell r="FD162">
            <v>0.03</v>
          </cell>
          <cell r="FE162">
            <v>-2.9000000000000001E-2</v>
          </cell>
          <cell r="FF162">
            <v>-6.3E-2</v>
          </cell>
          <cell r="FG162">
            <v>-4.4999999999999998E-2</v>
          </cell>
          <cell r="FJ162">
            <v>-9.0999999999999998E-2</v>
          </cell>
          <cell r="FK162">
            <v>-0.107</v>
          </cell>
          <cell r="FL162">
            <v>-8.0000000000000002E-3</v>
          </cell>
          <cell r="FM162">
            <v>3.4000000000000002E-2</v>
          </cell>
          <cell r="FP162">
            <v>1.0999999999999999E-2</v>
          </cell>
          <cell r="FQ162">
            <v>7.2999999999999995E-2</v>
          </cell>
          <cell r="FR162">
            <v>2.5000000000000001E-2</v>
          </cell>
          <cell r="FS162">
            <v>2.5999999999999999E-2</v>
          </cell>
          <cell r="FV162">
            <v>0.108</v>
          </cell>
          <cell r="FW162">
            <v>0.05</v>
          </cell>
          <cell r="FX162">
            <v>2.1999999999999999E-2</v>
          </cell>
          <cell r="FY162">
            <v>2.4E-2</v>
          </cell>
          <cell r="GB162">
            <v>1.2E-2</v>
          </cell>
          <cell r="GC162">
            <v>4.1000000000000002E-2</v>
          </cell>
          <cell r="GD162">
            <v>5.5E-2</v>
          </cell>
          <cell r="GE162">
            <v>0.05</v>
          </cell>
        </row>
        <row r="163">
          <cell r="A163" t="str">
            <v>Total</v>
          </cell>
          <cell r="AN163" t="str">
            <v>Total</v>
          </cell>
          <cell r="DH163">
            <v>2.9000000000000001E-2</v>
          </cell>
          <cell r="DI163">
            <v>1.9E-2</v>
          </cell>
          <cell r="DJ163">
            <v>1.9E-2</v>
          </cell>
          <cell r="DK163">
            <v>1.6E-2</v>
          </cell>
          <cell r="DL163">
            <v>0.02</v>
          </cell>
          <cell r="DN163">
            <v>-1.4999999999999999E-2</v>
          </cell>
          <cell r="DO163">
            <v>-4.8000000000000001E-2</v>
          </cell>
          <cell r="DP163">
            <v>-8.5999999999999993E-2</v>
          </cell>
          <cell r="DQ163">
            <v>-0.06</v>
          </cell>
          <cell r="DR163">
            <v>-5.2999999999999999E-2</v>
          </cell>
          <cell r="DT163">
            <v>-2.9000000000000001E-2</v>
          </cell>
          <cell r="DU163">
            <v>-2.8000000000000001E-2</v>
          </cell>
          <cell r="DV163">
            <v>-0.02</v>
          </cell>
          <cell r="DW163">
            <v>-3.9E-2</v>
          </cell>
          <cell r="DX163">
            <v>-0.03</v>
          </cell>
          <cell r="DZ163">
            <v>-0.05</v>
          </cell>
          <cell r="EA163">
            <v>-1.2E-2</v>
          </cell>
          <cell r="EB163">
            <v>2E-3</v>
          </cell>
          <cell r="EC163">
            <v>1.3999999999999999E-2</v>
          </cell>
          <cell r="ED163">
            <v>-9.0000000000000011E-3</v>
          </cell>
          <cell r="EF163">
            <v>6.9000000000000006E-2</v>
          </cell>
          <cell r="EG163">
            <v>3.3000000000000002E-2</v>
          </cell>
          <cell r="EH163">
            <v>4.0000000000000001E-3</v>
          </cell>
          <cell r="EI163">
            <v>8.0000000000000002E-3</v>
          </cell>
          <cell r="EJ163">
            <v>2.5999999999999999E-2</v>
          </cell>
          <cell r="EL163">
            <v>2.5999999999999999E-2</v>
          </cell>
          <cell r="EM163">
            <v>1.0999999999999999E-2</v>
          </cell>
          <cell r="EN163">
            <v>6.0000000000000001E-3</v>
          </cell>
          <cell r="EO163">
            <v>1.0999999999999999E-2</v>
          </cell>
          <cell r="EP163">
            <v>1.2999999999999999E-2</v>
          </cell>
          <cell r="ER163">
            <v>0</v>
          </cell>
          <cell r="ES163">
            <v>4.5999999999999999E-2</v>
          </cell>
          <cell r="ET163">
            <v>5.8999999999999997E-2</v>
          </cell>
          <cell r="EU163">
            <v>6.0999999999999999E-2</v>
          </cell>
          <cell r="EV163">
            <v>4.3999999999999997E-2</v>
          </cell>
          <cell r="EX163">
            <v>6.0000000000000001E-3</v>
          </cell>
          <cell r="EY163">
            <v>-2.5999999999999999E-2</v>
          </cell>
          <cell r="EZ163">
            <v>-8.0000000000000002E-3</v>
          </cell>
          <cell r="FA163">
            <v>-0.02</v>
          </cell>
          <cell r="FB163">
            <v>-1.2999999999999999E-2</v>
          </cell>
          <cell r="FD163">
            <v>-2.5999999999999999E-2</v>
          </cell>
          <cell r="FE163">
            <v>-2.1000000000000001E-2</v>
          </cell>
          <cell r="FF163">
            <v>-0.06</v>
          </cell>
          <cell r="FG163">
            <v>-7.0000000000000007E-2</v>
          </cell>
          <cell r="FH163">
            <v>-4.4999999999999998E-2</v>
          </cell>
          <cell r="FJ163">
            <v>-0.09</v>
          </cell>
          <cell r="FK163">
            <v>-9.5000000000000001E-2</v>
          </cell>
          <cell r="FL163">
            <v>-3.5999999999999997E-2</v>
          </cell>
          <cell r="FM163">
            <v>-8.0000000000000002E-3</v>
          </cell>
          <cell r="FN163">
            <v>-5.2999999999999999E-2</v>
          </cell>
          <cell r="FP163">
            <v>5.5E-2</v>
          </cell>
          <cell r="FQ163">
            <v>4.9000000000000002E-2</v>
          </cell>
          <cell r="FR163">
            <v>3.9E-2</v>
          </cell>
          <cell r="FS163">
            <v>4.2999999999999997E-2</v>
          </cell>
          <cell r="FT163">
            <v>4.610434747830261E-2</v>
          </cell>
          <cell r="FV163">
            <v>5.3999999999999999E-2</v>
          </cell>
          <cell r="FW163">
            <v>6.4000000000000001E-2</v>
          </cell>
          <cell r="FX163">
            <v>0.04</v>
          </cell>
          <cell r="FY163">
            <v>5.1999999999999998E-2</v>
          </cell>
          <cell r="FZ163">
            <v>5.2999999999999999E-2</v>
          </cell>
          <cell r="GB163">
            <v>4.3999999999999997E-2</v>
          </cell>
          <cell r="GC163">
            <v>0.03</v>
          </cell>
          <cell r="GD163">
            <v>4.4170626829774157E-2</v>
          </cell>
          <cell r="GE163">
            <v>4.1872044415560798E-2</v>
          </cell>
          <cell r="GF163">
            <v>4.02253638971692E-2</v>
          </cell>
        </row>
        <row r="165">
          <cell r="A165" t="str">
            <v>Original Federated Doors Store Count (Estimated)</v>
          </cell>
          <cell r="AN165" t="str">
            <v>Original Federated Doors Store Count (Estimated)</v>
          </cell>
        </row>
        <row r="166">
          <cell r="A166" t="str">
            <v>Month 1</v>
          </cell>
          <cell r="AN166" t="str">
            <v>Month 1</v>
          </cell>
          <cell r="DZ166">
            <v>456</v>
          </cell>
          <cell r="EA166">
            <v>456</v>
          </cell>
          <cell r="EB166">
            <v>460</v>
          </cell>
          <cell r="EC166">
            <v>465</v>
          </cell>
          <cell r="EF166">
            <v>458</v>
          </cell>
          <cell r="EG166">
            <v>457</v>
          </cell>
          <cell r="EH166">
            <v>457</v>
          </cell>
          <cell r="EI166">
            <v>459</v>
          </cell>
          <cell r="EL166">
            <v>459</v>
          </cell>
          <cell r="EM166">
            <v>460</v>
          </cell>
          <cell r="EN166">
            <v>459</v>
          </cell>
          <cell r="EO166">
            <v>444</v>
          </cell>
          <cell r="ER166">
            <v>410</v>
          </cell>
          <cell r="ES166">
            <v>406</v>
          </cell>
          <cell r="ET166">
            <v>402</v>
          </cell>
          <cell r="EU166">
            <v>408</v>
          </cell>
          <cell r="EX166">
            <v>407</v>
          </cell>
          <cell r="EY166">
            <v>412</v>
          </cell>
          <cell r="EZ166">
            <v>413</v>
          </cell>
          <cell r="FA166">
            <v>415</v>
          </cell>
          <cell r="FD166">
            <v>415</v>
          </cell>
          <cell r="FE166">
            <v>415</v>
          </cell>
          <cell r="FF166">
            <v>419</v>
          </cell>
          <cell r="FG166">
            <v>422</v>
          </cell>
          <cell r="FJ166">
            <v>410</v>
          </cell>
          <cell r="FK166">
            <v>411</v>
          </cell>
          <cell r="FL166">
            <v>412</v>
          </cell>
          <cell r="FM166">
            <v>417</v>
          </cell>
          <cell r="FP166">
            <v>413</v>
          </cell>
          <cell r="FQ166">
            <v>413</v>
          </cell>
          <cell r="FR166">
            <v>412</v>
          </cell>
          <cell r="FS166">
            <v>417</v>
          </cell>
          <cell r="FV166">
            <v>413</v>
          </cell>
          <cell r="FW166">
            <v>413</v>
          </cell>
          <cell r="FX166">
            <v>412</v>
          </cell>
          <cell r="FY166">
            <v>414</v>
          </cell>
          <cell r="GB166">
            <v>405</v>
          </cell>
          <cell r="GC166">
            <v>407</v>
          </cell>
          <cell r="GD166">
            <v>409</v>
          </cell>
          <cell r="GE166">
            <v>410</v>
          </cell>
        </row>
        <row r="167">
          <cell r="A167" t="str">
            <v>Month 2</v>
          </cell>
          <cell r="AN167" t="str">
            <v>Month 2</v>
          </cell>
          <cell r="DZ167">
            <v>456</v>
          </cell>
          <cell r="EA167">
            <v>455</v>
          </cell>
          <cell r="EB167">
            <v>460</v>
          </cell>
          <cell r="EC167">
            <v>465</v>
          </cell>
          <cell r="EF167">
            <v>458</v>
          </cell>
          <cell r="EG167">
            <v>457</v>
          </cell>
          <cell r="EH167">
            <v>458</v>
          </cell>
          <cell r="EI167">
            <v>459</v>
          </cell>
          <cell r="EL167">
            <v>459</v>
          </cell>
          <cell r="EM167">
            <v>460</v>
          </cell>
          <cell r="EN167">
            <v>446</v>
          </cell>
          <cell r="EO167">
            <v>443</v>
          </cell>
          <cell r="ER167">
            <v>406</v>
          </cell>
          <cell r="ES167">
            <v>405</v>
          </cell>
          <cell r="ET167">
            <v>403</v>
          </cell>
          <cell r="EU167">
            <v>408</v>
          </cell>
          <cell r="EX167">
            <v>408</v>
          </cell>
          <cell r="EY167">
            <v>412</v>
          </cell>
          <cell r="EZ167">
            <v>415</v>
          </cell>
          <cell r="FA167">
            <v>415</v>
          </cell>
          <cell r="FD167">
            <v>416</v>
          </cell>
          <cell r="FE167">
            <v>416</v>
          </cell>
          <cell r="FF167">
            <v>416</v>
          </cell>
          <cell r="FG167">
            <v>422</v>
          </cell>
          <cell r="FJ167">
            <v>410</v>
          </cell>
          <cell r="FK167">
            <v>411</v>
          </cell>
          <cell r="FL167">
            <v>415</v>
          </cell>
          <cell r="FM167">
            <v>417</v>
          </cell>
          <cell r="FP167">
            <v>413</v>
          </cell>
          <cell r="FQ167">
            <v>413</v>
          </cell>
          <cell r="FR167">
            <v>415</v>
          </cell>
          <cell r="FS167">
            <v>417</v>
          </cell>
          <cell r="FV167">
            <v>413</v>
          </cell>
          <cell r="FW167">
            <v>413</v>
          </cell>
          <cell r="FX167">
            <v>412</v>
          </cell>
          <cell r="FY167">
            <v>413</v>
          </cell>
          <cell r="GB167">
            <v>407</v>
          </cell>
          <cell r="GC167">
            <v>409</v>
          </cell>
          <cell r="GD167">
            <v>410</v>
          </cell>
          <cell r="GE167">
            <v>411</v>
          </cell>
        </row>
        <row r="168">
          <cell r="A168" t="str">
            <v>Month 3</v>
          </cell>
          <cell r="AN168" t="str">
            <v>Month 3</v>
          </cell>
          <cell r="DZ168">
            <v>456</v>
          </cell>
          <cell r="EA168">
            <v>460</v>
          </cell>
          <cell r="EB168">
            <v>465</v>
          </cell>
          <cell r="EC168">
            <v>459</v>
          </cell>
          <cell r="EF168">
            <v>459</v>
          </cell>
          <cell r="EG168">
            <v>457</v>
          </cell>
          <cell r="EH168">
            <v>459</v>
          </cell>
          <cell r="EI168">
            <v>459</v>
          </cell>
          <cell r="EL168">
            <v>459</v>
          </cell>
          <cell r="EM168">
            <v>460</v>
          </cell>
          <cell r="EN168">
            <v>444</v>
          </cell>
          <cell r="EO168">
            <v>410</v>
          </cell>
          <cell r="ER168">
            <v>406</v>
          </cell>
          <cell r="ES168">
            <v>403</v>
          </cell>
          <cell r="ET168">
            <v>405</v>
          </cell>
          <cell r="EU168">
            <v>407</v>
          </cell>
          <cell r="EX168">
            <v>412</v>
          </cell>
          <cell r="EY168">
            <v>412</v>
          </cell>
          <cell r="EZ168">
            <v>415</v>
          </cell>
          <cell r="FA168">
            <v>415</v>
          </cell>
          <cell r="FD168">
            <v>414</v>
          </cell>
          <cell r="FE168">
            <v>418</v>
          </cell>
          <cell r="FF168">
            <v>419</v>
          </cell>
          <cell r="FG168">
            <v>410</v>
          </cell>
          <cell r="FJ168">
            <v>411</v>
          </cell>
          <cell r="FK168">
            <v>411</v>
          </cell>
          <cell r="FL168">
            <v>417</v>
          </cell>
          <cell r="FM168">
            <v>413</v>
          </cell>
          <cell r="FP168">
            <v>412</v>
          </cell>
          <cell r="FQ168">
            <v>412</v>
          </cell>
          <cell r="FR168">
            <v>417</v>
          </cell>
          <cell r="FS168">
            <v>413</v>
          </cell>
          <cell r="FV168">
            <v>413</v>
          </cell>
          <cell r="FW168">
            <v>412</v>
          </cell>
          <cell r="FX168">
            <v>413</v>
          </cell>
          <cell r="FY168">
            <v>405</v>
          </cell>
          <cell r="GB168">
            <v>407</v>
          </cell>
          <cell r="GC168">
            <v>408</v>
          </cell>
          <cell r="GD168">
            <v>410</v>
          </cell>
          <cell r="GE168">
            <v>407</v>
          </cell>
        </row>
        <row r="169">
          <cell r="A169" t="str">
            <v>Total</v>
          </cell>
          <cell r="AN169" t="str">
            <v>Total</v>
          </cell>
          <cell r="DZ169">
            <v>456</v>
          </cell>
          <cell r="EA169">
            <v>460</v>
          </cell>
          <cell r="EB169">
            <v>465</v>
          </cell>
          <cell r="EC169">
            <v>459</v>
          </cell>
          <cell r="ED169">
            <v>459</v>
          </cell>
          <cell r="EF169">
            <v>459</v>
          </cell>
          <cell r="EG169">
            <v>457</v>
          </cell>
          <cell r="EH169">
            <v>459</v>
          </cell>
          <cell r="EI169">
            <v>459</v>
          </cell>
          <cell r="EJ169">
            <v>459</v>
          </cell>
          <cell r="EL169">
            <v>459</v>
          </cell>
          <cell r="EM169">
            <v>460</v>
          </cell>
          <cell r="EN169">
            <v>444</v>
          </cell>
          <cell r="EO169">
            <v>410</v>
          </cell>
          <cell r="EP169">
            <v>410</v>
          </cell>
          <cell r="ER169">
            <v>406</v>
          </cell>
          <cell r="ES169">
            <v>403</v>
          </cell>
          <cell r="ET169">
            <v>405</v>
          </cell>
          <cell r="EU169">
            <v>407</v>
          </cell>
          <cell r="EV169">
            <v>407</v>
          </cell>
          <cell r="EX169">
            <v>412</v>
          </cell>
          <cell r="EY169">
            <v>412</v>
          </cell>
          <cell r="EZ169">
            <v>415</v>
          </cell>
          <cell r="FA169">
            <v>415</v>
          </cell>
          <cell r="FB169">
            <v>415</v>
          </cell>
          <cell r="FD169">
            <v>414</v>
          </cell>
          <cell r="FE169">
            <v>418</v>
          </cell>
          <cell r="FF169">
            <v>419</v>
          </cell>
          <cell r="FG169">
            <v>410</v>
          </cell>
          <cell r="FH169">
            <v>410</v>
          </cell>
          <cell r="FJ169">
            <v>411</v>
          </cell>
          <cell r="FK169">
            <v>411</v>
          </cell>
          <cell r="FL169">
            <v>417</v>
          </cell>
          <cell r="FM169">
            <v>413</v>
          </cell>
          <cell r="FN169">
            <v>413</v>
          </cell>
          <cell r="FP169">
            <v>412</v>
          </cell>
          <cell r="FQ169">
            <v>412</v>
          </cell>
          <cell r="FR169">
            <v>417</v>
          </cell>
          <cell r="FS169">
            <v>413</v>
          </cell>
          <cell r="FT169">
            <v>413</v>
          </cell>
          <cell r="FV169">
            <v>413</v>
          </cell>
          <cell r="FW169">
            <v>412</v>
          </cell>
          <cell r="FX169">
            <v>413</v>
          </cell>
          <cell r="FY169">
            <v>405</v>
          </cell>
          <cell r="FZ169">
            <v>405</v>
          </cell>
          <cell r="GB169">
            <v>407</v>
          </cell>
          <cell r="GC169">
            <v>408</v>
          </cell>
          <cell r="GD169">
            <v>410</v>
          </cell>
          <cell r="GE169">
            <v>407</v>
          </cell>
          <cell r="GF169">
            <v>407</v>
          </cell>
        </row>
        <row r="171">
          <cell r="A171" t="str">
            <v>May Co. Monthly Sales ($)</v>
          </cell>
          <cell r="AN171" t="str">
            <v>May Co. Monthly Sales ($)</v>
          </cell>
        </row>
        <row r="172">
          <cell r="A172" t="str">
            <v>Month 1</v>
          </cell>
          <cell r="AN172" t="str">
            <v>Month 1</v>
          </cell>
          <cell r="DZ172">
            <v>846</v>
          </cell>
          <cell r="EA172">
            <v>1005</v>
          </cell>
          <cell r="EB172">
            <v>953.8</v>
          </cell>
          <cell r="EC172">
            <v>1260.8</v>
          </cell>
          <cell r="EF172">
            <v>880.4</v>
          </cell>
          <cell r="EG172">
            <v>977.8</v>
          </cell>
          <cell r="EH172">
            <v>1053.9000000000001</v>
          </cell>
          <cell r="EI172">
            <v>1386.9</v>
          </cell>
          <cell r="EL172">
            <v>1007.8</v>
          </cell>
          <cell r="EM172">
            <v>1119.3</v>
          </cell>
          <cell r="EN172">
            <v>1027</v>
          </cell>
        </row>
        <row r="173">
          <cell r="A173" t="str">
            <v>Month 2</v>
          </cell>
          <cell r="AN173" t="str">
            <v>Month 2</v>
          </cell>
          <cell r="DZ173">
            <v>1060</v>
          </cell>
          <cell r="EA173">
            <v>1131.9000000000001</v>
          </cell>
          <cell r="EB173">
            <v>1135</v>
          </cell>
          <cell r="EC173">
            <v>2517</v>
          </cell>
          <cell r="EF173">
            <v>1161</v>
          </cell>
          <cell r="EG173">
            <v>1160</v>
          </cell>
          <cell r="EH173">
            <v>1339</v>
          </cell>
          <cell r="EI173">
            <v>2844.1</v>
          </cell>
          <cell r="EL173">
            <v>1280</v>
          </cell>
          <cell r="EM173">
            <v>1398.7</v>
          </cell>
        </row>
        <row r="174">
          <cell r="A174" t="str">
            <v>Month 3</v>
          </cell>
          <cell r="AN174" t="str">
            <v>Month 3</v>
          </cell>
          <cell r="DZ174">
            <v>967.4</v>
          </cell>
          <cell r="EA174">
            <v>863.4</v>
          </cell>
          <cell r="EB174">
            <v>887.2</v>
          </cell>
          <cell r="EC174">
            <v>715.4</v>
          </cell>
          <cell r="EF174">
            <v>901.5</v>
          </cell>
          <cell r="EG174">
            <v>817.9</v>
          </cell>
          <cell r="EH174">
            <v>1090.3</v>
          </cell>
          <cell r="EI174">
            <v>808</v>
          </cell>
          <cell r="EL174">
            <v>1080</v>
          </cell>
          <cell r="EM174">
            <v>927.4</v>
          </cell>
        </row>
        <row r="175">
          <cell r="A175" t="str">
            <v>Total</v>
          </cell>
          <cell r="AN175" t="str">
            <v>Total</v>
          </cell>
          <cell r="DZ175">
            <v>2873.4</v>
          </cell>
          <cell r="EA175">
            <v>3000.3</v>
          </cell>
          <cell r="EB175">
            <v>2976</v>
          </cell>
          <cell r="EC175">
            <v>4493.2</v>
          </cell>
          <cell r="ED175">
            <v>13342.900000000001</v>
          </cell>
          <cell r="EF175">
            <v>2963</v>
          </cell>
          <cell r="EG175">
            <v>2955.7</v>
          </cell>
          <cell r="EH175">
            <v>3483.2</v>
          </cell>
          <cell r="EI175">
            <v>5039</v>
          </cell>
          <cell r="EJ175">
            <v>14440.9</v>
          </cell>
          <cell r="EL175">
            <v>3369</v>
          </cell>
          <cell r="EM175">
            <v>3446</v>
          </cell>
        </row>
        <row r="177">
          <cell r="A177" t="str">
            <v>May Co. Monthly Comps</v>
          </cell>
          <cell r="AN177" t="str">
            <v>May Co. Monthly Comps</v>
          </cell>
        </row>
        <row r="178">
          <cell r="A178" t="str">
            <v>Month 1</v>
          </cell>
          <cell r="AN178" t="str">
            <v>Month 1</v>
          </cell>
          <cell r="DZ178">
            <v>-8.8999999999999996E-2</v>
          </cell>
          <cell r="EA178">
            <v>-3.9E-2</v>
          </cell>
          <cell r="EB178">
            <v>-3.2000000000000001E-2</v>
          </cell>
          <cell r="EC178">
            <v>-1.7000000000000001E-2</v>
          </cell>
          <cell r="EF178">
            <v>2.5999999999999999E-2</v>
          </cell>
          <cell r="EG178">
            <v>-3.7999999999999999E-2</v>
          </cell>
          <cell r="EH178">
            <v>-6.7000000000000004E-2</v>
          </cell>
          <cell r="EI178">
            <v>-7.9000000000000001E-2</v>
          </cell>
          <cell r="EL178">
            <v>-4.2000000000000003E-2</v>
          </cell>
          <cell r="EM178">
            <v>-2.9000000000000001E-2</v>
          </cell>
          <cell r="EN178">
            <v>-2.8000000000000001E-2</v>
          </cell>
        </row>
        <row r="179">
          <cell r="A179" t="str">
            <v>Month 2</v>
          </cell>
          <cell r="AN179" t="str">
            <v>Month 2</v>
          </cell>
          <cell r="DZ179">
            <v>-0.114</v>
          </cell>
          <cell r="EA179">
            <v>-5.8999999999999997E-2</v>
          </cell>
          <cell r="EB179">
            <v>-3.0000000000000001E-3</v>
          </cell>
          <cell r="EC179">
            <v>1.0999999999999999E-2</v>
          </cell>
          <cell r="EF179">
            <v>0.10100000000000001</v>
          </cell>
          <cell r="EG179">
            <v>1.9E-2</v>
          </cell>
          <cell r="EH179">
            <v>-1.4999999999999999E-2</v>
          </cell>
          <cell r="EI179">
            <v>-3.5000000000000003E-2</v>
          </cell>
          <cell r="EL179">
            <v>-0.108</v>
          </cell>
          <cell r="EM179">
            <v>7.0000000000000001E-3</v>
          </cell>
        </row>
        <row r="180">
          <cell r="A180" t="str">
            <v>Month 3</v>
          </cell>
          <cell r="AN180" t="str">
            <v>Month 3</v>
          </cell>
          <cell r="DZ180">
            <v>-5.6000000000000001E-2</v>
          </cell>
          <cell r="EA180">
            <v>1.7999999999999999E-2</v>
          </cell>
          <cell r="EB180">
            <v>-4.2000000000000003E-2</v>
          </cell>
          <cell r="EC180">
            <v>5.2999999999999999E-2</v>
          </cell>
          <cell r="EF180">
            <v>-8.1000000000000003E-2</v>
          </cell>
          <cell r="EG180">
            <v>-5.2999999999999999E-2</v>
          </cell>
          <cell r="EH180">
            <v>-2.3E-2</v>
          </cell>
          <cell r="EI180">
            <v>-7.1999999999999995E-2</v>
          </cell>
          <cell r="EL180">
            <v>1.4999999999999999E-2</v>
          </cell>
          <cell r="EM180">
            <v>-3.3000000000000002E-2</v>
          </cell>
        </row>
        <row r="181">
          <cell r="A181" t="str">
            <v>Total</v>
          </cell>
          <cell r="AN181" t="str">
            <v>Total</v>
          </cell>
          <cell r="DZ181">
            <v>-8.7999999999999995E-2</v>
          </cell>
          <cell r="EA181">
            <v>-3.1E-2</v>
          </cell>
          <cell r="EB181">
            <v>-2.3921034946236562E-2</v>
          </cell>
          <cell r="EC181">
            <v>8.0000000000000002E-3</v>
          </cell>
          <cell r="ED181">
            <v>-2.8562204901446453E-2</v>
          </cell>
          <cell r="EF181">
            <v>1.7000000000000001E-2</v>
          </cell>
          <cell r="EG181">
            <v>-2.1999999999999999E-2</v>
          </cell>
          <cell r="EH181">
            <v>-3.4000000000000002E-2</v>
          </cell>
          <cell r="EI181">
            <v>-5.1999999999999998E-2</v>
          </cell>
          <cell r="EJ181">
            <v>-2.4E-2</v>
          </cell>
          <cell r="EL181">
            <v>-5.0999999999999997E-2</v>
          </cell>
          <cell r="EM181">
            <v>-1.6E-2</v>
          </cell>
        </row>
        <row r="183">
          <cell r="A183" t="str">
            <v>May Co. Store Count (Estimated)</v>
          </cell>
          <cell r="AN183" t="str">
            <v>May Co. Store Count (Estimated)</v>
          </cell>
        </row>
        <row r="184">
          <cell r="A184" t="str">
            <v>Month 1</v>
          </cell>
          <cell r="AN184" t="str">
            <v>Month 1</v>
          </cell>
          <cell r="DZ184">
            <v>444</v>
          </cell>
          <cell r="EA184">
            <v>445</v>
          </cell>
          <cell r="EB184">
            <v>447</v>
          </cell>
          <cell r="EC184">
            <v>448</v>
          </cell>
          <cell r="EF184">
            <v>442</v>
          </cell>
          <cell r="EG184">
            <v>438</v>
          </cell>
          <cell r="EH184">
            <v>497</v>
          </cell>
          <cell r="EI184">
            <v>501</v>
          </cell>
          <cell r="EL184">
            <v>491</v>
          </cell>
          <cell r="EM184">
            <v>489</v>
          </cell>
          <cell r="EN184">
            <v>487</v>
          </cell>
          <cell r="EO184">
            <v>491</v>
          </cell>
          <cell r="ER184">
            <v>458</v>
          </cell>
          <cell r="ES184">
            <v>455</v>
          </cell>
          <cell r="ET184">
            <v>452</v>
          </cell>
          <cell r="EU184">
            <v>452</v>
          </cell>
          <cell r="EX184">
            <v>451</v>
          </cell>
          <cell r="EY184">
            <v>451</v>
          </cell>
          <cell r="EZ184">
            <v>451</v>
          </cell>
          <cell r="FA184">
            <v>451</v>
          </cell>
          <cell r="FD184">
            <v>437</v>
          </cell>
          <cell r="FE184">
            <v>437</v>
          </cell>
          <cell r="FF184">
            <v>437</v>
          </cell>
          <cell r="FG184">
            <v>437</v>
          </cell>
          <cell r="FJ184">
            <v>437</v>
          </cell>
          <cell r="FK184">
            <v>437</v>
          </cell>
          <cell r="FL184">
            <v>437</v>
          </cell>
          <cell r="FM184">
            <v>437</v>
          </cell>
          <cell r="FP184">
            <v>437</v>
          </cell>
          <cell r="FQ184">
            <v>437</v>
          </cell>
          <cell r="FR184">
            <v>437</v>
          </cell>
          <cell r="FS184">
            <v>437</v>
          </cell>
          <cell r="FV184">
            <v>437</v>
          </cell>
          <cell r="FW184">
            <v>437</v>
          </cell>
          <cell r="FX184">
            <v>437</v>
          </cell>
          <cell r="FY184">
            <v>437</v>
          </cell>
          <cell r="GB184">
            <v>437</v>
          </cell>
          <cell r="GC184">
            <v>437</v>
          </cell>
          <cell r="GD184">
            <v>437</v>
          </cell>
          <cell r="GE184">
            <v>437</v>
          </cell>
        </row>
        <row r="185">
          <cell r="A185" t="str">
            <v>Month 2</v>
          </cell>
          <cell r="AN185" t="str">
            <v>Month 2</v>
          </cell>
          <cell r="DZ185">
            <v>444</v>
          </cell>
          <cell r="EA185">
            <v>446</v>
          </cell>
          <cell r="EB185">
            <v>448</v>
          </cell>
          <cell r="EC185">
            <v>448</v>
          </cell>
          <cell r="EF185">
            <v>439</v>
          </cell>
          <cell r="EG185">
            <v>438</v>
          </cell>
          <cell r="EH185">
            <v>497</v>
          </cell>
          <cell r="EI185">
            <v>501</v>
          </cell>
          <cell r="EL185">
            <v>490</v>
          </cell>
          <cell r="EM185">
            <v>487</v>
          </cell>
          <cell r="EN185">
            <v>487</v>
          </cell>
          <cell r="EO185">
            <v>491</v>
          </cell>
          <cell r="ER185">
            <v>455</v>
          </cell>
          <cell r="ES185">
            <v>454</v>
          </cell>
          <cell r="ET185">
            <v>452</v>
          </cell>
          <cell r="EU185">
            <v>452</v>
          </cell>
          <cell r="EX185">
            <v>451</v>
          </cell>
          <cell r="EY185">
            <v>451</v>
          </cell>
          <cell r="EZ185">
            <v>451</v>
          </cell>
          <cell r="FA185">
            <v>442</v>
          </cell>
          <cell r="FD185">
            <v>437</v>
          </cell>
          <cell r="FE185">
            <v>437</v>
          </cell>
          <cell r="FF185">
            <v>437</v>
          </cell>
          <cell r="FG185">
            <v>437</v>
          </cell>
          <cell r="FJ185">
            <v>437</v>
          </cell>
          <cell r="FK185">
            <v>437</v>
          </cell>
          <cell r="FL185">
            <v>437</v>
          </cell>
          <cell r="FM185">
            <v>437</v>
          </cell>
          <cell r="FP185">
            <v>437</v>
          </cell>
          <cell r="FQ185">
            <v>437</v>
          </cell>
          <cell r="FR185">
            <v>437</v>
          </cell>
          <cell r="FS185">
            <v>437</v>
          </cell>
          <cell r="FV185">
            <v>437</v>
          </cell>
          <cell r="FW185">
            <v>437</v>
          </cell>
          <cell r="FX185">
            <v>437</v>
          </cell>
          <cell r="FY185">
            <v>437</v>
          </cell>
          <cell r="GB185">
            <v>437</v>
          </cell>
          <cell r="GC185">
            <v>437</v>
          </cell>
          <cell r="GD185">
            <v>437</v>
          </cell>
          <cell r="GE185">
            <v>437</v>
          </cell>
        </row>
        <row r="186">
          <cell r="A186" t="str">
            <v>Month 3</v>
          </cell>
          <cell r="AN186" t="str">
            <v>Month 3</v>
          </cell>
          <cell r="DZ186">
            <v>444</v>
          </cell>
          <cell r="EA186">
            <v>446</v>
          </cell>
          <cell r="EB186">
            <v>450</v>
          </cell>
          <cell r="EC186">
            <v>444</v>
          </cell>
          <cell r="EF186">
            <v>439</v>
          </cell>
          <cell r="EG186">
            <v>497</v>
          </cell>
          <cell r="EH186">
            <v>500</v>
          </cell>
          <cell r="EI186">
            <v>491</v>
          </cell>
          <cell r="EL186">
            <v>490</v>
          </cell>
          <cell r="EM186">
            <v>487</v>
          </cell>
          <cell r="EN186">
            <v>491</v>
          </cell>
          <cell r="EO186">
            <v>458</v>
          </cell>
          <cell r="ER186">
            <v>455</v>
          </cell>
          <cell r="ES186">
            <v>453</v>
          </cell>
          <cell r="ET186">
            <v>452</v>
          </cell>
          <cell r="EU186">
            <v>451</v>
          </cell>
          <cell r="EX186">
            <v>451</v>
          </cell>
          <cell r="EY186">
            <v>451</v>
          </cell>
          <cell r="EZ186">
            <v>451</v>
          </cell>
          <cell r="FA186">
            <v>437</v>
          </cell>
          <cell r="FD186">
            <v>437</v>
          </cell>
          <cell r="FE186">
            <v>437</v>
          </cell>
          <cell r="FF186">
            <v>437</v>
          </cell>
          <cell r="FG186">
            <v>437</v>
          </cell>
          <cell r="FJ186">
            <v>437</v>
          </cell>
          <cell r="FK186">
            <v>437</v>
          </cell>
          <cell r="FL186">
            <v>437</v>
          </cell>
          <cell r="FM186">
            <v>437</v>
          </cell>
          <cell r="FP186">
            <v>437</v>
          </cell>
          <cell r="FQ186">
            <v>437</v>
          </cell>
          <cell r="FR186">
            <v>437</v>
          </cell>
          <cell r="FS186">
            <v>437</v>
          </cell>
          <cell r="FV186">
            <v>437</v>
          </cell>
          <cell r="FW186">
            <v>437</v>
          </cell>
          <cell r="FX186">
            <v>437</v>
          </cell>
          <cell r="FY186">
            <v>437</v>
          </cell>
          <cell r="GB186">
            <v>437</v>
          </cell>
          <cell r="GC186">
            <v>437</v>
          </cell>
          <cell r="GD186">
            <v>437</v>
          </cell>
          <cell r="GE186">
            <v>437</v>
          </cell>
        </row>
        <row r="187">
          <cell r="A187" t="str">
            <v>Total</v>
          </cell>
          <cell r="AN187" t="str">
            <v>Total</v>
          </cell>
          <cell r="DZ187">
            <v>444</v>
          </cell>
          <cell r="EA187">
            <v>446</v>
          </cell>
          <cell r="EB187">
            <v>450</v>
          </cell>
          <cell r="EC187">
            <v>444</v>
          </cell>
          <cell r="ED187">
            <v>444</v>
          </cell>
          <cell r="EF187">
            <v>439</v>
          </cell>
          <cell r="EG187">
            <v>497</v>
          </cell>
          <cell r="EH187">
            <v>500</v>
          </cell>
          <cell r="EI187">
            <v>491</v>
          </cell>
          <cell r="EJ187">
            <v>491</v>
          </cell>
          <cell r="EL187">
            <v>490</v>
          </cell>
          <cell r="EM187">
            <v>487</v>
          </cell>
          <cell r="EN187">
            <v>491</v>
          </cell>
          <cell r="EO187">
            <v>458</v>
          </cell>
          <cell r="EP187">
            <v>458</v>
          </cell>
          <cell r="ER187">
            <v>455</v>
          </cell>
          <cell r="ES187">
            <v>453</v>
          </cell>
          <cell r="ET187">
            <v>452</v>
          </cell>
          <cell r="EU187">
            <v>451</v>
          </cell>
          <cell r="EV187">
            <v>451</v>
          </cell>
          <cell r="EX187">
            <v>451</v>
          </cell>
          <cell r="EY187">
            <v>451</v>
          </cell>
          <cell r="EZ187">
            <v>451</v>
          </cell>
          <cell r="FA187">
            <v>437</v>
          </cell>
          <cell r="FB187">
            <v>437</v>
          </cell>
          <cell r="FD187">
            <v>437</v>
          </cell>
          <cell r="FE187">
            <v>437</v>
          </cell>
          <cell r="FF187">
            <v>437</v>
          </cell>
          <cell r="FG187">
            <v>437</v>
          </cell>
          <cell r="FH187">
            <v>437</v>
          </cell>
          <cell r="FJ187">
            <v>437</v>
          </cell>
          <cell r="FK187">
            <v>437</v>
          </cell>
          <cell r="FL187">
            <v>437</v>
          </cell>
          <cell r="FM187">
            <v>437</v>
          </cell>
          <cell r="FN187">
            <v>437</v>
          </cell>
          <cell r="FP187">
            <v>437</v>
          </cell>
          <cell r="FQ187">
            <v>437</v>
          </cell>
          <cell r="FR187">
            <v>437</v>
          </cell>
          <cell r="FS187">
            <v>437</v>
          </cell>
          <cell r="FT187">
            <v>437</v>
          </cell>
          <cell r="FV187">
            <v>437</v>
          </cell>
          <cell r="FW187">
            <v>437</v>
          </cell>
          <cell r="FX187">
            <v>437</v>
          </cell>
          <cell r="FY187">
            <v>437</v>
          </cell>
          <cell r="FZ187">
            <v>437</v>
          </cell>
          <cell r="GB187">
            <v>437</v>
          </cell>
          <cell r="GC187">
            <v>437</v>
          </cell>
          <cell r="GD187">
            <v>437</v>
          </cell>
          <cell r="GE187">
            <v>437</v>
          </cell>
          <cell r="GF187">
            <v>437</v>
          </cell>
        </row>
        <row r="189">
          <cell r="AN189" t="str">
            <v>Direct-to-consumer Monthly Sales</v>
          </cell>
        </row>
        <row r="190">
          <cell r="AN190" t="str">
            <v>Month 1</v>
          </cell>
          <cell r="CV190" t="str">
            <v>--</v>
          </cell>
          <cell r="CW190" t="str">
            <v>--</v>
          </cell>
          <cell r="CX190" t="str">
            <v>--</v>
          </cell>
          <cell r="CY190" t="str">
            <v>--</v>
          </cell>
          <cell r="DB190">
            <v>8</v>
          </cell>
          <cell r="DC190">
            <v>141</v>
          </cell>
          <cell r="DD190">
            <v>131</v>
          </cell>
          <cell r="DE190">
            <v>209</v>
          </cell>
          <cell r="DH190">
            <v>137</v>
          </cell>
          <cell r="DI190">
            <v>142</v>
          </cell>
          <cell r="DJ190">
            <v>128</v>
          </cell>
          <cell r="DK190">
            <v>185</v>
          </cell>
          <cell r="DN190">
            <v>69</v>
          </cell>
          <cell r="DO190">
            <v>81</v>
          </cell>
          <cell r="DP190" t="str">
            <v xml:space="preserve"> </v>
          </cell>
        </row>
        <row r="201">
          <cell r="AN201" t="str">
            <v>NA = Not Applicable, NM = Not Meaningful</v>
          </cell>
        </row>
        <row r="202">
          <cell r="N202" t="str">
            <v>1995-FY</v>
          </cell>
          <cell r="O202" t="str">
            <v>1996-FY</v>
          </cell>
          <cell r="P202" t="str">
            <v>1997-FY</v>
          </cell>
          <cell r="Q202" t="str">
            <v>1998-FY</v>
          </cell>
          <cell r="R202" t="str">
            <v>1999-FY</v>
          </cell>
          <cell r="S202" t="str">
            <v>2000-FY</v>
          </cell>
          <cell r="T202" t="str">
            <v>2001-FY</v>
          </cell>
          <cell r="U202" t="str">
            <v>2002-FY</v>
          </cell>
          <cell r="V202" t="str">
            <v>2003-FY</v>
          </cell>
          <cell r="W202" t="str">
            <v>2004-FY</v>
          </cell>
          <cell r="X202" t="str">
            <v>2005-FY</v>
          </cell>
          <cell r="Y202" t="str">
            <v>2006-FY</v>
          </cell>
          <cell r="Z202" t="str">
            <v>2007-FY</v>
          </cell>
          <cell r="AA202" t="str">
            <v>2008-FY</v>
          </cell>
          <cell r="AB202" t="str">
            <v>2009-FY</v>
          </cell>
          <cell r="AC202" t="str">
            <v>2010-FY</v>
          </cell>
          <cell r="AD202" t="str">
            <v>2011-FY</v>
          </cell>
          <cell r="AE202" t="str">
            <v>2012-FY</v>
          </cell>
          <cell r="AF202" t="str">
            <v>2013-FY</v>
          </cell>
          <cell r="AG202" t="str">
            <v>2014-FY</v>
          </cell>
          <cell r="AH202" t="str">
            <v>2015-FY</v>
          </cell>
          <cell r="DH202" t="str">
            <v>2000-Q1</v>
          </cell>
          <cell r="DI202" t="str">
            <v>2000-Q2</v>
          </cell>
          <cell r="DJ202" t="str">
            <v>2000-Q3</v>
          </cell>
          <cell r="DK202" t="str">
            <v>2000-Q4</v>
          </cell>
          <cell r="DN202" t="str">
            <v>2001-Q1</v>
          </cell>
          <cell r="DO202" t="str">
            <v>2001-Q2</v>
          </cell>
          <cell r="DP202" t="str">
            <v>2001-Q3</v>
          </cell>
          <cell r="DQ202" t="str">
            <v>2001-Q4</v>
          </cell>
          <cell r="DT202" t="str">
            <v>2002-Q1</v>
          </cell>
          <cell r="DU202" t="str">
            <v>2002-Q2</v>
          </cell>
          <cell r="DV202" t="str">
            <v>2002-Q3</v>
          </cell>
          <cell r="DW202" t="str">
            <v>2002-Q4</v>
          </cell>
          <cell r="DZ202" t="str">
            <v>2003-Q1</v>
          </cell>
          <cell r="EA202" t="str">
            <v>2003-Q2</v>
          </cell>
          <cell r="EB202" t="str">
            <v>2003-Q3</v>
          </cell>
          <cell r="EC202" t="str">
            <v>2003-Q4</v>
          </cell>
          <cell r="EF202" t="str">
            <v>2004-Q1</v>
          </cell>
          <cell r="EG202" t="str">
            <v>2004-Q2</v>
          </cell>
          <cell r="EH202" t="str">
            <v>2004-Q3</v>
          </cell>
          <cell r="EI202" t="str">
            <v>2004-Q4</v>
          </cell>
          <cell r="EL202" t="str">
            <v>2005-Q1</v>
          </cell>
          <cell r="EM202" t="str">
            <v>2005-Q2</v>
          </cell>
          <cell r="EN202" t="str">
            <v>2005-Q3</v>
          </cell>
          <cell r="EO202" t="str">
            <v>2005-Q4</v>
          </cell>
          <cell r="ER202" t="str">
            <v>2006-Q1</v>
          </cell>
          <cell r="ES202" t="str">
            <v>2006-Q2</v>
          </cell>
          <cell r="ET202" t="str">
            <v>2006-Q3</v>
          </cell>
          <cell r="EU202" t="str">
            <v>2006-Q4</v>
          </cell>
          <cell r="EX202" t="str">
            <v>2007-Q1</v>
          </cell>
          <cell r="EY202" t="str">
            <v>2007-Q2</v>
          </cell>
          <cell r="EZ202" t="str">
            <v>2007-Q3</v>
          </cell>
          <cell r="FA202" t="str">
            <v>2007-Q4</v>
          </cell>
          <cell r="FD202" t="str">
            <v>2008-Q1</v>
          </cell>
          <cell r="FE202" t="str">
            <v>2008-Q2</v>
          </cell>
          <cell r="FF202" t="str">
            <v>2008-Q3</v>
          </cell>
          <cell r="FG202" t="str">
            <v>2008-Q4</v>
          </cell>
          <cell r="FJ202" t="str">
            <v>2009-Q1</v>
          </cell>
          <cell r="FK202" t="str">
            <v>2009-Q2</v>
          </cell>
          <cell r="FL202" t="str">
            <v>2009-Q3</v>
          </cell>
          <cell r="FM202" t="str">
            <v>2009-Q4</v>
          </cell>
          <cell r="FP202" t="str">
            <v>2010-Q1</v>
          </cell>
          <cell r="FQ202" t="str">
            <v>2010-Q2</v>
          </cell>
          <cell r="FR202" t="str">
            <v>2010-Q3</v>
          </cell>
          <cell r="FS202" t="str">
            <v>2010-Q4</v>
          </cell>
          <cell r="FV202" t="str">
            <v>2011-Q1</v>
          </cell>
          <cell r="FW202" t="str">
            <v>2011-Q2</v>
          </cell>
          <cell r="FX202" t="str">
            <v>2011-Q3</v>
          </cell>
          <cell r="FY202" t="str">
            <v>2011-Q4</v>
          </cell>
          <cell r="GB202" t="str">
            <v>2012-Q1</v>
          </cell>
          <cell r="GC202" t="str">
            <v>2012-Q2</v>
          </cell>
          <cell r="GD202" t="str">
            <v>2012-Q3</v>
          </cell>
          <cell r="GE202" t="str">
            <v>2012-Q4</v>
          </cell>
        </row>
        <row r="203">
          <cell r="AA203" t="str">
            <v>LINK OVER TO QUARTERLY BULL/BEAR</v>
          </cell>
        </row>
        <row r="204">
          <cell r="A204" t="str">
            <v>Base Case Assumptions</v>
          </cell>
          <cell r="N204">
            <v>1995</v>
          </cell>
          <cell r="O204">
            <v>1996</v>
          </cell>
          <cell r="P204">
            <v>1997</v>
          </cell>
          <cell r="Q204">
            <v>1998</v>
          </cell>
          <cell r="R204">
            <v>1999</v>
          </cell>
          <cell r="S204">
            <v>2000</v>
          </cell>
          <cell r="T204">
            <v>2001</v>
          </cell>
          <cell r="U204">
            <v>2002</v>
          </cell>
          <cell r="V204">
            <v>2003</v>
          </cell>
          <cell r="W204">
            <v>2004</v>
          </cell>
          <cell r="X204">
            <v>2005</v>
          </cell>
          <cell r="Y204">
            <v>2006</v>
          </cell>
          <cell r="Z204">
            <v>2007</v>
          </cell>
          <cell r="AA204">
            <v>2008</v>
          </cell>
          <cell r="AB204">
            <v>2009</v>
          </cell>
          <cell r="AC204">
            <v>2010</v>
          </cell>
          <cell r="AD204">
            <v>2011</v>
          </cell>
          <cell r="AE204" t="str">
            <v>2012E</v>
          </cell>
          <cell r="AF204" t="str">
            <v>2013E</v>
          </cell>
          <cell r="AG204" t="str">
            <v>2014E</v>
          </cell>
          <cell r="AH204" t="str">
            <v>2015E</v>
          </cell>
          <cell r="AI204" t="str">
            <v>2016E</v>
          </cell>
          <cell r="AJ204" t="str">
            <v>2017E</v>
          </cell>
          <cell r="AK204" t="str">
            <v>2018E</v>
          </cell>
          <cell r="AL204" t="str">
            <v>2019E</v>
          </cell>
          <cell r="AN204" t="str">
            <v>Base Case Assumptions</v>
          </cell>
          <cell r="EL204" t="str">
            <v>Base Case Assumptions</v>
          </cell>
        </row>
        <row r="205">
          <cell r="A205" t="str">
            <v>Revenue</v>
          </cell>
          <cell r="N205">
            <v>14614</v>
          </cell>
          <cell r="O205">
            <v>14833</v>
          </cell>
          <cell r="P205">
            <v>15220</v>
          </cell>
          <cell r="Q205">
            <v>15365</v>
          </cell>
          <cell r="R205">
            <v>16029</v>
          </cell>
          <cell r="S205">
            <v>16638</v>
          </cell>
          <cell r="T205">
            <v>15785</v>
          </cell>
          <cell r="U205">
            <v>15571</v>
          </cell>
          <cell r="V205">
            <v>15412</v>
          </cell>
          <cell r="W205">
            <v>15776</v>
          </cell>
          <cell r="X205">
            <v>22390</v>
          </cell>
          <cell r="Y205">
            <v>26970</v>
          </cell>
          <cell r="Z205">
            <v>26313</v>
          </cell>
          <cell r="AA205">
            <v>24892</v>
          </cell>
          <cell r="AB205">
            <v>23895</v>
          </cell>
          <cell r="AC205">
            <v>25003</v>
          </cell>
          <cell r="AD205">
            <v>26405</v>
          </cell>
          <cell r="AE205">
            <v>27697.820605365057</v>
          </cell>
          <cell r="AF205">
            <v>28358.892641397051</v>
          </cell>
          <cell r="AG205">
            <v>28905.408744504351</v>
          </cell>
          <cell r="AH205">
            <v>29204.897015558319</v>
          </cell>
          <cell r="AI205">
            <v>29496.945985713905</v>
          </cell>
          <cell r="AJ205">
            <v>29791.915445571045</v>
          </cell>
          <cell r="AK205">
            <v>30089.834600026756</v>
          </cell>
          <cell r="AL205">
            <v>30390.732946027023</v>
          </cell>
          <cell r="AN205" t="str">
            <v>Consolidated Stores Monthly Sales ($)</v>
          </cell>
          <cell r="EL205" t="str">
            <v>Consolidated Stores Monthly Sales ($)</v>
          </cell>
          <cell r="EU205">
            <v>356</v>
          </cell>
        </row>
        <row r="206">
          <cell r="A206" t="str">
            <v xml:space="preserve"> % Same-store</v>
          </cell>
          <cell r="N206">
            <v>2.7E-2</v>
          </cell>
          <cell r="O206">
            <v>3.1E-2</v>
          </cell>
          <cell r="P206">
            <v>2.7E-2</v>
          </cell>
          <cell r="Q206">
            <v>2.1999999999999999E-2</v>
          </cell>
          <cell r="R206">
            <v>4.4999999999999998E-2</v>
          </cell>
          <cell r="S206">
            <v>0.02</v>
          </cell>
          <cell r="T206">
            <v>-5.2999999999999999E-2</v>
          </cell>
          <cell r="U206">
            <v>-0.03</v>
          </cell>
          <cell r="V206">
            <v>-9.0000000000000011E-3</v>
          </cell>
          <cell r="W206">
            <v>2.5999999999999999E-2</v>
          </cell>
          <cell r="X206">
            <v>1.2999999999999999E-2</v>
          </cell>
          <cell r="Y206">
            <v>4.3999999999999997E-2</v>
          </cell>
          <cell r="Z206">
            <v>-1.2799528750047504E-2</v>
          </cell>
          <cell r="AA206">
            <v>-4.4999999999999998E-2</v>
          </cell>
          <cell r="AB206">
            <v>-5.0987622799162344E-2</v>
          </cell>
          <cell r="AC206">
            <v>4.610434747830261E-2</v>
          </cell>
          <cell r="AD206">
            <v>5.2999999999999999E-2</v>
          </cell>
          <cell r="AE206">
            <v>4.02253638971692E-2</v>
          </cell>
          <cell r="AF206">
            <v>3.5000000000000003E-2</v>
          </cell>
          <cell r="AG206">
            <v>0.02</v>
          </cell>
          <cell r="AH206">
            <v>0.01</v>
          </cell>
          <cell r="AI206">
            <v>0.01</v>
          </cell>
          <cell r="AJ206">
            <v>0.01</v>
          </cell>
          <cell r="AK206">
            <v>0.01</v>
          </cell>
          <cell r="AL206">
            <v>0.01</v>
          </cell>
          <cell r="AN206" t="str">
            <v>Month 1</v>
          </cell>
          <cell r="EL206" t="str">
            <v>Month 1</v>
          </cell>
          <cell r="ER206">
            <v>1800</v>
          </cell>
          <cell r="ES206">
            <v>2026</v>
          </cell>
          <cell r="ET206">
            <v>1727</v>
          </cell>
          <cell r="EU206">
            <v>2385</v>
          </cell>
          <cell r="EX206">
            <v>1802</v>
          </cell>
          <cell r="EY206">
            <v>1976</v>
          </cell>
          <cell r="EZ206">
            <v>1788</v>
          </cell>
          <cell r="FA206">
            <v>2707</v>
          </cell>
          <cell r="FD206">
            <v>1737</v>
          </cell>
          <cell r="FE206">
            <v>1926</v>
          </cell>
          <cell r="FF206">
            <v>1686</v>
          </cell>
          <cell r="FG206">
            <v>2324</v>
          </cell>
          <cell r="FJ206">
            <v>1602.5975291456411</v>
          </cell>
          <cell r="FK206">
            <v>1783.7565582371458</v>
          </cell>
          <cell r="FL206">
            <v>1576.1490988530857</v>
          </cell>
          <cell r="FM206">
            <v>2202.7766574237457</v>
          </cell>
          <cell r="FP206">
            <v>1667</v>
          </cell>
          <cell r="FQ206">
            <v>1789</v>
          </cell>
          <cell r="FR206">
            <v>1638</v>
          </cell>
          <cell r="FS206">
            <v>2341</v>
          </cell>
          <cell r="FV206">
            <v>1763</v>
          </cell>
          <cell r="FW206">
            <v>1937</v>
          </cell>
          <cell r="FX206">
            <v>1714</v>
          </cell>
          <cell r="FY206">
            <v>2465</v>
          </cell>
          <cell r="GB206">
            <v>1860</v>
          </cell>
          <cell r="GC206">
            <v>2015</v>
          </cell>
          <cell r="GD206">
            <v>1812</v>
          </cell>
          <cell r="GE206">
            <v>2539.5720461726355</v>
          </cell>
        </row>
        <row r="207">
          <cell r="A207" t="str">
            <v>CGS, OCC, Buying Costs</v>
          </cell>
          <cell r="N207">
            <v>9038</v>
          </cell>
          <cell r="O207">
            <v>9018</v>
          </cell>
          <cell r="P207">
            <v>9200</v>
          </cell>
          <cell r="Q207">
            <v>9218</v>
          </cell>
          <cell r="R207">
            <v>9576</v>
          </cell>
          <cell r="S207">
            <v>9955</v>
          </cell>
          <cell r="T207">
            <v>9603</v>
          </cell>
          <cell r="U207">
            <v>9324</v>
          </cell>
          <cell r="V207">
            <v>9175</v>
          </cell>
          <cell r="W207">
            <v>9346</v>
          </cell>
          <cell r="X207">
            <v>13272</v>
          </cell>
          <cell r="Y207">
            <v>16019</v>
          </cell>
          <cell r="Z207">
            <v>15774.299839502128</v>
          </cell>
          <cell r="AA207">
            <v>15009</v>
          </cell>
          <cell r="AB207">
            <v>14278</v>
          </cell>
          <cell r="AC207">
            <v>14824</v>
          </cell>
          <cell r="AD207">
            <v>15738</v>
          </cell>
          <cell r="AE207">
            <v>16473.116703251519</v>
          </cell>
          <cell r="AF207">
            <v>16781.208749826241</v>
          </cell>
          <cell r="AG207">
            <v>17061.248342231931</v>
          </cell>
          <cell r="AH207">
            <v>17267.224438478806</v>
          </cell>
          <cell r="AI207">
            <v>17498.890574835023</v>
          </cell>
          <cell r="AJ207">
            <v>17673.879480583375</v>
          </cell>
          <cell r="AK207">
            <v>17850.618275389206</v>
          </cell>
          <cell r="AL207">
            <v>18029.124458143102</v>
          </cell>
          <cell r="AN207" t="str">
            <v>Month 2</v>
          </cell>
          <cell r="EL207" t="str">
            <v>Month 2</v>
          </cell>
          <cell r="ER207">
            <v>2255</v>
          </cell>
          <cell r="ES207">
            <v>2367</v>
          </cell>
          <cell r="ET207">
            <v>2303</v>
          </cell>
          <cell r="EU207">
            <v>4997</v>
          </cell>
          <cell r="EX207">
            <v>2288</v>
          </cell>
          <cell r="EY207">
            <v>2321</v>
          </cell>
          <cell r="EZ207">
            <v>2274</v>
          </cell>
          <cell r="FA207">
            <v>4624</v>
          </cell>
          <cell r="FD207">
            <v>2142</v>
          </cell>
          <cell r="FE207">
            <v>2249</v>
          </cell>
          <cell r="FF207">
            <v>2093</v>
          </cell>
          <cell r="FG207">
            <v>4397</v>
          </cell>
          <cell r="FJ207">
            <v>1963.7990255785628</v>
          </cell>
          <cell r="FK207">
            <v>2092.5916404337181</v>
          </cell>
          <cell r="FL207">
            <v>2084.1512834516657</v>
          </cell>
          <cell r="FM207">
            <v>4474.7693471136881</v>
          </cell>
          <cell r="FP207">
            <v>2172</v>
          </cell>
          <cell r="FQ207">
            <v>2229</v>
          </cell>
          <cell r="FR207">
            <v>2181</v>
          </cell>
          <cell r="FS207">
            <v>4619</v>
          </cell>
          <cell r="FV207">
            <v>2206</v>
          </cell>
          <cell r="FW207">
            <v>2392</v>
          </cell>
          <cell r="FX207">
            <v>2298</v>
          </cell>
          <cell r="FY207">
            <v>4925</v>
          </cell>
          <cell r="GB207">
            <v>2358</v>
          </cell>
          <cell r="GC207">
            <v>2412</v>
          </cell>
          <cell r="GD207">
            <v>2339.3160690399509</v>
          </cell>
          <cell r="GE207">
            <v>5073.9928305883286</v>
          </cell>
        </row>
        <row r="208">
          <cell r="A208" t="str">
            <v>CGS, OCC, Buying Costs %</v>
          </cell>
          <cell r="N208">
            <v>0.61844806350075265</v>
          </cell>
          <cell r="O208">
            <v>0.60796871839816624</v>
          </cell>
          <cell r="P208">
            <v>0.60446780551905388</v>
          </cell>
          <cell r="Q208">
            <v>0.59993491701919943</v>
          </cell>
          <cell r="R208">
            <v>0.59741718135878719</v>
          </cell>
          <cell r="S208">
            <v>0.5983291260968866</v>
          </cell>
          <cell r="T208">
            <v>0.60836236933797905</v>
          </cell>
          <cell r="U208">
            <v>0.59880547171023057</v>
          </cell>
          <cell r="V208">
            <v>0.59531533869711917</v>
          </cell>
          <cell r="W208">
            <v>0.59241886409736311</v>
          </cell>
          <cell r="X208">
            <v>0.59276462706565436</v>
          </cell>
          <cell r="Y208">
            <v>0.59395624768261035</v>
          </cell>
          <cell r="Z208">
            <v>0.59948693951666965</v>
          </cell>
          <cell r="AA208">
            <v>0.60296480797043228</v>
          </cell>
          <cell r="AB208">
            <v>0.59753086419753088</v>
          </cell>
          <cell r="AC208">
            <v>0.59288885333759944</v>
          </cell>
          <cell r="AD208">
            <v>0.59602348040143915</v>
          </cell>
          <cell r="AE208">
            <v>0.59474414748937621</v>
          </cell>
          <cell r="AF208">
            <v>0.5917441474893762</v>
          </cell>
          <cell r="AG208">
            <v>0.59024414748937615</v>
          </cell>
          <cell r="AH208">
            <v>0.59124414748937626</v>
          </cell>
          <cell r="AI208">
            <v>0.59324414748937615</v>
          </cell>
          <cell r="AJ208">
            <v>0.59324414748937626</v>
          </cell>
          <cell r="AK208">
            <v>0.59324414748937615</v>
          </cell>
          <cell r="AL208">
            <v>0.59324414748937626</v>
          </cell>
          <cell r="AN208" t="str">
            <v>Month 3</v>
          </cell>
          <cell r="EL208" t="str">
            <v>Month 3</v>
          </cell>
          <cell r="ER208">
            <v>1878</v>
          </cell>
          <cell r="ES208">
            <v>1608</v>
          </cell>
          <cell r="ET208">
            <v>1863</v>
          </cell>
          <cell r="EU208">
            <v>1780</v>
          </cell>
          <cell r="EX208">
            <v>1837</v>
          </cell>
          <cell r="EY208">
            <v>1602</v>
          </cell>
          <cell r="EZ208">
            <v>1849</v>
          </cell>
          <cell r="FA208">
            <v>1273</v>
          </cell>
          <cell r="FD208">
            <v>1868</v>
          </cell>
          <cell r="FE208">
            <v>1543</v>
          </cell>
          <cell r="FF208">
            <v>1714</v>
          </cell>
          <cell r="FG208">
            <v>1213</v>
          </cell>
          <cell r="FJ208">
            <v>1720.603445275796</v>
          </cell>
          <cell r="FK208">
            <v>1409.6518013291361</v>
          </cell>
          <cell r="FL208">
            <v>1725.6996176952484</v>
          </cell>
          <cell r="FM208">
            <v>1268.4539954625661</v>
          </cell>
          <cell r="FP208">
            <v>1739</v>
          </cell>
          <cell r="FQ208">
            <v>1528</v>
          </cell>
          <cell r="FR208">
            <v>1806</v>
          </cell>
          <cell r="FS208">
            <v>1310</v>
          </cell>
          <cell r="FV208">
            <v>1920</v>
          </cell>
          <cell r="FW208">
            <v>1612</v>
          </cell>
          <cell r="FX208">
            <v>1842</v>
          </cell>
          <cell r="FY208">
            <v>1336</v>
          </cell>
          <cell r="GB208">
            <v>1928</v>
          </cell>
          <cell r="GC208">
            <v>1693</v>
          </cell>
          <cell r="GD208">
            <v>1918.3705778953104</v>
          </cell>
          <cell r="GE208">
            <v>1753.5690816688336</v>
          </cell>
        </row>
        <row r="209">
          <cell r="A209" t="str">
            <v>Y/Y ∆ CGS, OCC, Buying Costs % (bps)</v>
          </cell>
          <cell r="O209">
            <v>-104.79345102586413</v>
          </cell>
          <cell r="P209">
            <v>-35.009128791123615</v>
          </cell>
          <cell r="Q209">
            <v>-45.328884998544481</v>
          </cell>
          <cell r="R209">
            <v>-25.177356604122458</v>
          </cell>
          <cell r="S209">
            <v>9.1194473809941279</v>
          </cell>
          <cell r="T209">
            <v>100.33243241092448</v>
          </cell>
          <cell r="U209">
            <v>-95.568976277484722</v>
          </cell>
          <cell r="V209">
            <v>-34.901330131114072</v>
          </cell>
          <cell r="W209">
            <v>-28.964745997560605</v>
          </cell>
          <cell r="X209">
            <v>3.4576296829125219</v>
          </cell>
          <cell r="Y209">
            <v>11.916206169559906</v>
          </cell>
          <cell r="Z209">
            <v>55.306918340592979</v>
          </cell>
          <cell r="AA209">
            <v>34.778684537626333</v>
          </cell>
          <cell r="AB209">
            <v>-54.339437729014065</v>
          </cell>
          <cell r="AC209">
            <v>-46.420108599314332</v>
          </cell>
          <cell r="AD209">
            <v>31.346270638397122</v>
          </cell>
          <cell r="AE209">
            <v>-12.793329120629471</v>
          </cell>
          <cell r="AF209">
            <v>-30.000000000000028</v>
          </cell>
          <cell r="AG209">
            <v>-15.000000000000568</v>
          </cell>
          <cell r="AH209">
            <v>10.000000000001119</v>
          </cell>
          <cell r="AI209">
            <v>19.999999999998906</v>
          </cell>
          <cell r="AJ209">
            <v>1.1102230246251565E-12</v>
          </cell>
          <cell r="AK209">
            <v>-1.1102230246251565E-12</v>
          </cell>
          <cell r="AL209">
            <v>1.1102230246251565E-12</v>
          </cell>
          <cell r="AN209" t="str">
            <v>Total</v>
          </cell>
          <cell r="EL209" t="str">
            <v>Total</v>
          </cell>
          <cell r="ER209">
            <v>5930</v>
          </cell>
          <cell r="ES209">
            <v>5995</v>
          </cell>
          <cell r="ET209">
            <v>5886</v>
          </cell>
          <cell r="EU209">
            <v>9159</v>
          </cell>
          <cell r="EV209">
            <v>26970</v>
          </cell>
          <cell r="EX209">
            <v>5921</v>
          </cell>
          <cell r="EY209">
            <v>5892</v>
          </cell>
          <cell r="EZ209">
            <v>5906</v>
          </cell>
          <cell r="FA209">
            <v>8594</v>
          </cell>
          <cell r="FB209">
            <v>26313</v>
          </cell>
          <cell r="FD209">
            <v>5747</v>
          </cell>
          <cell r="FE209">
            <v>5718</v>
          </cell>
          <cell r="FF209">
            <v>5493</v>
          </cell>
          <cell r="FG209">
            <v>7934</v>
          </cell>
          <cell r="FH209">
            <v>24892</v>
          </cell>
          <cell r="FJ209">
            <v>5288</v>
          </cell>
          <cell r="FK209">
            <v>5285</v>
          </cell>
          <cell r="FL209">
            <v>5385</v>
          </cell>
          <cell r="FM209">
            <v>7937</v>
          </cell>
          <cell r="FN209">
            <v>23895</v>
          </cell>
          <cell r="FP209">
            <v>5574</v>
          </cell>
          <cell r="FQ209">
            <v>5537</v>
          </cell>
          <cell r="FR209">
            <v>5623</v>
          </cell>
          <cell r="FS209">
            <v>8269</v>
          </cell>
          <cell r="FT209">
            <v>25003</v>
          </cell>
          <cell r="FV209">
            <v>5889</v>
          </cell>
          <cell r="FW209">
            <v>5939</v>
          </cell>
          <cell r="FX209">
            <v>5853</v>
          </cell>
          <cell r="FY209">
            <v>8724</v>
          </cell>
          <cell r="FZ209">
            <v>26405</v>
          </cell>
          <cell r="GB209">
            <v>6143</v>
          </cell>
          <cell r="GC209">
            <v>6118</v>
          </cell>
          <cell r="GD209">
            <v>6069.6866469352608</v>
          </cell>
          <cell r="GE209">
            <v>9367.1339584297966</v>
          </cell>
          <cell r="GF209">
            <v>27697.820605365057</v>
          </cell>
        </row>
        <row r="210">
          <cell r="A210" t="str">
            <v>Gross Income</v>
          </cell>
          <cell r="N210">
            <v>5576</v>
          </cell>
          <cell r="O210">
            <v>5815</v>
          </cell>
          <cell r="P210">
            <v>6020</v>
          </cell>
          <cell r="Q210">
            <v>6147</v>
          </cell>
          <cell r="R210">
            <v>6453</v>
          </cell>
          <cell r="S210">
            <v>6683</v>
          </cell>
          <cell r="T210">
            <v>6182</v>
          </cell>
          <cell r="U210">
            <v>6247</v>
          </cell>
          <cell r="V210">
            <v>6237</v>
          </cell>
          <cell r="W210">
            <v>6430</v>
          </cell>
          <cell r="X210">
            <v>9118</v>
          </cell>
          <cell r="Y210">
            <v>10951</v>
          </cell>
          <cell r="Z210">
            <v>10538.700160497872</v>
          </cell>
          <cell r="AA210">
            <v>9883</v>
          </cell>
          <cell r="AB210">
            <v>9617</v>
          </cell>
          <cell r="AC210">
            <v>10179</v>
          </cell>
          <cell r="AD210">
            <v>10667</v>
          </cell>
          <cell r="AE210">
            <v>11224.703902113539</v>
          </cell>
          <cell r="AF210">
            <v>11577.683891570809</v>
          </cell>
          <cell r="AG210">
            <v>11844.16040227242</v>
          </cell>
          <cell r="AH210">
            <v>11937.672577079513</v>
          </cell>
          <cell r="AI210">
            <v>11998.055410878882</v>
          </cell>
          <cell r="AJ210">
            <v>12118.035964987672</v>
          </cell>
          <cell r="AK210">
            <v>12239.216324637548</v>
          </cell>
          <cell r="AL210">
            <v>12361.608487883923</v>
          </cell>
        </row>
        <row r="211">
          <cell r="A211" t="str">
            <v>Gross Margin</v>
          </cell>
          <cell r="N211">
            <v>0.38155193649924729</v>
          </cell>
          <cell r="O211">
            <v>0.39203128160183376</v>
          </cell>
          <cell r="P211">
            <v>0.39553219448094612</v>
          </cell>
          <cell r="Q211">
            <v>0.40006508298080051</v>
          </cell>
          <cell r="R211">
            <v>0.40258281864121281</v>
          </cell>
          <cell r="S211">
            <v>0.40167087390311335</v>
          </cell>
          <cell r="T211">
            <v>0.3916376306620209</v>
          </cell>
          <cell r="U211">
            <v>0.40119452828976943</v>
          </cell>
          <cell r="V211">
            <v>0.40468466130288089</v>
          </cell>
          <cell r="W211">
            <v>0.40758113590263689</v>
          </cell>
          <cell r="X211">
            <v>0.4072353729343457</v>
          </cell>
          <cell r="Y211">
            <v>0.40604375231738971</v>
          </cell>
          <cell r="Z211">
            <v>0.40051306048333035</v>
          </cell>
          <cell r="AA211">
            <v>0.39703519202956772</v>
          </cell>
          <cell r="AB211">
            <v>0.40246913580246912</v>
          </cell>
          <cell r="AC211">
            <v>0.4071111466624005</v>
          </cell>
          <cell r="AD211">
            <v>0.4039765195985609</v>
          </cell>
          <cell r="AE211">
            <v>0.40525585251062379</v>
          </cell>
          <cell r="AF211">
            <v>0.4082558525106238</v>
          </cell>
          <cell r="AG211">
            <v>0.4097558525106238</v>
          </cell>
          <cell r="AH211">
            <v>0.4087558525106238</v>
          </cell>
          <cell r="AI211">
            <v>0.40675585251062379</v>
          </cell>
          <cell r="AJ211">
            <v>0.40675585251062379</v>
          </cell>
          <cell r="AK211">
            <v>0.40675585251062379</v>
          </cell>
          <cell r="AL211">
            <v>0.40675585251062379</v>
          </cell>
          <cell r="AN211" t="str">
            <v xml:space="preserve">Consolidated Monthly Comps </v>
          </cell>
          <cell r="EL211" t="str">
            <v xml:space="preserve">Consolidated Monthly Comps </v>
          </cell>
          <cell r="EX211">
            <v>2.9599999999999991E-3</v>
          </cell>
          <cell r="FA211">
            <v>-1.5112275862068966E-2</v>
          </cell>
        </row>
        <row r="212">
          <cell r="A212" t="str">
            <v>Y/Y ∆ Gross Margin (bps)</v>
          </cell>
          <cell r="O212">
            <v>104.79345102586468</v>
          </cell>
          <cell r="P212">
            <v>35.009128791123615</v>
          </cell>
          <cell r="Q212">
            <v>45.328884998543927</v>
          </cell>
          <cell r="R212">
            <v>25.177356604123013</v>
          </cell>
          <cell r="S212">
            <v>-9.1194473809946821</v>
          </cell>
          <cell r="T212">
            <v>-100.33243241092448</v>
          </cell>
          <cell r="U212">
            <v>95.568976277485291</v>
          </cell>
          <cell r="V212">
            <v>34.901330131114626</v>
          </cell>
          <cell r="W212">
            <v>28.964745997560048</v>
          </cell>
          <cell r="X212">
            <v>-3.4576296829119668</v>
          </cell>
          <cell r="Y212">
            <v>-11.916206169559906</v>
          </cell>
          <cell r="Z212">
            <v>-55.306918340593533</v>
          </cell>
          <cell r="AA212">
            <v>-34.778684537626333</v>
          </cell>
          <cell r="AB212">
            <v>54.339437729014065</v>
          </cell>
          <cell r="AC212">
            <v>46.420108599313778</v>
          </cell>
          <cell r="AD212">
            <v>-31.346270638396014</v>
          </cell>
          <cell r="AE212">
            <v>12.793329120628915</v>
          </cell>
          <cell r="AF212">
            <v>30</v>
          </cell>
          <cell r="AG212">
            <v>15</v>
          </cell>
          <cell r="AH212">
            <v>-10</v>
          </cell>
          <cell r="AI212">
            <v>-20</v>
          </cell>
          <cell r="AJ212">
            <v>0</v>
          </cell>
          <cell r="AK212">
            <v>0</v>
          </cell>
          <cell r="AL212">
            <v>0</v>
          </cell>
          <cell r="AN212" t="str">
            <v>Month 1</v>
          </cell>
          <cell r="EL212" t="str">
            <v>Month 1</v>
          </cell>
          <cell r="ER212">
            <v>0.01</v>
          </cell>
          <cell r="ES212">
            <v>9.1999999999999998E-2</v>
          </cell>
          <cell r="ET212">
            <v>3.7999999999999999E-2</v>
          </cell>
          <cell r="EU212">
            <v>8.5000000000000006E-2</v>
          </cell>
          <cell r="EX212">
            <v>1.2E-2</v>
          </cell>
          <cell r="EY212">
            <v>-3.3000000000000002E-2</v>
          </cell>
          <cell r="EZ212">
            <v>2.4E-2</v>
          </cell>
          <cell r="FA212">
            <v>0.13400000000000001</v>
          </cell>
          <cell r="FD212">
            <v>-3.5000000000000003E-2</v>
          </cell>
          <cell r="FE212">
            <v>-1.4999999999999999E-2</v>
          </cell>
          <cell r="FF212">
            <v>-4.8000000000000001E-2</v>
          </cell>
          <cell r="FG212">
            <v>-0.13300000000000001</v>
          </cell>
          <cell r="FJ212">
            <v>-8.5000000000000006E-2</v>
          </cell>
          <cell r="FK212">
            <v>-9.0999999999999998E-2</v>
          </cell>
          <cell r="FL212">
            <v>-8.1000000000000003E-2</v>
          </cell>
          <cell r="FM212">
            <v>-6.0999999999999999E-2</v>
          </cell>
          <cell r="FP212">
            <v>3.6999999999999998E-2</v>
          </cell>
          <cell r="FQ212">
            <v>1.4E-2</v>
          </cell>
          <cell r="FR212">
            <v>4.2999999999999997E-2</v>
          </cell>
          <cell r="FS212">
            <v>6.0999999999999999E-2</v>
          </cell>
          <cell r="FV212">
            <v>5.8000000000000003E-2</v>
          </cell>
          <cell r="FW212">
            <v>7.3999999999999996E-2</v>
          </cell>
          <cell r="FX212">
            <v>0.05</v>
          </cell>
          <cell r="FY212">
            <v>4.8000000000000001E-2</v>
          </cell>
          <cell r="GB212">
            <v>4.5999999999999999E-2</v>
          </cell>
          <cell r="GC212">
            <v>4.2000000000000003E-2</v>
          </cell>
          <cell r="GD212">
            <v>5.0999999999999997E-2</v>
          </cell>
          <cell r="GE212">
            <v>0.04</v>
          </cell>
        </row>
        <row r="213">
          <cell r="A213" t="str">
            <v>SG&amp;A Expenses</v>
          </cell>
          <cell r="N213">
            <v>4913</v>
          </cell>
          <cell r="O213">
            <v>4922</v>
          </cell>
          <cell r="P213">
            <v>4679</v>
          </cell>
          <cell r="Q213">
            <v>4692</v>
          </cell>
          <cell r="R213">
            <v>4760</v>
          </cell>
          <cell r="S213">
            <v>4912</v>
          </cell>
          <cell r="T213">
            <v>4806</v>
          </cell>
          <cell r="U213">
            <v>4836</v>
          </cell>
          <cell r="V213">
            <v>4837</v>
          </cell>
          <cell r="W213">
            <v>4931</v>
          </cell>
          <cell r="X213">
            <v>6980</v>
          </cell>
          <cell r="Y213">
            <v>8678</v>
          </cell>
          <cell r="Z213">
            <v>8505.3177921820607</v>
          </cell>
          <cell r="AA213">
            <v>8458</v>
          </cell>
          <cell r="AB213">
            <v>8163</v>
          </cell>
          <cell r="AC213">
            <v>8260</v>
          </cell>
          <cell r="AD213">
            <v>8281</v>
          </cell>
          <cell r="AE213">
            <v>8553.4072798862726</v>
          </cell>
          <cell r="AF213">
            <v>8800.0923077192638</v>
          </cell>
          <cell r="AG213">
            <v>8940.7771652737574</v>
          </cell>
          <cell r="AH213">
            <v>9004.2074535542979</v>
          </cell>
          <cell r="AI213">
            <v>9064.7525821041272</v>
          </cell>
          <cell r="AJ213">
            <v>9125.6081924795981</v>
          </cell>
          <cell r="AK213">
            <v>9186.7744398043687</v>
          </cell>
          <cell r="AL213">
            <v>9248.2514512563848</v>
          </cell>
          <cell r="AN213" t="str">
            <v>Month 2</v>
          </cell>
          <cell r="EL213" t="str">
            <v>Month 2</v>
          </cell>
          <cell r="ER213">
            <v>0</v>
          </cell>
          <cell r="ES213">
            <v>1.7000000000000001E-2</v>
          </cell>
          <cell r="ET213">
            <v>6.5000000000000002E-2</v>
          </cell>
          <cell r="EU213">
            <v>4.3999999999999997E-2</v>
          </cell>
          <cell r="EX213">
            <v>2.3E-2</v>
          </cell>
          <cell r="EY213">
            <v>-2.7E-2</v>
          </cell>
          <cell r="EZ213">
            <v>-2.7E-2</v>
          </cell>
          <cell r="FA213">
            <v>-7.9000000000000001E-2</v>
          </cell>
          <cell r="FD213">
            <v>-6.2E-2</v>
          </cell>
          <cell r="FE213">
            <v>-2.1000000000000001E-2</v>
          </cell>
          <cell r="FF213">
            <v>-6.6000000000000003E-2</v>
          </cell>
          <cell r="FG213">
            <v>-0.04</v>
          </cell>
          <cell r="FJ213">
            <v>-9.1999999999999998E-2</v>
          </cell>
          <cell r="FK213">
            <v>-8.8999999999999996E-2</v>
          </cell>
          <cell r="FL213">
            <v>-2.3E-2</v>
          </cell>
          <cell r="FM213">
            <v>0.01</v>
          </cell>
          <cell r="FP213">
            <v>0.10800000000000001</v>
          </cell>
          <cell r="FQ213">
            <v>6.5000000000000002E-2</v>
          </cell>
          <cell r="FR213">
            <v>4.8000000000000001E-2</v>
          </cell>
          <cell r="FS213">
            <v>3.9E-2</v>
          </cell>
          <cell r="FV213">
            <v>8.9999999999999993E-3</v>
          </cell>
          <cell r="FW213">
            <v>6.7000000000000004E-2</v>
          </cell>
          <cell r="FX213">
            <v>4.9000000000000002E-2</v>
          </cell>
          <cell r="FY213">
            <v>6.2E-2</v>
          </cell>
          <cell r="GB213">
            <v>7.2999999999999995E-2</v>
          </cell>
          <cell r="GC213">
            <v>1.2E-2</v>
          </cell>
          <cell r="GD213">
            <v>0.03</v>
          </cell>
          <cell r="GE213">
            <v>0.04</v>
          </cell>
        </row>
        <row r="214">
          <cell r="A214" t="str">
            <v>SG&amp;A Ratio</v>
          </cell>
          <cell r="N214">
            <v>0.33618448063500755</v>
          </cell>
          <cell r="O214">
            <v>0.33182768152093306</v>
          </cell>
          <cell r="P214">
            <v>0.30742444152431014</v>
          </cell>
          <cell r="Q214">
            <v>0.30536934591604298</v>
          </cell>
          <cell r="R214">
            <v>0.29696175681577142</v>
          </cell>
          <cell r="S214">
            <v>0.29522779180189929</v>
          </cell>
          <cell r="T214">
            <v>0.30446626544187522</v>
          </cell>
          <cell r="U214">
            <v>0.31057735534005521</v>
          </cell>
          <cell r="V214">
            <v>0.31384635349078638</v>
          </cell>
          <cell r="W214">
            <v>0.31256338742393508</v>
          </cell>
          <cell r="X214">
            <v>0.311746315319339</v>
          </cell>
          <cell r="Y214">
            <v>0.32176492398961809</v>
          </cell>
          <cell r="Z214">
            <v>0.32323633915486871</v>
          </cell>
          <cell r="AA214">
            <v>0.33978788365739998</v>
          </cell>
          <cell r="AB214">
            <v>0.34161958568738232</v>
          </cell>
          <cell r="AC214">
            <v>0.33036035675718911</v>
          </cell>
          <cell r="AD214">
            <v>0.31361484567316794</v>
          </cell>
          <cell r="AE214">
            <v>0.30881156325452847</v>
          </cell>
          <cell r="AF214">
            <v>0.31031156325452847</v>
          </cell>
          <cell r="AG214">
            <v>0.30931156325452847</v>
          </cell>
          <cell r="AH214">
            <v>0.30831156325452846</v>
          </cell>
          <cell r="AI214">
            <v>0.30731156325452846</v>
          </cell>
          <cell r="AJ214">
            <v>0.30631156325452846</v>
          </cell>
          <cell r="AK214">
            <v>0.30531156325452846</v>
          </cell>
          <cell r="AL214">
            <v>0.30431156325452846</v>
          </cell>
          <cell r="AN214" t="str">
            <v>Month 3</v>
          </cell>
          <cell r="EL214" t="str">
            <v>Month 3</v>
          </cell>
          <cell r="ER214">
            <v>-8.0000000000000002E-3</v>
          </cell>
          <cell r="ES214">
            <v>3.3000000000000002E-2</v>
          </cell>
          <cell r="ET214">
            <v>7.6999999999999999E-2</v>
          </cell>
          <cell r="EU214">
            <v>8.5999999999999993E-2</v>
          </cell>
          <cell r="EX214">
            <v>-2.1999999999999999E-2</v>
          </cell>
          <cell r="EY214">
            <v>-1.4E-2</v>
          </cell>
          <cell r="EZ214">
            <v>-1.4999999999999999E-2</v>
          </cell>
          <cell r="FA214">
            <v>-7.0999999999999994E-2</v>
          </cell>
          <cell r="FD214">
            <v>0.03</v>
          </cell>
          <cell r="FE214">
            <v>-2.9000000000000001E-2</v>
          </cell>
          <cell r="FF214">
            <v>-6.3E-2</v>
          </cell>
          <cell r="FG214">
            <v>-4.4999999999999998E-2</v>
          </cell>
          <cell r="FJ214">
            <v>-9.0999999999999998E-2</v>
          </cell>
          <cell r="FK214">
            <v>-0.107</v>
          </cell>
          <cell r="FL214">
            <v>-8.0000000000000002E-3</v>
          </cell>
          <cell r="FM214">
            <v>3.4000000000000002E-2</v>
          </cell>
          <cell r="FP214">
            <v>1.0999999999999999E-2</v>
          </cell>
          <cell r="FQ214">
            <v>7.2999999999999995E-2</v>
          </cell>
          <cell r="FR214">
            <v>2.5000000000000001E-2</v>
          </cell>
          <cell r="FS214">
            <v>2.5999999999999999E-2</v>
          </cell>
          <cell r="FV214">
            <v>0.108</v>
          </cell>
          <cell r="FW214">
            <v>0.05</v>
          </cell>
          <cell r="FX214">
            <v>2.1999999999999999E-2</v>
          </cell>
          <cell r="FY214">
            <v>2.4E-2</v>
          </cell>
          <cell r="GB214">
            <v>1.2E-2</v>
          </cell>
          <cell r="GC214">
            <v>4.1000000000000002E-2</v>
          </cell>
          <cell r="GD214">
            <v>5.5E-2</v>
          </cell>
          <cell r="GE214">
            <v>0.05</v>
          </cell>
        </row>
        <row r="215">
          <cell r="A215" t="str">
            <v>Y/Y ∆ SG&amp;A Ratio (bps)</v>
          </cell>
          <cell r="O215">
            <v>-43.567991140744944</v>
          </cell>
          <cell r="P215">
            <v>-244.03239996622915</v>
          </cell>
          <cell r="Q215">
            <v>-20.550956082671657</v>
          </cell>
          <cell r="R215">
            <v>-84.075891002715622</v>
          </cell>
          <cell r="S215">
            <v>-17.339650138721296</v>
          </cell>
          <cell r="T215">
            <v>92.384736399759305</v>
          </cell>
          <cell r="U215">
            <v>61.110898981799892</v>
          </cell>
          <cell r="V215">
            <v>32.689981507311728</v>
          </cell>
          <cell r="W215">
            <v>-12.829660668512988</v>
          </cell>
          <cell r="X215">
            <v>-8.170721045960839</v>
          </cell>
          <cell r="Y215">
            <v>100.18608670279094</v>
          </cell>
          <cell r="Z215">
            <v>14.714151652506224</v>
          </cell>
          <cell r="AA215">
            <v>165.51544502531269</v>
          </cell>
          <cell r="AB215">
            <v>18.317020299823405</v>
          </cell>
          <cell r="AC215">
            <v>-112.5922893019321</v>
          </cell>
          <cell r="AD215">
            <v>-167.45511084021169</v>
          </cell>
          <cell r="AE215">
            <v>-48.032824186394762</v>
          </cell>
          <cell r="AF215">
            <v>15</v>
          </cell>
          <cell r="AG215">
            <v>-10</v>
          </cell>
          <cell r="AH215">
            <v>-10</v>
          </cell>
          <cell r="AI215">
            <v>-10</v>
          </cell>
          <cell r="AJ215">
            <v>-10</v>
          </cell>
          <cell r="AK215">
            <v>-10</v>
          </cell>
          <cell r="AL215">
            <v>-10</v>
          </cell>
          <cell r="AN215" t="str">
            <v>Total</v>
          </cell>
          <cell r="EL215" t="str">
            <v>Total</v>
          </cell>
          <cell r="ER215">
            <v>0</v>
          </cell>
          <cell r="ES215">
            <v>4.5999999999999999E-2</v>
          </cell>
          <cell r="ET215">
            <v>5.8999999999999997E-2</v>
          </cell>
          <cell r="EU215">
            <v>6.0999999999999999E-2</v>
          </cell>
          <cell r="EV215">
            <v>4.3999999999999997E-2</v>
          </cell>
          <cell r="EX215">
            <v>6.0000000000000001E-3</v>
          </cell>
          <cell r="EY215">
            <v>-2.5999999999999999E-2</v>
          </cell>
          <cell r="EZ215">
            <v>-8.0000000000000002E-3</v>
          </cell>
          <cell r="FA215">
            <v>-0.02</v>
          </cell>
          <cell r="FB215">
            <v>-1.2999999999999999E-2</v>
          </cell>
          <cell r="FD215">
            <v>-2.5999999999999999E-2</v>
          </cell>
          <cell r="FE215">
            <v>-2.1000000000000001E-2</v>
          </cell>
          <cell r="FF215">
            <v>-0.06</v>
          </cell>
          <cell r="FG215">
            <v>-7.0000000000000007E-2</v>
          </cell>
          <cell r="FH215">
            <v>-4.4999999999999998E-2</v>
          </cell>
          <cell r="FJ215">
            <v>-0.09</v>
          </cell>
          <cell r="FK215">
            <v>-9.5000000000000001E-2</v>
          </cell>
          <cell r="FL215">
            <v>-3.5999999999999997E-2</v>
          </cell>
          <cell r="FM215">
            <v>-5.8579119044959507E-3</v>
          </cell>
          <cell r="FN215">
            <v>-5.0987622799162344E-2</v>
          </cell>
          <cell r="FP215">
            <v>5.5E-2</v>
          </cell>
          <cell r="FQ215">
            <v>4.9000000000000002E-2</v>
          </cell>
          <cell r="FR215">
            <v>3.9E-2</v>
          </cell>
          <cell r="FS215">
            <v>4.2999999999999997E-2</v>
          </cell>
          <cell r="FT215">
            <v>4.610434747830261E-2</v>
          </cell>
          <cell r="FV215">
            <v>5.3999999999999999E-2</v>
          </cell>
          <cell r="FW215">
            <v>6.4000000000000001E-2</v>
          </cell>
          <cell r="FX215">
            <v>0.04</v>
          </cell>
          <cell r="FY215">
            <v>5.1999999999999998E-2</v>
          </cell>
          <cell r="FZ215">
            <v>5.2999999999999999E-2</v>
          </cell>
          <cell r="GB215">
            <v>4.3999999999999997E-2</v>
          </cell>
          <cell r="GC215">
            <v>0.03</v>
          </cell>
          <cell r="GD215">
            <v>4.4170626829774157E-2</v>
          </cell>
          <cell r="GE215">
            <v>4.1872044415560798E-2</v>
          </cell>
          <cell r="GF215">
            <v>4.02253638971692E-2</v>
          </cell>
        </row>
        <row r="216">
          <cell r="A216" t="str">
            <v>Operating Income</v>
          </cell>
          <cell r="N216">
            <v>663</v>
          </cell>
          <cell r="O216">
            <v>893</v>
          </cell>
          <cell r="P216">
            <v>1341</v>
          </cell>
          <cell r="Q216">
            <v>1455</v>
          </cell>
          <cell r="R216">
            <v>1693</v>
          </cell>
          <cell r="S216">
            <v>1771</v>
          </cell>
          <cell r="T216">
            <v>1376</v>
          </cell>
          <cell r="U216">
            <v>1411</v>
          </cell>
          <cell r="V216">
            <v>1400</v>
          </cell>
          <cell r="W216">
            <v>1499</v>
          </cell>
          <cell r="X216">
            <v>2138</v>
          </cell>
          <cell r="Y216">
            <v>2273</v>
          </cell>
          <cell r="Z216">
            <v>2033.3823683158116</v>
          </cell>
          <cell r="AA216">
            <v>1425</v>
          </cell>
          <cell r="AB216">
            <v>1454</v>
          </cell>
          <cell r="AC216">
            <v>1919</v>
          </cell>
          <cell r="AD216">
            <v>2386</v>
          </cell>
          <cell r="AE216">
            <v>2671.2966222272662</v>
          </cell>
          <cell r="AF216">
            <v>2777.5915838515448</v>
          </cell>
          <cell r="AG216">
            <v>2903.3832369986631</v>
          </cell>
          <cell r="AH216">
            <v>2933.4651235252149</v>
          </cell>
          <cell r="AI216">
            <v>2933.3028287747547</v>
          </cell>
          <cell r="AJ216">
            <v>2992.4277725080738</v>
          </cell>
          <cell r="AK216">
            <v>3052.4418848331788</v>
          </cell>
          <cell r="AL216">
            <v>3113.357036627538</v>
          </cell>
          <cell r="FV216">
            <v>5.45E-2</v>
          </cell>
          <cell r="FW216">
            <v>5.6500000000000002E-2</v>
          </cell>
          <cell r="FX216">
            <v>3.95E-2</v>
          </cell>
          <cell r="FY216">
            <v>4.7500000000000001E-2</v>
          </cell>
          <cell r="GB216">
            <v>4.9000000000000002E-2</v>
          </cell>
          <cell r="GC216">
            <v>4.7E-2</v>
          </cell>
          <cell r="GD216">
            <v>4.2085313414887082E-2</v>
          </cell>
          <cell r="GE216">
            <v>4.6936022207780398E-2</v>
          </cell>
          <cell r="GF216" t="str">
            <v>2-yr comp</v>
          </cell>
        </row>
        <row r="217">
          <cell r="A217" t="str">
            <v>Operating Margin</v>
          </cell>
          <cell r="N217">
            <v>4.5367455864239771E-2</v>
          </cell>
          <cell r="O217">
            <v>6.0203600080900692E-2</v>
          </cell>
          <cell r="P217">
            <v>8.8107752956636004E-2</v>
          </cell>
          <cell r="Q217">
            <v>9.4695737064757562E-2</v>
          </cell>
          <cell r="R217">
            <v>0.10562106182544138</v>
          </cell>
          <cell r="S217">
            <v>0.10644308210121409</v>
          </cell>
          <cell r="T217">
            <v>8.7171365220145708E-2</v>
          </cell>
          <cell r="U217">
            <v>9.0617172949714206E-2</v>
          </cell>
          <cell r="V217">
            <v>9.0838307812094468E-2</v>
          </cell>
          <cell r="W217">
            <v>9.5017748478701827E-2</v>
          </cell>
          <cell r="X217">
            <v>9.5489057615006701E-2</v>
          </cell>
          <cell r="Y217">
            <v>8.4278828327771602E-2</v>
          </cell>
          <cell r="Z217">
            <v>7.7276721328461653E-2</v>
          </cell>
          <cell r="AA217">
            <v>5.7247308372167766E-2</v>
          </cell>
          <cell r="AB217">
            <v>6.0849550115086838E-2</v>
          </cell>
          <cell r="AC217">
            <v>7.6750789905211378E-2</v>
          </cell>
          <cell r="AD217">
            <v>9.0361673925392919E-2</v>
          </cell>
          <cell r="AE217">
            <v>9.644428925609537E-2</v>
          </cell>
          <cell r="AF217">
            <v>9.7944289256095288E-2</v>
          </cell>
          <cell r="AG217">
            <v>0.10044428925609535</v>
          </cell>
          <cell r="AH217">
            <v>0.10044428925609533</v>
          </cell>
          <cell r="AI217">
            <v>9.9444289256095372E-2</v>
          </cell>
          <cell r="AJ217">
            <v>0.10044428925609539</v>
          </cell>
          <cell r="AK217">
            <v>0.1014442892560953</v>
          </cell>
          <cell r="AL217">
            <v>0.10244428925609532</v>
          </cell>
          <cell r="AN217" t="str">
            <v xml:space="preserve">Consolidated Productivity Factor </v>
          </cell>
          <cell r="EL217" t="str">
            <v xml:space="preserve">Consolidated Productivity Factor </v>
          </cell>
          <cell r="FP217">
            <v>-2.0333333333333332E-2</v>
          </cell>
          <cell r="FQ217">
            <v>-2.2333333333333334E-2</v>
          </cell>
          <cell r="FR217">
            <v>-1.9E-2</v>
          </cell>
          <cell r="FS217">
            <v>-1.0952637301498654E-2</v>
          </cell>
          <cell r="FV217">
            <v>6.333333333333334E-3</v>
          </cell>
          <cell r="FW217">
            <v>6.000000000000001E-3</v>
          </cell>
          <cell r="FX217">
            <v>1.4333333333333335E-2</v>
          </cell>
          <cell r="FY217">
            <v>2.971402936516802E-2</v>
          </cell>
        </row>
        <row r="218">
          <cell r="A218" t="str">
            <v>Y/Y ∆ Operating Margin (bps)</v>
          </cell>
          <cell r="O218">
            <v>148.36144216660921</v>
          </cell>
          <cell r="P218">
            <v>279.04152875735315</v>
          </cell>
          <cell r="Q218">
            <v>65.879841081215588</v>
          </cell>
          <cell r="R218">
            <v>109.25324760683822</v>
          </cell>
          <cell r="S218">
            <v>8.22020275772703</v>
          </cell>
          <cell r="T218">
            <v>-192.7171688106838</v>
          </cell>
          <cell r="U218">
            <v>34.45807729568498</v>
          </cell>
          <cell r="V218">
            <v>2.2113486238026225</v>
          </cell>
          <cell r="W218">
            <v>41.794406666073591</v>
          </cell>
          <cell r="X218">
            <v>4.7130913630487328</v>
          </cell>
          <cell r="Y218">
            <v>-112.10229287235099</v>
          </cell>
          <cell r="Z218">
            <v>-70.021069993099488</v>
          </cell>
          <cell r="AA218">
            <v>-200.29412956293888</v>
          </cell>
          <cell r="AB218">
            <v>36.022417429190725</v>
          </cell>
          <cell r="AC218">
            <v>159.01239790124541</v>
          </cell>
          <cell r="AD218">
            <v>136.10884020181541</v>
          </cell>
          <cell r="AE218">
            <v>60.826153307024512</v>
          </cell>
          <cell r="AF218">
            <v>14.999999999999181</v>
          </cell>
          <cell r="AG218">
            <v>25.000000000000576</v>
          </cell>
          <cell r="AH218">
            <v>-1.3877787807814457E-13</v>
          </cell>
          <cell r="AI218">
            <v>-9.9999999999995932</v>
          </cell>
          <cell r="AJ218">
            <v>10.000000000000147</v>
          </cell>
          <cell r="AK218">
            <v>9.9999999999991758</v>
          </cell>
          <cell r="AL218">
            <v>10.000000000000147</v>
          </cell>
          <cell r="AN218" t="str">
            <v>Month 1</v>
          </cell>
          <cell r="EL218" t="str">
            <v>Month 1</v>
          </cell>
          <cell r="ER218">
            <v>0.85379589916801657</v>
          </cell>
          <cell r="ES218">
            <v>0.82852877251430668</v>
          </cell>
          <cell r="ET218">
            <v>0.83475030563790842</v>
          </cell>
          <cell r="EU218">
            <v>0.91480422703367681</v>
          </cell>
          <cell r="EX218">
            <v>1.0042251017232908</v>
          </cell>
          <cell r="EY218">
            <v>1.0108075527611304</v>
          </cell>
          <cell r="EZ218">
            <v>1.0032705612197608</v>
          </cell>
          <cell r="FA218">
            <v>0.99617129302855612</v>
          </cell>
          <cell r="FD218">
            <v>1.0047260256693704</v>
          </cell>
          <cell r="FE218">
            <v>1.0011731147187122</v>
          </cell>
          <cell r="FF218">
            <v>1.0015681684828099</v>
          </cell>
          <cell r="FG218">
            <v>0.9980273685296247</v>
          </cell>
          <cell r="FJ218">
            <v>1.0146680194879518</v>
          </cell>
          <cell r="FK218">
            <v>1.0229325701507319</v>
          </cell>
          <cell r="FL218">
            <v>1.0237530410429481</v>
          </cell>
          <cell r="FM218">
            <v>1.0168796021749338</v>
          </cell>
          <cell r="FP218">
            <v>1.0016060228776302</v>
          </cell>
          <cell r="FQ218">
            <v>0.98881215735067063</v>
          </cell>
          <cell r="FR218">
            <v>1.0007452413933455</v>
          </cell>
          <cell r="FS218">
            <v>1.0028115913956974</v>
          </cell>
          <cell r="FV218">
            <v>1.0005096291516782</v>
          </cell>
          <cell r="FW218">
            <v>1.0081721608307339</v>
          </cell>
          <cell r="FX218">
            <v>0.99435769750356207</v>
          </cell>
          <cell r="FY218">
            <v>1.0114048185081832</v>
          </cell>
          <cell r="GB218">
            <v>1.0253009585429893</v>
          </cell>
          <cell r="GC218">
            <v>1.0133052611979987</v>
          </cell>
          <cell r="GD218">
            <v>1.018088666893139</v>
          </cell>
          <cell r="GE218">
            <v>1</v>
          </cell>
        </row>
        <row r="219">
          <cell r="AN219" t="str">
            <v>Month 2</v>
          </cell>
          <cell r="EL219" t="str">
            <v>Month 2</v>
          </cell>
          <cell r="ER219">
            <v>0.87143545576033965</v>
          </cell>
          <cell r="ES219">
            <v>0.86259214604526391</v>
          </cell>
          <cell r="ET219">
            <v>0.95476655228407081</v>
          </cell>
          <cell r="EU219">
            <v>0.95390310394604827</v>
          </cell>
          <cell r="EX219">
            <v>0.99756383077735888</v>
          </cell>
          <cell r="EY219">
            <v>1.0076309712339664</v>
          </cell>
          <cell r="EZ219">
            <v>1.0058439901456568</v>
          </cell>
          <cell r="FA219">
            <v>1.0104925603418453</v>
          </cell>
          <cell r="FD219">
            <v>1.0038919718017412</v>
          </cell>
          <cell r="FE219">
            <v>1.0002262623646179</v>
          </cell>
          <cell r="FF219">
            <v>1.0022779610885877</v>
          </cell>
          <cell r="FG219">
            <v>0.98797059201406712</v>
          </cell>
          <cell r="FJ219">
            <v>1.0172356632303496</v>
          </cell>
          <cell r="FK219">
            <v>1.0266388149144143</v>
          </cell>
          <cell r="FL219">
            <v>1.0185440088098592</v>
          </cell>
          <cell r="FM219">
            <v>1.0150644106268683</v>
          </cell>
          <cell r="FP219">
            <v>0.9967530496300272</v>
          </cell>
          <cell r="FQ219">
            <v>0.99989171377441255</v>
          </cell>
          <cell r="FR219">
            <v>1.0028971230689774</v>
          </cell>
          <cell r="FS219">
            <v>0.9946391314592461</v>
          </cell>
          <cell r="FV219">
            <v>1.0074992903911262</v>
          </cell>
          <cell r="FW219">
            <v>1.0057878604073234</v>
          </cell>
          <cell r="FX219">
            <v>1.0057401642886414</v>
          </cell>
          <cell r="FY219">
            <v>1.0118477756232767</v>
          </cell>
          <cell r="GB219">
            <v>1.0102541230632647</v>
          </cell>
          <cell r="GC219">
            <v>1.011143062170935</v>
          </cell>
          <cell r="GD219">
            <v>1</v>
          </cell>
          <cell r="GE219">
            <v>1</v>
          </cell>
          <cell r="GG219" t="str">
            <v>See cells GK224 and GK227 to forecast gross profit for 4Q</v>
          </cell>
          <cell r="GM219" t="str">
            <v>Calculation of Extra Week EPS Benefit</v>
          </cell>
        </row>
        <row r="220">
          <cell r="A220" t="str">
            <v>Bull Case Assumptions</v>
          </cell>
          <cell r="N220">
            <v>1995</v>
          </cell>
          <cell r="O220">
            <v>1996</v>
          </cell>
          <cell r="P220">
            <v>1997</v>
          </cell>
          <cell r="Q220">
            <v>1998</v>
          </cell>
          <cell r="R220">
            <v>1999</v>
          </cell>
          <cell r="S220">
            <v>2000</v>
          </cell>
          <cell r="T220">
            <v>2001</v>
          </cell>
          <cell r="U220">
            <v>2002</v>
          </cell>
          <cell r="V220">
            <v>2003</v>
          </cell>
          <cell r="W220">
            <v>2004</v>
          </cell>
          <cell r="X220">
            <v>2005</v>
          </cell>
          <cell r="Y220">
            <v>2006</v>
          </cell>
          <cell r="Z220">
            <v>2007</v>
          </cell>
          <cell r="AA220">
            <v>2008</v>
          </cell>
          <cell r="AB220">
            <v>2009</v>
          </cell>
          <cell r="AC220">
            <v>2010</v>
          </cell>
          <cell r="AD220">
            <v>2011</v>
          </cell>
          <cell r="AE220" t="str">
            <v>2012E</v>
          </cell>
          <cell r="AF220" t="str">
            <v>2013E</v>
          </cell>
          <cell r="AG220" t="str">
            <v>2014E</v>
          </cell>
          <cell r="AH220" t="str">
            <v>2015E</v>
          </cell>
          <cell r="AI220" t="str">
            <v>2016E</v>
          </cell>
          <cell r="AJ220" t="str">
            <v>2017E</v>
          </cell>
          <cell r="AK220" t="str">
            <v>2018E</v>
          </cell>
          <cell r="AL220" t="str">
            <v>2019E</v>
          </cell>
          <cell r="AN220" t="str">
            <v>Month 3</v>
          </cell>
          <cell r="EL220" t="str">
            <v>Month 3</v>
          </cell>
          <cell r="ER220">
            <v>0.85509041472763314</v>
          </cell>
          <cell r="ES220">
            <v>0.83302342705472399</v>
          </cell>
          <cell r="ET220">
            <v>0.9300581404093593</v>
          </cell>
          <cell r="EU220">
            <v>0.88885616548937241</v>
          </cell>
          <cell r="EX220">
            <v>1.0012993536198342</v>
          </cell>
          <cell r="EY220">
            <v>1.0067406823426219</v>
          </cell>
          <cell r="EZ220">
            <v>1.0010354929971583</v>
          </cell>
          <cell r="FA220">
            <v>0.77697496531497701</v>
          </cell>
          <cell r="FD220">
            <v>0.99998610863561077</v>
          </cell>
          <cell r="FE220">
            <v>1.0000776716315167</v>
          </cell>
          <cell r="FF220">
            <v>1.0026881239876493</v>
          </cell>
          <cell r="FG220">
            <v>1.0034001517037674</v>
          </cell>
          <cell r="FJ220">
            <v>1.017274065207098</v>
          </cell>
          <cell r="FK220">
            <v>1.0307481774152398</v>
          </cell>
          <cell r="FL220">
            <v>1.0154616377110075</v>
          </cell>
          <cell r="FM220">
            <v>1.009307170702717</v>
          </cell>
          <cell r="FP220">
            <v>1.0005893323256754</v>
          </cell>
          <cell r="FQ220">
            <v>1.0111137394005785</v>
          </cell>
          <cell r="FR220">
            <v>1.0254628236300125</v>
          </cell>
          <cell r="FS220">
            <v>1.00775043725629</v>
          </cell>
          <cell r="FV220">
            <v>0.99618702023241001</v>
          </cell>
          <cell r="FW220">
            <v>1.0047825549823146</v>
          </cell>
          <cell r="FX220">
            <v>1.0004489851343907</v>
          </cell>
          <cell r="FY220">
            <v>1.008520012530175</v>
          </cell>
          <cell r="GB220">
            <v>1.0062765433093959</v>
          </cell>
          <cell r="GC220">
            <v>1.0227639737625074</v>
          </cell>
          <cell r="GD220">
            <v>1</v>
          </cell>
          <cell r="GE220">
            <v>1</v>
          </cell>
          <cell r="GG220" t="str">
            <v>See cells GK230 and GK232 to forecast SG&amp;A for 4Q</v>
          </cell>
          <cell r="GM220" t="str">
            <v>Extra week (on = 1, off = 0)</v>
          </cell>
          <cell r="GO220">
            <v>1</v>
          </cell>
        </row>
        <row r="221">
          <cell r="A221" t="str">
            <v>Revenue</v>
          </cell>
          <cell r="N221">
            <v>14614</v>
          </cell>
          <cell r="O221">
            <v>14833</v>
          </cell>
          <cell r="P221">
            <v>15220</v>
          </cell>
          <cell r="Q221">
            <v>15365</v>
          </cell>
          <cell r="R221">
            <v>16029</v>
          </cell>
          <cell r="S221">
            <v>16638</v>
          </cell>
          <cell r="T221">
            <v>15785</v>
          </cell>
          <cell r="U221">
            <v>15571</v>
          </cell>
          <cell r="V221">
            <v>15412</v>
          </cell>
          <cell r="W221">
            <v>15776</v>
          </cell>
          <cell r="X221">
            <v>22390</v>
          </cell>
          <cell r="Y221">
            <v>26970</v>
          </cell>
          <cell r="Z221">
            <v>26313</v>
          </cell>
          <cell r="AA221">
            <v>24892</v>
          </cell>
          <cell r="AB221">
            <v>23904</v>
          </cell>
          <cell r="AC221">
            <v>25003</v>
          </cell>
          <cell r="AD221">
            <v>26405</v>
          </cell>
          <cell r="AE221">
            <v>27959.427458112747</v>
          </cell>
          <cell r="AF221">
            <v>29729.463580880543</v>
          </cell>
          <cell r="AG221">
            <v>30302.392530862733</v>
          </cell>
          <cell r="AH221">
            <v>30616.354918597252</v>
          </cell>
          <cell r="AI221">
            <v>30922.518467783226</v>
          </cell>
          <cell r="AJ221">
            <v>31231.743652461057</v>
          </cell>
          <cell r="AK221">
            <v>31544.061088985669</v>
          </cell>
          <cell r="AL221">
            <v>31859.501699875527</v>
          </cell>
          <cell r="AN221" t="str">
            <v>Total</v>
          </cell>
          <cell r="EL221" t="str">
            <v>Total</v>
          </cell>
          <cell r="EX221">
            <v>0.99364581839822941</v>
          </cell>
          <cell r="EY221">
            <v>1.0053855991928882</v>
          </cell>
          <cell r="EZ221">
            <v>1.0049007333596589</v>
          </cell>
          <cell r="FA221">
            <v>0.96635245216954013</v>
          </cell>
          <cell r="FD221">
            <v>1.0093706103322386</v>
          </cell>
          <cell r="FE221">
            <v>0.99942053289687438</v>
          </cell>
          <cell r="FF221">
            <v>1.0028127761391281</v>
          </cell>
          <cell r="FG221">
            <v>0.99829531956488382</v>
          </cell>
          <cell r="FH221">
            <v>0.99616480017746767</v>
          </cell>
          <cell r="FJ221">
            <v>1.0150952522446879</v>
          </cell>
          <cell r="FK221">
            <v>1.028988144998136</v>
          </cell>
          <cell r="FL221">
            <v>1.0174659464761271</v>
          </cell>
          <cell r="FM221">
            <v>1.004258927748259</v>
          </cell>
          <cell r="FN221">
            <v>1.0094977226152135</v>
          </cell>
          <cell r="FP221">
            <v>1.0000259928958455</v>
          </cell>
          <cell r="FQ221">
            <v>0.99963688802128137</v>
          </cell>
          <cell r="FR221">
            <v>1.0093878458063197</v>
          </cell>
          <cell r="FS221">
            <v>1.0000370362620763</v>
          </cell>
          <cell r="FT221">
            <v>1.0017002547102301</v>
          </cell>
          <cell r="FV221">
            <v>1.0021044058948783</v>
          </cell>
          <cell r="FW221">
            <v>1.0081307827273334</v>
          </cell>
          <cell r="FX221">
            <v>1.0033467891940979</v>
          </cell>
          <cell r="FY221">
            <v>1.0155381429309334</v>
          </cell>
          <cell r="FZ221">
            <v>1.0152922484576603</v>
          </cell>
          <cell r="GB221">
            <v>1.0132824557239268</v>
          </cell>
          <cell r="GC221">
            <v>1.0138954016780533</v>
          </cell>
          <cell r="GD221">
            <v>1.0060645702976547</v>
          </cell>
          <cell r="GE221">
            <v>1.0305274860110949</v>
          </cell>
          <cell r="GF221">
            <v>1.0083583012001358</v>
          </cell>
          <cell r="GG221" t="str">
            <v>53rd Week Adjustments for 4Q12e</v>
          </cell>
          <cell r="GM221" t="str">
            <v>Revenues from extra week</v>
          </cell>
          <cell r="GO221">
            <v>350.71381633376672</v>
          </cell>
        </row>
        <row r="222">
          <cell r="A222" t="str">
            <v xml:space="preserve"> % Same-store</v>
          </cell>
          <cell r="N222">
            <v>2.7E-2</v>
          </cell>
          <cell r="O222">
            <v>3.1E-2</v>
          </cell>
          <cell r="P222">
            <v>2.7E-2</v>
          </cell>
          <cell r="Q222">
            <v>2.1999999999999999E-2</v>
          </cell>
          <cell r="R222">
            <v>4.4999999999999998E-2</v>
          </cell>
          <cell r="S222">
            <v>0.02</v>
          </cell>
          <cell r="T222">
            <v>-5.2999999999999999E-2</v>
          </cell>
          <cell r="U222">
            <v>-0.03</v>
          </cell>
          <cell r="V222">
            <v>-9.0000000000000011E-3</v>
          </cell>
          <cell r="W222">
            <v>2.5999999999999999E-2</v>
          </cell>
          <cell r="X222">
            <v>1.2999999999999999E-2</v>
          </cell>
          <cell r="Y222">
            <v>4.3999999999999997E-2</v>
          </cell>
          <cell r="Z222">
            <v>-1.2799528750047504E-2</v>
          </cell>
          <cell r="AA222">
            <v>-4.4999999999999998E-2</v>
          </cell>
          <cell r="AB222">
            <v>-5.0968425652024113E-2</v>
          </cell>
          <cell r="AC222">
            <v>4.610434747830261E-2</v>
          </cell>
          <cell r="AD222">
            <v>5.2999999999999999E-2</v>
          </cell>
          <cell r="AE222">
            <v>5.0171736300135057E-2</v>
          </cell>
          <cell r="AF222">
            <v>7.5000000000000011E-2</v>
          </cell>
          <cell r="AG222">
            <v>0.02</v>
          </cell>
          <cell r="AH222">
            <v>0.01</v>
          </cell>
          <cell r="AI222">
            <v>0.01</v>
          </cell>
          <cell r="AJ222">
            <v>0.01</v>
          </cell>
          <cell r="AK222">
            <v>0.01</v>
          </cell>
          <cell r="AL222">
            <v>0.01</v>
          </cell>
          <cell r="GJ222" t="str">
            <v>4Q Gross Profit $ (ex 53rd week)</v>
          </cell>
          <cell r="GK222">
            <v>3728.8292256978107</v>
          </cell>
          <cell r="GM222" t="str">
            <v>EBIT from extra week</v>
          </cell>
          <cell r="GO222">
            <v>81.440379311760893</v>
          </cell>
        </row>
        <row r="223">
          <cell r="A223" t="str">
            <v>CGS, OCC, Buying Costs</v>
          </cell>
          <cell r="N223">
            <v>9038</v>
          </cell>
          <cell r="O223">
            <v>9018</v>
          </cell>
          <cell r="P223">
            <v>9200</v>
          </cell>
          <cell r="Q223">
            <v>9218</v>
          </cell>
          <cell r="R223">
            <v>9576</v>
          </cell>
          <cell r="S223">
            <v>9955</v>
          </cell>
          <cell r="T223">
            <v>9603</v>
          </cell>
          <cell r="U223">
            <v>9324</v>
          </cell>
          <cell r="V223">
            <v>9175</v>
          </cell>
          <cell r="W223">
            <v>9346</v>
          </cell>
          <cell r="X223">
            <v>13272</v>
          </cell>
          <cell r="Y223">
            <v>16019</v>
          </cell>
          <cell r="Z223">
            <v>15765.705839502129</v>
          </cell>
          <cell r="AA223">
            <v>15009</v>
          </cell>
          <cell r="AB223">
            <v>14287</v>
          </cell>
          <cell r="AC223">
            <v>14824</v>
          </cell>
          <cell r="AD223">
            <v>15738</v>
          </cell>
          <cell r="AE223">
            <v>16573.058987628334</v>
          </cell>
          <cell r="AF223">
            <v>17384.419050847919</v>
          </cell>
          <cell r="AG223">
            <v>17673.987886043768</v>
          </cell>
          <cell r="AH223">
            <v>17887.724020426696</v>
          </cell>
          <cell r="AI223">
            <v>18128.44629756653</v>
          </cell>
          <cell r="AJ223">
            <v>18309.730760542196</v>
          </cell>
          <cell r="AK223">
            <v>18492.828068147617</v>
          </cell>
          <cell r="AL223">
            <v>18677.756348829098</v>
          </cell>
          <cell r="AN223" t="str">
            <v>Cost of Goods Sold</v>
          </cell>
          <cell r="EL223" t="str">
            <v>Cost of Goods Sold</v>
          </cell>
          <cell r="ER223">
            <v>3627</v>
          </cell>
          <cell r="ES223">
            <v>3470</v>
          </cell>
          <cell r="ET223">
            <v>3513</v>
          </cell>
          <cell r="EU223">
            <v>5409</v>
          </cell>
          <cell r="EV223">
            <v>16019</v>
          </cell>
          <cell r="EX223">
            <v>3564</v>
          </cell>
          <cell r="EY223">
            <v>3507</v>
          </cell>
          <cell r="EZ223">
            <v>3585</v>
          </cell>
          <cell r="FA223">
            <v>5021</v>
          </cell>
          <cell r="FB223">
            <v>15677</v>
          </cell>
          <cell r="FD223">
            <v>3527</v>
          </cell>
          <cell r="FE223">
            <v>3346</v>
          </cell>
          <cell r="FF223">
            <v>3324</v>
          </cell>
          <cell r="FG223">
            <v>4812</v>
          </cell>
          <cell r="FH223">
            <v>15009</v>
          </cell>
          <cell r="FJ223">
            <v>3279</v>
          </cell>
          <cell r="FK223">
            <v>3117</v>
          </cell>
          <cell r="FL223">
            <v>3241</v>
          </cell>
          <cell r="FM223">
            <v>4641</v>
          </cell>
          <cell r="FN223">
            <v>14278</v>
          </cell>
          <cell r="FP223">
            <v>3378</v>
          </cell>
          <cell r="FQ223">
            <v>3214</v>
          </cell>
          <cell r="FR223">
            <v>3377</v>
          </cell>
          <cell r="FS223">
            <v>4855</v>
          </cell>
          <cell r="FT223">
            <v>14824</v>
          </cell>
          <cell r="FV223">
            <v>3586</v>
          </cell>
          <cell r="FW223">
            <v>3457</v>
          </cell>
          <cell r="FX223">
            <v>3544</v>
          </cell>
          <cell r="FY223">
            <v>5151</v>
          </cell>
          <cell r="FZ223">
            <v>15738</v>
          </cell>
          <cell r="GB223">
            <v>3757</v>
          </cell>
          <cell r="GC223">
            <v>3555</v>
          </cell>
          <cell r="GD223">
            <v>3666.0995494313679</v>
          </cell>
          <cell r="GE223">
            <v>5495.0171538201503</v>
          </cell>
          <cell r="GF223">
            <v>16473.116703251519</v>
          </cell>
          <cell r="GJ223" t="str">
            <v>4Q Gross Margin % (ex 53rd week)</v>
          </cell>
          <cell r="GK223">
            <v>0.41355983493810178</v>
          </cell>
          <cell r="GM223" t="str">
            <v>4Q tax rate</v>
          </cell>
          <cell r="GO223">
            <v>0.37</v>
          </cell>
        </row>
        <row r="224">
          <cell r="A224" t="str">
            <v>CGS, OCC, Buying Costs %</v>
          </cell>
          <cell r="N224">
            <v>0.61844806350075265</v>
          </cell>
          <cell r="O224">
            <v>0.60796871839816624</v>
          </cell>
          <cell r="P224">
            <v>0.60446780551905388</v>
          </cell>
          <cell r="Q224">
            <v>0.59993491701919943</v>
          </cell>
          <cell r="R224">
            <v>0.59741718135878719</v>
          </cell>
          <cell r="S224">
            <v>0.5983291260968866</v>
          </cell>
          <cell r="T224">
            <v>0.60836236933797905</v>
          </cell>
          <cell r="U224">
            <v>0.59880547171023057</v>
          </cell>
          <cell r="V224">
            <v>0.59531533869711917</v>
          </cell>
          <cell r="W224">
            <v>0.59241886409736311</v>
          </cell>
          <cell r="X224">
            <v>0.59276462706565436</v>
          </cell>
          <cell r="Y224">
            <v>0.59395624768261035</v>
          </cell>
          <cell r="Z224">
            <v>0.59916033289636794</v>
          </cell>
          <cell r="AA224">
            <v>0.60296480797043228</v>
          </cell>
          <cell r="AB224">
            <v>0.59768239625167341</v>
          </cell>
          <cell r="AC224">
            <v>0.59288885333759944</v>
          </cell>
          <cell r="AD224">
            <v>0.59602348040143915</v>
          </cell>
          <cell r="AE224">
            <v>0.59275387568136595</v>
          </cell>
          <cell r="AF224">
            <v>0.58475387568136594</v>
          </cell>
          <cell r="AG224">
            <v>0.583253875681366</v>
          </cell>
          <cell r="AH224">
            <v>0.584253875681366</v>
          </cell>
          <cell r="AI224">
            <v>0.586253875681366</v>
          </cell>
          <cell r="AJ224">
            <v>0.586253875681366</v>
          </cell>
          <cell r="AK224">
            <v>0.586253875681366</v>
          </cell>
          <cell r="AL224">
            <v>0.58625387568136611</v>
          </cell>
          <cell r="AN224" t="str">
            <v>CGS, OCC, Buying Costs %</v>
          </cell>
          <cell r="EL224" t="str">
            <v>CGS, OCC, Buying Costs %</v>
          </cell>
          <cell r="ER224">
            <v>0.61163575042158513</v>
          </cell>
          <cell r="ES224">
            <v>0.57881567973311088</v>
          </cell>
          <cell r="ET224">
            <v>0.59683995922528033</v>
          </cell>
          <cell r="EU224">
            <v>0.59056665574844414</v>
          </cell>
          <cell r="EV224">
            <v>0.59395624768261035</v>
          </cell>
          <cell r="EX224">
            <v>0.60192535044755957</v>
          </cell>
          <cell r="EY224">
            <v>0.59521384928716903</v>
          </cell>
          <cell r="EZ224">
            <v>0.60700982052150354</v>
          </cell>
          <cell r="FA224">
            <v>0.58424482196881544</v>
          </cell>
          <cell r="FB224">
            <v>0.59578915365028695</v>
          </cell>
          <cell r="FD224">
            <v>0.61371150165303634</v>
          </cell>
          <cell r="FE224">
            <v>0.5851696397341728</v>
          </cell>
          <cell r="FF224">
            <v>0.60513380666302563</v>
          </cell>
          <cell r="FG224">
            <v>0.60650365515502902</v>
          </cell>
          <cell r="FH224">
            <v>0.60296480797043228</v>
          </cell>
          <cell r="FJ224">
            <v>0.62008320726172461</v>
          </cell>
          <cell r="FK224">
            <v>0.58978240302743612</v>
          </cell>
          <cell r="FL224">
            <v>0.6018570102135562</v>
          </cell>
          <cell r="FM224">
            <v>0.58472974675570111</v>
          </cell>
          <cell r="FN224">
            <v>0.59753086419753088</v>
          </cell>
          <cell r="FP224">
            <v>0.60602798708288486</v>
          </cell>
          <cell r="FQ224">
            <v>0.58045873216543253</v>
          </cell>
          <cell r="FR224">
            <v>0.60056909123243818</v>
          </cell>
          <cell r="FS224">
            <v>0.58713266416737209</v>
          </cell>
          <cell r="FT224">
            <v>0.59288885333759944</v>
          </cell>
          <cell r="FV224">
            <v>0.60893190694515198</v>
          </cell>
          <cell r="FW224">
            <v>0.58208452601448057</v>
          </cell>
          <cell r="FX224">
            <v>0.60550145224671104</v>
          </cell>
          <cell r="FY224">
            <v>0.59044016506189823</v>
          </cell>
          <cell r="FZ224">
            <v>0.59602348040143915</v>
          </cell>
          <cell r="GB224">
            <v>0.61159042812957842</v>
          </cell>
          <cell r="GC224">
            <v>0.58107224583197126</v>
          </cell>
          <cell r="GD224">
            <v>0.60400145224671109</v>
          </cell>
          <cell r="GE224">
            <v>0.58662736950345429</v>
          </cell>
          <cell r="GF224">
            <v>0.59474414748937621</v>
          </cell>
          <cell r="GJ224" t="str">
            <v>MS 4Q Core Gross Margin ∆ (ex 53rd week)</v>
          </cell>
          <cell r="GK224">
            <v>40</v>
          </cell>
          <cell r="GM224" t="str">
            <v>Net inc. benefit from extra wk</v>
          </cell>
          <cell r="GO224">
            <v>51.307438966409364</v>
          </cell>
        </row>
        <row r="225">
          <cell r="A225" t="str">
            <v>Y/Y ∆ CGS, OCC, Buying Costs % (bps)</v>
          </cell>
          <cell r="O225">
            <v>-104.79345102586413</v>
          </cell>
          <cell r="P225">
            <v>-35.009128791123615</v>
          </cell>
          <cell r="Q225">
            <v>-45.328884998544481</v>
          </cell>
          <cell r="R225">
            <v>-25.177356604122458</v>
          </cell>
          <cell r="S225">
            <v>9.1194473809941279</v>
          </cell>
          <cell r="T225">
            <v>100.33243241092448</v>
          </cell>
          <cell r="U225">
            <v>-95.568976277484722</v>
          </cell>
          <cell r="V225">
            <v>-34.901330131114072</v>
          </cell>
          <cell r="W225">
            <v>-28.964745997560605</v>
          </cell>
          <cell r="X225">
            <v>3.4576296829125219</v>
          </cell>
          <cell r="Y225">
            <v>11.916206169559906</v>
          </cell>
          <cell r="Z225">
            <v>52.040852137575925</v>
          </cell>
          <cell r="AA225">
            <v>38.044750740643394</v>
          </cell>
          <cell r="AB225">
            <v>-52.824117187588726</v>
          </cell>
          <cell r="AC225">
            <v>-47.935429140739672</v>
          </cell>
          <cell r="AD225">
            <v>31.346270638397122</v>
          </cell>
          <cell r="AE225">
            <v>-32.696047200732046</v>
          </cell>
          <cell r="AF225">
            <v>-80.000000000000071</v>
          </cell>
          <cell r="AG225">
            <v>-14.999999999999458</v>
          </cell>
          <cell r="AH225">
            <v>10.000000000000009</v>
          </cell>
          <cell r="AI225">
            <v>20.000000000000018</v>
          </cell>
          <cell r="AJ225">
            <v>0</v>
          </cell>
          <cell r="AK225">
            <v>0</v>
          </cell>
          <cell r="AL225">
            <v>1.1102230246251565E-12</v>
          </cell>
          <cell r="AN225" t="str">
            <v>BPS Change</v>
          </cell>
          <cell r="EL225" t="str">
            <v>BPS Change</v>
          </cell>
          <cell r="ER225">
            <v>139.97738886292632</v>
          </cell>
          <cell r="ES225">
            <v>-79.90834205613973</v>
          </cell>
          <cell r="ET225">
            <v>6.2033726308408088</v>
          </cell>
          <cell r="EU225">
            <v>-5.9414249625333593</v>
          </cell>
          <cell r="EV225">
            <v>11.916206169559906</v>
          </cell>
          <cell r="EX225">
            <v>-97.103999740255631</v>
          </cell>
          <cell r="EY225">
            <v>163.98169554058151</v>
          </cell>
          <cell r="EZ225">
            <v>101.69861296223215</v>
          </cell>
          <cell r="FA225">
            <v>-63.218337796286939</v>
          </cell>
          <cell r="FB225">
            <v>18.329059676766015</v>
          </cell>
          <cell r="FD225">
            <v>117.86151205476769</v>
          </cell>
          <cell r="FE225">
            <v>-100.4420955299623</v>
          </cell>
          <cell r="FF225">
            <v>-18.760138584779096</v>
          </cell>
          <cell r="FG225">
            <v>222.58833186213579</v>
          </cell>
          <cell r="FH225">
            <v>71.756543201453297</v>
          </cell>
          <cell r="FJ225">
            <v>63.717056086882721</v>
          </cell>
          <cell r="FK225">
            <v>46.127632932633219</v>
          </cell>
          <cell r="FL225">
            <v>-32.767964494694326</v>
          </cell>
          <cell r="FM225">
            <v>-217.73908399327914</v>
          </cell>
          <cell r="FN225">
            <v>-54.339437729014065</v>
          </cell>
          <cell r="FP225">
            <v>-140.55220178839755</v>
          </cell>
          <cell r="FQ225">
            <v>-93.236708620035856</v>
          </cell>
          <cell r="FR225">
            <v>-12.879189811180192</v>
          </cell>
          <cell r="FS225">
            <v>24.029174116709797</v>
          </cell>
          <cell r="FT225">
            <v>-46.420108599314332</v>
          </cell>
          <cell r="FV225">
            <v>29.039198622671236</v>
          </cell>
          <cell r="FW225">
            <v>16.257938490480406</v>
          </cell>
          <cell r="FX225">
            <v>49.323610142728569</v>
          </cell>
          <cell r="FY225">
            <v>33.075008945261388</v>
          </cell>
          <cell r="FZ225">
            <v>31.346270638397122</v>
          </cell>
          <cell r="GB225">
            <v>26.585211844264435</v>
          </cell>
          <cell r="GC225">
            <v>-10.122801825093175</v>
          </cell>
          <cell r="GD225">
            <v>-14.999999999999458</v>
          </cell>
          <cell r="GE225">
            <v>-38.127955584439377</v>
          </cell>
          <cell r="GF225">
            <v>-12.793329120629471</v>
          </cell>
          <cell r="GJ225" t="str">
            <v>Extra Week Gross Profit $ (incremental)</v>
          </cell>
          <cell r="GK225">
            <v>143.28757891183548</v>
          </cell>
          <cell r="GM225" t="str">
            <v>4Q diluted shares</v>
          </cell>
          <cell r="GO225">
            <v>397.54335839599003</v>
          </cell>
        </row>
        <row r="226">
          <cell r="A226" t="str">
            <v>Gross Income</v>
          </cell>
          <cell r="N226">
            <v>5576</v>
          </cell>
          <cell r="O226">
            <v>5815</v>
          </cell>
          <cell r="P226">
            <v>6020</v>
          </cell>
          <cell r="Q226">
            <v>6147</v>
          </cell>
          <cell r="R226">
            <v>6453</v>
          </cell>
          <cell r="S226">
            <v>6683</v>
          </cell>
          <cell r="T226">
            <v>6182</v>
          </cell>
          <cell r="U226">
            <v>6247</v>
          </cell>
          <cell r="V226">
            <v>6237</v>
          </cell>
          <cell r="W226">
            <v>6430</v>
          </cell>
          <cell r="X226">
            <v>9118</v>
          </cell>
          <cell r="Y226">
            <v>10951</v>
          </cell>
          <cell r="Z226">
            <v>10547.294160497871</v>
          </cell>
          <cell r="AA226">
            <v>9883</v>
          </cell>
          <cell r="AB226">
            <v>9617</v>
          </cell>
          <cell r="AC226">
            <v>10179</v>
          </cell>
          <cell r="AD226">
            <v>10667</v>
          </cell>
          <cell r="AE226">
            <v>11386.368470484413</v>
          </cell>
          <cell r="AF226">
            <v>12345.044530032625</v>
          </cell>
          <cell r="AG226">
            <v>12628.404644818967</v>
          </cell>
          <cell r="AH226">
            <v>12728.630898170555</v>
          </cell>
          <cell r="AI226">
            <v>12794.072170216694</v>
          </cell>
          <cell r="AJ226">
            <v>12922.012891918861</v>
          </cell>
          <cell r="AK226">
            <v>13051.23302083805</v>
          </cell>
          <cell r="AL226">
            <v>13181.745351046431</v>
          </cell>
          <cell r="GJ226" t="str">
            <v>Extra Week Gross Margin % (incremental)</v>
          </cell>
          <cell r="GK226">
            <v>0.40855983493810177</v>
          </cell>
          <cell r="GM226" t="str">
            <v>4Q EPS benefit from extra wk</v>
          </cell>
          <cell r="GO226">
            <v>0.12906124044789702</v>
          </cell>
        </row>
        <row r="227">
          <cell r="A227" t="str">
            <v>Gross Margin</v>
          </cell>
          <cell r="N227">
            <v>0.38155193649924729</v>
          </cell>
          <cell r="O227">
            <v>0.39203128160183376</v>
          </cell>
          <cell r="P227">
            <v>0.39553219448094612</v>
          </cell>
          <cell r="Q227">
            <v>0.40006508298080051</v>
          </cell>
          <cell r="R227">
            <v>0.40258281864121281</v>
          </cell>
          <cell r="S227">
            <v>0.40167087390311335</v>
          </cell>
          <cell r="T227">
            <v>0.3916376306620209</v>
          </cell>
          <cell r="U227">
            <v>0.40119452828976943</v>
          </cell>
          <cell r="V227">
            <v>0.40468466130288089</v>
          </cell>
          <cell r="W227">
            <v>0.40758113590263689</v>
          </cell>
          <cell r="X227">
            <v>0.4072353729343457</v>
          </cell>
          <cell r="Y227">
            <v>0.40604375231738971</v>
          </cell>
          <cell r="Z227">
            <v>0.40083966710363211</v>
          </cell>
          <cell r="AA227">
            <v>0.39703519202956772</v>
          </cell>
          <cell r="AB227">
            <v>0.40231760374832665</v>
          </cell>
          <cell r="AC227">
            <v>0.4071111466624005</v>
          </cell>
          <cell r="AD227">
            <v>0.4039765195985609</v>
          </cell>
          <cell r="AE227">
            <v>0.407246124318634</v>
          </cell>
          <cell r="AF227">
            <v>0.415246124318634</v>
          </cell>
          <cell r="AG227">
            <v>0.416746124318634</v>
          </cell>
          <cell r="AH227">
            <v>0.415746124318634</v>
          </cell>
          <cell r="AI227">
            <v>0.413746124318634</v>
          </cell>
          <cell r="AJ227">
            <v>0.413746124318634</v>
          </cell>
          <cell r="AK227">
            <v>0.413746124318634</v>
          </cell>
          <cell r="AL227">
            <v>0.413746124318634</v>
          </cell>
          <cell r="AN227" t="str">
            <v>Gross Income</v>
          </cell>
          <cell r="EL227" t="str">
            <v>Gross Income</v>
          </cell>
          <cell r="ER227">
            <v>2303</v>
          </cell>
          <cell r="ES227">
            <v>2525</v>
          </cell>
          <cell r="ET227">
            <v>2373</v>
          </cell>
          <cell r="EU227">
            <v>3750</v>
          </cell>
          <cell r="EV227">
            <v>10951</v>
          </cell>
          <cell r="EX227">
            <v>2357</v>
          </cell>
          <cell r="EY227">
            <v>2385</v>
          </cell>
          <cell r="EZ227">
            <v>2321</v>
          </cell>
          <cell r="FA227">
            <v>3573</v>
          </cell>
          <cell r="FB227">
            <v>10636</v>
          </cell>
          <cell r="FD227">
            <v>2220</v>
          </cell>
          <cell r="FE227">
            <v>2372</v>
          </cell>
          <cell r="FF227">
            <v>2169</v>
          </cell>
          <cell r="FG227">
            <v>3122</v>
          </cell>
          <cell r="FH227">
            <v>9883</v>
          </cell>
          <cell r="FJ227">
            <v>2009</v>
          </cell>
          <cell r="FK227">
            <v>2168</v>
          </cell>
          <cell r="FL227">
            <v>2144</v>
          </cell>
          <cell r="FM227">
            <v>3296</v>
          </cell>
          <cell r="FN227">
            <v>9617</v>
          </cell>
          <cell r="FP227">
            <v>2196</v>
          </cell>
          <cell r="FQ227">
            <v>2323</v>
          </cell>
          <cell r="FR227">
            <v>2246</v>
          </cell>
          <cell r="FS227">
            <v>3414</v>
          </cell>
          <cell r="FT227">
            <v>10179</v>
          </cell>
          <cell r="FU227" t="str">
            <v>2H</v>
          </cell>
          <cell r="FV227">
            <v>2303</v>
          </cell>
          <cell r="FW227">
            <v>2482</v>
          </cell>
          <cell r="FX227">
            <v>2309</v>
          </cell>
          <cell r="FY227">
            <v>3573</v>
          </cell>
          <cell r="FZ227">
            <v>10667</v>
          </cell>
          <cell r="GB227">
            <v>2386</v>
          </cell>
          <cell r="GC227">
            <v>2563</v>
          </cell>
          <cell r="GD227">
            <v>2403.5870975038929</v>
          </cell>
          <cell r="GE227">
            <v>3872.1168046096464</v>
          </cell>
          <cell r="GF227">
            <v>11224.703902113539</v>
          </cell>
          <cell r="GJ227" t="str">
            <v>Extra Week Gross Margin ∆ bps (incremental vs 4Q)</v>
          </cell>
          <cell r="GK227">
            <v>-50</v>
          </cell>
          <cell r="GM227" t="str">
            <v>FY12 diluted shares</v>
          </cell>
          <cell r="GO227">
            <v>411.14899749373433</v>
          </cell>
        </row>
        <row r="228">
          <cell r="A228" t="str">
            <v>Y/Y ∆ Gross Margin (bps)</v>
          </cell>
          <cell r="O228">
            <v>104.79345102586468</v>
          </cell>
          <cell r="P228">
            <v>35.009128791123615</v>
          </cell>
          <cell r="Q228">
            <v>45.328884998543927</v>
          </cell>
          <cell r="R228">
            <v>25.177356604123013</v>
          </cell>
          <cell r="S228">
            <v>-9.1194473809946821</v>
          </cell>
          <cell r="T228">
            <v>-100.33243241092448</v>
          </cell>
          <cell r="U228">
            <v>95.568976277485291</v>
          </cell>
          <cell r="V228">
            <v>34.901330131114626</v>
          </cell>
          <cell r="W228">
            <v>28.964745997560048</v>
          </cell>
          <cell r="X228">
            <v>-3.4576296829119668</v>
          </cell>
          <cell r="Y228">
            <v>-11.916206169559906</v>
          </cell>
          <cell r="Z228">
            <v>-52.040852137575925</v>
          </cell>
          <cell r="AA228">
            <v>-38.044750740643948</v>
          </cell>
          <cell r="AB228">
            <v>52.82411718758928</v>
          </cell>
          <cell r="AC228">
            <v>47.935429140738563</v>
          </cell>
          <cell r="AD228">
            <v>-31.346270638396014</v>
          </cell>
          <cell r="AE228">
            <v>32.696047200730938</v>
          </cell>
          <cell r="AF228">
            <v>80</v>
          </cell>
          <cell r="AG228">
            <v>15</v>
          </cell>
          <cell r="AH228">
            <v>-10</v>
          </cell>
          <cell r="AI228">
            <v>-20</v>
          </cell>
          <cell r="AJ228">
            <v>0</v>
          </cell>
          <cell r="AK228">
            <v>0</v>
          </cell>
          <cell r="AL228">
            <v>0</v>
          </cell>
          <cell r="AN228" t="str">
            <v>Gross Margin</v>
          </cell>
          <cell r="EL228" t="str">
            <v>Gross Margin</v>
          </cell>
          <cell r="ER228">
            <v>0.38836424957841487</v>
          </cell>
          <cell r="ES228">
            <v>0.42118432026688907</v>
          </cell>
          <cell r="ET228">
            <v>0.40316004077471967</v>
          </cell>
          <cell r="EU228">
            <v>0.40943334425155586</v>
          </cell>
          <cell r="EV228">
            <v>0.40604375231738971</v>
          </cell>
          <cell r="EX228">
            <v>0.39807464955244048</v>
          </cell>
          <cell r="EY228">
            <v>0.40478615071283097</v>
          </cell>
          <cell r="EZ228">
            <v>0.39299017947849646</v>
          </cell>
          <cell r="FA228">
            <v>0.41575517803118456</v>
          </cell>
          <cell r="FB228">
            <v>0.40421084634971305</v>
          </cell>
          <cell r="FD228">
            <v>0.38628849834696366</v>
          </cell>
          <cell r="FE228">
            <v>0.4148303602658272</v>
          </cell>
          <cell r="FF228">
            <v>0.39486619333697431</v>
          </cell>
          <cell r="FG228">
            <v>0.39349634484497104</v>
          </cell>
          <cell r="FH228">
            <v>0.39703519202956772</v>
          </cell>
          <cell r="FJ228">
            <v>0.37991679273827533</v>
          </cell>
          <cell r="FK228">
            <v>0.41021759697256388</v>
          </cell>
          <cell r="FL228">
            <v>0.3981429897864438</v>
          </cell>
          <cell r="FM228">
            <v>0.41527025324429884</v>
          </cell>
          <cell r="FN228">
            <v>0.40246913580246912</v>
          </cell>
          <cell r="FP228">
            <v>0.3939720129171152</v>
          </cell>
          <cell r="FQ228">
            <v>0.41954126783456747</v>
          </cell>
          <cell r="FR228">
            <v>0.39943090876756182</v>
          </cell>
          <cell r="FS228">
            <v>0.41286733583262791</v>
          </cell>
          <cell r="FT228">
            <v>0.4071111466624005</v>
          </cell>
          <cell r="FU228">
            <v>0.40742873596314427</v>
          </cell>
          <cell r="FV228">
            <v>0.39106809305484802</v>
          </cell>
          <cell r="FW228">
            <v>0.41791547398551943</v>
          </cell>
          <cell r="FX228">
            <v>0.39449854775328891</v>
          </cell>
          <cell r="FY228">
            <v>0.40955983493810177</v>
          </cell>
          <cell r="FZ228">
            <v>0.4039765195985609</v>
          </cell>
          <cell r="GB228">
            <v>0.38840957187042163</v>
          </cell>
          <cell r="GC228">
            <v>0.41892775416802874</v>
          </cell>
          <cell r="GD228">
            <v>0.39599854775328891</v>
          </cell>
          <cell r="GE228">
            <v>0.41337263049654577</v>
          </cell>
          <cell r="GF228">
            <v>0.40525585251062379</v>
          </cell>
          <cell r="GM228" t="str">
            <v>FY12 EPS benefit</v>
          </cell>
          <cell r="GO228">
            <v>0.12479037837661579</v>
          </cell>
        </row>
        <row r="229">
          <cell r="A229" t="str">
            <v>SG&amp;A Expenses</v>
          </cell>
          <cell r="N229">
            <v>4913</v>
          </cell>
          <cell r="O229">
            <v>4922</v>
          </cell>
          <cell r="P229">
            <v>4679</v>
          </cell>
          <cell r="Q229">
            <v>4692</v>
          </cell>
          <cell r="R229">
            <v>4760</v>
          </cell>
          <cell r="S229">
            <v>4912</v>
          </cell>
          <cell r="T229">
            <v>4806</v>
          </cell>
          <cell r="U229">
            <v>4836</v>
          </cell>
          <cell r="V229">
            <v>4837</v>
          </cell>
          <cell r="W229">
            <v>4931</v>
          </cell>
          <cell r="X229">
            <v>6980</v>
          </cell>
          <cell r="Y229">
            <v>8678</v>
          </cell>
          <cell r="Z229">
            <v>8486.7237921820597</v>
          </cell>
          <cell r="AA229">
            <v>8458</v>
          </cell>
          <cell r="AB229">
            <v>8163</v>
          </cell>
          <cell r="AC229">
            <v>8260</v>
          </cell>
          <cell r="AD229">
            <v>8281</v>
          </cell>
          <cell r="AE229">
            <v>8590.9232459556424</v>
          </cell>
          <cell r="AF229">
            <v>9075.3325541519971</v>
          </cell>
          <cell r="AG229">
            <v>9219.9246980410044</v>
          </cell>
          <cell r="AH229">
            <v>9284.8357695452942</v>
          </cell>
          <cell r="AI229">
            <v>9346.7616087729639</v>
          </cell>
          <cell r="AJ229">
            <v>9408.997481208231</v>
          </cell>
          <cell r="AK229">
            <v>9471.5433949313283</v>
          </cell>
          <cell r="AL229">
            <v>9534.3993271807667</v>
          </cell>
          <cell r="AN229" t="str">
            <v>BPS Change</v>
          </cell>
          <cell r="EL229" t="str">
            <v>BPS Change</v>
          </cell>
          <cell r="ER229">
            <v>-139.97738886292632</v>
          </cell>
          <cell r="ES229">
            <v>79.908342056138622</v>
          </cell>
          <cell r="ET229">
            <v>-6.2033726308408088</v>
          </cell>
          <cell r="EU229">
            <v>5.9414249625339144</v>
          </cell>
          <cell r="EV229">
            <v>-11.916206169559906</v>
          </cell>
          <cell r="EX229">
            <v>97.103999740256185</v>
          </cell>
          <cell r="EY229">
            <v>-163.98169554058094</v>
          </cell>
          <cell r="EZ229">
            <v>-101.69861296223215</v>
          </cell>
          <cell r="FA229">
            <v>63.218337796286939</v>
          </cell>
          <cell r="FB229">
            <v>-18.329059676766569</v>
          </cell>
          <cell r="FD229">
            <v>-117.86151205476824</v>
          </cell>
          <cell r="FE229">
            <v>100.4420955299623</v>
          </cell>
          <cell r="FF229">
            <v>18.760138584778542</v>
          </cell>
          <cell r="FG229">
            <v>-222.58833186213522</v>
          </cell>
          <cell r="FH229">
            <v>-71.756543201453297</v>
          </cell>
          <cell r="FJ229">
            <v>-63.717056086883275</v>
          </cell>
          <cell r="FK229">
            <v>-46.127632932633219</v>
          </cell>
          <cell r="FL229">
            <v>32.76796449469488</v>
          </cell>
          <cell r="FM229">
            <v>217.73908399327803</v>
          </cell>
          <cell r="FN229">
            <v>54.339437729014065</v>
          </cell>
          <cell r="FP229">
            <v>140.55220178839866</v>
          </cell>
          <cell r="FQ229">
            <v>93.236708620035856</v>
          </cell>
          <cell r="FR229">
            <v>12.879189811180192</v>
          </cell>
          <cell r="FS229">
            <v>-24.029174116709239</v>
          </cell>
          <cell r="FT229">
            <v>46.420108599313778</v>
          </cell>
          <cell r="FU229">
            <v>0.40834709503077615</v>
          </cell>
          <cell r="FV229">
            <v>-29.03919862267179</v>
          </cell>
          <cell r="FW229">
            <v>-16.257938490480406</v>
          </cell>
          <cell r="FX229">
            <v>-49.323610142729123</v>
          </cell>
          <cell r="FY229">
            <v>-33.075008945261388</v>
          </cell>
          <cell r="FZ229">
            <v>-31.346270638396014</v>
          </cell>
          <cell r="GB229">
            <v>-26.585211844263878</v>
          </cell>
          <cell r="GC229">
            <v>10.122801825093175</v>
          </cell>
          <cell r="GD229">
            <v>15</v>
          </cell>
          <cell r="GE229">
            <v>38.127955584439931</v>
          </cell>
          <cell r="GF229">
            <v>12.793329120628915</v>
          </cell>
          <cell r="GG229" t="str">
            <v>SEE CREDIT INCOME TAB FOR SG&amp;A EXPENSE CALCS</v>
          </cell>
        </row>
        <row r="230">
          <cell r="A230" t="str">
            <v>SG&amp;A Ratio</v>
          </cell>
          <cell r="N230">
            <v>0.33618448063500755</v>
          </cell>
          <cell r="O230">
            <v>0.33182768152093306</v>
          </cell>
          <cell r="P230">
            <v>0.30742444152431014</v>
          </cell>
          <cell r="Q230">
            <v>0.30536934591604298</v>
          </cell>
          <cell r="R230">
            <v>0.29696175681577142</v>
          </cell>
          <cell r="S230">
            <v>0.29522779180189929</v>
          </cell>
          <cell r="T230">
            <v>0.30446626544187522</v>
          </cell>
          <cell r="U230">
            <v>0.31057735534005521</v>
          </cell>
          <cell r="V230">
            <v>0.31384635349078638</v>
          </cell>
          <cell r="W230">
            <v>0.31256338742393508</v>
          </cell>
          <cell r="X230">
            <v>0.311746315319339</v>
          </cell>
          <cell r="Y230">
            <v>0.32176492398961809</v>
          </cell>
          <cell r="Z230">
            <v>0.32252969225029682</v>
          </cell>
          <cell r="AA230">
            <v>0.33978788365739998</v>
          </cell>
          <cell r="AB230">
            <v>0.34149096385542171</v>
          </cell>
          <cell r="AC230">
            <v>0.33036035675718911</v>
          </cell>
          <cell r="AD230">
            <v>0.31361484567316794</v>
          </cell>
          <cell r="AE230">
            <v>0.30726391872029868</v>
          </cell>
          <cell r="AF230">
            <v>0.30526391872029868</v>
          </cell>
          <cell r="AG230">
            <v>0.30426391872029868</v>
          </cell>
          <cell r="AH230">
            <v>0.30326391872029868</v>
          </cell>
          <cell r="AI230">
            <v>0.30226391872029867</v>
          </cell>
          <cell r="AJ230">
            <v>0.30126391872029867</v>
          </cell>
          <cell r="AK230">
            <v>0.30026391872029867</v>
          </cell>
          <cell r="AL230">
            <v>0.29926391872029867</v>
          </cell>
          <cell r="GB230" t="str">
            <v>SEE CREDIT INCOME TAB FOR SG&amp;A FORECASTS</v>
          </cell>
          <cell r="GJ230" t="str">
            <v>Extra Week SG&amp;A $ (incremental)</v>
          </cell>
          <cell r="GK230">
            <v>61.847199600074589</v>
          </cell>
        </row>
        <row r="231">
          <cell r="A231" t="str">
            <v>Y/Y ∆ SG&amp;A Ratio (bps)</v>
          </cell>
          <cell r="O231">
            <v>-43.567991140744944</v>
          </cell>
          <cell r="P231">
            <v>-244.03239996622915</v>
          </cell>
          <cell r="Q231">
            <v>-20.550956082671657</v>
          </cell>
          <cell r="R231">
            <v>-84.075891002715622</v>
          </cell>
          <cell r="S231">
            <v>-17.339650138721296</v>
          </cell>
          <cell r="T231">
            <v>92.384736399759305</v>
          </cell>
          <cell r="U231">
            <v>61.110898981799892</v>
          </cell>
          <cell r="V231">
            <v>32.689981507311728</v>
          </cell>
          <cell r="W231">
            <v>-12.829660668512988</v>
          </cell>
          <cell r="X231">
            <v>-8.170721045960839</v>
          </cell>
          <cell r="Y231">
            <v>100.18608670279094</v>
          </cell>
          <cell r="Z231">
            <v>7.6476826067872761</v>
          </cell>
          <cell r="AA231">
            <v>172.58191407103163</v>
          </cell>
          <cell r="AB231">
            <v>17.030801980217337</v>
          </cell>
          <cell r="AC231">
            <v>-111.30607098232603</v>
          </cell>
          <cell r="AD231">
            <v>-167.45511084021169</v>
          </cell>
          <cell r="AE231">
            <v>-63.509269528692627</v>
          </cell>
          <cell r="AF231">
            <v>-20</v>
          </cell>
          <cell r="AG231">
            <v>-10</v>
          </cell>
          <cell r="AH231">
            <v>-10</v>
          </cell>
          <cell r="AI231">
            <v>-10</v>
          </cell>
          <cell r="AJ231">
            <v>-10</v>
          </cell>
          <cell r="AK231">
            <v>-10</v>
          </cell>
          <cell r="AL231">
            <v>-10</v>
          </cell>
          <cell r="AN231" t="str">
            <v>SG&amp;A Expenses (Total)</v>
          </cell>
          <cell r="EL231" t="str">
            <v>SG&amp;A Expenses (Total)</v>
          </cell>
          <cell r="ER231">
            <v>2154</v>
          </cell>
          <cell r="ES231">
            <v>2117</v>
          </cell>
          <cell r="ET231">
            <v>2094</v>
          </cell>
          <cell r="EU231">
            <v>2313</v>
          </cell>
          <cell r="EV231">
            <v>8678</v>
          </cell>
          <cell r="EX231">
            <v>2113</v>
          </cell>
          <cell r="EY231">
            <v>2038</v>
          </cell>
          <cell r="EZ231">
            <v>2121</v>
          </cell>
          <cell r="FA231">
            <v>2282</v>
          </cell>
          <cell r="FB231">
            <v>8554</v>
          </cell>
          <cell r="FD231">
            <v>2080</v>
          </cell>
          <cell r="FE231">
            <v>2037</v>
          </cell>
          <cell r="FF231">
            <v>2085</v>
          </cell>
          <cell r="FG231">
            <v>2256</v>
          </cell>
          <cell r="FH231">
            <v>8458</v>
          </cell>
          <cell r="FJ231">
            <v>1985</v>
          </cell>
          <cell r="FK231">
            <v>1886</v>
          </cell>
          <cell r="FL231">
            <v>2056</v>
          </cell>
          <cell r="FM231">
            <v>2236</v>
          </cell>
          <cell r="FN231">
            <v>8163</v>
          </cell>
          <cell r="FP231">
            <v>1993</v>
          </cell>
          <cell r="FQ231">
            <v>1953</v>
          </cell>
          <cell r="FR231">
            <v>2069</v>
          </cell>
          <cell r="FS231">
            <v>2245</v>
          </cell>
          <cell r="FT231">
            <v>8260</v>
          </cell>
          <cell r="FU231">
            <v>4314</v>
          </cell>
          <cell r="FV231">
            <v>1973</v>
          </cell>
          <cell r="FW231">
            <v>1976</v>
          </cell>
          <cell r="FX231">
            <v>2018</v>
          </cell>
          <cell r="FY231">
            <v>2314</v>
          </cell>
          <cell r="FZ231">
            <v>8281</v>
          </cell>
          <cell r="GB231">
            <v>1995</v>
          </cell>
          <cell r="GC231">
            <v>2009</v>
          </cell>
          <cell r="GD231">
            <v>2122.0121029772449</v>
          </cell>
          <cell r="GE231">
            <v>2427.3951769090281</v>
          </cell>
          <cell r="GF231">
            <v>8553.4072798862726</v>
          </cell>
          <cell r="GM231" t="str">
            <v>Bull Retail Revenues from extra week</v>
          </cell>
          <cell r="GO231">
            <v>357.39407950202894</v>
          </cell>
        </row>
        <row r="232">
          <cell r="A232" t="str">
            <v>Operating Income</v>
          </cell>
          <cell r="N232">
            <v>663</v>
          </cell>
          <cell r="O232">
            <v>893</v>
          </cell>
          <cell r="P232">
            <v>1341</v>
          </cell>
          <cell r="Q232">
            <v>1455</v>
          </cell>
          <cell r="R232">
            <v>1693</v>
          </cell>
          <cell r="S232">
            <v>1771</v>
          </cell>
          <cell r="T232">
            <v>1376</v>
          </cell>
          <cell r="U232">
            <v>1411</v>
          </cell>
          <cell r="V232">
            <v>1400</v>
          </cell>
          <cell r="W232">
            <v>1499</v>
          </cell>
          <cell r="X232">
            <v>2138</v>
          </cell>
          <cell r="Y232">
            <v>2273</v>
          </cell>
          <cell r="Z232">
            <v>2060.5703683158117</v>
          </cell>
          <cell r="AA232">
            <v>1425</v>
          </cell>
          <cell r="AB232">
            <v>1454</v>
          </cell>
          <cell r="AC232">
            <v>1919</v>
          </cell>
          <cell r="AD232">
            <v>2386</v>
          </cell>
          <cell r="AE232">
            <v>2795.4452245287703</v>
          </cell>
          <cell r="AF232">
            <v>3269.7119758806275</v>
          </cell>
          <cell r="AG232">
            <v>3408.4799467779631</v>
          </cell>
          <cell r="AH232">
            <v>3443.795128625261</v>
          </cell>
          <cell r="AI232">
            <v>3447.31056144373</v>
          </cell>
          <cell r="AJ232">
            <v>3513.01541071063</v>
          </cell>
          <cell r="AK232">
            <v>3579.6896259067216</v>
          </cell>
          <cell r="AL232">
            <v>3647.3460238656644</v>
          </cell>
          <cell r="AN232" t="str">
            <v>SG&amp;A Expense (Ex Pension, Incl. Credit)</v>
          </cell>
          <cell r="EL232" t="str">
            <v>SG&amp;A Expense (Core Operations)</v>
          </cell>
          <cell r="ER232">
            <v>0.36323777403035412</v>
          </cell>
          <cell r="ES232">
            <v>0.35312760633861551</v>
          </cell>
          <cell r="ET232">
            <v>0.35575942915392456</v>
          </cell>
          <cell r="EU232">
            <v>0.25253848673435964</v>
          </cell>
          <cell r="EV232">
            <v>0.32176492398961809</v>
          </cell>
          <cell r="EX232">
            <v>2078</v>
          </cell>
          <cell r="EY232">
            <v>1998</v>
          </cell>
          <cell r="EZ232">
            <v>2082</v>
          </cell>
          <cell r="FA232">
            <v>2243</v>
          </cell>
          <cell r="FB232">
            <v>8401</v>
          </cell>
          <cell r="FD232">
            <v>2033</v>
          </cell>
          <cell r="FE232">
            <v>1976</v>
          </cell>
          <cell r="FF232">
            <v>2023</v>
          </cell>
          <cell r="FG232">
            <v>2215</v>
          </cell>
          <cell r="FH232">
            <v>11928</v>
          </cell>
          <cell r="FJ232">
            <v>1876</v>
          </cell>
          <cell r="FK232">
            <v>1731</v>
          </cell>
          <cell r="FL232">
            <v>1946</v>
          </cell>
          <cell r="FM232">
            <v>2171</v>
          </cell>
          <cell r="FN232">
            <v>7724</v>
          </cell>
          <cell r="FP232">
            <v>1838.25</v>
          </cell>
          <cell r="FQ232">
            <v>1828.25</v>
          </cell>
          <cell r="FR232">
            <v>1944.25</v>
          </cell>
          <cell r="FS232">
            <v>2210.25</v>
          </cell>
          <cell r="FT232">
            <v>7821</v>
          </cell>
          <cell r="FU232">
            <v>1.6254416961130724E-2</v>
          </cell>
          <cell r="FV232">
            <v>1938.25</v>
          </cell>
          <cell r="FW232">
            <v>1938</v>
          </cell>
          <cell r="FX232">
            <v>1980</v>
          </cell>
          <cell r="FY232">
            <v>2275</v>
          </cell>
          <cell r="FZ232">
            <v>8131.25</v>
          </cell>
          <cell r="GB232">
            <v>1944.25</v>
          </cell>
          <cell r="GC232">
            <v>1952</v>
          </cell>
          <cell r="GD232">
            <v>2066.0121029772449</v>
          </cell>
          <cell r="GE232">
            <v>2370.3951769090281</v>
          </cell>
          <cell r="GF232">
            <v>8332.6572798862726</v>
          </cell>
          <cell r="GM232" t="str">
            <v>Bear Retail Revenues from extra week</v>
          </cell>
          <cell r="GO232">
            <v>344.03355316550449</v>
          </cell>
        </row>
        <row r="233">
          <cell r="A233" t="str">
            <v>Operating Margin</v>
          </cell>
          <cell r="N233">
            <v>4.5367455864239771E-2</v>
          </cell>
          <cell r="O233">
            <v>6.0203600080900692E-2</v>
          </cell>
          <cell r="P233">
            <v>8.8107752956636004E-2</v>
          </cell>
          <cell r="Q233">
            <v>9.4695737064757562E-2</v>
          </cell>
          <cell r="R233">
            <v>0.10562106182544138</v>
          </cell>
          <cell r="S233">
            <v>0.10644308210121409</v>
          </cell>
          <cell r="T233">
            <v>8.7171365220145708E-2</v>
          </cell>
          <cell r="U233">
            <v>9.0617172949714206E-2</v>
          </cell>
          <cell r="V233">
            <v>9.0838307812094468E-2</v>
          </cell>
          <cell r="W233">
            <v>9.5017748478701827E-2</v>
          </cell>
          <cell r="X233">
            <v>9.5489057615006701E-2</v>
          </cell>
          <cell r="Y233">
            <v>8.4278828327771602E-2</v>
          </cell>
          <cell r="Z233">
            <v>7.8309974853335296E-2</v>
          </cell>
          <cell r="AA233">
            <v>5.7247308372167766E-2</v>
          </cell>
          <cell r="AB233">
            <v>6.0826639892904953E-2</v>
          </cell>
          <cell r="AC233">
            <v>7.6750789905211378E-2</v>
          </cell>
          <cell r="AD233">
            <v>9.0361673925392919E-2</v>
          </cell>
          <cell r="AE233">
            <v>9.9982205598335316E-2</v>
          </cell>
          <cell r="AF233">
            <v>0.10998220559833537</v>
          </cell>
          <cell r="AG233">
            <v>0.11248220559833534</v>
          </cell>
          <cell r="AH233">
            <v>0.11248220559833533</v>
          </cell>
          <cell r="AI233">
            <v>0.1114822055983353</v>
          </cell>
          <cell r="AJ233">
            <v>0.11248220559833537</v>
          </cell>
          <cell r="AK233">
            <v>0.11348220559833534</v>
          </cell>
          <cell r="AL233">
            <v>0.11448220559833534</v>
          </cell>
          <cell r="AN233" t="str">
            <v>Pension Expense (Benefit)</v>
          </cell>
          <cell r="EL233" t="str">
            <v>Pension Expense (Benefit)</v>
          </cell>
          <cell r="ER233">
            <v>300.87540578005888</v>
          </cell>
          <cell r="ES233">
            <v>202.54296926526084</v>
          </cell>
          <cell r="ET233">
            <v>5.8391160216936244</v>
          </cell>
          <cell r="EU233">
            <v>-178.61680437304796</v>
          </cell>
          <cell r="EV233">
            <v>100.18608670279094</v>
          </cell>
          <cell r="EX233">
            <v>35</v>
          </cell>
          <cell r="EY233">
            <v>40</v>
          </cell>
          <cell r="EZ233">
            <v>39</v>
          </cell>
          <cell r="FA233">
            <v>39</v>
          </cell>
          <cell r="FB233">
            <v>153</v>
          </cell>
          <cell r="FD233">
            <v>38</v>
          </cell>
          <cell r="FE233">
            <v>37</v>
          </cell>
          <cell r="FF233">
            <v>38</v>
          </cell>
          <cell r="FG233">
            <v>17</v>
          </cell>
          <cell r="FH233">
            <v>130</v>
          </cell>
          <cell r="FJ233">
            <v>34</v>
          </cell>
          <cell r="FK233">
            <v>35</v>
          </cell>
          <cell r="FL233">
            <v>35</v>
          </cell>
          <cell r="FM233">
            <v>35</v>
          </cell>
          <cell r="FN233">
            <v>139</v>
          </cell>
          <cell r="FP233">
            <v>34.75</v>
          </cell>
          <cell r="FQ233">
            <v>34.75</v>
          </cell>
          <cell r="FR233">
            <v>34.75</v>
          </cell>
          <cell r="FS233">
            <v>34.75</v>
          </cell>
          <cell r="FT233">
            <v>139</v>
          </cell>
          <cell r="FV233">
            <v>34.75</v>
          </cell>
          <cell r="FW233">
            <v>38</v>
          </cell>
          <cell r="FX233">
            <v>38</v>
          </cell>
          <cell r="FY233">
            <v>39</v>
          </cell>
          <cell r="FZ233">
            <v>149.75</v>
          </cell>
          <cell r="GB233">
            <v>50.75</v>
          </cell>
          <cell r="GC233">
            <v>57</v>
          </cell>
          <cell r="GD233">
            <v>56</v>
          </cell>
          <cell r="GE233">
            <v>57</v>
          </cell>
          <cell r="GF233">
            <v>220.75</v>
          </cell>
        </row>
        <row r="234">
          <cell r="A234" t="str">
            <v>Y/Y ∆ Operating Margin (bps)</v>
          </cell>
          <cell r="O234">
            <v>148.36144216660921</v>
          </cell>
          <cell r="P234">
            <v>279.04152875735315</v>
          </cell>
          <cell r="Q234">
            <v>65.879841081215588</v>
          </cell>
          <cell r="R234">
            <v>109.25324760683822</v>
          </cell>
          <cell r="S234">
            <v>8.22020275772703</v>
          </cell>
          <cell r="T234">
            <v>-192.7171688106838</v>
          </cell>
          <cell r="U234">
            <v>34.45807729568498</v>
          </cell>
          <cell r="V234">
            <v>2.2113486238026225</v>
          </cell>
          <cell r="W234">
            <v>41.794406666073591</v>
          </cell>
          <cell r="X234">
            <v>4.7130913630487328</v>
          </cell>
          <cell r="Y234">
            <v>-112.10229287235099</v>
          </cell>
          <cell r="Z234">
            <v>-59.688534744363061</v>
          </cell>
          <cell r="AA234">
            <v>-210.62666481167531</v>
          </cell>
          <cell r="AB234">
            <v>35.793315207371876</v>
          </cell>
          <cell r="AC234">
            <v>159.24150012306424</v>
          </cell>
          <cell r="AD234">
            <v>136.10884020181541</v>
          </cell>
          <cell r="AE234">
            <v>96.205316729423984</v>
          </cell>
          <cell r="AF234">
            <v>100.00000000000051</v>
          </cell>
          <cell r="AG234">
            <v>24.999999999999744</v>
          </cell>
          <cell r="AH234">
            <v>-1.3877787807814457E-13</v>
          </cell>
          <cell r="AI234">
            <v>-10.000000000000286</v>
          </cell>
          <cell r="AJ234">
            <v>10.000000000000703</v>
          </cell>
          <cell r="AK234">
            <v>9.9999999999997318</v>
          </cell>
          <cell r="AL234">
            <v>10.000000000000009</v>
          </cell>
          <cell r="AN234" t="str">
            <v>SG&amp;A Ratio (Ex Pension, Incl. Credit)</v>
          </cell>
          <cell r="EL234" t="str">
            <v>SG&amp;A Ratio (Core Operations)</v>
          </cell>
          <cell r="EX234">
            <v>0.35095423070427295</v>
          </cell>
          <cell r="EY234">
            <v>0.33910386965376782</v>
          </cell>
          <cell r="EZ234">
            <v>0.35252285811039619</v>
          </cell>
          <cell r="FA234">
            <v>0.26099604375145452</v>
          </cell>
          <cell r="FB234">
            <v>0.31927184281533844</v>
          </cell>
          <cell r="FD234">
            <v>0.35374978249521488</v>
          </cell>
          <cell r="FE234">
            <v>0.34557537600559635</v>
          </cell>
          <cell r="FF234">
            <v>0.3682869106135081</v>
          </cell>
          <cell r="FG234">
            <v>0.27917822031762035</v>
          </cell>
          <cell r="FH234">
            <v>0.47919010123734535</v>
          </cell>
          <cell r="FJ234">
            <v>0.35476550680786689</v>
          </cell>
          <cell r="FK234">
            <v>0.32753074739829707</v>
          </cell>
          <cell r="FL234">
            <v>0.36137418755803158</v>
          </cell>
          <cell r="FM234">
            <v>0.27352904119944565</v>
          </cell>
          <cell r="FN234">
            <v>0.32324754132663736</v>
          </cell>
          <cell r="FP234">
            <v>0.32979009687836386</v>
          </cell>
          <cell r="FQ234">
            <v>0.33018782734332669</v>
          </cell>
          <cell r="FR234">
            <v>0.3457673839587409</v>
          </cell>
          <cell r="FS234">
            <v>0.26729350586527995</v>
          </cell>
          <cell r="FT234">
            <v>0.31280246370435549</v>
          </cell>
          <cell r="FV234">
            <v>0.32913058244184074</v>
          </cell>
          <cell r="FW234">
            <v>0.32631756187910421</v>
          </cell>
          <cell r="FX234">
            <v>0.33828805740645823</v>
          </cell>
          <cell r="FY234">
            <v>0.26077487391104998</v>
          </cell>
          <cell r="FZ234">
            <v>0.30794357129331568</v>
          </cell>
          <cell r="GB234">
            <v>0.31649845352433664</v>
          </cell>
          <cell r="GC234">
            <v>0.31905851585485451</v>
          </cell>
          <cell r="GD234">
            <v>0.34038200374321254</v>
          </cell>
          <cell r="GE234">
            <v>0.25305447615338417</v>
          </cell>
          <cell r="GF234">
            <v>0.30084162211203869</v>
          </cell>
        </row>
        <row r="235">
          <cell r="AN235" t="str">
            <v>Y/Y ∆ SG&amp;A Ratio (bps)</v>
          </cell>
          <cell r="EL235" t="str">
            <v>Y/Y ∆ SG&amp;A Ratio (bps)</v>
          </cell>
          <cell r="FD235">
            <v>27.955517909419303</v>
          </cell>
          <cell r="FE235">
            <v>64.715063518285262</v>
          </cell>
          <cell r="FF235">
            <v>157.64052503111913</v>
          </cell>
          <cell r="FG235">
            <v>181.8217656616583</v>
          </cell>
          <cell r="FH235">
            <v>1599.1825842200692</v>
          </cell>
          <cell r="FJ235">
            <v>10.157243126520111</v>
          </cell>
          <cell r="FK235">
            <v>-180.44628607299273</v>
          </cell>
          <cell r="FL235">
            <v>-69.127230554765219</v>
          </cell>
          <cell r="FM235">
            <v>-56.491791181746962</v>
          </cell>
          <cell r="FN235">
            <v>-1559.42559910708</v>
          </cell>
          <cell r="FP235">
            <v>-249.75409929503033</v>
          </cell>
          <cell r="FQ235">
            <v>26.570799450296168</v>
          </cell>
          <cell r="FR235">
            <v>-156.06803599290674</v>
          </cell>
          <cell r="FS235">
            <v>-62.355353341657093</v>
          </cell>
          <cell r="FT235">
            <v>-104.45077622281862</v>
          </cell>
          <cell r="FV235">
            <v>-6.5951443652312314</v>
          </cell>
          <cell r="FW235">
            <v>-38.702654642224779</v>
          </cell>
          <cell r="FX235">
            <v>-74.793265522826729</v>
          </cell>
          <cell r="FY235">
            <v>-65.186319542299699</v>
          </cell>
          <cell r="FZ235">
            <v>-48.588924110398167</v>
          </cell>
          <cell r="GB235">
            <v>-126.32128917504093</v>
          </cell>
          <cell r="GC235">
            <v>-72.590460242497045</v>
          </cell>
          <cell r="GD235">
            <v>20.939463367543041</v>
          </cell>
          <cell r="GE235">
            <v>-77.20397757665809</v>
          </cell>
          <cell r="GF235">
            <v>-71.0194918127699</v>
          </cell>
        </row>
        <row r="236">
          <cell r="AN236" t="str">
            <v>SG&amp;A Ratio (Including Pension Impact)</v>
          </cell>
          <cell r="EL236" t="str">
            <v>SG&amp;A Ratio (Including Pension Impact)</v>
          </cell>
          <cell r="EX236">
            <v>0.35686539435906095</v>
          </cell>
          <cell r="EY236">
            <v>0.34589273591310249</v>
          </cell>
          <cell r="EZ236">
            <v>0.35912631222485608</v>
          </cell>
          <cell r="FA236">
            <v>0.2655340935536421</v>
          </cell>
          <cell r="FB236">
            <v>0.32508645916467144</v>
          </cell>
          <cell r="FD236">
            <v>0.36192796241517311</v>
          </cell>
          <cell r="FE236">
            <v>0.35624344176285416</v>
          </cell>
          <cell r="FF236">
            <v>0.37957400327689789</v>
          </cell>
          <cell r="FG236">
            <v>0.28434585328963952</v>
          </cell>
          <cell r="FH236">
            <v>0.33978788365739998</v>
          </cell>
          <cell r="FJ236">
            <v>0.37537821482602118</v>
          </cell>
          <cell r="FK236">
            <v>0.35685903500473037</v>
          </cell>
          <cell r="FL236">
            <v>0.38180129990714951</v>
          </cell>
          <cell r="FM236">
            <v>0.28171853345092607</v>
          </cell>
          <cell r="FN236">
            <v>0.34161958568738232</v>
          </cell>
          <cell r="FP236">
            <v>0.35755292429135271</v>
          </cell>
          <cell r="FQ236">
            <v>0.3527180783817952</v>
          </cell>
          <cell r="FR236">
            <v>0.36795304997332384</v>
          </cell>
          <cell r="FS236">
            <v>0.27149594872415045</v>
          </cell>
          <cell r="FT236">
            <v>0.33036035675718911</v>
          </cell>
          <cell r="FU236">
            <v>0.31053843938957676</v>
          </cell>
          <cell r="FV236">
            <v>0.33503141450161317</v>
          </cell>
          <cell r="FW236">
            <v>0.33271594544536115</v>
          </cell>
          <cell r="FX236">
            <v>0.34478045446779432</v>
          </cell>
          <cell r="FY236">
            <v>0.26524530032095367</v>
          </cell>
          <cell r="FZ236">
            <v>0.31361484567316794</v>
          </cell>
          <cell r="GB236">
            <v>0.32475988930489991</v>
          </cell>
          <cell r="GC236">
            <v>0.32837528604118993</v>
          </cell>
          <cell r="GD236">
            <v>0.34960818019307516</v>
          </cell>
          <cell r="GE236">
            <v>0.25913958182743124</v>
          </cell>
          <cell r="GF236">
            <v>0.30881156325452847</v>
          </cell>
          <cell r="GG236" t="str">
            <v>Implied 2012e Margins (ex Extra Week)</v>
          </cell>
          <cell r="GM236" t="str">
            <v>'12 Spring SG&amp;A</v>
          </cell>
          <cell r="GN236">
            <v>4004</v>
          </cell>
        </row>
        <row r="237">
          <cell r="AN237" t="str">
            <v>Y/Y ∆ SG&amp;A Ratio (bps)</v>
          </cell>
          <cell r="EL237" t="str">
            <v>Y/Y ∆ SG&amp;A Ratio (bps)</v>
          </cell>
          <cell r="EX237">
            <v>-63.723796712931716</v>
          </cell>
          <cell r="EY237">
            <v>-72.348704255130187</v>
          </cell>
          <cell r="EZ237">
            <v>33.668830709315259</v>
          </cell>
          <cell r="FA237">
            <v>129.95606819282469</v>
          </cell>
          <cell r="FB237">
            <v>33.215351750533472</v>
          </cell>
          <cell r="FD237">
            <v>50.625680561121598</v>
          </cell>
          <cell r="FE237">
            <v>103.50705849751674</v>
          </cell>
          <cell r="FF237">
            <v>204.47691052041804</v>
          </cell>
          <cell r="FG237">
            <v>188.11759735997413</v>
          </cell>
          <cell r="FH237">
            <v>147.01424492728543</v>
          </cell>
          <cell r="FJ237">
            <v>134.50252410848074</v>
          </cell>
          <cell r="FK237">
            <v>6.1559324187621112</v>
          </cell>
          <cell r="FL237">
            <v>22.272966302516185</v>
          </cell>
          <cell r="FM237">
            <v>-26.273198387134489</v>
          </cell>
          <cell r="FN237">
            <v>18.317020299823405</v>
          </cell>
          <cell r="FP237">
            <v>-178.25290534668468</v>
          </cell>
          <cell r="FQ237">
            <v>-41.409566229351768</v>
          </cell>
          <cell r="FR237">
            <v>-138.48249933825662</v>
          </cell>
          <cell r="FS237">
            <v>-102.22584726775619</v>
          </cell>
          <cell r="FT237">
            <v>-112.5922893019321</v>
          </cell>
          <cell r="FU237">
            <v>0.32217384777060504</v>
          </cell>
          <cell r="FV237">
            <v>-225.21509789739548</v>
          </cell>
          <cell r="FW237">
            <v>-200.02132936434046</v>
          </cell>
          <cell r="FX237">
            <v>-231.72595505529526</v>
          </cell>
          <cell r="FY237">
            <v>-62.506484031967787</v>
          </cell>
          <cell r="FZ237">
            <v>-167.45511084021169</v>
          </cell>
          <cell r="GB237">
            <v>-102.7152519671326</v>
          </cell>
          <cell r="GC237">
            <v>-43.406594041712211</v>
          </cell>
          <cell r="GD237">
            <v>48.277257252808404</v>
          </cell>
          <cell r="GE237">
            <v>-61.057184935224271</v>
          </cell>
          <cell r="GF237">
            <v>-48.032824186394762</v>
          </cell>
          <cell r="GJ237" t="str">
            <v>FY12e Gross Margin (%) (ex extra week)</v>
          </cell>
          <cell r="GK237">
            <v>0.40521348048585426</v>
          </cell>
          <cell r="GM237" t="str">
            <v>'12 Fall SG&amp;A</v>
          </cell>
          <cell r="GN237">
            <v>4549.4072798862726</v>
          </cell>
        </row>
        <row r="238">
          <cell r="FP238">
            <v>-120</v>
          </cell>
          <cell r="FQ238">
            <v>-90</v>
          </cell>
          <cell r="FR238">
            <v>-90</v>
          </cell>
          <cell r="FS238">
            <v>0</v>
          </cell>
          <cell r="GJ238" t="str">
            <v>FY12e Gross Margin ∆ (bps) (ex extra week)</v>
          </cell>
          <cell r="GK238">
            <v>12.36960887293359</v>
          </cell>
          <cell r="GM238" t="str">
            <v>% Change 2H vs. 1H</v>
          </cell>
          <cell r="GN238">
            <v>0.13621560436720093</v>
          </cell>
        </row>
        <row r="239">
          <cell r="AN239" t="str">
            <v>% Breakout of credit deterioration</v>
          </cell>
          <cell r="FD239">
            <v>0.15</v>
          </cell>
          <cell r="FE239">
            <v>0.2</v>
          </cell>
          <cell r="FF239">
            <v>0.3</v>
          </cell>
          <cell r="FG239">
            <v>0.35000000000000009</v>
          </cell>
          <cell r="FH239">
            <v>50</v>
          </cell>
          <cell r="FK239">
            <v>-120</v>
          </cell>
          <cell r="GJ239" t="str">
            <v>Impact from Extra Wk on FY12e Gross Mgn ∆ (bps)</v>
          </cell>
          <cell r="GK239">
            <v>-0.42372024769532501</v>
          </cell>
          <cell r="GM239" t="str">
            <v>'11 Spring SG&amp;A</v>
          </cell>
          <cell r="GN239">
            <v>3949</v>
          </cell>
        </row>
        <row r="240">
          <cell r="A240" t="str">
            <v>Bear Case Assumptions</v>
          </cell>
          <cell r="N240">
            <v>1995</v>
          </cell>
          <cell r="O240">
            <v>1996</v>
          </cell>
          <cell r="P240">
            <v>1997</v>
          </cell>
          <cell r="Q240">
            <v>1998</v>
          </cell>
          <cell r="R240">
            <v>1999</v>
          </cell>
          <cell r="S240">
            <v>2000</v>
          </cell>
          <cell r="T240">
            <v>2001</v>
          </cell>
          <cell r="U240">
            <v>2002</v>
          </cell>
          <cell r="V240">
            <v>2003</v>
          </cell>
          <cell r="W240">
            <v>2004</v>
          </cell>
          <cell r="X240">
            <v>2005</v>
          </cell>
          <cell r="Y240">
            <v>2006</v>
          </cell>
          <cell r="Z240">
            <v>2007</v>
          </cell>
          <cell r="AA240">
            <v>2008</v>
          </cell>
          <cell r="AB240">
            <v>2009</v>
          </cell>
          <cell r="AC240">
            <v>2010</v>
          </cell>
          <cell r="AD240">
            <v>2011</v>
          </cell>
          <cell r="AE240" t="str">
            <v>2012E</v>
          </cell>
          <cell r="AF240" t="str">
            <v>2013E</v>
          </cell>
          <cell r="AG240" t="str">
            <v>2014E</v>
          </cell>
          <cell r="AH240" t="str">
            <v>2015E</v>
          </cell>
          <cell r="AI240" t="str">
            <v>2016E</v>
          </cell>
          <cell r="AJ240" t="str">
            <v>2017E</v>
          </cell>
          <cell r="AK240" t="str">
            <v>2018E</v>
          </cell>
          <cell r="AL240" t="str">
            <v>2019E</v>
          </cell>
          <cell r="AN240" t="str">
            <v>% Breakout of consolidation SG&amp;A saves</v>
          </cell>
          <cell r="FD240">
            <v>0.05</v>
          </cell>
          <cell r="FE240">
            <v>0.15</v>
          </cell>
          <cell r="FF240">
            <v>0.4</v>
          </cell>
          <cell r="FG240">
            <v>0.39999999999999991</v>
          </cell>
          <cell r="FH240">
            <v>-60</v>
          </cell>
          <cell r="FJ240">
            <v>0.25</v>
          </cell>
          <cell r="FK240">
            <v>0.4</v>
          </cell>
          <cell r="FL240">
            <v>0.25</v>
          </cell>
          <cell r="FM240">
            <v>9.9999999999999978E-2</v>
          </cell>
          <cell r="FN240">
            <v>-300</v>
          </cell>
          <cell r="FP240">
            <v>0.4</v>
          </cell>
          <cell r="FQ240">
            <v>0.3</v>
          </cell>
          <cell r="FR240">
            <v>0.3</v>
          </cell>
          <cell r="FS240">
            <v>0</v>
          </cell>
          <cell r="FT240">
            <v>-140</v>
          </cell>
          <cell r="GJ240" t="str">
            <v>FY12e SG&amp;A Ratio Incl. Pension (%) (ex extra week)</v>
          </cell>
          <cell r="GK240">
            <v>0.31051036388580949</v>
          </cell>
          <cell r="GM240" t="str">
            <v>'11 Fall SG&amp;A</v>
          </cell>
          <cell r="GN240">
            <v>4332</v>
          </cell>
        </row>
        <row r="241">
          <cell r="A241" t="str">
            <v>Revenue</v>
          </cell>
          <cell r="N241">
            <v>14614</v>
          </cell>
          <cell r="O241">
            <v>14833</v>
          </cell>
          <cell r="P241">
            <v>15220</v>
          </cell>
          <cell r="Q241">
            <v>15365</v>
          </cell>
          <cell r="R241">
            <v>16029</v>
          </cell>
          <cell r="S241">
            <v>16638</v>
          </cell>
          <cell r="T241">
            <v>15785</v>
          </cell>
          <cell r="U241">
            <v>15571</v>
          </cell>
          <cell r="V241">
            <v>15412</v>
          </cell>
          <cell r="W241">
            <v>15776</v>
          </cell>
          <cell r="X241">
            <v>22390</v>
          </cell>
          <cell r="Y241">
            <v>26970</v>
          </cell>
          <cell r="Z241">
            <v>26313</v>
          </cell>
          <cell r="AA241">
            <v>24892</v>
          </cell>
          <cell r="AB241">
            <v>23904</v>
          </cell>
          <cell r="AC241">
            <v>25003</v>
          </cell>
          <cell r="AD241">
            <v>26405</v>
          </cell>
          <cell r="AE241">
            <v>27436.213752617372</v>
          </cell>
          <cell r="AF241">
            <v>27415.922360651821</v>
          </cell>
          <cell r="AG241">
            <v>27944.266088353088</v>
          </cell>
          <cell r="AH241">
            <v>28233.795982590062</v>
          </cell>
          <cell r="AI241">
            <v>28516.133942415963</v>
          </cell>
          <cell r="AJ241">
            <v>28801.295281840125</v>
          </cell>
          <cell r="AK241">
            <v>29089.308234658525</v>
          </cell>
          <cell r="AL241">
            <v>29380.20131700511</v>
          </cell>
          <cell r="AN241" t="str">
            <v>% Breakout of pre-tax charges assoc. with consolidation</v>
          </cell>
          <cell r="FD241">
            <v>0.57999999999999996</v>
          </cell>
          <cell r="FE241">
            <v>0.17333333333333334</v>
          </cell>
          <cell r="FF241">
            <v>0.10666666666666667</v>
          </cell>
          <cell r="FG241">
            <v>0.14000000000000001</v>
          </cell>
          <cell r="FH241">
            <v>150</v>
          </cell>
          <cell r="FJ241">
            <v>0.34499999999999997</v>
          </cell>
          <cell r="FK241">
            <v>8.5000000000000006E-2</v>
          </cell>
          <cell r="FL241">
            <v>8.2500000000000004E-2</v>
          </cell>
          <cell r="FM241">
            <v>0.48750000000000004</v>
          </cell>
          <cell r="FN241">
            <v>400</v>
          </cell>
          <cell r="FP241">
            <v>0</v>
          </cell>
          <cell r="FQ241">
            <v>0</v>
          </cell>
          <cell r="FR241">
            <v>0</v>
          </cell>
          <cell r="FS241">
            <v>1</v>
          </cell>
          <cell r="FT241">
            <v>0</v>
          </cell>
          <cell r="GF241" t="str">
            <v xml:space="preserve"> </v>
          </cell>
          <cell r="GJ241" t="str">
            <v>FY12e SG&amp;A Ratio Incl. Pension ∆ (bps) (ex extra wk)</v>
          </cell>
          <cell r="GK241">
            <v>-31.044817873584485</v>
          </cell>
          <cell r="GM241" t="str">
            <v>Y/Y $ Change</v>
          </cell>
          <cell r="GN241">
            <v>159</v>
          </cell>
        </row>
        <row r="242">
          <cell r="A242" t="str">
            <v xml:space="preserve"> % Same-store</v>
          </cell>
          <cell r="N242">
            <v>2.7E-2</v>
          </cell>
          <cell r="O242">
            <v>3.1E-2</v>
          </cell>
          <cell r="P242">
            <v>2.7E-2</v>
          </cell>
          <cell r="Q242">
            <v>2.1999999999999999E-2</v>
          </cell>
          <cell r="R242">
            <v>4.4999999999999998E-2</v>
          </cell>
          <cell r="S242">
            <v>0.02</v>
          </cell>
          <cell r="T242">
            <v>-5.2999999999999999E-2</v>
          </cell>
          <cell r="U242">
            <v>-0.03</v>
          </cell>
          <cell r="V242">
            <v>-9.0000000000000011E-3</v>
          </cell>
          <cell r="W242">
            <v>2.5999999999999999E-2</v>
          </cell>
          <cell r="X242">
            <v>1.2999999999999999E-2</v>
          </cell>
          <cell r="Y242">
            <v>4.3999999999999997E-2</v>
          </cell>
          <cell r="Z242">
            <v>-1.2799528750047504E-2</v>
          </cell>
          <cell r="AA242">
            <v>-4.4999999999999998E-2</v>
          </cell>
          <cell r="AB242">
            <v>-5.0968425652024113E-2</v>
          </cell>
          <cell r="AC242">
            <v>4.610434747830261E-2</v>
          </cell>
          <cell r="AD242">
            <v>5.2999999999999999E-2</v>
          </cell>
          <cell r="AE242">
            <v>3.0470716044687752E-2</v>
          </cell>
          <cell r="AF242">
            <v>1.0000000000000002E-2</v>
          </cell>
          <cell r="AG242">
            <v>0.02</v>
          </cell>
          <cell r="AH242">
            <v>0.01</v>
          </cell>
          <cell r="AI242">
            <v>0.01</v>
          </cell>
          <cell r="AJ242">
            <v>0.01</v>
          </cell>
          <cell r="AK242">
            <v>0.01</v>
          </cell>
          <cell r="AL242">
            <v>0.01</v>
          </cell>
          <cell r="GJ242" t="str">
            <v>Impact from Extra Wk on FY12e SG&amp;A Ratio ∆ (bps)</v>
          </cell>
          <cell r="GK242">
            <v>-16.988006312810278</v>
          </cell>
          <cell r="GN242">
            <v>217.40727988627259</v>
          </cell>
        </row>
        <row r="243">
          <cell r="A243" t="str">
            <v>CGS, OCC, Buying Costs</v>
          </cell>
          <cell r="N243">
            <v>9038</v>
          </cell>
          <cell r="O243">
            <v>9018</v>
          </cell>
          <cell r="P243">
            <v>9200</v>
          </cell>
          <cell r="Q243">
            <v>9218</v>
          </cell>
          <cell r="R243">
            <v>9576</v>
          </cell>
          <cell r="S243">
            <v>9955</v>
          </cell>
          <cell r="T243">
            <v>9603</v>
          </cell>
          <cell r="U243">
            <v>9324</v>
          </cell>
          <cell r="V243">
            <v>9175</v>
          </cell>
          <cell r="W243">
            <v>9346</v>
          </cell>
          <cell r="X243">
            <v>13272</v>
          </cell>
          <cell r="Y243">
            <v>16019</v>
          </cell>
          <cell r="Z243">
            <v>15782.893839502129</v>
          </cell>
          <cell r="AA243">
            <v>15009</v>
          </cell>
          <cell r="AB243">
            <v>14278</v>
          </cell>
          <cell r="AC243">
            <v>14824</v>
          </cell>
          <cell r="AD243">
            <v>15738</v>
          </cell>
          <cell r="AE243">
            <v>16371.343170905468</v>
          </cell>
          <cell r="AF243">
            <v>16386.651105470184</v>
          </cell>
          <cell r="AG243">
            <v>16660.528726167173</v>
          </cell>
          <cell r="AH243">
            <v>16861.381874712744</v>
          </cell>
          <cell r="AI243">
            <v>17087.027961344706</v>
          </cell>
          <cell r="AJ243">
            <v>17257.898240958151</v>
          </cell>
          <cell r="AK243">
            <v>17430.477223367736</v>
          </cell>
          <cell r="AL243">
            <v>17604.781995601414</v>
          </cell>
        </row>
        <row r="244">
          <cell r="A244" t="str">
            <v>CGS, OCC, Buying Costs %</v>
          </cell>
          <cell r="N244">
            <v>0.61844806350075265</v>
          </cell>
          <cell r="O244">
            <v>0.60796871839816624</v>
          </cell>
          <cell r="P244">
            <v>0.60446780551905388</v>
          </cell>
          <cell r="Q244">
            <v>0.59993491701919943</v>
          </cell>
          <cell r="R244">
            <v>0.59741718135878719</v>
          </cell>
          <cell r="S244">
            <v>0.5983291260968866</v>
          </cell>
          <cell r="T244">
            <v>0.60836236933797905</v>
          </cell>
          <cell r="U244">
            <v>0.59880547171023057</v>
          </cell>
          <cell r="V244">
            <v>0.59531533869711917</v>
          </cell>
          <cell r="W244">
            <v>0.59241886409736311</v>
          </cell>
          <cell r="X244">
            <v>0.59276462706565436</v>
          </cell>
          <cell r="Y244">
            <v>0.59395624768261035</v>
          </cell>
          <cell r="Z244">
            <v>0.59981354613697135</v>
          </cell>
          <cell r="AA244">
            <v>0.60296480797043228</v>
          </cell>
          <cell r="AB244">
            <v>0.59730589022757696</v>
          </cell>
          <cell r="AC244">
            <v>0.59288885333759944</v>
          </cell>
          <cell r="AD244">
            <v>0.59602348040143915</v>
          </cell>
          <cell r="AE244">
            <v>0.59670562849962006</v>
          </cell>
          <cell r="AF244">
            <v>0.59770562849962006</v>
          </cell>
          <cell r="AG244">
            <v>0.59620562849962011</v>
          </cell>
          <cell r="AH244">
            <v>0.59720562849962</v>
          </cell>
          <cell r="AI244">
            <v>0.59920562849962</v>
          </cell>
          <cell r="AJ244">
            <v>0.59920562849962</v>
          </cell>
          <cell r="AK244">
            <v>0.59920562849962011</v>
          </cell>
          <cell r="AL244">
            <v>0.59920562849962011</v>
          </cell>
          <cell r="AN244" t="str">
            <v>Operating Margin</v>
          </cell>
          <cell r="EL244" t="str">
            <v>Operating Margin</v>
          </cell>
          <cell r="ER244">
            <v>149</v>
          </cell>
          <cell r="ES244">
            <v>408</v>
          </cell>
          <cell r="ET244">
            <v>279</v>
          </cell>
          <cell r="EU244">
            <v>1437</v>
          </cell>
          <cell r="EV244">
            <v>2273</v>
          </cell>
          <cell r="EX244">
            <v>244</v>
          </cell>
          <cell r="EY244">
            <v>347</v>
          </cell>
          <cell r="EZ244">
            <v>200</v>
          </cell>
          <cell r="FA244">
            <v>1291</v>
          </cell>
          <cell r="FB244">
            <v>2082</v>
          </cell>
          <cell r="FD244">
            <v>140</v>
          </cell>
          <cell r="FE244">
            <v>335</v>
          </cell>
          <cell r="FF244">
            <v>84</v>
          </cell>
          <cell r="FG244">
            <v>866</v>
          </cell>
          <cell r="FH244">
            <v>1425</v>
          </cell>
          <cell r="FJ244">
            <v>24</v>
          </cell>
          <cell r="FK244">
            <v>282</v>
          </cell>
          <cell r="FL244">
            <v>88</v>
          </cell>
          <cell r="FM244">
            <v>1060</v>
          </cell>
          <cell r="FN244">
            <v>1454</v>
          </cell>
          <cell r="FP244">
            <v>203</v>
          </cell>
          <cell r="FQ244">
            <v>370</v>
          </cell>
          <cell r="FR244">
            <v>177</v>
          </cell>
          <cell r="FS244">
            <v>1169</v>
          </cell>
          <cell r="FT244">
            <v>1919</v>
          </cell>
          <cell r="FV244">
            <v>330</v>
          </cell>
          <cell r="FW244">
            <v>506</v>
          </cell>
          <cell r="FX244">
            <v>291</v>
          </cell>
          <cell r="FY244">
            <v>1259</v>
          </cell>
          <cell r="FZ244">
            <v>2386</v>
          </cell>
          <cell r="GB244">
            <v>391</v>
          </cell>
          <cell r="GC244">
            <v>554</v>
          </cell>
          <cell r="GD244">
            <v>281.57499452664797</v>
          </cell>
          <cell r="GE244">
            <v>1444.7216277006182</v>
          </cell>
          <cell r="GF244">
            <v>2671.2966222272662</v>
          </cell>
        </row>
        <row r="245">
          <cell r="A245" t="str">
            <v>Y/Y ∆ CGS, OCC, Buying Costs % (bps)</v>
          </cell>
          <cell r="O245">
            <v>-104.79345102586413</v>
          </cell>
          <cell r="P245">
            <v>-35.009128791123615</v>
          </cell>
          <cell r="Q245">
            <v>-45.328884998544481</v>
          </cell>
          <cell r="R245">
            <v>-25.177356604122458</v>
          </cell>
          <cell r="S245">
            <v>9.1194473809941279</v>
          </cell>
          <cell r="T245">
            <v>100.33243241092448</v>
          </cell>
          <cell r="U245">
            <v>-95.568976277484722</v>
          </cell>
          <cell r="V245">
            <v>-34.901330131114072</v>
          </cell>
          <cell r="W245">
            <v>-28.964745997560605</v>
          </cell>
          <cell r="X245">
            <v>3.4576296829125219</v>
          </cell>
          <cell r="Y245">
            <v>11.916206169559906</v>
          </cell>
          <cell r="Z245">
            <v>58.57298454361004</v>
          </cell>
          <cell r="AA245">
            <v>31.512618334609279</v>
          </cell>
          <cell r="AB245">
            <v>-56.589177428553185</v>
          </cell>
          <cell r="AC245">
            <v>-44.170368899775212</v>
          </cell>
          <cell r="AD245">
            <v>31.346270638397122</v>
          </cell>
          <cell r="AE245">
            <v>6.8214809818090139</v>
          </cell>
          <cell r="AF245">
            <v>10.000000000000009</v>
          </cell>
          <cell r="AG245">
            <v>-14.999999999999458</v>
          </cell>
          <cell r="AH245">
            <v>9.9999999999988987</v>
          </cell>
          <cell r="AI245">
            <v>20.000000000000018</v>
          </cell>
          <cell r="AJ245">
            <v>0</v>
          </cell>
          <cell r="AK245">
            <v>1.1102230246251565E-12</v>
          </cell>
          <cell r="AL245">
            <v>0</v>
          </cell>
          <cell r="AN245" t="str">
            <v>BPS Change</v>
          </cell>
          <cell r="EL245" t="str">
            <v>BPS Change</v>
          </cell>
          <cell r="ER245">
            <v>2.5126475548060707E-2</v>
          </cell>
          <cell r="ES245">
            <v>6.805671392827356E-2</v>
          </cell>
          <cell r="ET245">
            <v>4.7400611620795105E-2</v>
          </cell>
          <cell r="EU245">
            <v>0.1568948575171962</v>
          </cell>
          <cell r="EV245">
            <v>8.4278828327771602E-2</v>
          </cell>
          <cell r="EX245">
            <v>4.12092551933795E-2</v>
          </cell>
          <cell r="EY245">
            <v>5.8893414799728448E-2</v>
          </cell>
          <cell r="EZ245">
            <v>3.3863867253640365E-2</v>
          </cell>
          <cell r="FA245">
            <v>0.15022108447754248</v>
          </cell>
          <cell r="FB245">
            <v>7.9124387185041611E-2</v>
          </cell>
          <cell r="FD245">
            <v>2.4360535931790498E-2</v>
          </cell>
          <cell r="FE245">
            <v>5.8586918502973068E-2</v>
          </cell>
          <cell r="FF245">
            <v>1.5292190060076462E-2</v>
          </cell>
          <cell r="FG245">
            <v>0.10915049155533149</v>
          </cell>
          <cell r="FH245">
            <v>5.7247308372167766E-2</v>
          </cell>
          <cell r="FJ245">
            <v>4.5385779122541605E-3</v>
          </cell>
          <cell r="FK245">
            <v>5.3358561967833493E-2</v>
          </cell>
          <cell r="FL245">
            <v>1.6341689879294335E-2</v>
          </cell>
          <cell r="FM245">
            <v>0.1335517197933728</v>
          </cell>
          <cell r="FN245">
            <v>6.0849550115086838E-2</v>
          </cell>
          <cell r="FP245">
            <v>3.6419088625762472E-2</v>
          </cell>
          <cell r="FQ245">
            <v>6.6823189452772255E-2</v>
          </cell>
          <cell r="FR245">
            <v>3.1477858794237951E-2</v>
          </cell>
          <cell r="FS245">
            <v>0.14137138710847744</v>
          </cell>
          <cell r="FT245">
            <v>7.6750789905211378E-2</v>
          </cell>
          <cell r="FV245">
            <v>5.6036678553234846E-2</v>
          </cell>
          <cell r="FW245">
            <v>8.5199528540158276E-2</v>
          </cell>
          <cell r="FX245">
            <v>4.9718093285494619E-2</v>
          </cell>
          <cell r="FY245">
            <v>0.1443145346171481</v>
          </cell>
          <cell r="FZ245">
            <v>9.0361673925392919E-2</v>
          </cell>
          <cell r="GB245">
            <v>6.3649682565521726E-2</v>
          </cell>
          <cell r="GC245">
            <v>9.0552468126838842E-2</v>
          </cell>
          <cell r="GD245">
            <v>4.6390367560213731E-2</v>
          </cell>
          <cell r="GE245">
            <v>0.15423304866911453</v>
          </cell>
          <cell r="GF245">
            <v>9.644428925609537E-2</v>
          </cell>
        </row>
        <row r="246">
          <cell r="A246" t="str">
            <v>Gross Income</v>
          </cell>
          <cell r="N246">
            <v>5576</v>
          </cell>
          <cell r="O246">
            <v>5815</v>
          </cell>
          <cell r="P246">
            <v>6020</v>
          </cell>
          <cell r="Q246">
            <v>6147</v>
          </cell>
          <cell r="R246">
            <v>6453</v>
          </cell>
          <cell r="S246">
            <v>6683</v>
          </cell>
          <cell r="T246">
            <v>6182</v>
          </cell>
          <cell r="U246">
            <v>6247</v>
          </cell>
          <cell r="V246">
            <v>6237</v>
          </cell>
          <cell r="W246">
            <v>6430</v>
          </cell>
          <cell r="X246">
            <v>9118</v>
          </cell>
          <cell r="Y246">
            <v>10951</v>
          </cell>
          <cell r="Z246">
            <v>10530.106160497871</v>
          </cell>
          <cell r="AA246">
            <v>9883</v>
          </cell>
          <cell r="AB246">
            <v>9626</v>
          </cell>
          <cell r="AC246">
            <v>10179</v>
          </cell>
          <cell r="AD246">
            <v>10667</v>
          </cell>
          <cell r="AE246">
            <v>11064.870581711904</v>
          </cell>
          <cell r="AF246">
            <v>11029.271255181637</v>
          </cell>
          <cell r="AG246">
            <v>11283.737362185915</v>
          </cell>
          <cell r="AH246">
            <v>11372.414107877315</v>
          </cell>
          <cell r="AI246">
            <v>11429.105981071258</v>
          </cell>
          <cell r="AJ246">
            <v>11543.397040881971</v>
          </cell>
          <cell r="AK246">
            <v>11658.831011290791</v>
          </cell>
          <cell r="AL246">
            <v>11775.419321403699</v>
          </cell>
        </row>
        <row r="247">
          <cell r="A247" t="str">
            <v>Gross Margin</v>
          </cell>
          <cell r="N247">
            <v>0.38155193649924729</v>
          </cell>
          <cell r="O247">
            <v>0.39203128160183376</v>
          </cell>
          <cell r="P247">
            <v>0.39553219448094612</v>
          </cell>
          <cell r="Q247">
            <v>0.40006508298080051</v>
          </cell>
          <cell r="R247">
            <v>0.40258281864121281</v>
          </cell>
          <cell r="S247">
            <v>0.40167087390311335</v>
          </cell>
          <cell r="T247">
            <v>0.3916376306620209</v>
          </cell>
          <cell r="U247">
            <v>0.40119452828976943</v>
          </cell>
          <cell r="V247">
            <v>0.40468466130288089</v>
          </cell>
          <cell r="W247">
            <v>0.40758113590263689</v>
          </cell>
          <cell r="X247">
            <v>0.4072353729343457</v>
          </cell>
          <cell r="Y247">
            <v>0.40604375231738971</v>
          </cell>
          <cell r="Z247">
            <v>0.40018645386302859</v>
          </cell>
          <cell r="AA247">
            <v>0.39703519202956772</v>
          </cell>
          <cell r="AB247">
            <v>0.40269410977242304</v>
          </cell>
          <cell r="AC247">
            <v>0.4071111466624005</v>
          </cell>
          <cell r="AD247">
            <v>0.4039765195985609</v>
          </cell>
          <cell r="AE247">
            <v>0.40329437150037994</v>
          </cell>
          <cell r="AF247">
            <v>0.40229437150037994</v>
          </cell>
          <cell r="AG247">
            <v>0.40379437150037994</v>
          </cell>
          <cell r="AH247">
            <v>0.40279437150037994</v>
          </cell>
          <cell r="AI247">
            <v>0.40079437150037994</v>
          </cell>
          <cell r="AJ247">
            <v>0.40079437150037994</v>
          </cell>
          <cell r="AK247">
            <v>0.40079437150037994</v>
          </cell>
          <cell r="AL247">
            <v>0.40079437150037994</v>
          </cell>
        </row>
        <row r="248">
          <cell r="A248" t="str">
            <v>Y/Y ∆ Gross Margin (bps)</v>
          </cell>
          <cell r="O248">
            <v>104.79345102586468</v>
          </cell>
          <cell r="P248">
            <v>35.009128791123615</v>
          </cell>
          <cell r="Q248">
            <v>45.328884998543927</v>
          </cell>
          <cell r="R248">
            <v>25.177356604123013</v>
          </cell>
          <cell r="S248">
            <v>-9.1194473809946821</v>
          </cell>
          <cell r="T248">
            <v>-100.33243241092448</v>
          </cell>
          <cell r="U248">
            <v>95.568976277485291</v>
          </cell>
          <cell r="V248">
            <v>34.901330131114626</v>
          </cell>
          <cell r="W248">
            <v>28.964745997560048</v>
          </cell>
          <cell r="X248">
            <v>-3.4576296829119668</v>
          </cell>
          <cell r="Y248">
            <v>-11.916206169559906</v>
          </cell>
          <cell r="Z248">
            <v>-58.572984543611149</v>
          </cell>
          <cell r="AA248">
            <v>-31.512618334608721</v>
          </cell>
          <cell r="AB248">
            <v>56.589177428553185</v>
          </cell>
          <cell r="AC248">
            <v>44.170368899774658</v>
          </cell>
          <cell r="AD248">
            <v>-31.346270638396014</v>
          </cell>
          <cell r="AE248">
            <v>-6.821480981809569</v>
          </cell>
          <cell r="AF248">
            <v>-10</v>
          </cell>
          <cell r="AG248">
            <v>15</v>
          </cell>
          <cell r="AH248">
            <v>-10</v>
          </cell>
          <cell r="AI248">
            <v>-20</v>
          </cell>
          <cell r="AJ248">
            <v>0</v>
          </cell>
          <cell r="AK248">
            <v>0</v>
          </cell>
          <cell r="AL248">
            <v>0</v>
          </cell>
          <cell r="AN248" t="str">
            <v>Bull Case Assumptions</v>
          </cell>
          <cell r="EL248" t="str">
            <v>Bull Case Assumptions</v>
          </cell>
        </row>
        <row r="249">
          <cell r="A249" t="str">
            <v>SG&amp;A Expenses</v>
          </cell>
          <cell r="N249">
            <v>4913</v>
          </cell>
          <cell r="O249">
            <v>4922</v>
          </cell>
          <cell r="P249">
            <v>4679</v>
          </cell>
          <cell r="Q249">
            <v>4692</v>
          </cell>
          <cell r="R249">
            <v>4760</v>
          </cell>
          <cell r="S249">
            <v>4912</v>
          </cell>
          <cell r="T249">
            <v>4806</v>
          </cell>
          <cell r="U249">
            <v>4836</v>
          </cell>
          <cell r="V249">
            <v>4837</v>
          </cell>
          <cell r="W249">
            <v>4931</v>
          </cell>
          <cell r="X249">
            <v>6980</v>
          </cell>
          <cell r="Y249">
            <v>8678</v>
          </cell>
          <cell r="Z249">
            <v>8523.9117921820616</v>
          </cell>
          <cell r="AA249">
            <v>8458</v>
          </cell>
          <cell r="AB249">
            <v>8163</v>
          </cell>
          <cell r="AC249">
            <v>8260</v>
          </cell>
          <cell r="AD249">
            <v>8281</v>
          </cell>
          <cell r="AE249">
            <v>8516.1531222989761</v>
          </cell>
          <cell r="AF249">
            <v>8646.9343212599488</v>
          </cell>
          <cell r="AG249">
            <v>8785.6287497368903</v>
          </cell>
          <cell r="AH249">
            <v>8848.4226499075667</v>
          </cell>
          <cell r="AI249">
            <v>8908.3907424642257</v>
          </cell>
          <cell r="AJ249">
            <v>8968.67335460703</v>
          </cell>
          <cell r="AK249">
            <v>9029.2707799184409</v>
          </cell>
          <cell r="AL249">
            <v>9090.1832864006192</v>
          </cell>
          <cell r="AN249" t="str">
            <v>Consolidated Stores Monthly Sales ($)</v>
          </cell>
          <cell r="EL249" t="str">
            <v>Consolidated Stores Monthly Sales ($)</v>
          </cell>
          <cell r="EU249">
            <v>356</v>
          </cell>
        </row>
        <row r="250">
          <cell r="A250" t="str">
            <v>SG&amp;A Ratio</v>
          </cell>
          <cell r="N250">
            <v>0.33618448063500755</v>
          </cell>
          <cell r="O250">
            <v>0.33182768152093306</v>
          </cell>
          <cell r="P250">
            <v>0.30742444152431014</v>
          </cell>
          <cell r="Q250">
            <v>0.30536934591604298</v>
          </cell>
          <cell r="R250">
            <v>0.29696175681577142</v>
          </cell>
          <cell r="S250">
            <v>0.29522779180189929</v>
          </cell>
          <cell r="T250">
            <v>0.30446626544187522</v>
          </cell>
          <cell r="U250">
            <v>0.31057735534005521</v>
          </cell>
          <cell r="V250">
            <v>0.31384635349078638</v>
          </cell>
          <cell r="W250">
            <v>0.31256338742393508</v>
          </cell>
          <cell r="X250">
            <v>0.311746315319339</v>
          </cell>
          <cell r="Y250">
            <v>0.32176492398961809</v>
          </cell>
          <cell r="Z250">
            <v>0.32394298605944066</v>
          </cell>
          <cell r="AA250">
            <v>0.33978788365739998</v>
          </cell>
          <cell r="AB250">
            <v>0.34149096385542171</v>
          </cell>
          <cell r="AC250">
            <v>0.33036035675718911</v>
          </cell>
          <cell r="AD250">
            <v>0.31361484567316794</v>
          </cell>
          <cell r="AE250">
            <v>0.31039826410036436</v>
          </cell>
          <cell r="AF250">
            <v>0.31539826410036437</v>
          </cell>
          <cell r="AG250">
            <v>0.31439826410036437</v>
          </cell>
          <cell r="AH250">
            <v>0.31339826410036437</v>
          </cell>
          <cell r="AI250">
            <v>0.31239826410036436</v>
          </cell>
          <cell r="AJ250">
            <v>0.31139826410036436</v>
          </cell>
          <cell r="AK250">
            <v>0.31039826410036436</v>
          </cell>
          <cell r="AL250">
            <v>0.30939826410036436</v>
          </cell>
          <cell r="AN250" t="str">
            <v>Month 1</v>
          </cell>
          <cell r="EL250" t="str">
            <v>Month 1</v>
          </cell>
          <cell r="ER250">
            <v>1800</v>
          </cell>
          <cell r="ES250">
            <v>2026</v>
          </cell>
          <cell r="ET250">
            <v>1727</v>
          </cell>
          <cell r="EU250">
            <v>2385</v>
          </cell>
          <cell r="EX250">
            <v>1802</v>
          </cell>
          <cell r="EY250">
            <v>1976</v>
          </cell>
          <cell r="EZ250">
            <v>1788</v>
          </cell>
          <cell r="FA250">
            <v>2707</v>
          </cell>
          <cell r="FD250">
            <v>1737</v>
          </cell>
          <cell r="FE250">
            <v>1926</v>
          </cell>
          <cell r="FF250">
            <v>1686</v>
          </cell>
          <cell r="FG250">
            <v>2324</v>
          </cell>
          <cell r="FJ250">
            <v>1602.5975291456411</v>
          </cell>
          <cell r="FK250">
            <v>1783.7565582371458</v>
          </cell>
          <cell r="FL250">
            <v>1576.1490988530857</v>
          </cell>
          <cell r="FM250">
            <v>2202.7766574237457</v>
          </cell>
          <cell r="FP250">
            <v>1667</v>
          </cell>
          <cell r="FQ250">
            <v>1789</v>
          </cell>
          <cell r="FR250">
            <v>1638</v>
          </cell>
          <cell r="FS250">
            <v>2341</v>
          </cell>
          <cell r="FV250">
            <v>1763</v>
          </cell>
          <cell r="FW250">
            <v>1937</v>
          </cell>
          <cell r="FX250">
            <v>1714</v>
          </cell>
          <cell r="FY250">
            <v>2465</v>
          </cell>
          <cell r="GB250">
            <v>1860</v>
          </cell>
          <cell r="GC250">
            <v>2015</v>
          </cell>
          <cell r="GD250">
            <v>1812</v>
          </cell>
          <cell r="GE250">
            <v>2588.4099701374939</v>
          </cell>
        </row>
        <row r="251">
          <cell r="A251" t="str">
            <v>Y/Y ∆ SG&amp;A Ratio (bps)</v>
          </cell>
          <cell r="O251">
            <v>-43.567991140744944</v>
          </cell>
          <cell r="P251">
            <v>-244.03239996622915</v>
          </cell>
          <cell r="Q251">
            <v>-20.550956082671657</v>
          </cell>
          <cell r="R251">
            <v>-84.075891002715622</v>
          </cell>
          <cell r="S251">
            <v>-17.339650138721296</v>
          </cell>
          <cell r="T251">
            <v>92.384736399759305</v>
          </cell>
          <cell r="U251">
            <v>61.110898981799892</v>
          </cell>
          <cell r="V251">
            <v>32.689981507311728</v>
          </cell>
          <cell r="W251">
            <v>-12.829660668512988</v>
          </cell>
          <cell r="X251">
            <v>-8.170721045960839</v>
          </cell>
          <cell r="Y251">
            <v>100.18608670279094</v>
          </cell>
          <cell r="Z251">
            <v>21.780620698225729</v>
          </cell>
          <cell r="AA251">
            <v>158.44897597959317</v>
          </cell>
          <cell r="AB251">
            <v>17.030801980217337</v>
          </cell>
          <cell r="AC251">
            <v>-111.30607098232603</v>
          </cell>
          <cell r="AD251">
            <v>-167.45511084021169</v>
          </cell>
          <cell r="AE251">
            <v>-32.165815728035781</v>
          </cell>
          <cell r="AF251">
            <v>50</v>
          </cell>
          <cell r="AG251">
            <v>-10</v>
          </cell>
          <cell r="AH251">
            <v>-10</v>
          </cell>
          <cell r="AI251">
            <v>-10</v>
          </cell>
          <cell r="AJ251">
            <v>-10</v>
          </cell>
          <cell r="AK251">
            <v>-10</v>
          </cell>
          <cell r="AL251">
            <v>-10</v>
          </cell>
          <cell r="AN251" t="str">
            <v>Month 2</v>
          </cell>
          <cell r="EL251" t="str">
            <v>Month 2</v>
          </cell>
          <cell r="ER251">
            <v>2255</v>
          </cell>
          <cell r="ES251">
            <v>2367</v>
          </cell>
          <cell r="ET251">
            <v>2303</v>
          </cell>
          <cell r="EU251">
            <v>4997</v>
          </cell>
          <cell r="EX251">
            <v>2288</v>
          </cell>
          <cell r="EY251">
            <v>2321</v>
          </cell>
          <cell r="EZ251">
            <v>2274</v>
          </cell>
          <cell r="FA251">
            <v>4624</v>
          </cell>
          <cell r="FD251">
            <v>2142</v>
          </cell>
          <cell r="FE251">
            <v>2249</v>
          </cell>
          <cell r="FF251">
            <v>2093</v>
          </cell>
          <cell r="FG251">
            <v>4397</v>
          </cell>
          <cell r="FJ251">
            <v>1963.7990255785628</v>
          </cell>
          <cell r="FK251">
            <v>2092.5916404337181</v>
          </cell>
          <cell r="FL251">
            <v>2084.1512834516657</v>
          </cell>
          <cell r="FM251">
            <v>4474.7693471136881</v>
          </cell>
          <cell r="FP251">
            <v>2172</v>
          </cell>
          <cell r="FQ251">
            <v>2229</v>
          </cell>
          <cell r="FR251">
            <v>2181</v>
          </cell>
          <cell r="FS251">
            <v>4619</v>
          </cell>
          <cell r="FV251">
            <v>2206</v>
          </cell>
          <cell r="FW251">
            <v>2392</v>
          </cell>
          <cell r="FX251">
            <v>2298</v>
          </cell>
          <cell r="FY251">
            <v>4925</v>
          </cell>
          <cell r="GB251">
            <v>2358</v>
          </cell>
          <cell r="GC251">
            <v>2412</v>
          </cell>
          <cell r="GD251">
            <v>2384.7396820310178</v>
          </cell>
          <cell r="GE251">
            <v>5171.5696157919501</v>
          </cell>
        </row>
        <row r="252">
          <cell r="A252" t="str">
            <v>Operating Income</v>
          </cell>
          <cell r="N252">
            <v>663</v>
          </cell>
          <cell r="O252">
            <v>893</v>
          </cell>
          <cell r="P252">
            <v>1341</v>
          </cell>
          <cell r="Q252">
            <v>1455</v>
          </cell>
          <cell r="R252">
            <v>1693</v>
          </cell>
          <cell r="S252">
            <v>1771</v>
          </cell>
          <cell r="T252">
            <v>1376</v>
          </cell>
          <cell r="U252">
            <v>1411</v>
          </cell>
          <cell r="V252">
            <v>1400</v>
          </cell>
          <cell r="W252">
            <v>1499</v>
          </cell>
          <cell r="X252">
            <v>2138</v>
          </cell>
          <cell r="Y252">
            <v>2273</v>
          </cell>
          <cell r="Z252">
            <v>2006.1943683158097</v>
          </cell>
          <cell r="AA252">
            <v>1425</v>
          </cell>
          <cell r="AB252">
            <v>1463</v>
          </cell>
          <cell r="AC252">
            <v>1919</v>
          </cell>
          <cell r="AD252">
            <v>2386</v>
          </cell>
          <cell r="AE252">
            <v>2548.7174594129283</v>
          </cell>
          <cell r="AF252">
            <v>2382.3369339216879</v>
          </cell>
          <cell r="AG252">
            <v>2498.1086124490248</v>
          </cell>
          <cell r="AH252">
            <v>2523.9914579697488</v>
          </cell>
          <cell r="AI252">
            <v>2520.715238607032</v>
          </cell>
          <cell r="AJ252">
            <v>2574.7236862749414</v>
          </cell>
          <cell r="AK252">
            <v>2629.5602313723502</v>
          </cell>
          <cell r="AL252">
            <v>2685.2360350030795</v>
          </cell>
          <cell r="AN252" t="str">
            <v>Month 3</v>
          </cell>
          <cell r="EL252" t="str">
            <v>Month 3</v>
          </cell>
          <cell r="ER252">
            <v>1878</v>
          </cell>
          <cell r="ES252">
            <v>1608</v>
          </cell>
          <cell r="ET252">
            <v>1863</v>
          </cell>
          <cell r="EU252">
            <v>1780</v>
          </cell>
          <cell r="EX252">
            <v>1837</v>
          </cell>
          <cell r="EY252">
            <v>1602</v>
          </cell>
          <cell r="EZ252">
            <v>1849</v>
          </cell>
          <cell r="FA252">
            <v>1273</v>
          </cell>
          <cell r="FD252">
            <v>1868</v>
          </cell>
          <cell r="FE252">
            <v>1543</v>
          </cell>
          <cell r="FF252">
            <v>1714</v>
          </cell>
          <cell r="FG252">
            <v>1213</v>
          </cell>
          <cell r="FJ252">
            <v>1720.603445275796</v>
          </cell>
          <cell r="FK252">
            <v>1409.6518013291361</v>
          </cell>
          <cell r="FL252">
            <v>1725.6996176952484</v>
          </cell>
          <cell r="FM252">
            <v>1268.4539954625661</v>
          </cell>
          <cell r="FP252">
            <v>1739</v>
          </cell>
          <cell r="FQ252">
            <v>1528</v>
          </cell>
          <cell r="FR252">
            <v>1806</v>
          </cell>
          <cell r="FS252">
            <v>1310</v>
          </cell>
          <cell r="FV252">
            <v>1920</v>
          </cell>
          <cell r="FW252">
            <v>1612</v>
          </cell>
          <cell r="FX252">
            <v>1842</v>
          </cell>
          <cell r="FY252">
            <v>1336</v>
          </cell>
          <cell r="GB252">
            <v>1928</v>
          </cell>
          <cell r="GC252">
            <v>1693</v>
          </cell>
          <cell r="GD252">
            <v>1954.7377926421409</v>
          </cell>
          <cell r="GE252">
            <v>1786.9703975101447</v>
          </cell>
        </row>
        <row r="253">
          <cell r="A253" t="str">
            <v>Operating Margin</v>
          </cell>
          <cell r="N253">
            <v>4.5367455864239771E-2</v>
          </cell>
          <cell r="O253">
            <v>6.0203600080900692E-2</v>
          </cell>
          <cell r="P253">
            <v>8.8107752956636004E-2</v>
          </cell>
          <cell r="Q253">
            <v>9.4695737064757562E-2</v>
          </cell>
          <cell r="R253">
            <v>0.10562106182544138</v>
          </cell>
          <cell r="S253">
            <v>0.10644308210121409</v>
          </cell>
          <cell r="T253">
            <v>8.7171365220145708E-2</v>
          </cell>
          <cell r="U253">
            <v>9.0617172949714206E-2</v>
          </cell>
          <cell r="V253">
            <v>9.0838307812094468E-2</v>
          </cell>
          <cell r="W253">
            <v>9.5017748478701827E-2</v>
          </cell>
          <cell r="X253">
            <v>9.5489057615006701E-2</v>
          </cell>
          <cell r="Y253">
            <v>8.4278828327771602E-2</v>
          </cell>
          <cell r="Z253">
            <v>7.6243467803587955E-2</v>
          </cell>
          <cell r="AA253">
            <v>5.7247308372167766E-2</v>
          </cell>
          <cell r="AB253">
            <v>6.1203145917001336E-2</v>
          </cell>
          <cell r="AC253">
            <v>7.6750789905211378E-2</v>
          </cell>
          <cell r="AD253">
            <v>9.0361673925392919E-2</v>
          </cell>
          <cell r="AE253">
            <v>9.2896107400015596E-2</v>
          </cell>
          <cell r="AF253">
            <v>8.6896107400015535E-2</v>
          </cell>
          <cell r="AG253">
            <v>8.9396107400015537E-2</v>
          </cell>
          <cell r="AH253">
            <v>8.9396107400015551E-2</v>
          </cell>
          <cell r="AI253">
            <v>8.8396107400015606E-2</v>
          </cell>
          <cell r="AJ253">
            <v>8.9396107400015565E-2</v>
          </cell>
          <cell r="AK253">
            <v>9.0396107400015593E-2</v>
          </cell>
          <cell r="AL253">
            <v>9.1396107400015622E-2</v>
          </cell>
          <cell r="AN253" t="str">
            <v>Total</v>
          </cell>
          <cell r="EL253" t="str">
            <v>Total</v>
          </cell>
          <cell r="ER253">
            <v>5930</v>
          </cell>
          <cell r="ES253">
            <v>5995</v>
          </cell>
          <cell r="ET253">
            <v>5886</v>
          </cell>
          <cell r="EU253">
            <v>9159</v>
          </cell>
          <cell r="EV253">
            <v>26970</v>
          </cell>
          <cell r="EX253">
            <v>5921</v>
          </cell>
          <cell r="EY253">
            <v>5892</v>
          </cell>
          <cell r="EZ253">
            <v>5906</v>
          </cell>
          <cell r="FA253">
            <v>8594</v>
          </cell>
          <cell r="FB253">
            <v>26313</v>
          </cell>
          <cell r="FD253">
            <v>5747</v>
          </cell>
          <cell r="FE253">
            <v>5718</v>
          </cell>
          <cell r="FF253">
            <v>5493</v>
          </cell>
          <cell r="FG253">
            <v>7934</v>
          </cell>
          <cell r="FH253">
            <v>24892</v>
          </cell>
          <cell r="FJ253">
            <v>5288</v>
          </cell>
          <cell r="FK253">
            <v>5285</v>
          </cell>
          <cell r="FL253">
            <v>5385</v>
          </cell>
          <cell r="FM253">
            <v>7946</v>
          </cell>
          <cell r="FN253">
            <v>23904</v>
          </cell>
          <cell r="FP253">
            <v>5574</v>
          </cell>
          <cell r="FQ253">
            <v>5537</v>
          </cell>
          <cell r="FR253">
            <v>5623</v>
          </cell>
          <cell r="FS253">
            <v>8269</v>
          </cell>
          <cell r="FT253">
            <v>25003</v>
          </cell>
          <cell r="FV253">
            <v>5889</v>
          </cell>
          <cell r="FW253">
            <v>5939</v>
          </cell>
          <cell r="FX253">
            <v>5853</v>
          </cell>
          <cell r="FY253">
            <v>8724</v>
          </cell>
          <cell r="FZ253">
            <v>26405</v>
          </cell>
          <cell r="GB253">
            <v>6143</v>
          </cell>
          <cell r="GC253">
            <v>6118</v>
          </cell>
          <cell r="GD253">
            <v>6151.4774746731582</v>
          </cell>
          <cell r="GE253">
            <v>9546.9499834395901</v>
          </cell>
          <cell r="GF253">
            <v>27959.427458112747</v>
          </cell>
        </row>
        <row r="254">
          <cell r="A254" t="str">
            <v>Y/Y ∆ Operating Margin (bps)</v>
          </cell>
          <cell r="O254">
            <v>148.36144216660921</v>
          </cell>
          <cell r="P254">
            <v>279.04152875735315</v>
          </cell>
          <cell r="Q254">
            <v>65.879841081215588</v>
          </cell>
          <cell r="R254">
            <v>109.25324760683822</v>
          </cell>
          <cell r="S254">
            <v>8.22020275772703</v>
          </cell>
          <cell r="T254">
            <v>-192.7171688106838</v>
          </cell>
          <cell r="U254">
            <v>34.45807729568498</v>
          </cell>
          <cell r="V254">
            <v>2.2113486238026225</v>
          </cell>
          <cell r="W254">
            <v>41.794406666073591</v>
          </cell>
          <cell r="X254">
            <v>4.7130913630487328</v>
          </cell>
          <cell r="Y254">
            <v>-112.10229287235099</v>
          </cell>
          <cell r="Z254">
            <v>-80.353605241836462</v>
          </cell>
          <cell r="AA254">
            <v>-189.9615943142019</v>
          </cell>
          <cell r="AB254">
            <v>39.55837544833571</v>
          </cell>
          <cell r="AC254">
            <v>155.47643988210041</v>
          </cell>
          <cell r="AD254">
            <v>136.10884020181541</v>
          </cell>
          <cell r="AE254">
            <v>25.344334746226771</v>
          </cell>
          <cell r="AF254">
            <v>-60.000000000000611</v>
          </cell>
          <cell r="AG254">
            <v>25.000000000000021</v>
          </cell>
          <cell r="AH254">
            <v>1.3877787807814457E-13</v>
          </cell>
          <cell r="AI254">
            <v>-9.9999999999994529</v>
          </cell>
          <cell r="AJ254">
            <v>9.9999999999995932</v>
          </cell>
          <cell r="AK254">
            <v>10.000000000000286</v>
          </cell>
          <cell r="AL254">
            <v>10.000000000000286</v>
          </cell>
        </row>
        <row r="255">
          <cell r="AN255" t="str">
            <v xml:space="preserve">Consolidated Monthly Comps </v>
          </cell>
          <cell r="EL255" t="str">
            <v xml:space="preserve">Consolidated Monthly Comps </v>
          </cell>
        </row>
        <row r="256">
          <cell r="A256" t="str">
            <v>Assumptions Spreads</v>
          </cell>
          <cell r="N256">
            <v>1995</v>
          </cell>
          <cell r="O256">
            <v>1996</v>
          </cell>
          <cell r="P256">
            <v>1997</v>
          </cell>
          <cell r="Q256">
            <v>1998</v>
          </cell>
          <cell r="R256">
            <v>1999</v>
          </cell>
          <cell r="S256">
            <v>2000</v>
          </cell>
          <cell r="T256">
            <v>2001</v>
          </cell>
          <cell r="U256">
            <v>2002</v>
          </cell>
          <cell r="V256">
            <v>2003</v>
          </cell>
          <cell r="W256">
            <v>2004</v>
          </cell>
          <cell r="X256">
            <v>2005</v>
          </cell>
          <cell r="Y256">
            <v>2006</v>
          </cell>
          <cell r="Z256">
            <v>2007</v>
          </cell>
          <cell r="AA256">
            <v>2008</v>
          </cell>
          <cell r="AB256">
            <v>2009</v>
          </cell>
          <cell r="AC256">
            <v>2010</v>
          </cell>
          <cell r="AD256">
            <v>2011</v>
          </cell>
          <cell r="AE256" t="str">
            <v>2012E</v>
          </cell>
          <cell r="AF256" t="str">
            <v>2013E</v>
          </cell>
          <cell r="AG256" t="str">
            <v>2014E</v>
          </cell>
          <cell r="AH256" t="str">
            <v>2015E</v>
          </cell>
          <cell r="AI256" t="str">
            <v>2016E</v>
          </cell>
          <cell r="AJ256" t="str">
            <v>2017E</v>
          </cell>
          <cell r="AK256" t="str">
            <v>2018E</v>
          </cell>
          <cell r="AL256" t="str">
            <v>2019E</v>
          </cell>
          <cell r="AN256" t="str">
            <v>Month 1</v>
          </cell>
          <cell r="EL256" t="str">
            <v>Month 1</v>
          </cell>
          <cell r="ER256">
            <v>0.01</v>
          </cell>
          <cell r="ES256">
            <v>9.1999999999999998E-2</v>
          </cell>
          <cell r="ET256">
            <v>3.7999999999999999E-2</v>
          </cell>
          <cell r="EU256">
            <v>8.5000000000000006E-2</v>
          </cell>
          <cell r="EX256">
            <v>1.2E-2</v>
          </cell>
          <cell r="EY256">
            <v>-3.3000000000000002E-2</v>
          </cell>
          <cell r="EZ256">
            <v>2.4E-2</v>
          </cell>
          <cell r="FA256">
            <v>0.13400000000000001</v>
          </cell>
          <cell r="FD256">
            <v>-3.5000000000000003E-2</v>
          </cell>
          <cell r="FE256">
            <v>-1.4999999999999999E-2</v>
          </cell>
          <cell r="FF256">
            <v>-4.8000000000000001E-2</v>
          </cell>
          <cell r="FG256">
            <v>-0.13300000000000001</v>
          </cell>
          <cell r="FJ256">
            <v>-8.5000000000000006E-2</v>
          </cell>
          <cell r="FK256">
            <v>-9.0999999999999998E-2</v>
          </cell>
          <cell r="FL256">
            <v>-8.1000000000000003E-2</v>
          </cell>
          <cell r="FM256">
            <v>-6.0999999999999999E-2</v>
          </cell>
          <cell r="FP256">
            <v>3.6999999999999998E-2</v>
          </cell>
          <cell r="FQ256">
            <v>1.4E-2</v>
          </cell>
          <cell r="FR256">
            <v>4.2999999999999997E-2</v>
          </cell>
          <cell r="FS256">
            <v>6.0999999999999999E-2</v>
          </cell>
          <cell r="FV256">
            <v>5.8000000000000003E-2</v>
          </cell>
          <cell r="FW256">
            <v>7.3999999999999996E-2</v>
          </cell>
          <cell r="FX256">
            <v>0.05</v>
          </cell>
          <cell r="FY256">
            <v>4.8000000000000001E-2</v>
          </cell>
          <cell r="GB256">
            <v>4.5999999999999999E-2</v>
          </cell>
          <cell r="GC256">
            <v>4.2000000000000003E-2</v>
          </cell>
          <cell r="GD256">
            <v>5.0999999999999997E-2</v>
          </cell>
          <cell r="GE256">
            <v>0.06</v>
          </cell>
        </row>
        <row r="257">
          <cell r="A257" t="str">
            <v>Bull Case Assumptions</v>
          </cell>
          <cell r="AN257" t="str">
            <v>Month 2</v>
          </cell>
          <cell r="EL257" t="str">
            <v>Month 2</v>
          </cell>
          <cell r="ER257">
            <v>0</v>
          </cell>
          <cell r="ES257">
            <v>1.7000000000000001E-2</v>
          </cell>
          <cell r="ET257">
            <v>6.5000000000000002E-2</v>
          </cell>
          <cell r="EU257">
            <v>4.3999999999999997E-2</v>
          </cell>
          <cell r="EX257">
            <v>2.3E-2</v>
          </cell>
          <cell r="EY257">
            <v>-2.7E-2</v>
          </cell>
          <cell r="EZ257">
            <v>-2.7E-2</v>
          </cell>
          <cell r="FA257">
            <v>-7.9000000000000001E-2</v>
          </cell>
          <cell r="FD257">
            <v>-6.2E-2</v>
          </cell>
          <cell r="FE257">
            <v>-2.1000000000000001E-2</v>
          </cell>
          <cell r="FF257">
            <v>-6.6000000000000003E-2</v>
          </cell>
          <cell r="FG257">
            <v>-0.04</v>
          </cell>
          <cell r="FJ257">
            <v>-9.1999999999999998E-2</v>
          </cell>
          <cell r="FK257">
            <v>-8.8999999999999996E-2</v>
          </cell>
          <cell r="FL257">
            <v>-2.3E-2</v>
          </cell>
          <cell r="FM257">
            <v>0.01</v>
          </cell>
          <cell r="FP257">
            <v>0.10800000000000001</v>
          </cell>
          <cell r="FQ257">
            <v>6.5000000000000002E-2</v>
          </cell>
          <cell r="FR257">
            <v>4.8000000000000001E-2</v>
          </cell>
          <cell r="FS257">
            <v>3.9E-2</v>
          </cell>
          <cell r="FV257">
            <v>8.9999999999999993E-3</v>
          </cell>
          <cell r="FW257">
            <v>6.7000000000000004E-2</v>
          </cell>
          <cell r="FX257">
            <v>4.9000000000000002E-2</v>
          </cell>
          <cell r="FY257">
            <v>6.2E-2</v>
          </cell>
          <cell r="GB257">
            <v>7.2999999999999995E-2</v>
          </cell>
          <cell r="GC257">
            <v>1.2E-2</v>
          </cell>
          <cell r="GD257">
            <v>0.05</v>
          </cell>
          <cell r="GE257">
            <v>0.06</v>
          </cell>
        </row>
        <row r="258">
          <cell r="A258" t="str">
            <v>Same Store</v>
          </cell>
          <cell r="AF258">
            <v>0.04</v>
          </cell>
          <cell r="AN258" t="str">
            <v>Month 3</v>
          </cell>
          <cell r="EL258" t="str">
            <v>Month 3</v>
          </cell>
          <cell r="ER258">
            <v>-8.0000000000000002E-3</v>
          </cell>
          <cell r="ES258">
            <v>3.3000000000000002E-2</v>
          </cell>
          <cell r="ET258">
            <v>7.6999999999999999E-2</v>
          </cell>
          <cell r="EU258">
            <v>8.5999999999999993E-2</v>
          </cell>
          <cell r="EX258">
            <v>-2.1999999999999999E-2</v>
          </cell>
          <cell r="EY258">
            <v>-1.4E-2</v>
          </cell>
          <cell r="EZ258">
            <v>-1.4999999999999999E-2</v>
          </cell>
          <cell r="FA258">
            <v>-7.0999999999999994E-2</v>
          </cell>
          <cell r="FD258">
            <v>0.03</v>
          </cell>
          <cell r="FE258">
            <v>-2.9000000000000001E-2</v>
          </cell>
          <cell r="FF258">
            <v>-6.3E-2</v>
          </cell>
          <cell r="FG258">
            <v>-4.4999999999999998E-2</v>
          </cell>
          <cell r="FJ258">
            <v>-9.0999999999999998E-2</v>
          </cell>
          <cell r="FK258">
            <v>-0.107</v>
          </cell>
          <cell r="FL258">
            <v>-8.0000000000000002E-3</v>
          </cell>
          <cell r="FM258">
            <v>3.4000000000000002E-2</v>
          </cell>
          <cell r="FP258">
            <v>1.0999999999999999E-2</v>
          </cell>
          <cell r="FQ258">
            <v>7.2999999999999995E-2</v>
          </cell>
          <cell r="FR258">
            <v>2.5000000000000001E-2</v>
          </cell>
          <cell r="FS258">
            <v>2.5999999999999999E-2</v>
          </cell>
          <cell r="FV258">
            <v>0.108</v>
          </cell>
          <cell r="FW258">
            <v>0.05</v>
          </cell>
          <cell r="FX258">
            <v>2.1999999999999999E-2</v>
          </cell>
          <cell r="FY258">
            <v>2.4E-2</v>
          </cell>
          <cell r="GB258">
            <v>1.2E-2</v>
          </cell>
          <cell r="GC258">
            <v>4.1000000000000002E-2</v>
          </cell>
          <cell r="GD258">
            <v>7.4999999999999997E-2</v>
          </cell>
          <cell r="GE258">
            <v>7.0000000000000007E-2</v>
          </cell>
        </row>
        <row r="259">
          <cell r="A259" t="str">
            <v>Y/Y ∆ Gross Margin (bps)</v>
          </cell>
          <cell r="AF259">
            <v>50</v>
          </cell>
          <cell r="AN259" t="str">
            <v>Total</v>
          </cell>
          <cell r="EL259" t="str">
            <v>Total</v>
          </cell>
          <cell r="ER259">
            <v>0</v>
          </cell>
          <cell r="ES259">
            <v>4.5999999999999999E-2</v>
          </cell>
          <cell r="ET259">
            <v>5.8999999999999997E-2</v>
          </cell>
          <cell r="EU259">
            <v>6.0999999999999999E-2</v>
          </cell>
          <cell r="EV259">
            <v>4.3999999999999997E-2</v>
          </cell>
          <cell r="EX259">
            <v>6.0000000000000001E-3</v>
          </cell>
          <cell r="EY259">
            <v>-2.5999999999999999E-2</v>
          </cell>
          <cell r="EZ259">
            <v>-8.0000000000000002E-3</v>
          </cell>
          <cell r="FA259">
            <v>-0.02</v>
          </cell>
          <cell r="FB259">
            <v>-1.2999999999999999E-2</v>
          </cell>
          <cell r="FD259">
            <v>-2.5999999999999999E-2</v>
          </cell>
          <cell r="FE259">
            <v>-2.1000000000000001E-2</v>
          </cell>
          <cell r="FF259">
            <v>-0.06</v>
          </cell>
          <cell r="FG259">
            <v>-7.0000000000000007E-2</v>
          </cell>
          <cell r="FH259">
            <v>-4.4999999999999998E-2</v>
          </cell>
          <cell r="FJ259">
            <v>-0.09</v>
          </cell>
          <cell r="FK259">
            <v>-9.5000000000000001E-2</v>
          </cell>
          <cell r="FL259">
            <v>-3.5999999999999997E-2</v>
          </cell>
          <cell r="FM259">
            <v>-5.8512769677805648E-3</v>
          </cell>
          <cell r="FN259">
            <v>-5.0968425652024113E-2</v>
          </cell>
          <cell r="FP259">
            <v>5.5E-2</v>
          </cell>
          <cell r="FQ259">
            <v>4.9000000000000002E-2</v>
          </cell>
          <cell r="FR259">
            <v>3.9E-2</v>
          </cell>
          <cell r="FS259">
            <v>4.2999999999999997E-2</v>
          </cell>
          <cell r="FT259">
            <v>4.610434747830261E-2</v>
          </cell>
          <cell r="FV259">
            <v>5.3999999999999999E-2</v>
          </cell>
          <cell r="FW259">
            <v>6.4000000000000001E-2</v>
          </cell>
          <cell r="FX259">
            <v>0.04</v>
          </cell>
          <cell r="FY259">
            <v>5.1999999999999998E-2</v>
          </cell>
          <cell r="FZ259">
            <v>5.2999999999999999E-2</v>
          </cell>
          <cell r="GB259">
            <v>4.3999999999999997E-2</v>
          </cell>
          <cell r="GC259">
            <v>0.03</v>
          </cell>
          <cell r="GD259">
            <v>5.8238743460366213E-2</v>
          </cell>
          <cell r="GE259">
            <v>6.1871770985089329E-2</v>
          </cell>
          <cell r="GF259">
            <v>5.0171736300135057E-2</v>
          </cell>
        </row>
        <row r="260">
          <cell r="A260" t="str">
            <v>Y/Y ∆ SG&amp;A Ratio (bps)</v>
          </cell>
          <cell r="AF260">
            <v>-35</v>
          </cell>
        </row>
        <row r="261">
          <cell r="A261" t="str">
            <v>Bear Case Assumptions</v>
          </cell>
          <cell r="AN261" t="str">
            <v xml:space="preserve">Consolidated Productivity Factor </v>
          </cell>
          <cell r="EL261" t="str">
            <v xml:space="preserve">Consolidated Productivity Factor </v>
          </cell>
        </row>
        <row r="262">
          <cell r="A262" t="str">
            <v>Same Store</v>
          </cell>
          <cell r="AF262">
            <v>-2.5000000000000001E-2</v>
          </cell>
          <cell r="AN262" t="str">
            <v>Month 1</v>
          </cell>
          <cell r="EL262" t="str">
            <v>Month 1</v>
          </cell>
          <cell r="ER262">
            <v>0.85379589916801657</v>
          </cell>
          <cell r="ES262">
            <v>0.82852877251430668</v>
          </cell>
          <cell r="ET262">
            <v>0.83475030563790842</v>
          </cell>
          <cell r="EU262">
            <v>0.91480422703367681</v>
          </cell>
          <cell r="EX262">
            <v>1.0042251017232908</v>
          </cell>
          <cell r="EY262">
            <v>1.0108075527611304</v>
          </cell>
          <cell r="EZ262">
            <v>1.0032705612197608</v>
          </cell>
          <cell r="FA262">
            <v>0.99617129302855612</v>
          </cell>
          <cell r="FD262">
            <v>1.0047260256693704</v>
          </cell>
          <cell r="FE262">
            <v>1.0011731147187122</v>
          </cell>
          <cell r="FF262">
            <v>1.0015681684828099</v>
          </cell>
          <cell r="FG262">
            <v>0.9980273685296247</v>
          </cell>
          <cell r="FJ262">
            <v>1.0146680194879518</v>
          </cell>
          <cell r="FK262">
            <v>1.0229325701507319</v>
          </cell>
          <cell r="FL262">
            <v>1.0237530410429481</v>
          </cell>
          <cell r="FM262">
            <v>1.0168796021749338</v>
          </cell>
          <cell r="FP262">
            <v>1.0016060228776302</v>
          </cell>
          <cell r="FQ262">
            <v>0.98881215735067063</v>
          </cell>
          <cell r="FR262">
            <v>1.0007452413933455</v>
          </cell>
          <cell r="FS262">
            <v>1.0028115913956974</v>
          </cell>
          <cell r="FV262">
            <v>1.0005096291516782</v>
          </cell>
          <cell r="FW262">
            <v>1.0081721608307339</v>
          </cell>
          <cell r="FX262">
            <v>0.99435769750356207</v>
          </cell>
          <cell r="FY262">
            <v>1.0114048185081832</v>
          </cell>
          <cell r="GB262">
            <v>1.0253009585429893</v>
          </cell>
          <cell r="GC262">
            <v>1.0133052611979987</v>
          </cell>
          <cell r="GD262">
            <v>1.018088666893139</v>
          </cell>
          <cell r="GE262">
            <v>1</v>
          </cell>
        </row>
        <row r="263">
          <cell r="A263" t="str">
            <v>Y/Y ∆ Gross Margin (bps)</v>
          </cell>
          <cell r="AF263">
            <v>-40</v>
          </cell>
          <cell r="AN263" t="str">
            <v>Month 2</v>
          </cell>
          <cell r="EL263" t="str">
            <v>Month 2</v>
          </cell>
          <cell r="ER263">
            <v>0.87143545576033965</v>
          </cell>
          <cell r="ES263">
            <v>0.86259214604526391</v>
          </cell>
          <cell r="ET263">
            <v>0.95476655228407081</v>
          </cell>
          <cell r="EU263">
            <v>0.95390310394604827</v>
          </cell>
          <cell r="EX263">
            <v>0.99756383077735888</v>
          </cell>
          <cell r="EY263">
            <v>1.0076309712339664</v>
          </cell>
          <cell r="EZ263">
            <v>1.0058439901456568</v>
          </cell>
          <cell r="FA263">
            <v>1.0104925603418453</v>
          </cell>
          <cell r="FD263">
            <v>1.0038919718017412</v>
          </cell>
          <cell r="FE263">
            <v>1.0002262623646179</v>
          </cell>
          <cell r="FF263">
            <v>1.0022779610885877</v>
          </cell>
          <cell r="FG263">
            <v>0.98797059201406712</v>
          </cell>
          <cell r="FJ263">
            <v>1.0172356632303496</v>
          </cell>
          <cell r="FK263">
            <v>1.0266388149144143</v>
          </cell>
          <cell r="FL263">
            <v>1.0185440088098592</v>
          </cell>
          <cell r="FM263">
            <v>1.0150644106268683</v>
          </cell>
          <cell r="FP263">
            <v>0.9967530496300272</v>
          </cell>
          <cell r="FQ263">
            <v>0.99989171377441255</v>
          </cell>
          <cell r="FR263">
            <v>1.0028971230689774</v>
          </cell>
          <cell r="FS263">
            <v>0.9946391314592461</v>
          </cell>
          <cell r="FV263">
            <v>1.0074992903911262</v>
          </cell>
          <cell r="FW263">
            <v>1.0057878604073234</v>
          </cell>
          <cell r="FX263">
            <v>1.0057401642886414</v>
          </cell>
          <cell r="FY263">
            <v>1.0118477756232767</v>
          </cell>
          <cell r="GB263">
            <v>1.0102541230632647</v>
          </cell>
          <cell r="GC263">
            <v>1.011143062170935</v>
          </cell>
          <cell r="GD263">
            <v>1</v>
          </cell>
          <cell r="GE263">
            <v>1</v>
          </cell>
        </row>
        <row r="264">
          <cell r="A264" t="str">
            <v>Y/Y ∆ SG&amp;A Ratio (bps)</v>
          </cell>
          <cell r="AF264">
            <v>35</v>
          </cell>
          <cell r="AN264" t="str">
            <v>Month 3</v>
          </cell>
          <cell r="EL264" t="str">
            <v>Month 3</v>
          </cell>
          <cell r="ER264">
            <v>0.85509041472763314</v>
          </cell>
          <cell r="ES264">
            <v>0.83302342705472399</v>
          </cell>
          <cell r="ET264">
            <v>0.9300581404093593</v>
          </cell>
          <cell r="EU264">
            <v>0.88885616548937241</v>
          </cell>
          <cell r="EX264">
            <v>1.0012993536198342</v>
          </cell>
          <cell r="EY264">
            <v>1.0067406823426219</v>
          </cell>
          <cell r="EZ264">
            <v>1.0010354929971583</v>
          </cell>
          <cell r="FA264">
            <v>0.77697496531497701</v>
          </cell>
          <cell r="FD264">
            <v>0.99998610863561077</v>
          </cell>
          <cell r="FE264">
            <v>1.0000776716315167</v>
          </cell>
          <cell r="FF264">
            <v>1.0026881239876493</v>
          </cell>
          <cell r="FG264">
            <v>1.0034001517037674</v>
          </cell>
          <cell r="FJ264">
            <v>1.017274065207098</v>
          </cell>
          <cell r="FK264">
            <v>1.0307481774152398</v>
          </cell>
          <cell r="FL264">
            <v>1.0154616377110075</v>
          </cell>
          <cell r="FM264">
            <v>1.009307170702717</v>
          </cell>
          <cell r="FP264">
            <v>1.0005893323256754</v>
          </cell>
          <cell r="FQ264">
            <v>1.0111137394005785</v>
          </cell>
          <cell r="FR264">
            <v>1.0254628236300125</v>
          </cell>
          <cell r="FS264">
            <v>1.00775043725629</v>
          </cell>
          <cell r="FV264">
            <v>0.99618702023241001</v>
          </cell>
          <cell r="FW264">
            <v>1.0047825549823146</v>
          </cell>
          <cell r="FX264">
            <v>1.0004489851343907</v>
          </cell>
          <cell r="FY264">
            <v>1.008520012530175</v>
          </cell>
          <cell r="GB264">
            <v>1.0062765433093959</v>
          </cell>
          <cell r="GC264">
            <v>1.0227639737625074</v>
          </cell>
          <cell r="GD264">
            <v>1</v>
          </cell>
          <cell r="GE264">
            <v>1</v>
          </cell>
        </row>
        <row r="265">
          <cell r="AN265" t="str">
            <v>Total</v>
          </cell>
          <cell r="EL265" t="str">
            <v>Total</v>
          </cell>
        </row>
        <row r="267">
          <cell r="AN267" t="str">
            <v>Cost of Goods Sold</v>
          </cell>
          <cell r="EL267" t="str">
            <v>Cost of Goods Sold</v>
          </cell>
          <cell r="ER267">
            <v>3627</v>
          </cell>
          <cell r="ES267">
            <v>3470</v>
          </cell>
          <cell r="ET267">
            <v>3513</v>
          </cell>
          <cell r="EU267">
            <v>5409</v>
          </cell>
          <cell r="EV267">
            <v>16019</v>
          </cell>
          <cell r="EX267">
            <v>3564</v>
          </cell>
          <cell r="EY267">
            <v>3507</v>
          </cell>
          <cell r="EZ267">
            <v>3585</v>
          </cell>
          <cell r="FA267">
            <v>5021</v>
          </cell>
          <cell r="FB267">
            <v>15677</v>
          </cell>
          <cell r="FD267">
            <v>3527</v>
          </cell>
          <cell r="FE267">
            <v>3346</v>
          </cell>
          <cell r="FF267">
            <v>3324</v>
          </cell>
          <cell r="FG267">
            <v>4812</v>
          </cell>
          <cell r="FH267">
            <v>15009</v>
          </cell>
          <cell r="FJ267">
            <v>3279</v>
          </cell>
          <cell r="FK267">
            <v>3117</v>
          </cell>
          <cell r="FL267">
            <v>3241</v>
          </cell>
          <cell r="FM267">
            <v>4650</v>
          </cell>
          <cell r="FN267">
            <v>14287</v>
          </cell>
          <cell r="FP267">
            <v>3378</v>
          </cell>
          <cell r="FQ267">
            <v>3214</v>
          </cell>
          <cell r="FR267">
            <v>3377</v>
          </cell>
          <cell r="FS267">
            <v>4855</v>
          </cell>
          <cell r="FT267">
            <v>14824</v>
          </cell>
          <cell r="FV267">
            <v>3586</v>
          </cell>
          <cell r="FW267">
            <v>3457</v>
          </cell>
          <cell r="FX267">
            <v>3544</v>
          </cell>
          <cell r="FY267">
            <v>5151</v>
          </cell>
          <cell r="FZ267">
            <v>15738</v>
          </cell>
          <cell r="GB267">
            <v>3757</v>
          </cell>
          <cell r="GC267">
            <v>3555</v>
          </cell>
          <cell r="GD267">
            <v>3693.9711570041623</v>
          </cell>
          <cell r="GE267">
            <v>5567.0878306241739</v>
          </cell>
          <cell r="GF267">
            <v>16573.058987628334</v>
          </cell>
        </row>
        <row r="268">
          <cell r="AN268" t="str">
            <v>CGS, OCC, Buying Costs %</v>
          </cell>
          <cell r="EL268" t="str">
            <v>CGS, OCC, Buying Costs %</v>
          </cell>
          <cell r="ER268">
            <v>0.61163575042158513</v>
          </cell>
          <cell r="ES268">
            <v>0.57881567973311088</v>
          </cell>
          <cell r="ET268">
            <v>0.59683995922528033</v>
          </cell>
          <cell r="EU268">
            <v>0.59056665574844414</v>
          </cell>
          <cell r="EV268">
            <v>0.59395624768261035</v>
          </cell>
          <cell r="EX268">
            <v>0.60192535044755957</v>
          </cell>
          <cell r="EY268">
            <v>0.59521384928716903</v>
          </cell>
          <cell r="EZ268">
            <v>0.60700982052150354</v>
          </cell>
          <cell r="FA268">
            <v>0.58424482196881544</v>
          </cell>
          <cell r="FB268">
            <v>0.59578915365028695</v>
          </cell>
          <cell r="FD268">
            <v>0.61371150165303634</v>
          </cell>
          <cell r="FE268">
            <v>0.5851696397341728</v>
          </cell>
          <cell r="FF268">
            <v>0.60513380666302563</v>
          </cell>
          <cell r="FG268">
            <v>0.60650365515502902</v>
          </cell>
          <cell r="FH268">
            <v>0.60296480797043228</v>
          </cell>
          <cell r="FJ268">
            <v>0.62008320726172461</v>
          </cell>
          <cell r="FK268">
            <v>0.58978240302743612</v>
          </cell>
          <cell r="FL268">
            <v>0.6018570102135562</v>
          </cell>
          <cell r="FM268">
            <v>0.58520010067958717</v>
          </cell>
          <cell r="FN268">
            <v>0.59768239625167341</v>
          </cell>
          <cell r="FP268">
            <v>0.60602798708288486</v>
          </cell>
          <cell r="FQ268">
            <v>0.58045873216543253</v>
          </cell>
          <cell r="FR268">
            <v>0.60056909123243818</v>
          </cell>
          <cell r="FS268">
            <v>0.58713266416737209</v>
          </cell>
          <cell r="FT268">
            <v>0.59288885333759944</v>
          </cell>
          <cell r="FV268">
            <v>0.60893190694515198</v>
          </cell>
          <cell r="FW268">
            <v>0.58208452601448057</v>
          </cell>
          <cell r="FX268">
            <v>0.60550145224671104</v>
          </cell>
          <cell r="FY268">
            <v>0.59044016506189823</v>
          </cell>
          <cell r="FZ268">
            <v>0.59602348040143915</v>
          </cell>
          <cell r="GB268">
            <v>0.61159042812957842</v>
          </cell>
          <cell r="GC268">
            <v>0.58107224583197126</v>
          </cell>
          <cell r="GD268">
            <v>0.60050145224671103</v>
          </cell>
          <cell r="GE268">
            <v>0.58312736950345423</v>
          </cell>
          <cell r="GF268">
            <v>0.59275387568136595</v>
          </cell>
        </row>
        <row r="269">
          <cell r="AN269" t="str">
            <v>BPS Change</v>
          </cell>
          <cell r="EL269" t="str">
            <v>BPS Change</v>
          </cell>
          <cell r="ER269">
            <v>139.97738886292632</v>
          </cell>
          <cell r="ES269">
            <v>-79.90834205613973</v>
          </cell>
          <cell r="ET269">
            <v>6.2033726308408088</v>
          </cell>
          <cell r="EU269">
            <v>-5.9414249625333593</v>
          </cell>
          <cell r="EV269">
            <v>11.916206169559906</v>
          </cell>
          <cell r="EX269">
            <v>-97.103999740255631</v>
          </cell>
          <cell r="EY269">
            <v>163.98169554058151</v>
          </cell>
          <cell r="EZ269">
            <v>101.69861296223215</v>
          </cell>
          <cell r="FA269">
            <v>-63.218337796286939</v>
          </cell>
          <cell r="FB269">
            <v>18.329059676766015</v>
          </cell>
          <cell r="FD269">
            <v>117.86151205476769</v>
          </cell>
          <cell r="FE269">
            <v>-100.4420955299623</v>
          </cell>
          <cell r="FF269">
            <v>-18.760138584779096</v>
          </cell>
          <cell r="FG269">
            <v>222.58833186213579</v>
          </cell>
          <cell r="FH269">
            <v>71.756543201453297</v>
          </cell>
          <cell r="FJ269">
            <v>63.717056086882721</v>
          </cell>
          <cell r="FK269">
            <v>46.127632932633219</v>
          </cell>
          <cell r="FL269">
            <v>-32.767964494694326</v>
          </cell>
          <cell r="FM269">
            <v>-213.03554475441854</v>
          </cell>
          <cell r="FN269">
            <v>-52.824117187588726</v>
          </cell>
          <cell r="FP269">
            <v>-140.55220178839755</v>
          </cell>
          <cell r="FQ269">
            <v>-93.236708620035856</v>
          </cell>
          <cell r="FR269">
            <v>-12.879189811180192</v>
          </cell>
          <cell r="FS269">
            <v>19.325634877849218</v>
          </cell>
          <cell r="FT269">
            <v>-47.935429140739672</v>
          </cell>
          <cell r="FV269">
            <v>29.039198622671236</v>
          </cell>
          <cell r="FW269">
            <v>16.257938490480406</v>
          </cell>
          <cell r="FX269">
            <v>49.323610142728569</v>
          </cell>
          <cell r="FY269">
            <v>33.075008945261388</v>
          </cell>
          <cell r="FZ269">
            <v>31.346270638397122</v>
          </cell>
          <cell r="GB269">
            <v>26.585211844264435</v>
          </cell>
          <cell r="GC269">
            <v>-10.122801825093175</v>
          </cell>
          <cell r="GD269">
            <v>-50.000000000000043</v>
          </cell>
          <cell r="GE269">
            <v>-73.12795558443996</v>
          </cell>
          <cell r="GF269">
            <v>-32.696047200732046</v>
          </cell>
        </row>
        <row r="271">
          <cell r="AN271" t="str">
            <v>Gross Income</v>
          </cell>
          <cell r="EL271" t="str">
            <v>Gross Income</v>
          </cell>
          <cell r="ER271">
            <v>2303</v>
          </cell>
          <cell r="ES271">
            <v>2525</v>
          </cell>
          <cell r="ET271">
            <v>2373</v>
          </cell>
          <cell r="EU271">
            <v>3750</v>
          </cell>
          <cell r="EV271">
            <v>10951</v>
          </cell>
          <cell r="EX271">
            <v>2357</v>
          </cell>
          <cell r="EY271">
            <v>2385</v>
          </cell>
          <cell r="EZ271">
            <v>2321</v>
          </cell>
          <cell r="FA271">
            <v>3573</v>
          </cell>
          <cell r="FB271">
            <v>10636</v>
          </cell>
          <cell r="FD271">
            <v>2220</v>
          </cell>
          <cell r="FE271">
            <v>2372</v>
          </cell>
          <cell r="FF271">
            <v>2169</v>
          </cell>
          <cell r="FG271">
            <v>3122</v>
          </cell>
          <cell r="FH271">
            <v>9883</v>
          </cell>
          <cell r="FJ271">
            <v>2009</v>
          </cell>
          <cell r="FK271">
            <v>2168</v>
          </cell>
          <cell r="FL271">
            <v>2144</v>
          </cell>
          <cell r="FM271">
            <v>3296</v>
          </cell>
          <cell r="FN271">
            <v>9617</v>
          </cell>
          <cell r="FP271">
            <v>2196</v>
          </cell>
          <cell r="FQ271">
            <v>2323</v>
          </cell>
          <cell r="FR271">
            <v>2246</v>
          </cell>
          <cell r="FS271">
            <v>3414</v>
          </cell>
          <cell r="FT271">
            <v>10179</v>
          </cell>
          <cell r="FV271">
            <v>2303</v>
          </cell>
          <cell r="FW271">
            <v>2482</v>
          </cell>
          <cell r="FX271">
            <v>2309</v>
          </cell>
          <cell r="FY271">
            <v>3573</v>
          </cell>
          <cell r="FZ271">
            <v>10667</v>
          </cell>
          <cell r="GB271">
            <v>2386</v>
          </cell>
          <cell r="GC271">
            <v>2563</v>
          </cell>
          <cell r="GD271">
            <v>2457.506317668996</v>
          </cell>
          <cell r="GE271">
            <v>3979.8621528154158</v>
          </cell>
          <cell r="GF271">
            <v>11386.368470484413</v>
          </cell>
        </row>
        <row r="272">
          <cell r="AN272" t="str">
            <v>Gross Margin</v>
          </cell>
          <cell r="EL272" t="str">
            <v>Gross Margin</v>
          </cell>
          <cell r="ER272">
            <v>0.38836424957841487</v>
          </cell>
          <cell r="ES272">
            <v>0.42118432026688907</v>
          </cell>
          <cell r="ET272">
            <v>0.40316004077471967</v>
          </cell>
          <cell r="EU272">
            <v>0.40943334425155586</v>
          </cell>
          <cell r="EV272">
            <v>0.40604375231738971</v>
          </cell>
          <cell r="EX272">
            <v>0.39807464955244048</v>
          </cell>
          <cell r="EY272">
            <v>0.40478615071283097</v>
          </cell>
          <cell r="EZ272">
            <v>0.39299017947849646</v>
          </cell>
          <cell r="FA272">
            <v>0.41575517803118456</v>
          </cell>
          <cell r="FB272">
            <v>0.40421084634971305</v>
          </cell>
          <cell r="FD272">
            <v>0.38628849834696366</v>
          </cell>
          <cell r="FE272">
            <v>0.4148303602658272</v>
          </cell>
          <cell r="FF272">
            <v>0.39486619333697431</v>
          </cell>
          <cell r="FG272">
            <v>0.39349634484497104</v>
          </cell>
          <cell r="FH272">
            <v>0.39703519202956772</v>
          </cell>
          <cell r="FJ272">
            <v>0.37991679273827533</v>
          </cell>
          <cell r="FK272">
            <v>0.41021759697256388</v>
          </cell>
          <cell r="FL272">
            <v>0.3981429897864438</v>
          </cell>
          <cell r="FM272">
            <v>0.41479989932041278</v>
          </cell>
          <cell r="FN272">
            <v>0.40231760374832665</v>
          </cell>
          <cell r="FP272">
            <v>0.3939720129171152</v>
          </cell>
          <cell r="FQ272">
            <v>0.41954126783456747</v>
          </cell>
          <cell r="FR272">
            <v>0.39943090876756182</v>
          </cell>
          <cell r="FS272">
            <v>0.41286733583262791</v>
          </cell>
          <cell r="FT272">
            <v>0.4071111466624005</v>
          </cell>
          <cell r="FV272">
            <v>0.39106809305484802</v>
          </cell>
          <cell r="FW272">
            <v>0.41791547398551943</v>
          </cell>
          <cell r="FX272">
            <v>0.39449854775328891</v>
          </cell>
          <cell r="FY272">
            <v>0.40955983493810177</v>
          </cell>
          <cell r="FZ272">
            <v>0.4039765195985609</v>
          </cell>
          <cell r="GB272">
            <v>0.38840957187042163</v>
          </cell>
          <cell r="GC272">
            <v>0.41892775416802874</v>
          </cell>
          <cell r="GD272">
            <v>0.39949854775328891</v>
          </cell>
          <cell r="GE272">
            <v>0.41687263049654577</v>
          </cell>
          <cell r="GF272">
            <v>0.407246124318634</v>
          </cell>
        </row>
        <row r="273">
          <cell r="AN273" t="str">
            <v>BPS Change</v>
          </cell>
          <cell r="EL273" t="str">
            <v>BPS Change</v>
          </cell>
          <cell r="ER273">
            <v>-139.97738886292632</v>
          </cell>
          <cell r="ES273">
            <v>79.908342056138622</v>
          </cell>
          <cell r="ET273">
            <v>-6.2033726308408088</v>
          </cell>
          <cell r="EU273">
            <v>5.9414249625339144</v>
          </cell>
          <cell r="EV273">
            <v>-11.916206169559906</v>
          </cell>
          <cell r="EX273">
            <v>97.103999740256185</v>
          </cell>
          <cell r="EY273">
            <v>-163.98169554058094</v>
          </cell>
          <cell r="EZ273">
            <v>-101.69861296223215</v>
          </cell>
          <cell r="FA273">
            <v>63.218337796286939</v>
          </cell>
          <cell r="FB273">
            <v>-18.329059676766569</v>
          </cell>
          <cell r="FD273">
            <v>-117.86151205476824</v>
          </cell>
          <cell r="FE273">
            <v>100.4420955299623</v>
          </cell>
          <cell r="FF273">
            <v>18.760138584778542</v>
          </cell>
          <cell r="FG273">
            <v>-222.58833186213522</v>
          </cell>
          <cell r="FH273">
            <v>-71.756543201453297</v>
          </cell>
          <cell r="FJ273">
            <v>-63.717056086883275</v>
          </cell>
          <cell r="FK273">
            <v>-46.127632932633219</v>
          </cell>
          <cell r="FL273">
            <v>32.76796449469488</v>
          </cell>
          <cell r="FM273">
            <v>213.03554475441743</v>
          </cell>
          <cell r="FN273">
            <v>52.82411718758928</v>
          </cell>
          <cell r="FP273">
            <v>140.55220178839866</v>
          </cell>
          <cell r="FQ273">
            <v>93.236708620035856</v>
          </cell>
          <cell r="FR273">
            <v>12.879189811180192</v>
          </cell>
          <cell r="FS273">
            <v>-19.325634877848664</v>
          </cell>
          <cell r="FT273">
            <v>47.935429140738563</v>
          </cell>
          <cell r="FV273">
            <v>-29.03919862267179</v>
          </cell>
          <cell r="FW273">
            <v>-16.257938490480406</v>
          </cell>
          <cell r="FX273">
            <v>-49.323610142729123</v>
          </cell>
          <cell r="FY273">
            <v>-33.075008945261388</v>
          </cell>
          <cell r="FZ273">
            <v>-31.346270638396014</v>
          </cell>
          <cell r="GB273">
            <v>-26.585211844263878</v>
          </cell>
          <cell r="GC273">
            <v>10.122801825093175</v>
          </cell>
          <cell r="GD273">
            <v>50</v>
          </cell>
          <cell r="GE273">
            <v>73.127955584439931</v>
          </cell>
          <cell r="GF273">
            <v>32.696047200730938</v>
          </cell>
        </row>
        <row r="275">
          <cell r="AN275" t="str">
            <v>SG&amp;A</v>
          </cell>
          <cell r="EL275" t="str">
            <v>SG&amp;A</v>
          </cell>
          <cell r="ER275">
            <v>2154</v>
          </cell>
          <cell r="ES275">
            <v>2117</v>
          </cell>
          <cell r="ET275">
            <v>2094</v>
          </cell>
          <cell r="EU275">
            <v>2313</v>
          </cell>
          <cell r="EV275">
            <v>8678</v>
          </cell>
          <cell r="EX275">
            <v>2113</v>
          </cell>
          <cell r="EY275">
            <v>2038</v>
          </cell>
          <cell r="EZ275">
            <v>2121</v>
          </cell>
          <cell r="FA275">
            <v>2282</v>
          </cell>
          <cell r="FB275">
            <v>8554</v>
          </cell>
          <cell r="FD275">
            <v>2080</v>
          </cell>
          <cell r="FE275">
            <v>2037</v>
          </cell>
          <cell r="FF275">
            <v>2085</v>
          </cell>
          <cell r="FG275">
            <v>2256</v>
          </cell>
          <cell r="FH275">
            <v>8458</v>
          </cell>
          <cell r="FJ275">
            <v>1985</v>
          </cell>
          <cell r="FK275">
            <v>1886</v>
          </cell>
          <cell r="FL275">
            <v>2056</v>
          </cell>
          <cell r="FM275">
            <v>2236</v>
          </cell>
          <cell r="FN275">
            <v>8163</v>
          </cell>
          <cell r="FP275">
            <v>1993</v>
          </cell>
          <cell r="FQ275">
            <v>1953</v>
          </cell>
          <cell r="FR275">
            <v>2069</v>
          </cell>
          <cell r="FS275">
            <v>2245</v>
          </cell>
          <cell r="FT275">
            <v>8260</v>
          </cell>
          <cell r="FV275">
            <v>1973</v>
          </cell>
          <cell r="FW275">
            <v>1976</v>
          </cell>
          <cell r="FX275">
            <v>2018</v>
          </cell>
          <cell r="FY275">
            <v>2314</v>
          </cell>
          <cell r="FZ275">
            <v>8281</v>
          </cell>
          <cell r="GB275">
            <v>1995</v>
          </cell>
          <cell r="GC275">
            <v>2009</v>
          </cell>
          <cell r="GD275">
            <v>2135.8432994799609</v>
          </cell>
          <cell r="GE275">
            <v>2451.0799464756819</v>
          </cell>
          <cell r="GF275">
            <v>8590.9232459556424</v>
          </cell>
        </row>
        <row r="276">
          <cell r="AN276" t="str">
            <v>SG&amp;A Ratio</v>
          </cell>
          <cell r="EL276" t="str">
            <v>SG&amp;A Ratio</v>
          </cell>
          <cell r="ER276">
            <v>0.36323777403035412</v>
          </cell>
          <cell r="ES276">
            <v>0.35312760633861551</v>
          </cell>
          <cell r="ET276">
            <v>0.35575942915392456</v>
          </cell>
          <cell r="EU276">
            <v>0.25253848673435964</v>
          </cell>
          <cell r="EV276">
            <v>0.32176492398961809</v>
          </cell>
          <cell r="EX276">
            <v>0.35686539435906095</v>
          </cell>
          <cell r="EY276">
            <v>0.34589273591310249</v>
          </cell>
          <cell r="EZ276">
            <v>0.35912631222485608</v>
          </cell>
          <cell r="FA276">
            <v>0.2655340935536421</v>
          </cell>
          <cell r="FB276">
            <v>0.32508645916467144</v>
          </cell>
          <cell r="FD276">
            <v>0.36192796241517311</v>
          </cell>
          <cell r="FE276">
            <v>0.35624344176285416</v>
          </cell>
          <cell r="FF276">
            <v>0.37957400327689789</v>
          </cell>
          <cell r="FG276">
            <v>0.28434585328963952</v>
          </cell>
          <cell r="FH276">
            <v>0.33978788365739998</v>
          </cell>
          <cell r="FJ276">
            <v>0.37537821482602118</v>
          </cell>
          <cell r="FK276">
            <v>0.35685903500473037</v>
          </cell>
          <cell r="FL276">
            <v>0.38180129990714951</v>
          </cell>
          <cell r="FM276">
            <v>0.28139944626227031</v>
          </cell>
          <cell r="FN276">
            <v>0.34149096385542171</v>
          </cell>
          <cell r="FP276">
            <v>0.35755292429135271</v>
          </cell>
          <cell r="FQ276">
            <v>0.3527180783817952</v>
          </cell>
          <cell r="FR276">
            <v>0.36795304997332384</v>
          </cell>
          <cell r="FS276">
            <v>0.27149594872415045</v>
          </cell>
          <cell r="FT276">
            <v>0.33036035675718911</v>
          </cell>
          <cell r="FV276">
            <v>0.33503141450161317</v>
          </cell>
          <cell r="FW276">
            <v>0.33271594544536115</v>
          </cell>
          <cell r="FX276">
            <v>0.34478045446779432</v>
          </cell>
          <cell r="FY276">
            <v>0.26524530032095367</v>
          </cell>
          <cell r="FZ276">
            <v>0.31361484567316794</v>
          </cell>
          <cell r="GB276">
            <v>0.32475988930489991</v>
          </cell>
          <cell r="GC276">
            <v>0.32837528604118993</v>
          </cell>
          <cell r="GD276">
            <v>0.34720818019307514</v>
          </cell>
          <cell r="GE276">
            <v>0.25673958182743123</v>
          </cell>
          <cell r="GF276">
            <v>0.30726391872029868</v>
          </cell>
        </row>
        <row r="277">
          <cell r="AN277" t="str">
            <v>BPS Change</v>
          </cell>
          <cell r="EL277" t="str">
            <v>BPS Change</v>
          </cell>
          <cell r="ER277">
            <v>300.87540578005888</v>
          </cell>
          <cell r="ES277">
            <v>202.54296926526084</v>
          </cell>
          <cell r="ET277">
            <v>5.8391160216936244</v>
          </cell>
          <cell r="EU277">
            <v>-178.61680437304796</v>
          </cell>
          <cell r="EV277">
            <v>100.18608670279094</v>
          </cell>
          <cell r="EX277">
            <v>-63.723796712931716</v>
          </cell>
          <cell r="EY277">
            <v>-72.348704255130187</v>
          </cell>
          <cell r="EZ277">
            <v>33.668830709315259</v>
          </cell>
          <cell r="FA277">
            <v>129.95606819282469</v>
          </cell>
          <cell r="FB277">
            <v>33.215351750533472</v>
          </cell>
          <cell r="FD277">
            <v>50.625680561121598</v>
          </cell>
          <cell r="FE277">
            <v>103.50705849751674</v>
          </cell>
          <cell r="FF277">
            <v>204.47691052041804</v>
          </cell>
          <cell r="FG277">
            <v>188.11759735997413</v>
          </cell>
          <cell r="FH277">
            <v>147.01424492728543</v>
          </cell>
          <cell r="FJ277">
            <v>134.50252410848074</v>
          </cell>
          <cell r="FK277">
            <v>6.1559324187621112</v>
          </cell>
          <cell r="FL277">
            <v>22.272966302516185</v>
          </cell>
          <cell r="FM277">
            <v>-29.464070273692023</v>
          </cell>
          <cell r="FN277">
            <v>17.030801980217337</v>
          </cell>
          <cell r="FP277">
            <v>-178.25290534668468</v>
          </cell>
          <cell r="FQ277">
            <v>-41.409566229351768</v>
          </cell>
          <cell r="FR277">
            <v>-138.48249933825662</v>
          </cell>
          <cell r="FS277">
            <v>-99.034975381198649</v>
          </cell>
          <cell r="FT277">
            <v>-111.30607098232603</v>
          </cell>
          <cell r="FV277">
            <v>-225.21509789739548</v>
          </cell>
          <cell r="FW277">
            <v>-200.02132936434046</v>
          </cell>
          <cell r="FX277">
            <v>-231.72595505529526</v>
          </cell>
          <cell r="FY277">
            <v>-62.506484031967787</v>
          </cell>
          <cell r="FZ277">
            <v>-167.45511084021169</v>
          </cell>
          <cell r="GB277">
            <v>-102.7152519671326</v>
          </cell>
          <cell r="GC277">
            <v>-43.406594041712211</v>
          </cell>
          <cell r="GD277">
            <v>24.277257252808404</v>
          </cell>
          <cell r="GE277">
            <v>-85.057184935224271</v>
          </cell>
          <cell r="GF277">
            <v>-63.509269528692627</v>
          </cell>
        </row>
        <row r="279">
          <cell r="AN279" t="str">
            <v>Operating Income</v>
          </cell>
          <cell r="EL279" t="str">
            <v>Operating Income</v>
          </cell>
          <cell r="ER279">
            <v>149</v>
          </cell>
          <cell r="ES279">
            <v>408</v>
          </cell>
          <cell r="ET279">
            <v>279</v>
          </cell>
          <cell r="EU279">
            <v>1437</v>
          </cell>
          <cell r="EV279">
            <v>2273</v>
          </cell>
          <cell r="EX279">
            <v>244</v>
          </cell>
          <cell r="EY279">
            <v>347</v>
          </cell>
          <cell r="EZ279">
            <v>200</v>
          </cell>
          <cell r="FA279">
            <v>1291</v>
          </cell>
          <cell r="FB279">
            <v>2082</v>
          </cell>
          <cell r="FD279">
            <v>140</v>
          </cell>
          <cell r="FE279">
            <v>335</v>
          </cell>
          <cell r="FF279">
            <v>84</v>
          </cell>
          <cell r="FG279">
            <v>866</v>
          </cell>
          <cell r="FH279">
            <v>1425</v>
          </cell>
          <cell r="FJ279">
            <v>24</v>
          </cell>
          <cell r="FK279">
            <v>282</v>
          </cell>
          <cell r="FL279">
            <v>88</v>
          </cell>
          <cell r="FM279">
            <v>1060</v>
          </cell>
          <cell r="FN279">
            <v>1454</v>
          </cell>
          <cell r="FP279">
            <v>203</v>
          </cell>
          <cell r="FQ279">
            <v>370</v>
          </cell>
          <cell r="FR279">
            <v>177</v>
          </cell>
          <cell r="FS279">
            <v>1169</v>
          </cell>
          <cell r="FT279">
            <v>1919</v>
          </cell>
          <cell r="FV279">
            <v>330</v>
          </cell>
          <cell r="FW279">
            <v>506</v>
          </cell>
          <cell r="FX279">
            <v>291</v>
          </cell>
          <cell r="FY279">
            <v>1259</v>
          </cell>
          <cell r="FZ279">
            <v>2386</v>
          </cell>
          <cell r="GB279">
            <v>391</v>
          </cell>
          <cell r="GC279">
            <v>554</v>
          </cell>
          <cell r="GD279">
            <v>321.66301818903503</v>
          </cell>
          <cell r="GE279">
            <v>1528.7822063397339</v>
          </cell>
          <cell r="GF279">
            <v>2795.4452245287689</v>
          </cell>
        </row>
        <row r="280">
          <cell r="AN280" t="str">
            <v>Operating Margin</v>
          </cell>
          <cell r="EL280" t="str">
            <v>Operating Margin</v>
          </cell>
          <cell r="ER280">
            <v>2.5126475548060707E-2</v>
          </cell>
          <cell r="ES280">
            <v>6.805671392827356E-2</v>
          </cell>
          <cell r="ET280">
            <v>4.7400611620795105E-2</v>
          </cell>
          <cell r="EU280">
            <v>0.1568948575171962</v>
          </cell>
          <cell r="EV280">
            <v>8.4278828327771602E-2</v>
          </cell>
          <cell r="EX280">
            <v>4.12092551933795E-2</v>
          </cell>
          <cell r="EY280">
            <v>5.8893414799728448E-2</v>
          </cell>
          <cell r="EZ280">
            <v>3.3863867253640365E-2</v>
          </cell>
          <cell r="FA280">
            <v>0.15022108447754248</v>
          </cell>
          <cell r="FB280">
            <v>7.9124387185041611E-2</v>
          </cell>
          <cell r="FD280">
            <v>2.4360535931790498E-2</v>
          </cell>
          <cell r="FE280">
            <v>5.8586918502973068E-2</v>
          </cell>
          <cell r="FF280">
            <v>1.5292190060076462E-2</v>
          </cell>
          <cell r="FG280">
            <v>0.10915049155533149</v>
          </cell>
          <cell r="FH280">
            <v>5.7247308372167766E-2</v>
          </cell>
          <cell r="FJ280">
            <v>4.5385779122541605E-3</v>
          </cell>
          <cell r="FK280">
            <v>5.3358561967833493E-2</v>
          </cell>
          <cell r="FL280">
            <v>1.6341689879294335E-2</v>
          </cell>
          <cell r="FM280">
            <v>0.13340045305814247</v>
          </cell>
          <cell r="FN280">
            <v>6.0826639892904953E-2</v>
          </cell>
          <cell r="FP280">
            <v>3.6419088625762472E-2</v>
          </cell>
          <cell r="FQ280">
            <v>6.6823189452772255E-2</v>
          </cell>
          <cell r="FR280">
            <v>3.1477858794237951E-2</v>
          </cell>
          <cell r="FS280">
            <v>0.14137138710847744</v>
          </cell>
          <cell r="FT280">
            <v>7.6750789905211378E-2</v>
          </cell>
          <cell r="FV280">
            <v>5.6036678553234846E-2</v>
          </cell>
          <cell r="FW280">
            <v>8.5199528540158276E-2</v>
          </cell>
          <cell r="FX280">
            <v>4.9718093285494619E-2</v>
          </cell>
          <cell r="FY280">
            <v>0.1443145346171481</v>
          </cell>
          <cell r="FZ280">
            <v>9.0361673925392919E-2</v>
          </cell>
          <cell r="GB280">
            <v>6.3649682565521726E-2</v>
          </cell>
          <cell r="GC280">
            <v>9.0552468126838842E-2</v>
          </cell>
          <cell r="GD280">
            <v>5.2290367560213769E-2</v>
          </cell>
          <cell r="GE280">
            <v>0.16013304866911451</v>
          </cell>
          <cell r="GF280">
            <v>9.9982205598335261E-2</v>
          </cell>
        </row>
        <row r="281">
          <cell r="AN281" t="str">
            <v>BPS Change</v>
          </cell>
          <cell r="EL281" t="str">
            <v>BPS Change</v>
          </cell>
        </row>
        <row r="283">
          <cell r="AN283" t="str">
            <v>Bear Case Assumptions</v>
          </cell>
          <cell r="EL283" t="str">
            <v>Bear Case Assumptions</v>
          </cell>
        </row>
        <row r="284">
          <cell r="AN284" t="str">
            <v>Consolidated Stores Monthly Sales ($)</v>
          </cell>
          <cell r="EL284" t="str">
            <v>Consolidated Stores Monthly Sales ($)</v>
          </cell>
          <cell r="EU284">
            <v>356</v>
          </cell>
        </row>
        <row r="285">
          <cell r="AN285" t="str">
            <v>Month 1</v>
          </cell>
          <cell r="EL285" t="str">
            <v>Month 1</v>
          </cell>
          <cell r="ER285">
            <v>1800</v>
          </cell>
          <cell r="ES285">
            <v>2026</v>
          </cell>
          <cell r="ET285">
            <v>1727</v>
          </cell>
          <cell r="EU285">
            <v>2385</v>
          </cell>
          <cell r="EX285">
            <v>1802</v>
          </cell>
          <cell r="EY285">
            <v>1976</v>
          </cell>
          <cell r="EZ285">
            <v>1788</v>
          </cell>
          <cell r="FA285">
            <v>2707</v>
          </cell>
          <cell r="FD285">
            <v>1737</v>
          </cell>
          <cell r="FE285">
            <v>1926</v>
          </cell>
          <cell r="FF285">
            <v>1686</v>
          </cell>
          <cell r="FG285">
            <v>2324</v>
          </cell>
          <cell r="FJ285">
            <v>1602.5975291456411</v>
          </cell>
          <cell r="FK285">
            <v>1783.7565582371458</v>
          </cell>
          <cell r="FL285">
            <v>1576.1490988530857</v>
          </cell>
          <cell r="FM285">
            <v>2202.7766574237457</v>
          </cell>
          <cell r="FP285">
            <v>1667</v>
          </cell>
          <cell r="FQ285">
            <v>1789</v>
          </cell>
          <cell r="FR285">
            <v>1638</v>
          </cell>
          <cell r="FS285">
            <v>2341</v>
          </cell>
          <cell r="FV285">
            <v>1763</v>
          </cell>
          <cell r="FW285">
            <v>1937</v>
          </cell>
          <cell r="FX285">
            <v>1714</v>
          </cell>
          <cell r="FY285">
            <v>2465</v>
          </cell>
          <cell r="GB285">
            <v>1860</v>
          </cell>
          <cell r="GC285">
            <v>2015</v>
          </cell>
          <cell r="GD285">
            <v>1812</v>
          </cell>
          <cell r="GE285">
            <v>2490.7341222077775</v>
          </cell>
        </row>
        <row r="286">
          <cell r="AN286" t="str">
            <v>Month 2</v>
          </cell>
          <cell r="EL286" t="str">
            <v>Month 2</v>
          </cell>
          <cell r="ER286">
            <v>2255</v>
          </cell>
          <cell r="ES286">
            <v>2367</v>
          </cell>
          <cell r="ET286">
            <v>2303</v>
          </cell>
          <cell r="EU286">
            <v>4997</v>
          </cell>
          <cell r="EX286">
            <v>2288</v>
          </cell>
          <cell r="EY286">
            <v>2321</v>
          </cell>
          <cell r="EZ286">
            <v>2274</v>
          </cell>
          <cell r="FA286">
            <v>4624</v>
          </cell>
          <cell r="FD286">
            <v>2142</v>
          </cell>
          <cell r="FE286">
            <v>2249</v>
          </cell>
          <cell r="FF286">
            <v>2093</v>
          </cell>
          <cell r="FG286">
            <v>4397</v>
          </cell>
          <cell r="FJ286">
            <v>1963.7990255785628</v>
          </cell>
          <cell r="FK286">
            <v>2092.5916404337181</v>
          </cell>
          <cell r="FL286">
            <v>2084.1512834516657</v>
          </cell>
          <cell r="FM286">
            <v>4474.7693471136881</v>
          </cell>
          <cell r="FP286">
            <v>2172</v>
          </cell>
          <cell r="FQ286">
            <v>2229</v>
          </cell>
          <cell r="FR286">
            <v>2181</v>
          </cell>
          <cell r="FS286">
            <v>4619</v>
          </cell>
          <cell r="FV286">
            <v>2206</v>
          </cell>
          <cell r="FW286">
            <v>2392</v>
          </cell>
          <cell r="FX286">
            <v>2298</v>
          </cell>
          <cell r="FY286">
            <v>4925</v>
          </cell>
          <cell r="GB286">
            <v>2358</v>
          </cell>
          <cell r="GC286">
            <v>2412</v>
          </cell>
          <cell r="GD286">
            <v>2293.892456048884</v>
          </cell>
          <cell r="GE286">
            <v>4976.4160453847071</v>
          </cell>
        </row>
        <row r="287">
          <cell r="AN287" t="str">
            <v>Month 3</v>
          </cell>
          <cell r="EL287" t="str">
            <v>Month 3</v>
          </cell>
          <cell r="ER287">
            <v>1878</v>
          </cell>
          <cell r="ES287">
            <v>1608</v>
          </cell>
          <cell r="ET287">
            <v>1863</v>
          </cell>
          <cell r="EU287">
            <v>1780</v>
          </cell>
          <cell r="EX287">
            <v>1837</v>
          </cell>
          <cell r="EY287">
            <v>1602</v>
          </cell>
          <cell r="EZ287">
            <v>1849</v>
          </cell>
          <cell r="FA287">
            <v>1273</v>
          </cell>
          <cell r="FD287">
            <v>1868</v>
          </cell>
          <cell r="FE287">
            <v>1543</v>
          </cell>
          <cell r="FF287">
            <v>1714</v>
          </cell>
          <cell r="FG287">
            <v>1213</v>
          </cell>
          <cell r="FJ287">
            <v>1720.603445275796</v>
          </cell>
          <cell r="FK287">
            <v>1409.6518013291361</v>
          </cell>
          <cell r="FL287">
            <v>1725.6996176952484</v>
          </cell>
          <cell r="FM287">
            <v>1268.4539954625661</v>
          </cell>
          <cell r="FP287">
            <v>1739</v>
          </cell>
          <cell r="FQ287">
            <v>1528</v>
          </cell>
          <cell r="FR287">
            <v>1806</v>
          </cell>
          <cell r="FS287">
            <v>1310</v>
          </cell>
          <cell r="FV287">
            <v>1920</v>
          </cell>
          <cell r="FW287">
            <v>1612</v>
          </cell>
          <cell r="FX287">
            <v>1842</v>
          </cell>
          <cell r="FY287">
            <v>1336</v>
          </cell>
          <cell r="GB287">
            <v>1928</v>
          </cell>
          <cell r="GC287">
            <v>1693</v>
          </cell>
          <cell r="GD287">
            <v>1882.0033631484798</v>
          </cell>
          <cell r="GE287">
            <v>1720.1677658275225</v>
          </cell>
        </row>
        <row r="288">
          <cell r="AN288" t="str">
            <v>Total</v>
          </cell>
          <cell r="EL288" t="str">
            <v>Total</v>
          </cell>
          <cell r="ER288">
            <v>5930</v>
          </cell>
          <cell r="ES288">
            <v>5995</v>
          </cell>
          <cell r="ET288">
            <v>5886</v>
          </cell>
          <cell r="EU288">
            <v>9159</v>
          </cell>
          <cell r="EV288">
            <v>26970</v>
          </cell>
          <cell r="EX288">
            <v>5921</v>
          </cell>
          <cell r="EY288">
            <v>5892</v>
          </cell>
          <cell r="EZ288">
            <v>5906</v>
          </cell>
          <cell r="FA288">
            <v>8594</v>
          </cell>
          <cell r="FB288">
            <v>26313</v>
          </cell>
          <cell r="FD288">
            <v>5747</v>
          </cell>
          <cell r="FE288">
            <v>5718</v>
          </cell>
          <cell r="FF288">
            <v>5493</v>
          </cell>
          <cell r="FG288">
            <v>7934</v>
          </cell>
          <cell r="FH288">
            <v>24892</v>
          </cell>
          <cell r="FJ288">
            <v>5288</v>
          </cell>
          <cell r="FK288">
            <v>5285</v>
          </cell>
          <cell r="FL288">
            <v>5385</v>
          </cell>
          <cell r="FM288">
            <v>7946</v>
          </cell>
          <cell r="FN288">
            <v>23904</v>
          </cell>
          <cell r="FP288">
            <v>5574</v>
          </cell>
          <cell r="FQ288">
            <v>5537</v>
          </cell>
          <cell r="FR288">
            <v>5623</v>
          </cell>
          <cell r="FS288">
            <v>8269</v>
          </cell>
          <cell r="FT288">
            <v>25003</v>
          </cell>
          <cell r="FV288">
            <v>5889</v>
          </cell>
          <cell r="FW288">
            <v>5939</v>
          </cell>
          <cell r="FX288">
            <v>5853</v>
          </cell>
          <cell r="FY288">
            <v>8724</v>
          </cell>
          <cell r="FZ288">
            <v>26405</v>
          </cell>
          <cell r="GB288">
            <v>6143</v>
          </cell>
          <cell r="GC288">
            <v>6118</v>
          </cell>
          <cell r="GD288">
            <v>5987.8958191973634</v>
          </cell>
          <cell r="GE288">
            <v>9187.3179334200067</v>
          </cell>
          <cell r="GF288">
            <v>27436.213752617372</v>
          </cell>
        </row>
        <row r="290">
          <cell r="AN290" t="str">
            <v xml:space="preserve">Consolidated Monthly Comps </v>
          </cell>
          <cell r="EL290" t="str">
            <v xml:space="preserve">Consolidated Monthly Comps </v>
          </cell>
        </row>
        <row r="291">
          <cell r="AN291" t="str">
            <v>Month 1</v>
          </cell>
          <cell r="EL291" t="str">
            <v>Month 1</v>
          </cell>
          <cell r="ER291">
            <v>0.01</v>
          </cell>
          <cell r="ES291">
            <v>9.1999999999999998E-2</v>
          </cell>
          <cell r="ET291">
            <v>3.7999999999999999E-2</v>
          </cell>
          <cell r="EU291">
            <v>8.5000000000000006E-2</v>
          </cell>
          <cell r="EX291">
            <v>1.2E-2</v>
          </cell>
          <cell r="EY291">
            <v>-3.3000000000000002E-2</v>
          </cell>
          <cell r="EZ291">
            <v>2.4E-2</v>
          </cell>
          <cell r="FA291">
            <v>0.13400000000000001</v>
          </cell>
          <cell r="FD291">
            <v>-3.5000000000000003E-2</v>
          </cell>
          <cell r="FE291">
            <v>-1.4999999999999999E-2</v>
          </cell>
          <cell r="FF291">
            <v>-4.8000000000000001E-2</v>
          </cell>
          <cell r="FG291">
            <v>-0.13300000000000001</v>
          </cell>
          <cell r="FJ291">
            <v>-8.5000000000000006E-2</v>
          </cell>
          <cell r="FK291">
            <v>-9.0999999999999998E-2</v>
          </cell>
          <cell r="FL291">
            <v>-8.1000000000000003E-2</v>
          </cell>
          <cell r="FM291">
            <v>-6.0999999999999999E-2</v>
          </cell>
          <cell r="FP291">
            <v>3.6999999999999998E-2</v>
          </cell>
          <cell r="FQ291">
            <v>1.4E-2</v>
          </cell>
          <cell r="FR291">
            <v>4.2999999999999997E-2</v>
          </cell>
          <cell r="FS291">
            <v>6.0999999999999999E-2</v>
          </cell>
          <cell r="FV291">
            <v>5.8000000000000003E-2</v>
          </cell>
          <cell r="FW291">
            <v>7.3999999999999996E-2</v>
          </cell>
          <cell r="FX291">
            <v>0.05</v>
          </cell>
          <cell r="FY291">
            <v>4.8000000000000001E-2</v>
          </cell>
          <cell r="GB291">
            <v>4.5999999999999999E-2</v>
          </cell>
          <cell r="GC291">
            <v>4.2000000000000003E-2</v>
          </cell>
          <cell r="GD291">
            <v>5.0999999999999997E-2</v>
          </cell>
          <cell r="GE291">
            <v>0.02</v>
          </cell>
        </row>
        <row r="292">
          <cell r="AN292" t="str">
            <v>Month 2</v>
          </cell>
          <cell r="EL292" t="str">
            <v>Month 2</v>
          </cell>
          <cell r="ER292">
            <v>0</v>
          </cell>
          <cell r="ES292">
            <v>1.7000000000000001E-2</v>
          </cell>
          <cell r="ET292">
            <v>6.5000000000000002E-2</v>
          </cell>
          <cell r="EU292">
            <v>4.3999999999999997E-2</v>
          </cell>
          <cell r="EX292">
            <v>2.3E-2</v>
          </cell>
          <cell r="EY292">
            <v>-2.7E-2</v>
          </cell>
          <cell r="EZ292">
            <v>-2.7E-2</v>
          </cell>
          <cell r="FA292">
            <v>-7.9000000000000001E-2</v>
          </cell>
          <cell r="FD292">
            <v>-6.2E-2</v>
          </cell>
          <cell r="FE292">
            <v>-2.1000000000000001E-2</v>
          </cell>
          <cell r="FF292">
            <v>-6.6000000000000003E-2</v>
          </cell>
          <cell r="FG292">
            <v>-0.04</v>
          </cell>
          <cell r="FJ292">
            <v>-9.1999999999999998E-2</v>
          </cell>
          <cell r="FK292">
            <v>-8.8999999999999996E-2</v>
          </cell>
          <cell r="FL292">
            <v>-2.3E-2</v>
          </cell>
          <cell r="FM292">
            <v>0.01</v>
          </cell>
          <cell r="FP292">
            <v>0.10800000000000001</v>
          </cell>
          <cell r="FQ292">
            <v>6.5000000000000002E-2</v>
          </cell>
          <cell r="FR292">
            <v>4.8000000000000001E-2</v>
          </cell>
          <cell r="FS292">
            <v>3.9E-2</v>
          </cell>
          <cell r="FV292">
            <v>8.9999999999999993E-3</v>
          </cell>
          <cell r="FW292">
            <v>6.7000000000000004E-2</v>
          </cell>
          <cell r="FX292">
            <v>4.9000000000000002E-2</v>
          </cell>
          <cell r="FY292">
            <v>6.2E-2</v>
          </cell>
          <cell r="GB292">
            <v>7.2999999999999995E-2</v>
          </cell>
          <cell r="GC292">
            <v>1.2E-2</v>
          </cell>
          <cell r="GD292">
            <v>9.9999999999999985E-3</v>
          </cell>
          <cell r="GE292">
            <v>0.02</v>
          </cell>
        </row>
        <row r="293">
          <cell r="AN293" t="str">
            <v>Month 3</v>
          </cell>
          <cell r="EL293" t="str">
            <v>Month 3</v>
          </cell>
          <cell r="ER293">
            <v>-8.0000000000000002E-3</v>
          </cell>
          <cell r="ES293">
            <v>3.3000000000000002E-2</v>
          </cell>
          <cell r="ET293">
            <v>7.6999999999999999E-2</v>
          </cell>
          <cell r="EU293">
            <v>8.5999999999999993E-2</v>
          </cell>
          <cell r="EX293">
            <v>-2.1999999999999999E-2</v>
          </cell>
          <cell r="EY293">
            <v>-1.4E-2</v>
          </cell>
          <cell r="EZ293">
            <v>-1.4999999999999999E-2</v>
          </cell>
          <cell r="FA293">
            <v>-7.0999999999999994E-2</v>
          </cell>
          <cell r="FD293">
            <v>0.03</v>
          </cell>
          <cell r="FE293">
            <v>-2.9000000000000001E-2</v>
          </cell>
          <cell r="FF293">
            <v>-6.3E-2</v>
          </cell>
          <cell r="FG293">
            <v>-4.4999999999999998E-2</v>
          </cell>
          <cell r="FJ293">
            <v>-9.0999999999999998E-2</v>
          </cell>
          <cell r="FK293">
            <v>-0.107</v>
          </cell>
          <cell r="FL293">
            <v>-8.0000000000000002E-3</v>
          </cell>
          <cell r="FM293">
            <v>3.4000000000000002E-2</v>
          </cell>
          <cell r="FP293">
            <v>1.0999999999999999E-2</v>
          </cell>
          <cell r="FQ293">
            <v>7.2999999999999995E-2</v>
          </cell>
          <cell r="FR293">
            <v>2.5000000000000001E-2</v>
          </cell>
          <cell r="FS293">
            <v>2.5999999999999999E-2</v>
          </cell>
          <cell r="FV293">
            <v>0.108</v>
          </cell>
          <cell r="FW293">
            <v>0.05</v>
          </cell>
          <cell r="FX293">
            <v>2.1999999999999999E-2</v>
          </cell>
          <cell r="FY293">
            <v>2.4E-2</v>
          </cell>
          <cell r="GB293">
            <v>1.2E-2</v>
          </cell>
          <cell r="GC293">
            <v>4.1000000000000002E-2</v>
          </cell>
          <cell r="GD293">
            <v>3.5000000000000003E-2</v>
          </cell>
          <cell r="GE293">
            <v>3.0000000000000002E-2</v>
          </cell>
        </row>
        <row r="294">
          <cell r="AN294" t="str">
            <v>Total</v>
          </cell>
          <cell r="EL294" t="str">
            <v>Total</v>
          </cell>
          <cell r="ER294">
            <v>0</v>
          </cell>
          <cell r="ES294">
            <v>4.5999999999999999E-2</v>
          </cell>
          <cell r="ET294">
            <v>5.8999999999999997E-2</v>
          </cell>
          <cell r="EU294">
            <v>6.0999999999999999E-2</v>
          </cell>
          <cell r="EV294">
            <v>4.3999999999999997E-2</v>
          </cell>
          <cell r="EX294">
            <v>6.0000000000000001E-3</v>
          </cell>
          <cell r="EY294">
            <v>-2.5999999999999999E-2</v>
          </cell>
          <cell r="EZ294">
            <v>-8.0000000000000002E-3</v>
          </cell>
          <cell r="FA294">
            <v>-0.02</v>
          </cell>
          <cell r="FB294">
            <v>-1.2999999999999999E-2</v>
          </cell>
          <cell r="FD294">
            <v>-2.5999999999999999E-2</v>
          </cell>
          <cell r="FE294">
            <v>-2.1000000000000001E-2</v>
          </cell>
          <cell r="FF294">
            <v>-0.06</v>
          </cell>
          <cell r="FG294">
            <v>-7.0000000000000007E-2</v>
          </cell>
          <cell r="FH294">
            <v>-4.4999999999999998E-2</v>
          </cell>
          <cell r="FJ294">
            <v>-0.09</v>
          </cell>
          <cell r="FK294">
            <v>-9.5000000000000001E-2</v>
          </cell>
          <cell r="FL294">
            <v>-3.5999999999999997E-2</v>
          </cell>
          <cell r="FM294">
            <v>-5.8512769677805648E-3</v>
          </cell>
          <cell r="FN294">
            <v>-5.0968425652024113E-2</v>
          </cell>
          <cell r="FP294">
            <v>5.5E-2</v>
          </cell>
          <cell r="FQ294">
            <v>4.9000000000000002E-2</v>
          </cell>
          <cell r="FR294">
            <v>3.9E-2</v>
          </cell>
          <cell r="FS294">
            <v>4.2999999999999997E-2</v>
          </cell>
          <cell r="FT294">
            <v>4.610434747830261E-2</v>
          </cell>
          <cell r="FV294">
            <v>5.3999999999999999E-2</v>
          </cell>
          <cell r="FW294">
            <v>6.4000000000000001E-2</v>
          </cell>
          <cell r="FX294">
            <v>0.04</v>
          </cell>
          <cell r="FY294">
            <v>5.1999999999999998E-2</v>
          </cell>
          <cell r="FZ294">
            <v>5.2999999999999999E-2</v>
          </cell>
          <cell r="GB294">
            <v>4.3999999999999997E-2</v>
          </cell>
          <cell r="GC294">
            <v>0.03</v>
          </cell>
          <cell r="GD294">
            <v>3.0264561666167575E-2</v>
          </cell>
          <cell r="GE294">
            <v>2.1872328549304036E-2</v>
          </cell>
          <cell r="GF294">
            <v>3.0470716044687752E-2</v>
          </cell>
        </row>
        <row r="296">
          <cell r="AN296" t="str">
            <v xml:space="preserve">Consolidated Productivity Factor </v>
          </cell>
          <cell r="EL296" t="str">
            <v xml:space="preserve">Consolidated Productivity Factor </v>
          </cell>
        </row>
        <row r="297">
          <cell r="AN297" t="str">
            <v>Month 1</v>
          </cell>
          <cell r="EL297" t="str">
            <v>Month 1</v>
          </cell>
          <cell r="ER297">
            <v>0.85379589916801657</v>
          </cell>
          <cell r="ES297">
            <v>0.82852877251430668</v>
          </cell>
          <cell r="ET297">
            <v>0.83475030563790842</v>
          </cell>
          <cell r="EU297">
            <v>0.91480422703367681</v>
          </cell>
          <cell r="EX297">
            <v>1.0042251017232908</v>
          </cell>
          <cell r="EY297">
            <v>1.0108075527611304</v>
          </cell>
          <cell r="EZ297">
            <v>1.0032705612197608</v>
          </cell>
          <cell r="FA297">
            <v>0.99617129302855612</v>
          </cell>
          <cell r="FD297">
            <v>1.0047260256693704</v>
          </cell>
          <cell r="FE297">
            <v>1.0011731147187122</v>
          </cell>
          <cell r="FF297">
            <v>1.0015681684828099</v>
          </cell>
          <cell r="FG297">
            <v>0.9980273685296247</v>
          </cell>
          <cell r="FJ297">
            <v>1.0146680194879518</v>
          </cell>
          <cell r="FK297">
            <v>1.0229325701507319</v>
          </cell>
          <cell r="FL297">
            <v>1.0237530410429481</v>
          </cell>
          <cell r="FM297">
            <v>1.0168796021749338</v>
          </cell>
          <cell r="FP297">
            <v>1.0016060228776302</v>
          </cell>
          <cell r="FQ297">
            <v>0.98881215735067063</v>
          </cell>
          <cell r="FR297">
            <v>1.0007452413933455</v>
          </cell>
          <cell r="FS297">
            <v>1.0028115913956974</v>
          </cell>
          <cell r="FV297">
            <v>1.0005096291516782</v>
          </cell>
          <cell r="FW297">
            <v>1.0081721608307339</v>
          </cell>
          <cell r="FX297">
            <v>0.99435769750356207</v>
          </cell>
          <cell r="FY297">
            <v>1.0114048185081832</v>
          </cell>
          <cell r="GB297">
            <v>1.0253009585429893</v>
          </cell>
          <cell r="GC297">
            <v>1.0133052611979987</v>
          </cell>
          <cell r="GD297">
            <v>1.018088666893139</v>
          </cell>
          <cell r="GE297">
            <v>1</v>
          </cell>
        </row>
        <row r="298">
          <cell r="AN298" t="str">
            <v>Month 2</v>
          </cell>
          <cell r="EL298" t="str">
            <v>Month 2</v>
          </cell>
          <cell r="ER298">
            <v>0.87143545576033965</v>
          </cell>
          <cell r="ES298">
            <v>0.86259214604526391</v>
          </cell>
          <cell r="ET298">
            <v>0.95476655228407081</v>
          </cell>
          <cell r="EU298">
            <v>0.95390310394604827</v>
          </cell>
          <cell r="EX298">
            <v>0.99756383077735888</v>
          </cell>
          <cell r="EY298">
            <v>1.0076309712339664</v>
          </cell>
          <cell r="EZ298">
            <v>1.0058439901456568</v>
          </cell>
          <cell r="FA298">
            <v>1.0104925603418453</v>
          </cell>
          <cell r="FD298">
            <v>1.0038919718017412</v>
          </cell>
          <cell r="FE298">
            <v>1.0002262623646179</v>
          </cell>
          <cell r="FF298">
            <v>1.0022779610885877</v>
          </cell>
          <cell r="FG298">
            <v>0.98797059201406712</v>
          </cell>
          <cell r="FJ298">
            <v>1.0172356632303496</v>
          </cell>
          <cell r="FK298">
            <v>1.0266388149144143</v>
          </cell>
          <cell r="FL298">
            <v>1.0185440088098592</v>
          </cell>
          <cell r="FM298">
            <v>1.0150644106268683</v>
          </cell>
          <cell r="FP298">
            <v>0.9967530496300272</v>
          </cell>
          <cell r="FQ298">
            <v>0.99989171377441255</v>
          </cell>
          <cell r="FR298">
            <v>1.0028971230689774</v>
          </cell>
          <cell r="FS298">
            <v>0.9946391314592461</v>
          </cell>
          <cell r="FV298">
            <v>1.0074992903911262</v>
          </cell>
          <cell r="FW298">
            <v>1.0057878604073234</v>
          </cell>
          <cell r="FX298">
            <v>1.0057401642886414</v>
          </cell>
          <cell r="FY298">
            <v>1.0118477756232767</v>
          </cell>
          <cell r="GB298">
            <v>1.0102541230632647</v>
          </cell>
          <cell r="GC298">
            <v>1.011143062170935</v>
          </cell>
          <cell r="GD298">
            <v>1</v>
          </cell>
          <cell r="GE298">
            <v>1</v>
          </cell>
        </row>
        <row r="299">
          <cell r="AN299" t="str">
            <v>Month 3</v>
          </cell>
          <cell r="EL299" t="str">
            <v>Month 3</v>
          </cell>
          <cell r="ER299">
            <v>0.85509041472763314</v>
          </cell>
          <cell r="ES299">
            <v>0.83302342705472399</v>
          </cell>
          <cell r="ET299">
            <v>0.9300581404093593</v>
          </cell>
          <cell r="EU299">
            <v>0.88885616548937241</v>
          </cell>
          <cell r="EX299">
            <v>1.0012993536198342</v>
          </cell>
          <cell r="EY299">
            <v>1.0067406823426219</v>
          </cell>
          <cell r="EZ299">
            <v>1.0010354929971583</v>
          </cell>
          <cell r="FA299">
            <v>0.77697496531497701</v>
          </cell>
          <cell r="FD299">
            <v>0.99998610863561077</v>
          </cell>
          <cell r="FE299">
            <v>1.0000776716315167</v>
          </cell>
          <cell r="FF299">
            <v>1.0026881239876493</v>
          </cell>
          <cell r="FG299">
            <v>1.0034001517037674</v>
          </cell>
          <cell r="FJ299">
            <v>1.017274065207098</v>
          </cell>
          <cell r="FK299">
            <v>1.0307481774152398</v>
          </cell>
          <cell r="FL299">
            <v>1.0154616377110075</v>
          </cell>
          <cell r="FM299">
            <v>1.009307170702717</v>
          </cell>
          <cell r="FP299">
            <v>1.0005893323256754</v>
          </cell>
          <cell r="FQ299">
            <v>1.0111137394005785</v>
          </cell>
          <cell r="FR299">
            <v>1.0254628236300125</v>
          </cell>
          <cell r="FS299">
            <v>1.00775043725629</v>
          </cell>
          <cell r="FV299">
            <v>0.99618702023241001</v>
          </cell>
          <cell r="FW299">
            <v>1.0047825549823146</v>
          </cell>
          <cell r="FX299">
            <v>1.0004489851343907</v>
          </cell>
          <cell r="FY299">
            <v>1.008520012530175</v>
          </cell>
          <cell r="GB299">
            <v>1.0062765433093959</v>
          </cell>
          <cell r="GC299">
            <v>1.0227639737625074</v>
          </cell>
          <cell r="GD299">
            <v>1</v>
          </cell>
          <cell r="GE299">
            <v>1</v>
          </cell>
        </row>
        <row r="300">
          <cell r="AN300" t="str">
            <v>Total</v>
          </cell>
          <cell r="EL300" t="str">
            <v>Total</v>
          </cell>
        </row>
        <row r="302">
          <cell r="AN302" t="str">
            <v>Cost of Goods Sold</v>
          </cell>
          <cell r="EL302" t="str">
            <v>Cost of Goods Sold</v>
          </cell>
          <cell r="ER302">
            <v>3627</v>
          </cell>
          <cell r="ES302">
            <v>3470</v>
          </cell>
          <cell r="ET302">
            <v>3513</v>
          </cell>
          <cell r="EU302">
            <v>5409</v>
          </cell>
          <cell r="EV302">
            <v>16019</v>
          </cell>
          <cell r="EX302">
            <v>3564</v>
          </cell>
          <cell r="EY302">
            <v>3507</v>
          </cell>
          <cell r="EZ302">
            <v>3585</v>
          </cell>
          <cell r="FA302">
            <v>5021</v>
          </cell>
          <cell r="FB302">
            <v>15677</v>
          </cell>
          <cell r="FD302">
            <v>3527</v>
          </cell>
          <cell r="FE302">
            <v>3346</v>
          </cell>
          <cell r="FF302">
            <v>3324</v>
          </cell>
          <cell r="FG302">
            <v>4812</v>
          </cell>
          <cell r="FH302">
            <v>15009</v>
          </cell>
          <cell r="FJ302">
            <v>3279</v>
          </cell>
          <cell r="FK302">
            <v>3117</v>
          </cell>
          <cell r="FL302">
            <v>3241</v>
          </cell>
          <cell r="FM302">
            <v>4641</v>
          </cell>
          <cell r="FN302">
            <v>14278</v>
          </cell>
          <cell r="FP302">
            <v>3378</v>
          </cell>
          <cell r="FQ302">
            <v>3214</v>
          </cell>
          <cell r="FR302">
            <v>3377</v>
          </cell>
          <cell r="FS302">
            <v>4855</v>
          </cell>
          <cell r="FT302">
            <v>14824</v>
          </cell>
          <cell r="FV302">
            <v>3586</v>
          </cell>
          <cell r="FW302">
            <v>3457</v>
          </cell>
          <cell r="FX302">
            <v>3544</v>
          </cell>
          <cell r="FY302">
            <v>5151</v>
          </cell>
          <cell r="FZ302">
            <v>15738</v>
          </cell>
          <cell r="GB302">
            <v>3757</v>
          </cell>
          <cell r="GC302">
            <v>3555</v>
          </cell>
          <cell r="GD302">
            <v>3637.655406064408</v>
          </cell>
          <cell r="GE302">
            <v>5421.68776484106</v>
          </cell>
          <cell r="GF302">
            <v>16371.343170905468</v>
          </cell>
        </row>
        <row r="303">
          <cell r="AN303" t="str">
            <v>% of Sales</v>
          </cell>
          <cell r="EL303" t="str">
            <v>% of Sales</v>
          </cell>
          <cell r="ER303">
            <v>0.61163575042158513</v>
          </cell>
          <cell r="ES303">
            <v>0.57881567973311088</v>
          </cell>
          <cell r="ET303">
            <v>0.59683995922528033</v>
          </cell>
          <cell r="EU303">
            <v>0.59056665574844414</v>
          </cell>
          <cell r="EV303">
            <v>0.59395624768261035</v>
          </cell>
          <cell r="EX303">
            <v>0.60192535044755957</v>
          </cell>
          <cell r="EY303">
            <v>0.59521384928716903</v>
          </cell>
          <cell r="EZ303">
            <v>0.60700982052150354</v>
          </cell>
          <cell r="FA303">
            <v>0.58424482196881544</v>
          </cell>
          <cell r="FB303">
            <v>0.59578915365028695</v>
          </cell>
          <cell r="FD303">
            <v>0.61371150165303634</v>
          </cell>
          <cell r="FE303">
            <v>0.5851696397341728</v>
          </cell>
          <cell r="FF303">
            <v>0.60513380666302563</v>
          </cell>
          <cell r="FG303">
            <v>0.60650365515502902</v>
          </cell>
          <cell r="FH303">
            <v>0.60296480797043228</v>
          </cell>
          <cell r="FJ303">
            <v>0.62008320726172461</v>
          </cell>
          <cell r="FK303">
            <v>0.58978240302743612</v>
          </cell>
          <cell r="FL303">
            <v>0.6018570102135562</v>
          </cell>
          <cell r="FM303">
            <v>0.58406745532343318</v>
          </cell>
          <cell r="FN303">
            <v>0.59730589022757696</v>
          </cell>
          <cell r="FP303">
            <v>0.60602798708288486</v>
          </cell>
          <cell r="FQ303">
            <v>0.58045873216543253</v>
          </cell>
          <cell r="FR303">
            <v>0.60056909123243818</v>
          </cell>
          <cell r="FS303">
            <v>0.58713266416737209</v>
          </cell>
          <cell r="FT303">
            <v>0.59288885333759944</v>
          </cell>
          <cell r="FV303">
            <v>0.60893190694515198</v>
          </cell>
          <cell r="FW303">
            <v>0.58208452601448057</v>
          </cell>
          <cell r="FX303">
            <v>0.60550145224671104</v>
          </cell>
          <cell r="FY303">
            <v>0.59044016506189823</v>
          </cell>
          <cell r="FZ303">
            <v>0.59602348040143915</v>
          </cell>
          <cell r="GB303">
            <v>0.61159042812957842</v>
          </cell>
          <cell r="GC303">
            <v>0.58107224583197126</v>
          </cell>
          <cell r="GD303">
            <v>0.60750145224671104</v>
          </cell>
          <cell r="GE303">
            <v>0.59012736950345424</v>
          </cell>
          <cell r="GF303">
            <v>0.59670562849962006</v>
          </cell>
        </row>
        <row r="304">
          <cell r="AN304" t="str">
            <v>BPS Change</v>
          </cell>
          <cell r="EL304" t="str">
            <v>BPS Change</v>
          </cell>
          <cell r="ER304">
            <v>139.97738886292632</v>
          </cell>
          <cell r="ES304">
            <v>-79.90834205613973</v>
          </cell>
          <cell r="ET304">
            <v>6.2033726308408088</v>
          </cell>
          <cell r="EU304">
            <v>-5.9414249625333593</v>
          </cell>
          <cell r="EV304">
            <v>11.916206169559906</v>
          </cell>
          <cell r="EX304">
            <v>-97.103999740255631</v>
          </cell>
          <cell r="EY304">
            <v>163.98169554058151</v>
          </cell>
          <cell r="EZ304">
            <v>101.69861296223215</v>
          </cell>
          <cell r="FA304">
            <v>-63.218337796286939</v>
          </cell>
          <cell r="FB304">
            <v>18.329059676766015</v>
          </cell>
          <cell r="FD304">
            <v>117.86151205476769</v>
          </cell>
          <cell r="FE304">
            <v>-100.4420955299623</v>
          </cell>
          <cell r="FF304">
            <v>-18.760138584779096</v>
          </cell>
          <cell r="FG304">
            <v>222.58833186213579</v>
          </cell>
          <cell r="FH304">
            <v>71.756543201453297</v>
          </cell>
          <cell r="FJ304">
            <v>63.717056086882721</v>
          </cell>
          <cell r="FK304">
            <v>46.127632932633219</v>
          </cell>
          <cell r="FL304">
            <v>-32.767964494694326</v>
          </cell>
          <cell r="FM304">
            <v>-224.36199831595837</v>
          </cell>
          <cell r="FN304">
            <v>-56.589177428553185</v>
          </cell>
          <cell r="FP304">
            <v>-140.55220178839755</v>
          </cell>
          <cell r="FQ304">
            <v>-93.236708620035856</v>
          </cell>
          <cell r="FR304">
            <v>-12.879189811180192</v>
          </cell>
          <cell r="FS304">
            <v>30.652088439389047</v>
          </cell>
          <cell r="FT304">
            <v>-44.170368899775212</v>
          </cell>
          <cell r="FV304">
            <v>29.039198622671236</v>
          </cell>
          <cell r="FW304">
            <v>16.257938490480406</v>
          </cell>
          <cell r="FX304">
            <v>49.323610142728569</v>
          </cell>
          <cell r="FY304">
            <v>33.075008945261388</v>
          </cell>
          <cell r="FZ304">
            <v>31.346270638397122</v>
          </cell>
          <cell r="GB304">
            <v>26.585211844264435</v>
          </cell>
          <cell r="GC304">
            <v>-10.122801825093175</v>
          </cell>
          <cell r="GD304">
            <v>20.000000000000018</v>
          </cell>
          <cell r="GE304">
            <v>-3.127955584439901</v>
          </cell>
          <cell r="GF304">
            <v>6.8214809818090139</v>
          </cell>
        </row>
        <row r="306">
          <cell r="AN306" t="str">
            <v>Gross Income</v>
          </cell>
          <cell r="EL306" t="str">
            <v>Gross Income</v>
          </cell>
          <cell r="ER306">
            <v>2303</v>
          </cell>
          <cell r="ES306">
            <v>2525</v>
          </cell>
          <cell r="ET306">
            <v>2373</v>
          </cell>
          <cell r="EU306">
            <v>3750</v>
          </cell>
          <cell r="EV306">
            <v>10951</v>
          </cell>
          <cell r="EX306">
            <v>2357</v>
          </cell>
          <cell r="EY306">
            <v>2385</v>
          </cell>
          <cell r="EZ306">
            <v>2321</v>
          </cell>
          <cell r="FA306">
            <v>3573</v>
          </cell>
          <cell r="FB306">
            <v>10636</v>
          </cell>
          <cell r="FD306">
            <v>2220</v>
          </cell>
          <cell r="FE306">
            <v>2372</v>
          </cell>
          <cell r="FF306">
            <v>2169</v>
          </cell>
          <cell r="FG306">
            <v>3122</v>
          </cell>
          <cell r="FH306">
            <v>9883</v>
          </cell>
          <cell r="FJ306">
            <v>2009</v>
          </cell>
          <cell r="FK306">
            <v>2168</v>
          </cell>
          <cell r="FL306">
            <v>2144</v>
          </cell>
          <cell r="FM306">
            <v>3296</v>
          </cell>
          <cell r="FN306">
            <v>9617</v>
          </cell>
          <cell r="FP306">
            <v>2196</v>
          </cell>
          <cell r="FQ306">
            <v>2323</v>
          </cell>
          <cell r="FR306">
            <v>2246</v>
          </cell>
          <cell r="FS306">
            <v>3414</v>
          </cell>
          <cell r="FT306">
            <v>10179</v>
          </cell>
          <cell r="FV306">
            <v>2303</v>
          </cell>
          <cell r="FW306">
            <v>2482</v>
          </cell>
          <cell r="FX306">
            <v>2309</v>
          </cell>
          <cell r="FY306">
            <v>3573</v>
          </cell>
          <cell r="FZ306">
            <v>10667</v>
          </cell>
          <cell r="GB306">
            <v>2386</v>
          </cell>
          <cell r="GC306">
            <v>2563</v>
          </cell>
          <cell r="GD306">
            <v>2350.2404131329554</v>
          </cell>
          <cell r="GE306">
            <v>3765.6301685789467</v>
          </cell>
          <cell r="GF306">
            <v>11064.870581711901</v>
          </cell>
        </row>
        <row r="307">
          <cell r="AN307" t="str">
            <v>Gross Margin</v>
          </cell>
          <cell r="EL307" t="str">
            <v>Gross Margin</v>
          </cell>
          <cell r="ER307">
            <v>0.38836424957841487</v>
          </cell>
          <cell r="ES307">
            <v>0.42118432026688907</v>
          </cell>
          <cell r="ET307">
            <v>0.40316004077471967</v>
          </cell>
          <cell r="EU307">
            <v>0.40943334425155586</v>
          </cell>
          <cell r="EV307">
            <v>0.40604375231738971</v>
          </cell>
          <cell r="EX307">
            <v>0.39807464955244048</v>
          </cell>
          <cell r="EY307">
            <v>0.40478615071283097</v>
          </cell>
          <cell r="EZ307">
            <v>0.39299017947849646</v>
          </cell>
          <cell r="FA307">
            <v>0.41575517803118456</v>
          </cell>
          <cell r="FB307">
            <v>0.40421084634971305</v>
          </cell>
          <cell r="FD307">
            <v>0.38628849834696366</v>
          </cell>
          <cell r="FE307">
            <v>0.4148303602658272</v>
          </cell>
          <cell r="FF307">
            <v>0.39486619333697431</v>
          </cell>
          <cell r="FG307">
            <v>0.39349634484497104</v>
          </cell>
          <cell r="FH307">
            <v>0.39703519202956772</v>
          </cell>
          <cell r="FJ307">
            <v>0.37991679273827533</v>
          </cell>
          <cell r="FK307">
            <v>0.41021759697256388</v>
          </cell>
          <cell r="FL307">
            <v>0.3981429897864438</v>
          </cell>
          <cell r="FM307">
            <v>0.41479989932041278</v>
          </cell>
          <cell r="FN307">
            <v>0.40231760374832665</v>
          </cell>
          <cell r="FP307">
            <v>0.3939720129171152</v>
          </cell>
          <cell r="FQ307">
            <v>0.41954126783456747</v>
          </cell>
          <cell r="FR307">
            <v>0.39943090876756182</v>
          </cell>
          <cell r="FS307">
            <v>0.41286733583262791</v>
          </cell>
          <cell r="FT307">
            <v>0.4071111466624005</v>
          </cell>
          <cell r="FV307">
            <v>0.39106809305484802</v>
          </cell>
          <cell r="FW307">
            <v>0.41791547398551943</v>
          </cell>
          <cell r="FX307">
            <v>0.39449854775328891</v>
          </cell>
          <cell r="FY307">
            <v>0.40955983493810177</v>
          </cell>
          <cell r="FZ307">
            <v>0.4039765195985609</v>
          </cell>
          <cell r="GB307">
            <v>0.38840957187042163</v>
          </cell>
          <cell r="GC307">
            <v>0.41892775416802874</v>
          </cell>
          <cell r="GD307">
            <v>0.39249854775328891</v>
          </cell>
          <cell r="GE307">
            <v>0.40987263049654576</v>
          </cell>
          <cell r="GF307">
            <v>0.40329437150037983</v>
          </cell>
        </row>
        <row r="308">
          <cell r="AN308" t="str">
            <v>BPS Change</v>
          </cell>
          <cell r="EL308" t="str">
            <v>BPS Change</v>
          </cell>
          <cell r="ER308">
            <v>-139.97738886292632</v>
          </cell>
          <cell r="ES308">
            <v>79.908342056138622</v>
          </cell>
          <cell r="ET308">
            <v>-6.2033726308408088</v>
          </cell>
          <cell r="EU308">
            <v>5.9414249625339144</v>
          </cell>
          <cell r="EV308">
            <v>-11.916206169559906</v>
          </cell>
          <cell r="EX308">
            <v>97.103999740256185</v>
          </cell>
          <cell r="EY308">
            <v>-163.98169554058094</v>
          </cell>
          <cell r="EZ308">
            <v>-101.69861296223215</v>
          </cell>
          <cell r="FA308">
            <v>63.218337796286939</v>
          </cell>
          <cell r="FB308">
            <v>-18.329059676766569</v>
          </cell>
          <cell r="FD308">
            <v>-117.86151205476824</v>
          </cell>
          <cell r="FE308">
            <v>100.4420955299623</v>
          </cell>
          <cell r="FF308">
            <v>18.760138584778542</v>
          </cell>
          <cell r="FG308">
            <v>-222.58833186213522</v>
          </cell>
          <cell r="FH308">
            <v>-71.756543201453297</v>
          </cell>
          <cell r="FJ308">
            <v>-63.717056086883275</v>
          </cell>
          <cell r="FK308">
            <v>-46.127632932633219</v>
          </cell>
          <cell r="FL308">
            <v>32.76796449469488</v>
          </cell>
          <cell r="FM308">
            <v>213.03554475441743</v>
          </cell>
          <cell r="FN308">
            <v>52.82411718758928</v>
          </cell>
          <cell r="FP308">
            <v>140.55220178839866</v>
          </cell>
          <cell r="FQ308">
            <v>93.236708620035856</v>
          </cell>
          <cell r="FR308">
            <v>12.879189811180192</v>
          </cell>
          <cell r="FS308">
            <v>-19.325634877848664</v>
          </cell>
          <cell r="FT308">
            <v>47.935429140738563</v>
          </cell>
          <cell r="FV308">
            <v>-29.03919862267179</v>
          </cell>
          <cell r="FW308">
            <v>-16.257938490480406</v>
          </cell>
          <cell r="FX308">
            <v>-49.323610142729123</v>
          </cell>
          <cell r="FY308">
            <v>-33.075008945261388</v>
          </cell>
          <cell r="FZ308">
            <v>-31.346270638396014</v>
          </cell>
          <cell r="GB308">
            <v>-26.585211844263878</v>
          </cell>
          <cell r="GC308">
            <v>10.122801825093175</v>
          </cell>
          <cell r="GD308">
            <v>-20</v>
          </cell>
          <cell r="GE308">
            <v>3.1279555844399312</v>
          </cell>
          <cell r="GF308">
            <v>-6.8214809818106792</v>
          </cell>
        </row>
        <row r="310">
          <cell r="AN310" t="str">
            <v>Total SG&amp;A</v>
          </cell>
          <cell r="EL310" t="str">
            <v>Total SG&amp;A</v>
          </cell>
          <cell r="ER310">
            <v>2154</v>
          </cell>
          <cell r="ES310">
            <v>2117</v>
          </cell>
          <cell r="ET310">
            <v>2094</v>
          </cell>
          <cell r="EU310">
            <v>2313</v>
          </cell>
          <cell r="EV310">
            <v>8678</v>
          </cell>
          <cell r="EX310">
            <v>2113</v>
          </cell>
          <cell r="EY310">
            <v>2038</v>
          </cell>
          <cell r="EZ310">
            <v>2121</v>
          </cell>
          <cell r="FA310">
            <v>2282</v>
          </cell>
          <cell r="FB310">
            <v>8554</v>
          </cell>
          <cell r="FD310">
            <v>2080</v>
          </cell>
          <cell r="FE310">
            <v>2037</v>
          </cell>
          <cell r="FF310">
            <v>2085</v>
          </cell>
          <cell r="FG310">
            <v>2256</v>
          </cell>
          <cell r="FH310">
            <v>8458</v>
          </cell>
          <cell r="FJ310">
            <v>1985</v>
          </cell>
          <cell r="FK310">
            <v>1886</v>
          </cell>
          <cell r="FL310">
            <v>2056</v>
          </cell>
          <cell r="FM310">
            <v>2236</v>
          </cell>
          <cell r="FN310">
            <v>8163</v>
          </cell>
          <cell r="FP310">
            <v>1993</v>
          </cell>
          <cell r="FQ310">
            <v>1953</v>
          </cell>
          <cell r="FR310">
            <v>2069</v>
          </cell>
          <cell r="FS310">
            <v>2245</v>
          </cell>
          <cell r="FT310">
            <v>8260</v>
          </cell>
          <cell r="FV310">
            <v>1973</v>
          </cell>
          <cell r="FW310">
            <v>1976</v>
          </cell>
          <cell r="FX310">
            <v>2018</v>
          </cell>
          <cell r="FY310">
            <v>2314</v>
          </cell>
          <cell r="FZ310">
            <v>8281</v>
          </cell>
          <cell r="GB310">
            <v>1995</v>
          </cell>
          <cell r="GC310">
            <v>2009</v>
          </cell>
          <cell r="GD310">
            <v>2108.3871000833064</v>
          </cell>
          <cell r="GE310">
            <v>2403.7660222156705</v>
          </cell>
          <cell r="GF310">
            <v>8516.1531222989761</v>
          </cell>
        </row>
        <row r="311">
          <cell r="AN311" t="str">
            <v>SG&amp;A Ratio</v>
          </cell>
          <cell r="EL311" t="str">
            <v>SG&amp;A Ratio</v>
          </cell>
          <cell r="ER311">
            <v>0.36323777403035412</v>
          </cell>
          <cell r="ES311">
            <v>0.35312760633861551</v>
          </cell>
          <cell r="ET311">
            <v>0.35575942915392456</v>
          </cell>
          <cell r="EU311">
            <v>0.25253848673435964</v>
          </cell>
          <cell r="EV311">
            <v>0.32176492398961809</v>
          </cell>
          <cell r="EX311">
            <v>0.35686539435906095</v>
          </cell>
          <cell r="EY311">
            <v>0.34589273591310249</v>
          </cell>
          <cell r="EZ311">
            <v>0.35912631222485608</v>
          </cell>
          <cell r="FA311">
            <v>0.2655340935536421</v>
          </cell>
          <cell r="FB311">
            <v>0.32508645916467144</v>
          </cell>
          <cell r="FD311">
            <v>0.36192796241517311</v>
          </cell>
          <cell r="FE311">
            <v>0.35624344176285416</v>
          </cell>
          <cell r="FF311">
            <v>0.37957400327689789</v>
          </cell>
          <cell r="FG311">
            <v>0.28434585328963952</v>
          </cell>
          <cell r="FH311">
            <v>0.33978788365739998</v>
          </cell>
          <cell r="FJ311">
            <v>0.37537821482602118</v>
          </cell>
          <cell r="FK311">
            <v>0.35685903500473037</v>
          </cell>
          <cell r="FL311">
            <v>0.38180129990714951</v>
          </cell>
          <cell r="FM311">
            <v>0.28139944626227031</v>
          </cell>
          <cell r="FN311">
            <v>0.34149096385542171</v>
          </cell>
          <cell r="FP311">
            <v>0.35755292429135271</v>
          </cell>
          <cell r="FQ311">
            <v>0.3527180783817952</v>
          </cell>
          <cell r="FR311">
            <v>0.36795304997332384</v>
          </cell>
          <cell r="FS311">
            <v>0.27149594872415045</v>
          </cell>
          <cell r="FT311">
            <v>0.33036035675718911</v>
          </cell>
          <cell r="FV311">
            <v>0.33503141450161317</v>
          </cell>
          <cell r="FW311">
            <v>0.33271594544536115</v>
          </cell>
          <cell r="FX311">
            <v>0.34478045446779432</v>
          </cell>
          <cell r="FY311">
            <v>0.26524530032095367</v>
          </cell>
          <cell r="FZ311">
            <v>0.31361484567316794</v>
          </cell>
          <cell r="GB311">
            <v>0.32475988930489991</v>
          </cell>
          <cell r="GC311">
            <v>0.32837528604118993</v>
          </cell>
          <cell r="GD311">
            <v>0.35210818019307516</v>
          </cell>
          <cell r="GE311">
            <v>0.26163958182743124</v>
          </cell>
          <cell r="GF311">
            <v>0.31039826410036436</v>
          </cell>
        </row>
        <row r="312">
          <cell r="AN312" t="str">
            <v>BPS Change</v>
          </cell>
          <cell r="EL312" t="str">
            <v>BPS Change</v>
          </cell>
          <cell r="ER312">
            <v>300.87540578005888</v>
          </cell>
          <cell r="ES312">
            <v>202.54296926526084</v>
          </cell>
          <cell r="ET312">
            <v>5.8391160216936244</v>
          </cell>
          <cell r="EU312">
            <v>-178.61680437304796</v>
          </cell>
          <cell r="EV312">
            <v>100.18608670279094</v>
          </cell>
          <cell r="EX312">
            <v>-63.723796712931716</v>
          </cell>
          <cell r="EY312">
            <v>-72.348704255130187</v>
          </cell>
          <cell r="EZ312">
            <v>33.668830709315259</v>
          </cell>
          <cell r="FA312">
            <v>129.95606819282469</v>
          </cell>
          <cell r="FB312">
            <v>33.215351750533472</v>
          </cell>
          <cell r="FD312">
            <v>50.625680561121598</v>
          </cell>
          <cell r="FE312">
            <v>103.50705849751674</v>
          </cell>
          <cell r="FF312">
            <v>204.47691052041804</v>
          </cell>
          <cell r="FG312">
            <v>188.11759735997413</v>
          </cell>
          <cell r="FH312">
            <v>147.01424492728543</v>
          </cell>
          <cell r="FJ312">
            <v>134.50252410848074</v>
          </cell>
          <cell r="FK312">
            <v>6.1559324187621112</v>
          </cell>
          <cell r="FL312">
            <v>22.272966302516185</v>
          </cell>
          <cell r="FM312">
            <v>-29.464070273692023</v>
          </cell>
          <cell r="FN312">
            <v>17.030801980217337</v>
          </cell>
          <cell r="FP312">
            <v>-178.25290534668468</v>
          </cell>
          <cell r="FQ312">
            <v>-41.409566229351768</v>
          </cell>
          <cell r="FR312">
            <v>-138.48249933825662</v>
          </cell>
          <cell r="FS312">
            <v>-99.034975381198649</v>
          </cell>
          <cell r="FT312">
            <v>-111.30607098232603</v>
          </cell>
          <cell r="FV312">
            <v>-225.21509789739548</v>
          </cell>
          <cell r="FW312">
            <v>-200.02132936434046</v>
          </cell>
          <cell r="FX312">
            <v>-231.72595505529526</v>
          </cell>
          <cell r="FY312">
            <v>-62.506484031967787</v>
          </cell>
          <cell r="FZ312">
            <v>-167.45511084021169</v>
          </cell>
          <cell r="GB312">
            <v>-102.7152519671326</v>
          </cell>
          <cell r="GC312">
            <v>-43.406594041712211</v>
          </cell>
          <cell r="GD312">
            <v>73.277257252808397</v>
          </cell>
          <cell r="GE312">
            <v>-36.057184935224271</v>
          </cell>
          <cell r="GF312">
            <v>-32.165815728035781</v>
          </cell>
        </row>
        <row r="314">
          <cell r="AN314" t="str">
            <v>Operating Income</v>
          </cell>
          <cell r="EL314" t="str">
            <v>Operating Income</v>
          </cell>
          <cell r="ER314">
            <v>149</v>
          </cell>
          <cell r="ES314">
            <v>408</v>
          </cell>
          <cell r="ET314">
            <v>279</v>
          </cell>
          <cell r="EU314">
            <v>1437</v>
          </cell>
          <cell r="EV314">
            <v>2273</v>
          </cell>
          <cell r="EX314">
            <v>244</v>
          </cell>
          <cell r="EY314">
            <v>347</v>
          </cell>
          <cell r="EZ314">
            <v>200</v>
          </cell>
          <cell r="FA314">
            <v>1291</v>
          </cell>
          <cell r="FB314">
            <v>2082</v>
          </cell>
          <cell r="FD314">
            <v>140</v>
          </cell>
          <cell r="FE314">
            <v>335</v>
          </cell>
          <cell r="FF314">
            <v>84</v>
          </cell>
          <cell r="FG314">
            <v>866</v>
          </cell>
          <cell r="FH314">
            <v>1425</v>
          </cell>
          <cell r="FJ314">
            <v>24</v>
          </cell>
          <cell r="FK314">
            <v>282</v>
          </cell>
          <cell r="FL314">
            <v>88</v>
          </cell>
          <cell r="FM314">
            <v>1060</v>
          </cell>
          <cell r="FN314">
            <v>1454</v>
          </cell>
          <cell r="FP314">
            <v>203</v>
          </cell>
          <cell r="FQ314">
            <v>370</v>
          </cell>
          <cell r="FR314">
            <v>177</v>
          </cell>
          <cell r="FS314">
            <v>1169</v>
          </cell>
          <cell r="FT314">
            <v>1919</v>
          </cell>
          <cell r="FV314">
            <v>330</v>
          </cell>
          <cell r="FW314">
            <v>506</v>
          </cell>
          <cell r="FX314">
            <v>291</v>
          </cell>
          <cell r="FY314">
            <v>1259</v>
          </cell>
          <cell r="FZ314">
            <v>2386</v>
          </cell>
          <cell r="GB314">
            <v>391</v>
          </cell>
          <cell r="GC314">
            <v>554</v>
          </cell>
          <cell r="GD314">
            <v>241.85331304964893</v>
          </cell>
          <cell r="GE314">
            <v>1361.8641463632762</v>
          </cell>
          <cell r="GF314">
            <v>2548.7174594129251</v>
          </cell>
        </row>
        <row r="315">
          <cell r="AN315" t="str">
            <v>Operating Margin</v>
          </cell>
          <cell r="EL315" t="str">
            <v>Operating Margin</v>
          </cell>
          <cell r="ER315">
            <v>2.5126475548060707E-2</v>
          </cell>
          <cell r="ES315">
            <v>6.805671392827356E-2</v>
          </cell>
          <cell r="ET315">
            <v>4.7400611620795105E-2</v>
          </cell>
          <cell r="EU315">
            <v>0.1568948575171962</v>
          </cell>
          <cell r="EV315">
            <v>8.4278828327771602E-2</v>
          </cell>
          <cell r="EX315">
            <v>4.12092551933795E-2</v>
          </cell>
          <cell r="EY315">
            <v>5.8893414799728448E-2</v>
          </cell>
          <cell r="EZ315">
            <v>3.3863867253640365E-2</v>
          </cell>
          <cell r="FA315">
            <v>0.15022108447754248</v>
          </cell>
          <cell r="FB315">
            <v>7.9124387185041611E-2</v>
          </cell>
          <cell r="FD315">
            <v>2.4360535931790498E-2</v>
          </cell>
          <cell r="FE315">
            <v>5.8586918502973068E-2</v>
          </cell>
          <cell r="FF315">
            <v>1.5292190060076462E-2</v>
          </cell>
          <cell r="FG315">
            <v>0.10915049155533149</v>
          </cell>
          <cell r="FH315">
            <v>5.7247308372167766E-2</v>
          </cell>
          <cell r="FJ315">
            <v>4.5385779122541605E-3</v>
          </cell>
          <cell r="FK315">
            <v>5.3358561967833493E-2</v>
          </cell>
          <cell r="FL315">
            <v>1.6341689879294335E-2</v>
          </cell>
          <cell r="FM315">
            <v>0.13340045305814247</v>
          </cell>
          <cell r="FN315">
            <v>6.0826639892904953E-2</v>
          </cell>
          <cell r="FP315">
            <v>3.6419088625762472E-2</v>
          </cell>
          <cell r="FQ315">
            <v>6.6823189452772255E-2</v>
          </cell>
          <cell r="FR315">
            <v>3.1477858794237951E-2</v>
          </cell>
          <cell r="FS315">
            <v>0.14137138710847744</v>
          </cell>
          <cell r="FT315">
            <v>7.6750789905211378E-2</v>
          </cell>
          <cell r="FV315">
            <v>5.6036678553234846E-2</v>
          </cell>
          <cell r="FW315">
            <v>8.5199528540158276E-2</v>
          </cell>
          <cell r="FX315">
            <v>4.9718093285494619E-2</v>
          </cell>
          <cell r="FY315">
            <v>0.1443145346171481</v>
          </cell>
          <cell r="FZ315">
            <v>9.0361673925392919E-2</v>
          </cell>
          <cell r="GB315">
            <v>6.3649682565521726E-2</v>
          </cell>
          <cell r="GC315">
            <v>9.0552468126838842E-2</v>
          </cell>
          <cell r="GD315">
            <v>4.0390367560213782E-2</v>
          </cell>
          <cell r="GE315">
            <v>0.14823304866911449</v>
          </cell>
          <cell r="GF315">
            <v>9.2896107400015485E-2</v>
          </cell>
        </row>
        <row r="316">
          <cell r="AN316" t="str">
            <v>BPS Change</v>
          </cell>
          <cell r="EL316" t="str">
            <v>BPS Change</v>
          </cell>
          <cell r="ER316">
            <v>-440.85279464298537</v>
          </cell>
          <cell r="ES316">
            <v>-122.63462720912194</v>
          </cell>
          <cell r="ET316">
            <v>-12.042488652534988</v>
          </cell>
          <cell r="EU316">
            <v>184.5582293355813</v>
          </cell>
          <cell r="EV316">
            <v>-112.10229287235099</v>
          </cell>
          <cell r="EX316">
            <v>160.82779645318794</v>
          </cell>
          <cell r="EY316">
            <v>-91.632991285451112</v>
          </cell>
          <cell r="EZ316">
            <v>-135.36744367154739</v>
          </cell>
          <cell r="FA316">
            <v>-66.737730396537188</v>
          </cell>
          <cell r="FB316">
            <v>-51.544411427299899</v>
          </cell>
          <cell r="FD316">
            <v>-168.48719261589002</v>
          </cell>
          <cell r="FE316">
            <v>-3.0649629675538055</v>
          </cell>
          <cell r="FF316">
            <v>-185.71677193563903</v>
          </cell>
          <cell r="FG316">
            <v>-410.70592922210989</v>
          </cell>
          <cell r="FJ316">
            <v>-198.21958019536339</v>
          </cell>
          <cell r="FK316">
            <v>-52.283565351395751</v>
          </cell>
          <cell r="FL316">
            <v>10.494998192178731</v>
          </cell>
          <cell r="FM316">
            <v>242.49961502810973</v>
          </cell>
          <cell r="FP316">
            <v>318.80510713508306</v>
          </cell>
          <cell r="FQ316">
            <v>134.64627484938762</v>
          </cell>
          <cell r="FR316">
            <v>151.36168914943616</v>
          </cell>
          <cell r="FS316">
            <v>78.196673151046397</v>
          </cell>
          <cell r="FV316">
            <v>196.17589927472375</v>
          </cell>
          <cell r="FW316">
            <v>183.7633908738602</v>
          </cell>
          <cell r="FX316">
            <v>182.40234491256669</v>
          </cell>
          <cell r="FY316">
            <v>29.431475086706683</v>
          </cell>
          <cell r="GB316">
            <v>76.130040122868792</v>
          </cell>
          <cell r="GC316">
            <v>53.529395866805665</v>
          </cell>
          <cell r="GD316">
            <v>-93.277257252808369</v>
          </cell>
          <cell r="GE316">
            <v>39.185140519663875</v>
          </cell>
        </row>
        <row r="318">
          <cell r="AN318" t="str">
            <v>Assumptions Spreads</v>
          </cell>
        </row>
        <row r="319">
          <cell r="AN319" t="str">
            <v>Bull Case Assumptions</v>
          </cell>
        </row>
        <row r="320">
          <cell r="AN320" t="str">
            <v>Monthly Comps</v>
          </cell>
        </row>
        <row r="321">
          <cell r="AN321" t="str">
            <v>Month 1</v>
          </cell>
          <cell r="GE321">
            <v>0.02</v>
          </cell>
        </row>
        <row r="322">
          <cell r="AN322" t="str">
            <v>Month 2</v>
          </cell>
          <cell r="GD322">
            <v>0.02</v>
          </cell>
          <cell r="GE322">
            <v>0.02</v>
          </cell>
        </row>
        <row r="323">
          <cell r="AN323" t="str">
            <v>Month 3</v>
          </cell>
          <cell r="GD323">
            <v>0.02</v>
          </cell>
          <cell r="GE323">
            <v>0.02</v>
          </cell>
        </row>
        <row r="324">
          <cell r="AN324" t="str">
            <v xml:space="preserve">  Total</v>
          </cell>
        </row>
        <row r="325">
          <cell r="AN325" t="str">
            <v>Y/Y ∆ Gross Margin (bps)</v>
          </cell>
          <cell r="GD325">
            <v>35</v>
          </cell>
          <cell r="GE325">
            <v>35</v>
          </cell>
        </row>
        <row r="326">
          <cell r="AN326" t="str">
            <v>Y/Y ∆ SG&amp;A Ratio (bps)</v>
          </cell>
          <cell r="GD326">
            <v>-24</v>
          </cell>
          <cell r="GE326">
            <v>-24</v>
          </cell>
        </row>
        <row r="328">
          <cell r="AN328" t="str">
            <v>Bear Case Assumptions</v>
          </cell>
        </row>
        <row r="329">
          <cell r="AN329" t="str">
            <v>Monthly Comps</v>
          </cell>
        </row>
        <row r="330">
          <cell r="AN330" t="str">
            <v>Month 1</v>
          </cell>
          <cell r="GE330">
            <v>-0.02</v>
          </cell>
        </row>
        <row r="331">
          <cell r="AN331" t="str">
            <v>Month 2</v>
          </cell>
          <cell r="GD331">
            <v>-0.02</v>
          </cell>
          <cell r="GE331">
            <v>-0.02</v>
          </cell>
        </row>
        <row r="332">
          <cell r="AN332" t="str">
            <v>Month 3</v>
          </cell>
          <cell r="GD332">
            <v>-0.02</v>
          </cell>
          <cell r="GE332">
            <v>-0.02</v>
          </cell>
        </row>
        <row r="333">
          <cell r="AN333" t="str">
            <v xml:space="preserve">  Total</v>
          </cell>
        </row>
        <row r="334">
          <cell r="AN334" t="str">
            <v>Y/Y ∆ Gross Margin (bps)</v>
          </cell>
          <cell r="GD334">
            <v>-35</v>
          </cell>
          <cell r="GE334">
            <v>-35</v>
          </cell>
        </row>
        <row r="335">
          <cell r="AN335" t="str">
            <v>Y/Y ∆ SG&amp;A Ratio (bps)</v>
          </cell>
          <cell r="GD335">
            <v>25</v>
          </cell>
          <cell r="GE335">
            <v>25</v>
          </cell>
        </row>
        <row r="338">
          <cell r="AN338" t="str">
            <v>Pension Expense (Benefit)</v>
          </cell>
          <cell r="EX338">
            <v>35</v>
          </cell>
          <cell r="EY338">
            <v>40</v>
          </cell>
          <cell r="EZ338">
            <v>39</v>
          </cell>
          <cell r="FA338">
            <v>39</v>
          </cell>
          <cell r="FB338">
            <v>153</v>
          </cell>
          <cell r="FD338">
            <v>38</v>
          </cell>
          <cell r="FE338">
            <v>37</v>
          </cell>
          <cell r="FF338">
            <v>38</v>
          </cell>
          <cell r="FG338">
            <v>17</v>
          </cell>
          <cell r="FH338">
            <v>130</v>
          </cell>
          <cell r="FJ338">
            <v>34</v>
          </cell>
          <cell r="FK338">
            <v>35</v>
          </cell>
          <cell r="FL338">
            <v>35</v>
          </cell>
          <cell r="FM338">
            <v>35</v>
          </cell>
          <cell r="FN338">
            <v>139</v>
          </cell>
          <cell r="FP338">
            <v>34.75</v>
          </cell>
          <cell r="FQ338">
            <v>34.75</v>
          </cell>
          <cell r="FR338">
            <v>34.75</v>
          </cell>
          <cell r="FS338">
            <v>34.75</v>
          </cell>
          <cell r="FT338">
            <v>139</v>
          </cell>
          <cell r="FV338">
            <v>34.75</v>
          </cell>
          <cell r="FW338">
            <v>38</v>
          </cell>
          <cell r="FX338">
            <v>38</v>
          </cell>
          <cell r="FY338">
            <v>39</v>
          </cell>
          <cell r="FZ338">
            <v>149.75</v>
          </cell>
          <cell r="GB338">
            <v>50.75</v>
          </cell>
          <cell r="GC338">
            <v>57</v>
          </cell>
          <cell r="GD338">
            <v>56</v>
          </cell>
          <cell r="GE338">
            <v>57</v>
          </cell>
          <cell r="GF338">
            <v>220.75</v>
          </cell>
        </row>
        <row r="339">
          <cell r="GB339">
            <v>16</v>
          </cell>
          <cell r="GC339">
            <v>19</v>
          </cell>
          <cell r="GD339">
            <v>18</v>
          </cell>
          <cell r="GE339">
            <v>18</v>
          </cell>
          <cell r="GF339">
            <v>71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4Q12A"/>
      <sheetName val="bal"/>
      <sheetName val="flow"/>
      <sheetName val="qtrP&amp;L"/>
      <sheetName val="Flow-through"/>
      <sheetName val="mthSales-Total"/>
      <sheetName val="sumry"/>
      <sheetName val="FY13 Guidance"/>
      <sheetName val="BBB"/>
      <sheetName val="yrP&amp;L"/>
      <sheetName val="qtrSales"/>
      <sheetName val="qtrSales-seg"/>
      <sheetName val="stores"/>
      <sheetName val="qtlycomp"/>
      <sheetName val="yrSales"/>
      <sheetName val="qtrP&amp;L-seg"/>
      <sheetName val="JWN ROIC"/>
      <sheetName val="turn"/>
      <sheetName val="wc"/>
      <sheetName val="Debt"/>
      <sheetName val="Earnings"/>
      <sheetName val="E-comm chart"/>
      <sheetName val="MWA RR"/>
      <sheetName val="dtc"/>
      <sheetName val="LEASES NEW"/>
      <sheetName val="mwareDates"/>
      <sheetName val="mwareSettings"/>
      <sheetName val="MW-Cach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B2" t="str">
            <v>2001-Q1</v>
          </cell>
        </row>
      </sheetData>
      <sheetData sheetId="26"/>
      <sheetData sheetId="27"/>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drawing2.xml" Type="http://schemas.openxmlformats.org/officeDocument/2006/relationships/drawing"/>
<Relationship Id="rId3" Target="../drawings/vmlDrawing7.vml" Type="http://schemas.openxmlformats.org/officeDocument/2006/relationships/vmlDrawing"/>
<Relationship Id="rId4" Target="../comments7.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drawing3.xml" Type="http://schemas.openxmlformats.org/officeDocument/2006/relationships/drawing"/>
<Relationship Id="rId3" Target="../drawings/vmlDrawing13.vml" Type="http://schemas.openxmlformats.org/officeDocument/2006/relationships/vmlDrawing"/>
<Relationship Id="rId4" Target="../comments13.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drawing4.xml" Type="http://schemas.openxmlformats.org/officeDocument/2006/relationships/drawing"/>
<Relationship Id="rId3" Target="../drawings/vmlDrawing14.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4.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BZ2"/>
  <sheetViews>
    <sheetView workbookViewId="0"/>
  </sheetViews>
  <sheetFormatPr defaultRowHeight="12.75"/>
  <sheetData>
    <row r="1" spans="1:78">
      <c r="A1" t="s">
        <v>746</v>
      </c>
    </row>
    <row r="2" spans="1:78">
      <c r="A2" s="8" t="s">
        <v>395</v>
      </c>
      <c r="B2" s="8" t="s">
        <v>396</v>
      </c>
      <c r="C2" s="8" t="s">
        <v>315</v>
      </c>
      <c r="D2" s="8" t="s">
        <v>644</v>
      </c>
      <c r="E2" s="8" t="s">
        <v>308</v>
      </c>
      <c r="F2" s="8" t="s">
        <v>644</v>
      </c>
      <c r="G2" s="8" t="s">
        <v>693</v>
      </c>
      <c r="H2" s="8" t="s">
        <v>644</v>
      </c>
      <c r="I2" s="8" t="s">
        <v>310</v>
      </c>
      <c r="J2" s="8" t="s">
        <v>644</v>
      </c>
      <c r="K2" s="8" t="s">
        <v>307</v>
      </c>
      <c r="L2" s="8" t="s">
        <v>644</v>
      </c>
      <c r="M2" s="8" t="s">
        <v>697</v>
      </c>
      <c r="N2" s="8" t="s">
        <v>742</v>
      </c>
      <c r="O2" s="8" t="s">
        <v>85</v>
      </c>
      <c r="P2" s="8" t="s">
        <v>22</v>
      </c>
      <c r="Q2" s="8" t="s">
        <v>305</v>
      </c>
      <c r="R2" s="8" t="s">
        <v>644</v>
      </c>
      <c r="S2" s="8" t="s">
        <v>336</v>
      </c>
      <c r="T2" s="8" t="s">
        <v>644</v>
      </c>
      <c r="U2" s="8" t="s">
        <v>303</v>
      </c>
      <c r="V2" s="8" t="s">
        <v>644</v>
      </c>
      <c r="W2" s="8" t="s">
        <v>174</v>
      </c>
      <c r="X2" s="8" t="s">
        <v>644</v>
      </c>
      <c r="Y2" s="8" t="s">
        <v>309</v>
      </c>
      <c r="Z2" s="8" t="s">
        <v>644</v>
      </c>
      <c r="AA2" s="8" t="s">
        <v>692</v>
      </c>
      <c r="AB2" s="8" t="s">
        <v>251</v>
      </c>
      <c r="AC2" s="8" t="s">
        <v>337</v>
      </c>
      <c r="AD2" s="8" t="s">
        <v>644</v>
      </c>
      <c r="AE2" s="8" t="s">
        <v>175</v>
      </c>
      <c r="AF2" s="8" t="s">
        <v>644</v>
      </c>
      <c r="AG2" s="8" t="s">
        <v>312</v>
      </c>
      <c r="AH2" s="8" t="s">
        <v>644</v>
      </c>
      <c r="AI2" s="8" t="s">
        <v>87</v>
      </c>
      <c r="AJ2" s="8" t="s">
        <v>824</v>
      </c>
      <c r="AK2" s="8" t="s">
        <v>298</v>
      </c>
      <c r="AL2" s="8" t="s">
        <v>644</v>
      </c>
      <c r="AM2" s="8" t="s">
        <v>306</v>
      </c>
      <c r="AN2" s="8" t="s">
        <v>644</v>
      </c>
      <c r="AO2" s="8" t="s">
        <v>299</v>
      </c>
      <c r="AP2" s="8" t="s">
        <v>644</v>
      </c>
      <c r="AQ2" s="8" t="s">
        <v>176</v>
      </c>
      <c r="AR2" s="8" t="s">
        <v>644</v>
      </c>
      <c r="AS2" s="8" t="s">
        <v>745</v>
      </c>
      <c r="AT2" s="8" t="s">
        <v>747</v>
      </c>
      <c r="AU2" s="8" t="s">
        <v>313</v>
      </c>
      <c r="AV2" s="8" t="s">
        <v>644</v>
      </c>
      <c r="AW2" s="8" t="s">
        <v>297</v>
      </c>
      <c r="AX2" s="8" t="s">
        <v>644</v>
      </c>
      <c r="AY2" s="8" t="s">
        <v>694</v>
      </c>
      <c r="AZ2" s="8" t="s">
        <v>644</v>
      </c>
      <c r="BA2" s="8" t="s">
        <v>338</v>
      </c>
      <c r="BB2" s="8" t="s">
        <v>23</v>
      </c>
      <c r="BC2" s="8" t="s">
        <v>314</v>
      </c>
      <c r="BD2" s="8" t="s">
        <v>644</v>
      </c>
      <c r="BE2" s="8" t="s">
        <v>86</v>
      </c>
      <c r="BF2" s="8" t="s">
        <v>251</v>
      </c>
      <c r="BG2" s="8" t="s">
        <v>744</v>
      </c>
      <c r="BH2" s="8" t="s">
        <v>251</v>
      </c>
      <c r="BI2" s="8" t="s">
        <v>304</v>
      </c>
      <c r="BJ2" s="8" t="s">
        <v>644</v>
      </c>
      <c r="BK2" s="8" t="s">
        <v>302</v>
      </c>
      <c r="BL2" s="8" t="s">
        <v>644</v>
      </c>
      <c r="BM2" s="8" t="s">
        <v>311</v>
      </c>
      <c r="BN2" s="8" t="s">
        <v>644</v>
      </c>
      <c r="BO2" s="8" t="s">
        <v>301</v>
      </c>
      <c r="BP2" s="8" t="s">
        <v>644</v>
      </c>
      <c r="BQ2" s="8" t="s">
        <v>316</v>
      </c>
      <c r="BR2" s="8" t="s">
        <v>644</v>
      </c>
      <c r="BS2" s="8" t="s">
        <v>300</v>
      </c>
      <c r="BT2" s="8" t="s">
        <v>644</v>
      </c>
      <c r="BU2" s="8" t="s">
        <v>335</v>
      </c>
      <c r="BV2" s="8" t="s">
        <v>644</v>
      </c>
      <c r="BW2" s="8" t="s">
        <v>393</v>
      </c>
      <c r="BX2" s="8" t="s">
        <v>644</v>
      </c>
      <c r="BY2" s="8" t="s">
        <v>394</v>
      </c>
      <c r="BZ2" s="8" t="s">
        <v>251</v>
      </c>
    </row>
  </sheetData>
  <phoneticPr fontId="4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heetViews>
  <sheetFormatPr defaultRowHeight="12.75"/>
  <sheetData>
    <row r="1" spans="1:2">
      <c r="B1" t="s">
        <v>467</v>
      </c>
    </row>
  </sheetData>
  <phoneticPr fontId="40" type="noConversion"/>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4"/>
  <sheetViews>
    <sheetView showGridLines="0" tabSelected="1" workbookViewId="0">
      <selection activeCell="Z1" sqref="Z1"/>
    </sheetView>
  </sheetViews>
  <sheetFormatPr defaultRowHeight="12.75"/>
  <cols>
    <col min="1" max="1" width="25.7109375" style="2143" customWidth="1"/>
    <col min="2" max="5" width="9.140625" style="2143"/>
    <col min="6" max="6" width="18.7109375" style="2143" customWidth="1"/>
    <col min="7" max="256" width="9.140625" style="2143"/>
    <col min="257" max="257" width="100.7109375" style="2143" customWidth="1"/>
    <col min="258" max="512" width="9.140625" style="2143"/>
    <col min="513" max="513" width="100.7109375" style="2143" customWidth="1"/>
    <col min="514" max="768" width="9.140625" style="2143"/>
    <col min="769" max="769" width="100.7109375" style="2143" customWidth="1"/>
    <col min="770" max="1024" width="9.140625" style="2143"/>
    <col min="1025" max="1025" width="100.7109375" style="2143" customWidth="1"/>
    <col min="1026" max="1280" width="9.140625" style="2143"/>
    <col min="1281" max="1281" width="100.7109375" style="2143" customWidth="1"/>
    <col min="1282" max="1536" width="9.140625" style="2143"/>
    <col min="1537" max="1537" width="100.7109375" style="2143" customWidth="1"/>
    <col min="1538" max="1792" width="9.140625" style="2143"/>
    <col min="1793" max="1793" width="100.7109375" style="2143" customWidth="1"/>
    <col min="1794" max="2048" width="9.140625" style="2143"/>
    <col min="2049" max="2049" width="100.7109375" style="2143" customWidth="1"/>
    <col min="2050" max="2304" width="9.140625" style="2143"/>
    <col min="2305" max="2305" width="100.7109375" style="2143" customWidth="1"/>
    <col min="2306" max="2560" width="9.140625" style="2143"/>
    <col min="2561" max="2561" width="100.7109375" style="2143" customWidth="1"/>
    <col min="2562" max="2816" width="9.140625" style="2143"/>
    <col min="2817" max="2817" width="100.7109375" style="2143" customWidth="1"/>
    <col min="2818" max="3072" width="9.140625" style="2143"/>
    <col min="3073" max="3073" width="100.7109375" style="2143" customWidth="1"/>
    <col min="3074" max="3328" width="9.140625" style="2143"/>
    <col min="3329" max="3329" width="100.7109375" style="2143" customWidth="1"/>
    <col min="3330" max="3584" width="9.140625" style="2143"/>
    <col min="3585" max="3585" width="100.7109375" style="2143" customWidth="1"/>
    <col min="3586" max="3840" width="9.140625" style="2143"/>
    <col min="3841" max="3841" width="100.7109375" style="2143" customWidth="1"/>
    <col min="3842" max="4096" width="9.140625" style="2143"/>
    <col min="4097" max="4097" width="100.7109375" style="2143" customWidth="1"/>
    <col min="4098" max="4352" width="9.140625" style="2143"/>
    <col min="4353" max="4353" width="100.7109375" style="2143" customWidth="1"/>
    <col min="4354" max="4608" width="9.140625" style="2143"/>
    <col min="4609" max="4609" width="100.7109375" style="2143" customWidth="1"/>
    <col min="4610" max="4864" width="9.140625" style="2143"/>
    <col min="4865" max="4865" width="100.7109375" style="2143" customWidth="1"/>
    <col min="4866" max="5120" width="9.140625" style="2143"/>
    <col min="5121" max="5121" width="100.7109375" style="2143" customWidth="1"/>
    <col min="5122" max="5376" width="9.140625" style="2143"/>
    <col min="5377" max="5377" width="100.7109375" style="2143" customWidth="1"/>
    <col min="5378" max="5632" width="9.140625" style="2143"/>
    <col min="5633" max="5633" width="100.7109375" style="2143" customWidth="1"/>
    <col min="5634" max="5888" width="9.140625" style="2143"/>
    <col min="5889" max="5889" width="100.7109375" style="2143" customWidth="1"/>
    <col min="5890" max="6144" width="9.140625" style="2143"/>
    <col min="6145" max="6145" width="100.7109375" style="2143" customWidth="1"/>
    <col min="6146" max="6400" width="9.140625" style="2143"/>
    <col min="6401" max="6401" width="100.7109375" style="2143" customWidth="1"/>
    <col min="6402" max="6656" width="9.140625" style="2143"/>
    <col min="6657" max="6657" width="100.7109375" style="2143" customWidth="1"/>
    <col min="6658" max="6912" width="9.140625" style="2143"/>
    <col min="6913" max="6913" width="100.7109375" style="2143" customWidth="1"/>
    <col min="6914" max="7168" width="9.140625" style="2143"/>
    <col min="7169" max="7169" width="100.7109375" style="2143" customWidth="1"/>
    <col min="7170" max="7424" width="9.140625" style="2143"/>
    <col min="7425" max="7425" width="100.7109375" style="2143" customWidth="1"/>
    <col min="7426" max="7680" width="9.140625" style="2143"/>
    <col min="7681" max="7681" width="100.7109375" style="2143" customWidth="1"/>
    <col min="7682" max="7936" width="9.140625" style="2143"/>
    <col min="7937" max="7937" width="100.7109375" style="2143" customWidth="1"/>
    <col min="7938" max="8192" width="9.140625" style="2143"/>
    <col min="8193" max="8193" width="100.7109375" style="2143" customWidth="1"/>
    <col min="8194" max="8448" width="9.140625" style="2143"/>
    <col min="8449" max="8449" width="100.7109375" style="2143" customWidth="1"/>
    <col min="8450" max="8704" width="9.140625" style="2143"/>
    <col min="8705" max="8705" width="100.7109375" style="2143" customWidth="1"/>
    <col min="8706" max="8960" width="9.140625" style="2143"/>
    <col min="8961" max="8961" width="100.7109375" style="2143" customWidth="1"/>
    <col min="8962" max="9216" width="9.140625" style="2143"/>
    <col min="9217" max="9217" width="100.7109375" style="2143" customWidth="1"/>
    <col min="9218" max="9472" width="9.140625" style="2143"/>
    <col min="9473" max="9473" width="100.7109375" style="2143" customWidth="1"/>
    <col min="9474" max="9728" width="9.140625" style="2143"/>
    <col min="9729" max="9729" width="100.7109375" style="2143" customWidth="1"/>
    <col min="9730" max="9984" width="9.140625" style="2143"/>
    <col min="9985" max="9985" width="100.7109375" style="2143" customWidth="1"/>
    <col min="9986" max="10240" width="9.140625" style="2143"/>
    <col min="10241" max="10241" width="100.7109375" style="2143" customWidth="1"/>
    <col min="10242" max="10496" width="9.140625" style="2143"/>
    <col min="10497" max="10497" width="100.7109375" style="2143" customWidth="1"/>
    <col min="10498" max="10752" width="9.140625" style="2143"/>
    <col min="10753" max="10753" width="100.7109375" style="2143" customWidth="1"/>
    <col min="10754" max="11008" width="9.140625" style="2143"/>
    <col min="11009" max="11009" width="100.7109375" style="2143" customWidth="1"/>
    <col min="11010" max="11264" width="9.140625" style="2143"/>
    <col min="11265" max="11265" width="100.7109375" style="2143" customWidth="1"/>
    <col min="11266" max="11520" width="9.140625" style="2143"/>
    <col min="11521" max="11521" width="100.7109375" style="2143" customWidth="1"/>
    <col min="11522" max="11776" width="9.140625" style="2143"/>
    <col min="11777" max="11777" width="100.7109375" style="2143" customWidth="1"/>
    <col min="11778" max="12032" width="9.140625" style="2143"/>
    <col min="12033" max="12033" width="100.7109375" style="2143" customWidth="1"/>
    <col min="12034" max="12288" width="9.140625" style="2143"/>
    <col min="12289" max="12289" width="100.7109375" style="2143" customWidth="1"/>
    <col min="12290" max="12544" width="9.140625" style="2143"/>
    <col min="12545" max="12545" width="100.7109375" style="2143" customWidth="1"/>
    <col min="12546" max="12800" width="9.140625" style="2143"/>
    <col min="12801" max="12801" width="100.7109375" style="2143" customWidth="1"/>
    <col min="12802" max="13056" width="9.140625" style="2143"/>
    <col min="13057" max="13057" width="100.7109375" style="2143" customWidth="1"/>
    <col min="13058" max="13312" width="9.140625" style="2143"/>
    <col min="13313" max="13313" width="100.7109375" style="2143" customWidth="1"/>
    <col min="13314" max="13568" width="9.140625" style="2143"/>
    <col min="13569" max="13569" width="100.7109375" style="2143" customWidth="1"/>
    <col min="13570" max="13824" width="9.140625" style="2143"/>
    <col min="13825" max="13825" width="100.7109375" style="2143" customWidth="1"/>
    <col min="13826" max="14080" width="9.140625" style="2143"/>
    <col min="14081" max="14081" width="100.7109375" style="2143" customWidth="1"/>
    <col min="14082" max="14336" width="9.140625" style="2143"/>
    <col min="14337" max="14337" width="100.7109375" style="2143" customWidth="1"/>
    <col min="14338" max="14592" width="9.140625" style="2143"/>
    <col min="14593" max="14593" width="100.7109375" style="2143" customWidth="1"/>
    <col min="14594" max="14848" width="9.140625" style="2143"/>
    <col min="14849" max="14849" width="100.7109375" style="2143" customWidth="1"/>
    <col min="14850" max="15104" width="9.140625" style="2143"/>
    <col min="15105" max="15105" width="100.7109375" style="2143" customWidth="1"/>
    <col min="15106" max="15360" width="9.140625" style="2143"/>
    <col min="15361" max="15361" width="100.7109375" style="2143" customWidth="1"/>
    <col min="15362" max="15616" width="9.140625" style="2143"/>
    <col min="15617" max="15617" width="100.7109375" style="2143" customWidth="1"/>
    <col min="15618" max="15872" width="9.140625" style="2143"/>
    <col min="15873" max="15873" width="100.7109375" style="2143" customWidth="1"/>
    <col min="15874" max="16128" width="9.140625" style="2143"/>
    <col min="16129" max="16129" width="100.7109375" style="2143" customWidth="1"/>
    <col min="16130" max="16384" width="9.140625" style="2143"/>
  </cols>
  <sheetData>
    <row r="1" spans="1:8" ht="30" customHeight="1">
      <c r="A1" s="2141"/>
      <c r="B1" s="2142"/>
      <c r="C1" s="2142"/>
      <c r="D1" s="2142"/>
      <c r="E1" s="2142"/>
      <c r="F1" s="2142"/>
      <c r="G1" s="2142"/>
      <c r="H1" s="2142"/>
    </row>
    <row r="2" spans="1:8" ht="14.25">
      <c r="A2" s="2144" t="s">
        <v>831</v>
      </c>
      <c r="B2" s="2142"/>
      <c r="C2" s="2142"/>
      <c r="D2" s="2142"/>
      <c r="E2" s="2142"/>
      <c r="F2" s="2142"/>
      <c r="G2" s="2142"/>
      <c r="H2" s="2142"/>
    </row>
    <row r="3" spans="1:8" ht="14.25">
      <c r="A3" s="2144" t="s">
        <v>832</v>
      </c>
      <c r="B3" s="2142"/>
      <c r="C3" s="2142"/>
      <c r="D3" s="2142"/>
      <c r="E3" s="2142"/>
      <c r="F3" s="2142"/>
      <c r="G3" s="2142"/>
      <c r="H3" s="2142"/>
    </row>
    <row r="4" spans="1:8" ht="14.25">
      <c r="A4" s="2144" t="s">
        <v>833</v>
      </c>
      <c r="B4" s="2142"/>
      <c r="C4" s="2142"/>
      <c r="D4" s="2142"/>
      <c r="E4" s="2142"/>
      <c r="F4" s="2142"/>
      <c r="G4" s="2142"/>
      <c r="H4" s="2142"/>
    </row>
    <row r="5" spans="1:8" ht="14.25">
      <c r="A5" s="2144" t="s">
        <v>834</v>
      </c>
      <c r="B5" s="2142"/>
      <c r="C5" s="2142"/>
      <c r="D5" s="2142"/>
      <c r="E5" s="2142"/>
      <c r="F5" s="2142"/>
      <c r="G5" s="2142"/>
      <c r="H5" s="2142"/>
    </row>
    <row r="6" spans="1:8" ht="14.25">
      <c r="A6" s="2144"/>
      <c r="B6" s="2142"/>
      <c r="C6" s="2142"/>
      <c r="D6" s="2142"/>
      <c r="E6" s="2142"/>
      <c r="F6" s="2142"/>
      <c r="G6" s="2142"/>
      <c r="H6" s="2142"/>
    </row>
    <row r="7" spans="1:8">
      <c r="A7" s="2141" t="s">
        <v>835</v>
      </c>
      <c r="B7" s="2142"/>
      <c r="C7" s="2142"/>
      <c r="D7" s="2142"/>
      <c r="E7" s="2142"/>
      <c r="F7" s="2142"/>
      <c r="G7" s="2142"/>
      <c r="H7" s="2142"/>
    </row>
    <row r="8" spans="1:8">
      <c r="A8" s="2141" t="s">
        <v>836</v>
      </c>
      <c r="B8" s="2142"/>
      <c r="C8" s="2142"/>
      <c r="D8" s="2142"/>
      <c r="E8" s="2142"/>
      <c r="F8" s="2142"/>
      <c r="G8" s="2142"/>
      <c r="H8" s="2142"/>
    </row>
    <row r="9" spans="1:8">
      <c r="A9" s="2141"/>
      <c r="B9" s="2142"/>
      <c r="C9" s="2142"/>
      <c r="D9" s="2142"/>
      <c r="E9" s="2142"/>
      <c r="F9" s="2142"/>
      <c r="G9" s="2142"/>
      <c r="H9" s="2142"/>
    </row>
    <row r="10" spans="1:8">
      <c r="A10" s="2145" t="s">
        <v>837</v>
      </c>
      <c r="B10" s="2142"/>
      <c r="C10" s="2142"/>
      <c r="D10" s="2142"/>
      <c r="E10" s="2142"/>
      <c r="F10" s="2142"/>
      <c r="G10" s="2142"/>
      <c r="H10" s="2142"/>
    </row>
    <row r="11" spans="1:8">
      <c r="A11" s="2145" t="s">
        <v>838</v>
      </c>
      <c r="B11" s="2142"/>
      <c r="C11" s="2142"/>
      <c r="D11" s="2142"/>
      <c r="E11" s="2142"/>
      <c r="F11" s="2142"/>
      <c r="G11" s="2142"/>
      <c r="H11" s="2142"/>
    </row>
    <row r="12" spans="1:8">
      <c r="A12" s="2145" t="s">
        <v>839</v>
      </c>
      <c r="B12" s="2142"/>
      <c r="C12" s="2142"/>
      <c r="D12" s="2142"/>
      <c r="E12" s="2142"/>
      <c r="F12" s="2142"/>
      <c r="G12" s="2142"/>
      <c r="H12" s="2142"/>
    </row>
    <row r="13" spans="1:8">
      <c r="A13" s="2145" t="s">
        <v>840</v>
      </c>
      <c r="B13" s="2142"/>
      <c r="C13" s="2142"/>
      <c r="D13" s="2142"/>
      <c r="E13" s="2142"/>
      <c r="F13" s="2142"/>
      <c r="G13" s="2142"/>
      <c r="H13" s="2142"/>
    </row>
    <row r="14" spans="1:8">
      <c r="A14" s="2145" t="s">
        <v>841</v>
      </c>
      <c r="B14" s="2142"/>
      <c r="C14" s="2142"/>
      <c r="D14" s="2142"/>
      <c r="E14" s="2142"/>
      <c r="F14" s="2142"/>
      <c r="G14" s="2142"/>
      <c r="H14" s="2142"/>
    </row>
    <row r="15" spans="1:8">
      <c r="A15" s="2145" t="s">
        <v>842</v>
      </c>
      <c r="B15" s="2142"/>
      <c r="C15" s="2142"/>
      <c r="D15" s="2142"/>
      <c r="E15" s="2142"/>
      <c r="F15" s="2142"/>
      <c r="G15" s="2142"/>
      <c r="H15" s="2142"/>
    </row>
    <row r="16" spans="1:8">
      <c r="A16" s="2145"/>
      <c r="B16" s="2142"/>
      <c r="C16" s="2142"/>
      <c r="D16" s="2142"/>
      <c r="E16" s="2142"/>
      <c r="F16" s="2142"/>
      <c r="G16" s="2142"/>
      <c r="H16" s="2142"/>
    </row>
    <row r="17" spans="1:8">
      <c r="A17" s="2145" t="s">
        <v>828</v>
      </c>
      <c r="B17" s="2142"/>
      <c r="C17" s="2142"/>
      <c r="D17" s="2142"/>
      <c r="E17" s="2142"/>
      <c r="F17" s="2142"/>
      <c r="G17" s="2142"/>
      <c r="H17" s="2142"/>
    </row>
    <row r="18" spans="1:8">
      <c r="A18" s="2145"/>
      <c r="B18" s="2142"/>
      <c r="C18" s="2142"/>
      <c r="D18" s="2142"/>
      <c r="E18" s="2142"/>
      <c r="F18" s="2142"/>
      <c r="G18" s="2142"/>
      <c r="H18" s="2142"/>
    </row>
    <row r="19" spans="1:8">
      <c r="A19" s="2145" t="s">
        <v>829</v>
      </c>
      <c r="B19" s="2142"/>
      <c r="C19" s="2142"/>
      <c r="D19" s="2142"/>
      <c r="E19" s="2142"/>
      <c r="F19" s="2142"/>
      <c r="G19" s="2142"/>
      <c r="H19" s="2142"/>
    </row>
    <row r="20" spans="1:8">
      <c r="A20" s="2141"/>
      <c r="B20" s="2142"/>
      <c r="C20" s="2142"/>
      <c r="D20" s="2142"/>
      <c r="E20" s="2142"/>
      <c r="F20" s="2142"/>
      <c r="G20" s="2142"/>
      <c r="H20" s="2142"/>
    </row>
    <row r="21" spans="1:8">
      <c r="A21" s="2146" t="s">
        <v>830</v>
      </c>
      <c r="B21" s="2142"/>
      <c r="C21" s="2142"/>
      <c r="D21" s="2142"/>
      <c r="E21" s="2142"/>
      <c r="F21" s="2142"/>
      <c r="G21" s="2142"/>
      <c r="H21" s="2142"/>
    </row>
    <row r="22" spans="1:8">
      <c r="A22" s="2147"/>
      <c r="B22" s="2147"/>
      <c r="C22" s="2147"/>
      <c r="D22" s="2147"/>
      <c r="E22" s="2147"/>
      <c r="F22" s="2147"/>
      <c r="G22" s="2147"/>
      <c r="H22" s="2147"/>
    </row>
    <row r="23" spans="1:8">
      <c r="A23" s="2148" t="s">
        <v>1114</v>
      </c>
      <c r="B23" s="2147"/>
      <c r="C23" s="2147"/>
      <c r="D23" s="2147"/>
      <c r="E23" s="2147"/>
      <c r="F23" s="2147"/>
      <c r="G23" s="2147"/>
      <c r="H23" s="2147"/>
    </row>
    <row r="24" spans="1:8">
      <c r="A24" s="2148" t="s">
        <v>1115</v>
      </c>
      <c r="B24" s="2147"/>
      <c r="C24" s="2147"/>
      <c r="D24" s="2147"/>
      <c r="E24" s="2147"/>
      <c r="F24" s="2147"/>
      <c r="G24" s="2147"/>
      <c r="H24" s="2147"/>
    </row>
    <row r="25" spans="1:8">
      <c r="A25" s="2148" t="s">
        <v>1116</v>
      </c>
      <c r="B25" s="2147"/>
      <c r="C25" s="2147"/>
      <c r="D25" s="2147"/>
      <c r="E25" s="2147"/>
      <c r="F25" s="2147"/>
      <c r="G25" s="2147"/>
      <c r="H25" s="2147"/>
    </row>
    <row r="26" spans="1:8">
      <c r="A26" s="2148" t="s">
        <v>1117</v>
      </c>
      <c r="B26" s="2147"/>
      <c r="C26" s="2147"/>
      <c r="D26" s="2147"/>
      <c r="E26" s="2147"/>
      <c r="F26" s="2147"/>
      <c r="G26" s="2147"/>
      <c r="H26" s="2147"/>
    </row>
    <row r="27" spans="1:8">
      <c r="A27" s="2147"/>
      <c r="B27" s="2147"/>
      <c r="C27" s="2147"/>
      <c r="D27" s="2147"/>
      <c r="E27" s="2147"/>
      <c r="F27" s="2147"/>
      <c r="G27" s="2147"/>
      <c r="H27" s="2147"/>
    </row>
    <row r="28" spans="1:8">
      <c r="A28" s="2147"/>
      <c r="B28" s="2147"/>
      <c r="C28" s="2147"/>
      <c r="D28" s="2147"/>
      <c r="E28" s="2147"/>
      <c r="F28" s="2147"/>
      <c r="G28" s="2147"/>
      <c r="H28" s="2147"/>
    </row>
    <row r="29" spans="1:8">
      <c r="A29" s="2148" t="s">
        <v>1109</v>
      </c>
      <c r="B29" s="2147"/>
      <c r="C29" s="2147"/>
      <c r="D29" s="2147"/>
      <c r="E29" s="2147"/>
      <c r="F29" s="2147"/>
      <c r="G29" s="2147"/>
      <c r="H29" s="2147"/>
    </row>
    <row r="30" spans="1:8">
      <c r="A30" s="2148" t="s">
        <v>1110</v>
      </c>
      <c r="B30" s="2147"/>
      <c r="C30" s="2147"/>
      <c r="D30" s="2147"/>
      <c r="E30" s="2147"/>
      <c r="F30" s="2147"/>
      <c r="G30" s="2147"/>
      <c r="H30" s="2147"/>
    </row>
    <row r="31" spans="1:8">
      <c r="A31" s="2148" t="s">
        <v>1111</v>
      </c>
      <c r="B31" s="2147"/>
      <c r="C31" s="2147"/>
      <c r="D31" s="2147"/>
      <c r="E31" s="2147"/>
      <c r="F31" s="2147"/>
      <c r="G31" s="2147"/>
      <c r="H31" s="2147"/>
    </row>
    <row r="32" spans="1:8">
      <c r="A32" s="2148" t="s">
        <v>1112</v>
      </c>
      <c r="B32" s="2147"/>
      <c r="C32" s="2147"/>
      <c r="D32" s="2147"/>
      <c r="E32" s="2147"/>
      <c r="F32" s="2147"/>
      <c r="G32" s="2147"/>
      <c r="H32" s="2147"/>
    </row>
    <row r="33" spans="1:8">
      <c r="A33" s="2148" t="s">
        <v>1113</v>
      </c>
      <c r="B33" s="2147"/>
      <c r="C33" s="2147"/>
      <c r="D33" s="2147"/>
      <c r="E33" s="2147"/>
      <c r="F33" s="2147"/>
      <c r="G33" s="2147"/>
      <c r="H33" s="2147"/>
    </row>
    <row r="34" spans="1:8">
      <c r="A34" s="2147"/>
      <c r="B34" s="2147"/>
      <c r="C34" s="2147"/>
      <c r="D34" s="2147"/>
      <c r="E34" s="2147"/>
      <c r="F34" s="2147"/>
      <c r="G34" s="2147"/>
      <c r="H34" s="2147"/>
    </row>
    <row r="35" spans="1:8">
      <c r="A35" s="2148" t="s">
        <v>1105</v>
      </c>
      <c r="B35" s="2147"/>
      <c r="C35" s="2147"/>
      <c r="D35" s="2147"/>
      <c r="E35" s="2147"/>
      <c r="F35" s="2147"/>
      <c r="G35" s="2147"/>
      <c r="H35" s="2147"/>
    </row>
    <row r="36" spans="1:8">
      <c r="A36" s="2148" t="s">
        <v>1106</v>
      </c>
      <c r="B36" s="2147"/>
      <c r="C36" s="2147"/>
      <c r="D36" s="2147"/>
      <c r="E36" s="2147"/>
      <c r="F36" s="2147"/>
      <c r="G36" s="2147"/>
      <c r="H36" s="2147"/>
    </row>
    <row r="37" spans="1:8">
      <c r="A37" s="2148" t="s">
        <v>1107</v>
      </c>
      <c r="B37" s="2147"/>
      <c r="C37" s="2147"/>
      <c r="D37" s="2147"/>
      <c r="E37" s="2147"/>
      <c r="F37" s="2147"/>
      <c r="G37" s="2147"/>
      <c r="H37" s="2147"/>
    </row>
    <row r="38" spans="1:8">
      <c r="A38" s="2148" t="s">
        <v>1108</v>
      </c>
      <c r="B38" s="2147"/>
      <c r="C38" s="2147"/>
      <c r="D38" s="2147"/>
      <c r="E38" s="2147"/>
      <c r="F38" s="2147"/>
      <c r="G38" s="2147"/>
      <c r="H38" s="2147"/>
    </row>
    <row r="39" spans="1:8">
      <c r="A39" s="2147"/>
      <c r="B39" s="2147"/>
      <c r="C39" s="2147"/>
      <c r="D39" s="2147"/>
      <c r="E39" s="2147"/>
      <c r="F39" s="2147"/>
      <c r="G39" s="2147"/>
      <c r="H39" s="2147"/>
    </row>
    <row r="40" spans="1:8">
      <c r="A40" s="2148" t="s">
        <v>1099</v>
      </c>
      <c r="B40" s="2147"/>
      <c r="C40" s="2147"/>
      <c r="D40" s="2147"/>
      <c r="E40" s="2147"/>
      <c r="F40" s="2147"/>
      <c r="G40" s="2147"/>
      <c r="H40" s="2147"/>
    </row>
    <row r="41" spans="1:8">
      <c r="A41" s="2148" t="s">
        <v>1100</v>
      </c>
      <c r="B41" s="2147"/>
      <c r="C41" s="2147"/>
      <c r="D41" s="2147"/>
      <c r="E41" s="2147"/>
      <c r="F41" s="2147"/>
      <c r="G41" s="2147"/>
      <c r="H41" s="2147"/>
    </row>
    <row r="42" spans="1:8">
      <c r="A42" s="2148" t="s">
        <v>1101</v>
      </c>
      <c r="B42" s="2147"/>
      <c r="C42" s="2147"/>
      <c r="D42" s="2147"/>
      <c r="E42" s="2147"/>
      <c r="F42" s="2147"/>
      <c r="G42" s="2147"/>
      <c r="H42" s="2147"/>
    </row>
    <row r="43" spans="1:8">
      <c r="A43" s="2148" t="s">
        <v>1102</v>
      </c>
      <c r="B43" s="2147"/>
      <c r="C43" s="2147"/>
      <c r="D43" s="2147"/>
      <c r="E43" s="2147"/>
      <c r="F43" s="2147"/>
      <c r="G43" s="2147"/>
      <c r="H43" s="2147"/>
    </row>
    <row r="44" spans="1:8">
      <c r="A44" s="2148" t="s">
        <v>1103</v>
      </c>
      <c r="B44" s="2147"/>
      <c r="C44" s="2147"/>
      <c r="D44" s="2147"/>
      <c r="E44" s="2147"/>
      <c r="F44" s="2147"/>
      <c r="G44" s="2147"/>
      <c r="H44" s="2147"/>
    </row>
    <row r="45" spans="1:8">
      <c r="A45" s="2148" t="s">
        <v>1104</v>
      </c>
      <c r="B45" s="2147"/>
      <c r="C45" s="2147"/>
      <c r="D45" s="2147"/>
      <c r="E45" s="2147"/>
      <c r="F45" s="2147"/>
      <c r="G45" s="2147"/>
      <c r="H45" s="2147"/>
    </row>
    <row r="46" spans="1:8">
      <c r="A46" s="2147"/>
      <c r="B46" s="2147"/>
      <c r="C46" s="2147"/>
      <c r="D46" s="2147"/>
      <c r="E46" s="2147"/>
      <c r="F46" s="2147"/>
      <c r="G46" s="2147"/>
      <c r="H46" s="2147"/>
    </row>
    <row r="47" spans="1:8" ht="15.75">
      <c r="A47" s="2149" t="s">
        <v>843</v>
      </c>
      <c r="B47" s="2147"/>
      <c r="C47" s="2147"/>
      <c r="D47" s="2147"/>
      <c r="E47" s="2147"/>
      <c r="F47" s="2147"/>
      <c r="G47" s="2147"/>
      <c r="H47" s="2147"/>
    </row>
    <row r="48" spans="1:8">
      <c r="A48" s="2147"/>
      <c r="B48" s="2147"/>
      <c r="C48" s="2147"/>
      <c r="D48" s="2147"/>
      <c r="E48" s="2147"/>
      <c r="F48" s="2147"/>
      <c r="G48" s="2147"/>
      <c r="H48" s="2147"/>
    </row>
    <row r="49" spans="1:8">
      <c r="A49" s="2148" t="s">
        <v>1095</v>
      </c>
      <c r="B49" s="2147"/>
      <c r="C49" s="2147"/>
      <c r="D49" s="2147"/>
      <c r="E49" s="2147"/>
      <c r="F49" s="2147"/>
      <c r="G49" s="2147"/>
      <c r="H49" s="2147"/>
    </row>
    <row r="50" spans="1:8">
      <c r="A50" s="2148" t="s">
        <v>1096</v>
      </c>
      <c r="B50" s="2147"/>
      <c r="C50" s="2147"/>
      <c r="D50" s="2147"/>
      <c r="E50" s="2147"/>
      <c r="F50" s="2147"/>
      <c r="G50" s="2147"/>
      <c r="H50" s="2147"/>
    </row>
    <row r="51" spans="1:8">
      <c r="A51" s="2148" t="s">
        <v>1097</v>
      </c>
      <c r="B51" s="2147"/>
      <c r="C51" s="2147"/>
      <c r="D51" s="2147"/>
      <c r="E51" s="2147"/>
      <c r="F51" s="2147"/>
      <c r="G51" s="2147"/>
      <c r="H51" s="2147"/>
    </row>
    <row r="52" spans="1:8">
      <c r="A52" s="2148" t="s">
        <v>1098</v>
      </c>
      <c r="B52" s="2147"/>
      <c r="C52" s="2147"/>
      <c r="D52" s="2147"/>
      <c r="E52" s="2147"/>
      <c r="F52" s="2147"/>
      <c r="G52" s="2147"/>
      <c r="H52" s="2147"/>
    </row>
    <row r="53" spans="1:8">
      <c r="A53" s="2147"/>
      <c r="B53" s="2147"/>
      <c r="C53" s="2147"/>
      <c r="D53" s="2147"/>
      <c r="E53" s="2147"/>
      <c r="F53" s="2147"/>
      <c r="G53" s="2147"/>
      <c r="H53" s="2147"/>
    </row>
    <row r="54" spans="1:8">
      <c r="A54" s="2148" t="s">
        <v>844</v>
      </c>
      <c r="B54" s="2147"/>
      <c r="C54" s="2147"/>
      <c r="D54" s="2147"/>
      <c r="E54" s="2147"/>
      <c r="F54" s="2147"/>
      <c r="G54" s="2147"/>
      <c r="H54" s="2147"/>
    </row>
    <row r="55" spans="1:8">
      <c r="A55" s="2147"/>
      <c r="B55" s="2147"/>
      <c r="C55" s="2147"/>
      <c r="D55" s="2147"/>
      <c r="E55" s="2147"/>
      <c r="F55" s="2147"/>
      <c r="G55" s="2147"/>
      <c r="H55" s="2147"/>
    </row>
    <row r="56" spans="1:8" ht="15.75">
      <c r="A56" s="2149" t="s">
        <v>845</v>
      </c>
      <c r="B56" s="2147"/>
      <c r="C56" s="2147"/>
      <c r="D56" s="2147"/>
      <c r="E56" s="2147"/>
      <c r="F56" s="2147"/>
      <c r="G56" s="2147"/>
      <c r="H56" s="2147"/>
    </row>
    <row r="57" spans="1:8">
      <c r="A57" s="2147"/>
      <c r="B57" s="2147"/>
      <c r="C57" s="2147"/>
      <c r="D57" s="2147"/>
      <c r="E57" s="2147"/>
      <c r="F57" s="2147"/>
      <c r="G57" s="2147"/>
      <c r="H57" s="2147"/>
    </row>
    <row r="58" spans="1:8">
      <c r="A58" s="2148" t="s">
        <v>1093</v>
      </c>
      <c r="B58" s="2147"/>
      <c r="C58" s="2147"/>
      <c r="D58" s="2147"/>
      <c r="E58" s="2147"/>
      <c r="F58" s="2147"/>
      <c r="G58" s="2147"/>
      <c r="H58" s="2147"/>
    </row>
    <row r="59" spans="1:8">
      <c r="A59" s="2148" t="s">
        <v>1094</v>
      </c>
      <c r="B59" s="2147"/>
      <c r="C59" s="2147"/>
      <c r="D59" s="2147"/>
      <c r="E59" s="2147"/>
      <c r="F59" s="2147"/>
      <c r="G59" s="2147"/>
      <c r="H59" s="2147"/>
    </row>
    <row r="60" spans="1:8">
      <c r="A60" s="2147"/>
      <c r="B60" s="2147"/>
      <c r="C60" s="2147"/>
      <c r="D60" s="2147"/>
      <c r="E60" s="2147"/>
      <c r="F60" s="2147"/>
      <c r="G60" s="2147"/>
      <c r="H60" s="2147"/>
    </row>
    <row r="61" spans="1:8" ht="15.75">
      <c r="A61" s="2149" t="s">
        <v>846</v>
      </c>
      <c r="B61" s="2147"/>
      <c r="C61" s="2147"/>
      <c r="D61" s="2147"/>
      <c r="E61" s="2147"/>
      <c r="F61" s="2147"/>
      <c r="G61" s="2147"/>
      <c r="H61" s="2147"/>
    </row>
    <row r="62" spans="1:8">
      <c r="A62" s="2147"/>
      <c r="B62" s="2147"/>
      <c r="C62" s="2147"/>
      <c r="D62" s="2147"/>
      <c r="E62" s="2147"/>
      <c r="F62" s="2147"/>
      <c r="G62" s="2147"/>
      <c r="H62" s="2147"/>
    </row>
    <row r="63" spans="1:8">
      <c r="A63" s="2148" t="s">
        <v>1091</v>
      </c>
      <c r="B63" s="2147"/>
      <c r="C63" s="2147"/>
      <c r="D63" s="2147"/>
      <c r="E63" s="2147"/>
      <c r="F63" s="2147"/>
      <c r="G63" s="2147"/>
      <c r="H63" s="2147"/>
    </row>
    <row r="64" spans="1:8">
      <c r="A64" s="2148" t="s">
        <v>1092</v>
      </c>
      <c r="B64" s="2147"/>
      <c r="C64" s="2147"/>
      <c r="D64" s="2147"/>
      <c r="E64" s="2147"/>
      <c r="F64" s="2147"/>
      <c r="G64" s="2147"/>
      <c r="H64" s="2147"/>
    </row>
    <row r="65" spans="1:8">
      <c r="A65" s="2147"/>
      <c r="B65" s="2147"/>
      <c r="C65" s="2147"/>
      <c r="D65" s="2147"/>
      <c r="E65" s="2147"/>
      <c r="F65" s="2147"/>
      <c r="G65" s="2147"/>
      <c r="H65" s="2147"/>
    </row>
    <row r="66" spans="1:8">
      <c r="A66" s="2148" t="s">
        <v>1089</v>
      </c>
      <c r="B66" s="2147"/>
      <c r="C66" s="2147"/>
      <c r="D66" s="2147"/>
      <c r="E66" s="2147"/>
      <c r="F66" s="2147"/>
      <c r="G66" s="2147"/>
      <c r="H66" s="2147"/>
    </row>
    <row r="67" spans="1:8">
      <c r="A67" s="2148" t="s">
        <v>1090</v>
      </c>
      <c r="B67" s="2147"/>
      <c r="C67" s="2147"/>
      <c r="D67" s="2147"/>
      <c r="E67" s="2147"/>
      <c r="F67" s="2147"/>
      <c r="G67" s="2147"/>
      <c r="H67" s="2147"/>
    </row>
    <row r="68" spans="1:8">
      <c r="A68" s="2147"/>
      <c r="B68" s="2147"/>
      <c r="C68" s="2147"/>
      <c r="D68" s="2147"/>
      <c r="E68" s="2147"/>
      <c r="F68" s="2147"/>
      <c r="G68" s="2147"/>
      <c r="H68" s="2147"/>
    </row>
    <row r="69" spans="1:8">
      <c r="A69" s="2148" t="s">
        <v>847</v>
      </c>
      <c r="B69" s="2147"/>
      <c r="C69" s="2147"/>
      <c r="D69" s="2147"/>
      <c r="E69" s="2147"/>
      <c r="F69" s="2147"/>
      <c r="G69" s="2147"/>
      <c r="H69" s="2147"/>
    </row>
    <row r="70" spans="1:8">
      <c r="A70" s="2147"/>
      <c r="B70" s="2147"/>
      <c r="C70" s="2147"/>
      <c r="D70" s="2147"/>
      <c r="E70" s="2147"/>
      <c r="F70" s="2147"/>
      <c r="G70" s="2147"/>
      <c r="H70" s="2147"/>
    </row>
    <row r="71" spans="1:8">
      <c r="A71" s="2148" t="s">
        <v>1084</v>
      </c>
      <c r="B71" s="2147"/>
      <c r="C71" s="2147"/>
      <c r="D71" s="2147"/>
      <c r="E71" s="2147"/>
      <c r="F71" s="2147"/>
      <c r="G71" s="2147"/>
      <c r="H71" s="2147"/>
    </row>
    <row r="72" spans="1:8">
      <c r="A72" s="2148" t="s">
        <v>1085</v>
      </c>
      <c r="B72" s="2147"/>
      <c r="C72" s="2147"/>
      <c r="D72" s="2147"/>
      <c r="E72" s="2147"/>
      <c r="F72" s="2147"/>
      <c r="G72" s="2147"/>
      <c r="H72" s="2147"/>
    </row>
    <row r="73" spans="1:8">
      <c r="A73" s="2148" t="s">
        <v>1086</v>
      </c>
      <c r="B73" s="2147"/>
      <c r="C73" s="2147"/>
      <c r="D73" s="2147"/>
      <c r="E73" s="2147"/>
      <c r="F73" s="2147"/>
      <c r="G73" s="2147"/>
      <c r="H73" s="2147"/>
    </row>
    <row r="74" spans="1:8">
      <c r="A74" s="2148" t="s">
        <v>1087</v>
      </c>
      <c r="B74" s="2147"/>
      <c r="C74" s="2147"/>
      <c r="D74" s="2147"/>
      <c r="E74" s="2147"/>
      <c r="F74" s="2147"/>
      <c r="G74" s="2147"/>
      <c r="H74" s="2147"/>
    </row>
    <row r="75" spans="1:8">
      <c r="A75" s="2148" t="s">
        <v>1088</v>
      </c>
      <c r="B75" s="2147"/>
      <c r="C75" s="2147"/>
      <c r="D75" s="2147"/>
      <c r="E75" s="2147"/>
      <c r="F75" s="2147"/>
      <c r="G75" s="2147"/>
      <c r="H75" s="2147"/>
    </row>
    <row r="76" spans="1:8">
      <c r="A76" s="2148" t="s">
        <v>971</v>
      </c>
      <c r="B76" s="2147"/>
      <c r="C76" s="2147"/>
      <c r="D76" s="2147"/>
      <c r="E76" s="2147"/>
      <c r="F76" s="2147"/>
      <c r="G76" s="2147"/>
      <c r="H76" s="2147"/>
    </row>
    <row r="77" spans="1:8">
      <c r="A77" s="2147"/>
      <c r="B77" s="2147"/>
      <c r="C77" s="2147"/>
      <c r="D77" s="2147"/>
      <c r="E77" s="2147"/>
      <c r="F77" s="2147"/>
      <c r="G77" s="2147"/>
      <c r="H77" s="2147"/>
    </row>
    <row r="78" spans="1:8">
      <c r="A78" s="2148" t="s">
        <v>1077</v>
      </c>
      <c r="B78" s="2147"/>
      <c r="C78" s="2147"/>
      <c r="D78" s="2147"/>
      <c r="E78" s="2147"/>
      <c r="F78" s="2147"/>
      <c r="G78" s="2147"/>
      <c r="H78" s="2147"/>
    </row>
    <row r="79" spans="1:8">
      <c r="A79" s="2148" t="s">
        <v>1078</v>
      </c>
      <c r="B79" s="2147"/>
      <c r="C79" s="2147"/>
      <c r="D79" s="2147"/>
      <c r="E79" s="2147"/>
      <c r="F79" s="2147"/>
      <c r="G79" s="2147"/>
      <c r="H79" s="2147"/>
    </row>
    <row r="80" spans="1:8">
      <c r="A80" s="2148" t="s">
        <v>1079</v>
      </c>
      <c r="B80" s="2147"/>
      <c r="C80" s="2147"/>
      <c r="D80" s="2147"/>
      <c r="E80" s="2147"/>
      <c r="F80" s="2147"/>
      <c r="G80" s="2147"/>
      <c r="H80" s="2147"/>
    </row>
    <row r="81" spans="1:8">
      <c r="A81" s="2148" t="s">
        <v>1080</v>
      </c>
      <c r="B81" s="2147"/>
      <c r="C81" s="2147"/>
      <c r="D81" s="2147"/>
      <c r="E81" s="2147"/>
      <c r="F81" s="2147"/>
      <c r="G81" s="2147"/>
      <c r="H81" s="2147"/>
    </row>
    <row r="82" spans="1:8">
      <c r="A82" s="2148" t="s">
        <v>1081</v>
      </c>
      <c r="B82" s="2147"/>
      <c r="C82" s="2147"/>
      <c r="D82" s="2147"/>
      <c r="E82" s="2147"/>
      <c r="F82" s="2147"/>
      <c r="G82" s="2147"/>
      <c r="H82" s="2147"/>
    </row>
    <row r="83" spans="1:8">
      <c r="A83" s="2148" t="s">
        <v>1082</v>
      </c>
      <c r="B83" s="2147"/>
      <c r="C83" s="2147"/>
      <c r="D83" s="2147"/>
      <c r="E83" s="2147"/>
      <c r="F83" s="2147"/>
      <c r="G83" s="2147"/>
      <c r="H83" s="2147"/>
    </row>
    <row r="84" spans="1:8">
      <c r="A84" s="2148" t="s">
        <v>1083</v>
      </c>
      <c r="B84" s="2147"/>
      <c r="C84" s="2147"/>
      <c r="D84" s="2147"/>
      <c r="E84" s="2147"/>
      <c r="F84" s="2147"/>
      <c r="G84" s="2147"/>
      <c r="H84" s="2147"/>
    </row>
    <row r="85" spans="1:8">
      <c r="A85" s="2147"/>
      <c r="B85" s="2147"/>
      <c r="C85" s="2147"/>
      <c r="D85" s="2147"/>
      <c r="E85" s="2147"/>
      <c r="F85" s="2147"/>
      <c r="G85" s="2147"/>
      <c r="H85" s="2147"/>
    </row>
    <row r="86" spans="1:8">
      <c r="A86" s="2148" t="s">
        <v>1075</v>
      </c>
      <c r="B86" s="2147"/>
      <c r="C86" s="2147"/>
      <c r="D86" s="2147"/>
      <c r="E86" s="2147"/>
      <c r="F86" s="2147"/>
      <c r="G86" s="2147"/>
      <c r="H86" s="2147"/>
    </row>
    <row r="87" spans="1:8">
      <c r="A87" s="2148" t="s">
        <v>1076</v>
      </c>
      <c r="B87" s="2147"/>
      <c r="C87" s="2147"/>
      <c r="D87" s="2147"/>
      <c r="E87" s="2147"/>
      <c r="F87" s="2147"/>
      <c r="G87" s="2147"/>
      <c r="H87" s="2147"/>
    </row>
    <row r="88" spans="1:8">
      <c r="A88" s="2147"/>
      <c r="B88" s="2147"/>
      <c r="C88" s="2147"/>
      <c r="D88" s="2147"/>
      <c r="E88" s="2147"/>
      <c r="F88" s="2147"/>
      <c r="G88" s="2147"/>
      <c r="H88" s="2147"/>
    </row>
    <row r="89" spans="1:8" ht="15.75">
      <c r="A89" s="2149" t="s">
        <v>848</v>
      </c>
      <c r="B89" s="2147"/>
      <c r="C89" s="2147"/>
      <c r="D89" s="2147"/>
      <c r="E89" s="2147"/>
      <c r="F89" s="2147"/>
      <c r="G89" s="2147"/>
      <c r="H89" s="2147"/>
    </row>
    <row r="90" spans="1:8">
      <c r="A90" s="2147"/>
      <c r="B90" s="2147"/>
      <c r="C90" s="2147"/>
      <c r="D90" s="2147"/>
      <c r="E90" s="2147"/>
      <c r="F90" s="2147"/>
      <c r="G90" s="2147"/>
      <c r="H90" s="2147"/>
    </row>
    <row r="91" spans="1:8">
      <c r="A91" s="2148" t="s">
        <v>1066</v>
      </c>
      <c r="B91" s="2147"/>
      <c r="C91" s="2147"/>
      <c r="D91" s="2147"/>
      <c r="E91" s="2147"/>
      <c r="F91" s="2147"/>
      <c r="G91" s="2147"/>
      <c r="H91" s="2147"/>
    </row>
    <row r="92" spans="1:8">
      <c r="A92" s="2148" t="s">
        <v>1067</v>
      </c>
      <c r="B92" s="2147"/>
      <c r="C92" s="2147"/>
      <c r="D92" s="2147"/>
      <c r="E92" s="2147"/>
      <c r="F92" s="2147"/>
      <c r="G92" s="2147"/>
      <c r="H92" s="2147"/>
    </row>
    <row r="93" spans="1:8">
      <c r="A93" s="2148" t="s">
        <v>1068</v>
      </c>
      <c r="B93" s="2147"/>
      <c r="C93" s="2147"/>
      <c r="D93" s="2147"/>
      <c r="E93" s="2147"/>
      <c r="F93" s="2147"/>
      <c r="G93" s="2147"/>
      <c r="H93" s="2147"/>
    </row>
    <row r="94" spans="1:8">
      <c r="A94" s="2148" t="s">
        <v>1069</v>
      </c>
      <c r="B94" s="2147"/>
      <c r="C94" s="2147"/>
      <c r="D94" s="2147"/>
      <c r="E94" s="2147"/>
      <c r="F94" s="2147"/>
      <c r="G94" s="2147"/>
      <c r="H94" s="2147"/>
    </row>
    <row r="95" spans="1:8">
      <c r="A95" s="2148" t="s">
        <v>1070</v>
      </c>
      <c r="B95" s="2147"/>
      <c r="C95" s="2147"/>
      <c r="D95" s="2147"/>
      <c r="E95" s="2147"/>
      <c r="F95" s="2147"/>
      <c r="G95" s="2147"/>
      <c r="H95" s="2147"/>
    </row>
    <row r="96" spans="1:8">
      <c r="A96" s="2148" t="s">
        <v>1071</v>
      </c>
      <c r="B96" s="2147"/>
      <c r="C96" s="2147"/>
      <c r="D96" s="2147"/>
      <c r="E96" s="2147"/>
      <c r="F96" s="2147"/>
      <c r="G96" s="2147"/>
      <c r="H96" s="2147"/>
    </row>
    <row r="97" spans="1:8">
      <c r="A97" s="2148" t="s">
        <v>1072</v>
      </c>
      <c r="B97" s="2147"/>
      <c r="C97" s="2147"/>
      <c r="D97" s="2147"/>
      <c r="E97" s="2147"/>
      <c r="F97" s="2147"/>
      <c r="G97" s="2147"/>
      <c r="H97" s="2147"/>
    </row>
    <row r="98" spans="1:8">
      <c r="A98" s="2148" t="s">
        <v>1073</v>
      </c>
      <c r="B98" s="2147"/>
      <c r="C98" s="2147"/>
      <c r="D98" s="2147"/>
      <c r="E98" s="2147"/>
      <c r="F98" s="2147"/>
      <c r="G98" s="2147"/>
      <c r="H98" s="2147"/>
    </row>
    <row r="99" spans="1:8">
      <c r="A99" s="2148" t="s">
        <v>1074</v>
      </c>
      <c r="B99" s="2147"/>
      <c r="C99" s="2147"/>
      <c r="D99" s="2147"/>
      <c r="E99" s="2147"/>
      <c r="F99" s="2147"/>
      <c r="G99" s="2147"/>
      <c r="H99" s="2147"/>
    </row>
    <row r="100" spans="1:8">
      <c r="A100" s="2147"/>
      <c r="B100" s="2147"/>
      <c r="C100" s="2147"/>
      <c r="D100" s="2147"/>
      <c r="E100" s="2147"/>
      <c r="F100" s="2147"/>
      <c r="G100" s="2147"/>
      <c r="H100" s="2147"/>
    </row>
    <row r="101" spans="1:8" ht="15.75">
      <c r="A101" s="2150" t="s">
        <v>849</v>
      </c>
      <c r="B101" s="2150"/>
      <c r="C101" s="2150"/>
      <c r="D101" s="2150"/>
      <c r="E101" s="2150"/>
      <c r="F101" s="2150"/>
      <c r="G101" s="2150"/>
      <c r="H101" s="2150"/>
    </row>
    <row r="102" spans="1:8">
      <c r="A102" s="2151" t="s">
        <v>850</v>
      </c>
      <c r="B102" s="2151"/>
      <c r="C102" s="2151"/>
      <c r="D102" s="2151"/>
      <c r="E102" s="2151"/>
      <c r="F102" s="2151"/>
      <c r="G102" s="2151"/>
      <c r="H102" s="2151"/>
    </row>
    <row r="103" spans="1:8">
      <c r="A103" s="2152"/>
      <c r="B103" s="2152"/>
      <c r="C103" s="2152"/>
      <c r="D103" s="2152"/>
      <c r="E103" s="2152"/>
      <c r="F103" s="2152"/>
      <c r="G103" s="2152"/>
      <c r="H103" s="2152"/>
    </row>
    <row r="104" spans="1:8">
      <c r="A104" s="2151" t="s">
        <v>1064</v>
      </c>
      <c r="B104" s="2151"/>
      <c r="C104" s="2151"/>
      <c r="D104" s="2151"/>
      <c r="E104" s="2151"/>
      <c r="F104" s="2151"/>
      <c r="G104" s="2151"/>
      <c r="H104" s="2151"/>
    </row>
    <row r="105" spans="1:8">
      <c r="A105" s="2148" t="s">
        <v>1065</v>
      </c>
      <c r="B105" s="2148"/>
      <c r="C105" s="2148"/>
      <c r="D105" s="2148"/>
      <c r="E105" s="2148"/>
      <c r="F105" s="2148"/>
      <c r="G105" s="2148"/>
      <c r="H105" s="2148"/>
    </row>
    <row r="106" spans="1:8">
      <c r="A106" s="2152"/>
      <c r="B106" s="2152"/>
      <c r="C106" s="2152"/>
      <c r="D106" s="2152"/>
      <c r="E106" s="2152"/>
      <c r="F106" s="2152"/>
      <c r="G106" s="2152"/>
      <c r="H106" s="2152"/>
    </row>
    <row r="107" spans="1:8">
      <c r="A107" s="2151" t="s">
        <v>1057</v>
      </c>
      <c r="B107" s="2151"/>
      <c r="C107" s="2151"/>
      <c r="D107" s="2151"/>
      <c r="E107" s="2151"/>
      <c r="F107" s="2151"/>
      <c r="G107" s="2151"/>
      <c r="H107" s="2151"/>
    </row>
    <row r="108" spans="1:8">
      <c r="A108" s="2148" t="s">
        <v>1058</v>
      </c>
      <c r="B108" s="2148"/>
      <c r="C108" s="2148"/>
      <c r="D108" s="2148"/>
      <c r="E108" s="2148"/>
      <c r="F108" s="2148"/>
      <c r="G108" s="2148"/>
      <c r="H108" s="2148"/>
    </row>
    <row r="109" spans="1:8">
      <c r="A109" s="2148" t="s">
        <v>1059</v>
      </c>
      <c r="B109" s="2148"/>
      <c r="C109" s="2148"/>
      <c r="D109" s="2148"/>
      <c r="E109" s="2148"/>
      <c r="F109" s="2148"/>
      <c r="G109" s="2148"/>
      <c r="H109" s="2148"/>
    </row>
    <row r="110" spans="1:8">
      <c r="A110" s="2148" t="s">
        <v>1060</v>
      </c>
      <c r="B110" s="2148"/>
      <c r="C110" s="2148"/>
      <c r="D110" s="2148"/>
      <c r="E110" s="2148"/>
      <c r="F110" s="2148"/>
      <c r="G110" s="2148"/>
      <c r="H110" s="2148"/>
    </row>
    <row r="111" spans="1:8">
      <c r="A111" s="2148" t="s">
        <v>1061</v>
      </c>
      <c r="B111" s="2148"/>
      <c r="C111" s="2148"/>
      <c r="D111" s="2148"/>
      <c r="E111" s="2148"/>
      <c r="F111" s="2148"/>
      <c r="G111" s="2148"/>
      <c r="H111" s="2148"/>
    </row>
    <row r="112" spans="1:8">
      <c r="A112" s="2148" t="s">
        <v>1062</v>
      </c>
      <c r="B112" s="2148"/>
      <c r="C112" s="2148"/>
      <c r="D112" s="2148"/>
      <c r="E112" s="2148"/>
      <c r="F112" s="2148"/>
      <c r="G112" s="2148"/>
      <c r="H112" s="2148"/>
    </row>
    <row r="113" spans="1:8">
      <c r="A113" s="2148" t="s">
        <v>1063</v>
      </c>
      <c r="B113" s="2148"/>
      <c r="C113" s="2148"/>
      <c r="D113" s="2148"/>
      <c r="E113" s="2148"/>
      <c r="F113" s="2148"/>
      <c r="G113" s="2148"/>
      <c r="H113" s="2148"/>
    </row>
    <row r="114" spans="1:8">
      <c r="A114" s="2153"/>
      <c r="B114" s="2153"/>
      <c r="C114" s="2153"/>
      <c r="D114" s="2153"/>
      <c r="E114" s="2153"/>
      <c r="F114" s="2153"/>
      <c r="G114" s="2153"/>
      <c r="H114" s="2153"/>
    </row>
    <row r="115" spans="1:8">
      <c r="A115" s="2154"/>
      <c r="B115" s="2155" t="s">
        <v>851</v>
      </c>
      <c r="C115" s="2156"/>
      <c r="D115" s="2155" t="s">
        <v>852</v>
      </c>
      <c r="E115" s="2157"/>
      <c r="F115" s="2156"/>
      <c r="G115" s="2155" t="s">
        <v>853</v>
      </c>
      <c r="H115" s="2156"/>
    </row>
    <row r="116" spans="1:8">
      <c r="A116" s="2154" t="s">
        <v>854</v>
      </c>
      <c r="B116" s="2154" t="s">
        <v>132</v>
      </c>
      <c r="C116" s="2154" t="s">
        <v>278</v>
      </c>
      <c r="D116" s="2154" t="s">
        <v>132</v>
      </c>
      <c r="E116" s="2154" t="s">
        <v>855</v>
      </c>
      <c r="F116" s="2154" t="s">
        <v>856</v>
      </c>
      <c r="G116" s="2154" t="s">
        <v>132</v>
      </c>
      <c r="H116" s="2154" t="s">
        <v>857</v>
      </c>
    </row>
    <row r="117" spans="1:8">
      <c r="A117" s="2154" t="s">
        <v>858</v>
      </c>
      <c r="B117" s="2154">
        <v>1189</v>
      </c>
      <c r="C117" s="2158">
        <v>0.38</v>
      </c>
      <c r="D117" s="2154">
        <v>315</v>
      </c>
      <c r="E117" s="2158">
        <v>0.41</v>
      </c>
      <c r="F117" s="2158">
        <v>0.26</v>
      </c>
      <c r="G117" s="2154">
        <v>555</v>
      </c>
      <c r="H117" s="2158">
        <v>0.39</v>
      </c>
    </row>
    <row r="118" spans="1:8">
      <c r="A118" s="2154" t="s">
        <v>859</v>
      </c>
      <c r="B118" s="2154">
        <v>1355</v>
      </c>
      <c r="C118" s="2158">
        <v>0.43</v>
      </c>
      <c r="D118" s="2154">
        <v>364</v>
      </c>
      <c r="E118" s="2158">
        <v>0.47</v>
      </c>
      <c r="F118" s="2158">
        <v>0.27</v>
      </c>
      <c r="G118" s="2154">
        <v>644</v>
      </c>
      <c r="H118" s="2158">
        <v>0.45</v>
      </c>
    </row>
    <row r="119" spans="1:8">
      <c r="A119" s="2154" t="s">
        <v>860</v>
      </c>
      <c r="B119" s="2154">
        <v>53</v>
      </c>
      <c r="C119" s="2158">
        <v>0.02</v>
      </c>
      <c r="D119" s="2154">
        <v>4</v>
      </c>
      <c r="E119" s="2158">
        <v>0.01</v>
      </c>
      <c r="F119" s="2158">
        <v>0.08</v>
      </c>
      <c r="G119" s="2154">
        <v>7</v>
      </c>
      <c r="H119" s="2158">
        <v>0</v>
      </c>
    </row>
    <row r="120" spans="1:8">
      <c r="A120" s="2154" t="s">
        <v>861</v>
      </c>
      <c r="B120" s="2154">
        <v>545</v>
      </c>
      <c r="C120" s="2158">
        <v>0.17</v>
      </c>
      <c r="D120" s="2154">
        <v>84</v>
      </c>
      <c r="E120" s="2158">
        <v>0.11</v>
      </c>
      <c r="F120" s="2158">
        <v>0.15</v>
      </c>
      <c r="G120" s="2154">
        <v>214</v>
      </c>
      <c r="H120" s="2158">
        <v>0.15</v>
      </c>
    </row>
    <row r="121" spans="1:8">
      <c r="A121" s="2154" t="s">
        <v>593</v>
      </c>
      <c r="B121" s="2159">
        <v>3142</v>
      </c>
      <c r="C121" s="2154"/>
      <c r="D121" s="2154">
        <v>767</v>
      </c>
      <c r="E121" s="2154"/>
      <c r="F121" s="2154"/>
      <c r="G121" s="2154">
        <v>1420</v>
      </c>
      <c r="H121" s="2154"/>
    </row>
    <row r="122" spans="1:8">
      <c r="A122" s="2160"/>
      <c r="B122" s="2160"/>
      <c r="C122" s="2160"/>
      <c r="D122" s="2160"/>
      <c r="E122" s="2160"/>
      <c r="F122" s="2160"/>
      <c r="G122" s="2160"/>
      <c r="H122" s="2160"/>
    </row>
    <row r="123" spans="1:8">
      <c r="A123" s="2151" t="s">
        <v>1053</v>
      </c>
      <c r="B123" s="2151"/>
      <c r="C123" s="2151"/>
      <c r="D123" s="2151"/>
      <c r="E123" s="2151"/>
      <c r="F123" s="2151"/>
      <c r="G123" s="2151"/>
      <c r="H123" s="2151"/>
    </row>
    <row r="124" spans="1:8">
      <c r="A124" s="2148" t="s">
        <v>1054</v>
      </c>
      <c r="B124" s="2148"/>
      <c r="C124" s="2148"/>
      <c r="D124" s="2148"/>
      <c r="E124" s="2148"/>
      <c r="F124" s="2148"/>
      <c r="G124" s="2148"/>
      <c r="H124" s="2148"/>
    </row>
    <row r="125" spans="1:8">
      <c r="A125" s="2148" t="s">
        <v>1055</v>
      </c>
      <c r="B125" s="2148"/>
      <c r="C125" s="2148"/>
      <c r="D125" s="2148"/>
      <c r="E125" s="2148"/>
      <c r="F125" s="2148"/>
      <c r="G125" s="2148"/>
      <c r="H125" s="2148"/>
    </row>
    <row r="126" spans="1:8">
      <c r="A126" s="2148" t="s">
        <v>1056</v>
      </c>
      <c r="B126" s="2148"/>
      <c r="C126" s="2148"/>
      <c r="D126" s="2148"/>
      <c r="E126" s="2148"/>
      <c r="F126" s="2148"/>
      <c r="G126" s="2148"/>
      <c r="H126" s="2148"/>
    </row>
    <row r="127" spans="1:8">
      <c r="A127" s="2147"/>
      <c r="B127" s="2147"/>
      <c r="C127" s="2147"/>
      <c r="D127" s="2147"/>
      <c r="E127" s="2147"/>
      <c r="F127" s="2147"/>
      <c r="G127" s="2147"/>
      <c r="H127" s="2147"/>
    </row>
    <row r="128" spans="1:8" ht="15.75">
      <c r="A128" s="2149" t="s">
        <v>862</v>
      </c>
      <c r="B128" s="2147"/>
      <c r="C128" s="2147"/>
      <c r="D128" s="2147"/>
      <c r="E128" s="2147"/>
      <c r="F128" s="2147"/>
      <c r="G128" s="2147"/>
      <c r="H128" s="2147"/>
    </row>
    <row r="129" spans="1:8">
      <c r="A129" s="2147"/>
      <c r="B129" s="2147"/>
      <c r="C129" s="2147"/>
      <c r="D129" s="2147"/>
      <c r="E129" s="2147"/>
      <c r="F129" s="2147"/>
      <c r="G129" s="2147"/>
      <c r="H129" s="2147"/>
    </row>
    <row r="130" spans="1:8">
      <c r="A130" s="2148" t="s">
        <v>1051</v>
      </c>
      <c r="B130" s="2147"/>
      <c r="C130" s="2147"/>
      <c r="D130" s="2147"/>
      <c r="E130" s="2147"/>
      <c r="F130" s="2147"/>
      <c r="G130" s="2147"/>
      <c r="H130" s="2147"/>
    </row>
    <row r="131" spans="1:8">
      <c r="A131" s="2148" t="s">
        <v>1052</v>
      </c>
      <c r="B131" s="2147"/>
      <c r="C131" s="2147"/>
      <c r="D131" s="2147"/>
      <c r="E131" s="2147"/>
      <c r="F131" s="2147"/>
      <c r="G131" s="2147"/>
      <c r="H131" s="2147"/>
    </row>
    <row r="132" spans="1:8">
      <c r="A132" s="2147"/>
      <c r="B132" s="2147"/>
      <c r="C132" s="2147"/>
      <c r="D132" s="2147"/>
      <c r="E132" s="2147"/>
      <c r="F132" s="2147"/>
      <c r="G132" s="2147"/>
      <c r="H132" s="2147"/>
    </row>
    <row r="133" spans="1:8">
      <c r="A133" s="2148" t="s">
        <v>1048</v>
      </c>
      <c r="B133" s="2147"/>
      <c r="C133" s="2147"/>
      <c r="D133" s="2147"/>
      <c r="E133" s="2147"/>
      <c r="F133" s="2147"/>
      <c r="G133" s="2147"/>
      <c r="H133" s="2147"/>
    </row>
    <row r="134" spans="1:8">
      <c r="A134" s="2148" t="s">
        <v>1049</v>
      </c>
      <c r="B134" s="2147"/>
      <c r="C134" s="2147"/>
      <c r="D134" s="2147"/>
      <c r="E134" s="2147"/>
      <c r="F134" s="2147"/>
      <c r="G134" s="2147"/>
      <c r="H134" s="2147"/>
    </row>
    <row r="135" spans="1:8">
      <c r="A135" s="2148" t="s">
        <v>1050</v>
      </c>
      <c r="B135" s="2147"/>
      <c r="C135" s="2147"/>
      <c r="D135" s="2147"/>
      <c r="E135" s="2147"/>
      <c r="F135" s="2147"/>
      <c r="G135" s="2147"/>
      <c r="H135" s="2147"/>
    </row>
    <row r="136" spans="1:8">
      <c r="A136" s="2147"/>
      <c r="B136" s="2147"/>
      <c r="C136" s="2147"/>
      <c r="D136" s="2147"/>
      <c r="E136" s="2147"/>
      <c r="F136" s="2147"/>
      <c r="G136" s="2147"/>
      <c r="H136" s="2147"/>
    </row>
    <row r="137" spans="1:8">
      <c r="A137" s="2148" t="s">
        <v>1045</v>
      </c>
      <c r="B137" s="2147"/>
      <c r="C137" s="2147"/>
      <c r="D137" s="2147"/>
      <c r="E137" s="2147"/>
      <c r="F137" s="2147"/>
      <c r="G137" s="2147"/>
      <c r="H137" s="2147"/>
    </row>
    <row r="138" spans="1:8">
      <c r="A138" s="2148" t="s">
        <v>1046</v>
      </c>
      <c r="B138" s="2147"/>
      <c r="C138" s="2147"/>
      <c r="D138" s="2147"/>
      <c r="E138" s="2147"/>
      <c r="F138" s="2147"/>
      <c r="G138" s="2147"/>
      <c r="H138" s="2147"/>
    </row>
    <row r="139" spans="1:8">
      <c r="A139" s="2148" t="s">
        <v>1047</v>
      </c>
      <c r="B139" s="2147"/>
      <c r="C139" s="2147"/>
      <c r="D139" s="2147"/>
      <c r="E139" s="2147"/>
      <c r="F139" s="2147"/>
      <c r="G139" s="2147"/>
      <c r="H139" s="2147"/>
    </row>
    <row r="140" spans="1:8">
      <c r="A140" s="2147"/>
      <c r="B140" s="2147"/>
      <c r="C140" s="2147"/>
      <c r="D140" s="2147"/>
      <c r="E140" s="2147"/>
      <c r="F140" s="2147"/>
      <c r="G140" s="2147"/>
      <c r="H140" s="2147"/>
    </row>
    <row r="141" spans="1:8">
      <c r="A141" s="2148" t="s">
        <v>1042</v>
      </c>
      <c r="B141" s="2147"/>
      <c r="C141" s="2147"/>
      <c r="D141" s="2147"/>
      <c r="E141" s="2147"/>
      <c r="F141" s="2147"/>
      <c r="G141" s="2147"/>
      <c r="H141" s="2147"/>
    </row>
    <row r="142" spans="1:8">
      <c r="A142" s="2148" t="s">
        <v>1043</v>
      </c>
      <c r="B142" s="2147"/>
      <c r="C142" s="2147"/>
      <c r="D142" s="2147"/>
      <c r="E142" s="2147"/>
      <c r="F142" s="2147"/>
      <c r="G142" s="2147"/>
      <c r="H142" s="2147"/>
    </row>
    <row r="143" spans="1:8">
      <c r="A143" s="2148" t="s">
        <v>1044</v>
      </c>
      <c r="B143" s="2147"/>
      <c r="C143" s="2147"/>
      <c r="D143" s="2147"/>
      <c r="E143" s="2147"/>
      <c r="F143" s="2147"/>
      <c r="G143" s="2147"/>
      <c r="H143" s="2147"/>
    </row>
    <row r="144" spans="1:8">
      <c r="A144" s="2147"/>
      <c r="B144" s="2147"/>
      <c r="C144" s="2147"/>
      <c r="D144" s="2147"/>
      <c r="E144" s="2147"/>
      <c r="F144" s="2147"/>
      <c r="G144" s="2147"/>
      <c r="H144" s="2147"/>
    </row>
    <row r="145" spans="1:8">
      <c r="A145" s="2148" t="s">
        <v>1040</v>
      </c>
      <c r="B145" s="2147"/>
      <c r="C145" s="2147"/>
      <c r="D145" s="2147"/>
      <c r="E145" s="2147"/>
      <c r="F145" s="2147"/>
      <c r="G145" s="2147"/>
      <c r="H145" s="2147"/>
    </row>
    <row r="146" spans="1:8">
      <c r="A146" s="2148" t="s">
        <v>1041</v>
      </c>
      <c r="B146" s="2147"/>
      <c r="C146" s="2147"/>
      <c r="D146" s="2147"/>
      <c r="E146" s="2147"/>
      <c r="F146" s="2147"/>
      <c r="G146" s="2147"/>
      <c r="H146" s="2147"/>
    </row>
    <row r="147" spans="1:8">
      <c r="A147" s="2147"/>
      <c r="B147" s="2147"/>
      <c r="C147" s="2147"/>
      <c r="D147" s="2147"/>
      <c r="E147" s="2147"/>
      <c r="F147" s="2147"/>
      <c r="G147" s="2147"/>
      <c r="H147" s="2147"/>
    </row>
    <row r="148" spans="1:8" ht="15.75">
      <c r="A148" s="2149" t="s">
        <v>863</v>
      </c>
      <c r="B148" s="2147"/>
      <c r="C148" s="2147"/>
      <c r="D148" s="2147"/>
      <c r="E148" s="2147"/>
      <c r="F148" s="2147"/>
      <c r="G148" s="2147"/>
      <c r="H148" s="2147"/>
    </row>
    <row r="149" spans="1:8">
      <c r="A149" s="2147"/>
      <c r="B149" s="2147"/>
      <c r="C149" s="2147"/>
      <c r="D149" s="2147"/>
      <c r="E149" s="2147"/>
      <c r="F149" s="2147"/>
      <c r="G149" s="2147"/>
      <c r="H149" s="2147"/>
    </row>
    <row r="150" spans="1:8">
      <c r="A150" s="2148" t="s">
        <v>1038</v>
      </c>
      <c r="B150" s="2147"/>
      <c r="C150" s="2147"/>
      <c r="D150" s="2147"/>
      <c r="E150" s="2147"/>
      <c r="F150" s="2147"/>
      <c r="G150" s="2147"/>
      <c r="H150" s="2147"/>
    </row>
    <row r="151" spans="1:8">
      <c r="A151" s="2148" t="s">
        <v>1039</v>
      </c>
      <c r="B151" s="2147"/>
      <c r="C151" s="2147"/>
      <c r="D151" s="2147"/>
      <c r="E151" s="2147"/>
      <c r="F151" s="2147"/>
      <c r="G151" s="2147"/>
      <c r="H151" s="2147"/>
    </row>
    <row r="152" spans="1:8">
      <c r="A152" s="2147"/>
      <c r="B152" s="2147"/>
      <c r="C152" s="2147"/>
      <c r="D152" s="2147"/>
      <c r="E152" s="2147"/>
      <c r="F152" s="2147"/>
      <c r="G152" s="2147"/>
      <c r="H152" s="2147"/>
    </row>
    <row r="153" spans="1:8">
      <c r="A153" s="2148" t="s">
        <v>1036</v>
      </c>
      <c r="B153" s="2147"/>
      <c r="C153" s="2147"/>
      <c r="D153" s="2147"/>
      <c r="E153" s="2147"/>
      <c r="F153" s="2147"/>
      <c r="G153" s="2147"/>
      <c r="H153" s="2147"/>
    </row>
    <row r="154" spans="1:8">
      <c r="A154" s="2148" t="s">
        <v>1037</v>
      </c>
      <c r="B154" s="2147"/>
      <c r="C154" s="2147"/>
      <c r="D154" s="2147"/>
      <c r="E154" s="2147"/>
      <c r="F154" s="2147"/>
      <c r="G154" s="2147"/>
      <c r="H154" s="2147"/>
    </row>
    <row r="155" spans="1:8">
      <c r="A155" s="2147"/>
      <c r="B155" s="2147"/>
      <c r="C155" s="2147"/>
      <c r="D155" s="2147"/>
      <c r="E155" s="2147"/>
      <c r="F155" s="2147"/>
      <c r="G155" s="2147"/>
      <c r="H155" s="2147"/>
    </row>
    <row r="156" spans="1:8">
      <c r="A156" s="2148" t="s">
        <v>1034</v>
      </c>
      <c r="B156" s="2147"/>
      <c r="C156" s="2147"/>
      <c r="D156" s="2147"/>
      <c r="E156" s="2147"/>
      <c r="F156" s="2147"/>
      <c r="G156" s="2147"/>
      <c r="H156" s="2147"/>
    </row>
    <row r="157" spans="1:8">
      <c r="A157" s="2148" t="s">
        <v>1035</v>
      </c>
      <c r="B157" s="2147"/>
      <c r="C157" s="2147"/>
      <c r="D157" s="2147"/>
      <c r="E157" s="2147"/>
      <c r="F157" s="2147"/>
      <c r="G157" s="2147"/>
      <c r="H157" s="2147"/>
    </row>
    <row r="158" spans="1:8">
      <c r="A158" s="2147"/>
      <c r="B158" s="2147"/>
      <c r="C158" s="2147"/>
      <c r="D158" s="2147"/>
      <c r="E158" s="2147"/>
      <c r="F158" s="2147"/>
      <c r="G158" s="2147"/>
      <c r="H158" s="2147"/>
    </row>
    <row r="159" spans="1:8">
      <c r="A159" s="2148" t="s">
        <v>1031</v>
      </c>
      <c r="B159" s="2147"/>
      <c r="C159" s="2147"/>
      <c r="D159" s="2147"/>
      <c r="E159" s="2147"/>
      <c r="F159" s="2147"/>
      <c r="G159" s="2147"/>
      <c r="H159" s="2147"/>
    </row>
    <row r="160" spans="1:8">
      <c r="A160" s="2148" t="s">
        <v>1032</v>
      </c>
      <c r="B160" s="2147"/>
      <c r="C160" s="2147"/>
      <c r="D160" s="2147"/>
      <c r="E160" s="2147"/>
      <c r="F160" s="2147"/>
      <c r="G160" s="2147"/>
      <c r="H160" s="2147"/>
    </row>
    <row r="161" spans="1:8">
      <c r="A161" s="2148" t="s">
        <v>1033</v>
      </c>
      <c r="B161" s="2147"/>
      <c r="C161" s="2147"/>
      <c r="D161" s="2147"/>
      <c r="E161" s="2147"/>
      <c r="F161" s="2147"/>
      <c r="G161" s="2147"/>
      <c r="H161" s="2147"/>
    </row>
    <row r="162" spans="1:8">
      <c r="A162" s="2147"/>
      <c r="B162" s="2147"/>
      <c r="C162" s="2147"/>
      <c r="D162" s="2147"/>
      <c r="E162" s="2147"/>
      <c r="F162" s="2147"/>
      <c r="G162" s="2147"/>
      <c r="H162" s="2147"/>
    </row>
    <row r="163" spans="1:8">
      <c r="A163" s="2147"/>
      <c r="B163" s="2147"/>
      <c r="C163" s="2147"/>
      <c r="D163" s="2147"/>
      <c r="E163" s="2147"/>
      <c r="F163" s="2147"/>
      <c r="G163" s="2147"/>
      <c r="H163" s="2147"/>
    </row>
    <row r="164" spans="1:8">
      <c r="A164" s="2148" t="s">
        <v>698</v>
      </c>
      <c r="B164" s="2147"/>
      <c r="C164" s="2147"/>
      <c r="D164" s="2147"/>
      <c r="E164" s="2147"/>
      <c r="F164" s="2147"/>
      <c r="G164" s="2147"/>
      <c r="H164" s="2147"/>
    </row>
    <row r="165" spans="1:8">
      <c r="A165" s="2147"/>
      <c r="B165" s="2147"/>
      <c r="C165" s="2147"/>
      <c r="D165" s="2147"/>
      <c r="E165" s="2147"/>
      <c r="F165" s="2147"/>
      <c r="G165" s="2147"/>
      <c r="H165" s="2147"/>
    </row>
    <row r="166" spans="1:8" ht="15.75">
      <c r="A166" s="2149" t="s">
        <v>864</v>
      </c>
      <c r="B166" s="2147"/>
      <c r="C166" s="2147"/>
      <c r="D166" s="2147"/>
      <c r="E166" s="2147"/>
      <c r="F166" s="2147"/>
      <c r="G166" s="2147"/>
      <c r="H166" s="2147"/>
    </row>
    <row r="167" spans="1:8">
      <c r="A167" s="2147"/>
      <c r="B167" s="2147"/>
      <c r="C167" s="2147"/>
      <c r="D167" s="2147"/>
      <c r="E167" s="2147"/>
      <c r="F167" s="2147"/>
      <c r="G167" s="2147"/>
      <c r="H167" s="2147"/>
    </row>
    <row r="168" spans="1:8">
      <c r="A168" s="2147"/>
      <c r="B168" s="2147"/>
      <c r="C168" s="2147"/>
      <c r="D168" s="2147"/>
      <c r="E168" s="2147"/>
      <c r="F168" s="2147"/>
      <c r="G168" s="2147"/>
      <c r="H168" s="2147"/>
    </row>
    <row r="169" spans="1:8">
      <c r="A169" s="2147"/>
      <c r="B169" s="2147"/>
      <c r="C169" s="2147"/>
      <c r="D169" s="2147"/>
      <c r="E169" s="2147"/>
      <c r="F169" s="2147"/>
      <c r="G169" s="2147"/>
      <c r="H169" s="2147"/>
    </row>
    <row r="170" spans="1:8">
      <c r="A170" s="2147"/>
      <c r="B170" s="2147"/>
      <c r="C170" s="2147"/>
      <c r="D170" s="2147"/>
      <c r="E170" s="2147"/>
      <c r="F170" s="2147"/>
      <c r="G170" s="2147"/>
      <c r="H170" s="2147"/>
    </row>
    <row r="171" spans="1:8">
      <c r="A171" s="2147"/>
      <c r="B171" s="2147"/>
      <c r="C171" s="2147"/>
      <c r="D171" s="2147"/>
      <c r="E171" s="2147"/>
      <c r="F171" s="2147"/>
      <c r="G171" s="2147"/>
      <c r="H171" s="2147"/>
    </row>
    <row r="172" spans="1:8">
      <c r="A172" s="2147"/>
      <c r="B172" s="2147"/>
      <c r="C172" s="2147"/>
      <c r="D172" s="2147"/>
      <c r="E172" s="2147"/>
      <c r="F172" s="2147"/>
      <c r="G172" s="2147"/>
      <c r="H172" s="2147"/>
    </row>
    <row r="173" spans="1:8">
      <c r="A173" s="2147"/>
      <c r="B173" s="2147"/>
      <c r="C173" s="2147"/>
      <c r="D173" s="2147"/>
      <c r="E173" s="2147"/>
      <c r="F173" s="2147"/>
      <c r="G173" s="2147"/>
      <c r="H173" s="2147"/>
    </row>
    <row r="174" spans="1:8">
      <c r="A174" s="2147"/>
      <c r="B174" s="2147"/>
      <c r="C174" s="2147"/>
      <c r="D174" s="2147"/>
      <c r="E174" s="2147"/>
      <c r="F174" s="2147"/>
      <c r="G174" s="2147"/>
      <c r="H174" s="2147"/>
    </row>
    <row r="175" spans="1:8">
      <c r="A175" s="2147"/>
      <c r="B175" s="2147"/>
      <c r="C175" s="2147"/>
      <c r="D175" s="2147"/>
      <c r="E175" s="2147"/>
      <c r="F175" s="2147"/>
      <c r="G175" s="2147"/>
      <c r="H175" s="2147"/>
    </row>
    <row r="176" spans="1:8">
      <c r="A176" s="2147"/>
      <c r="B176" s="2147"/>
      <c r="C176" s="2147"/>
      <c r="D176" s="2147"/>
      <c r="E176" s="2147"/>
      <c r="F176" s="2147"/>
      <c r="G176" s="2147"/>
      <c r="H176" s="2147"/>
    </row>
    <row r="177" spans="1:8">
      <c r="A177" s="2147"/>
      <c r="B177" s="2147"/>
      <c r="C177" s="2147"/>
      <c r="D177" s="2147"/>
      <c r="E177" s="2147"/>
      <c r="F177" s="2147"/>
      <c r="G177" s="2147"/>
      <c r="H177" s="2147"/>
    </row>
    <row r="178" spans="1:8">
      <c r="A178" s="2147"/>
      <c r="B178" s="2147"/>
      <c r="C178" s="2147"/>
      <c r="D178" s="2147"/>
      <c r="E178" s="2147"/>
      <c r="F178" s="2147"/>
      <c r="G178" s="2147"/>
      <c r="H178" s="2147"/>
    </row>
    <row r="179" spans="1:8">
      <c r="A179" s="2147"/>
      <c r="B179" s="2147"/>
      <c r="C179" s="2147"/>
      <c r="D179" s="2147"/>
      <c r="E179" s="2147"/>
      <c r="F179" s="2147"/>
      <c r="G179" s="2147"/>
      <c r="H179" s="2147"/>
    </row>
    <row r="180" spans="1:8">
      <c r="A180" s="2147"/>
      <c r="B180" s="2147"/>
      <c r="C180" s="2147"/>
      <c r="D180" s="2147"/>
      <c r="E180" s="2147"/>
      <c r="F180" s="2147"/>
      <c r="G180" s="2147"/>
      <c r="H180" s="2147"/>
    </row>
    <row r="181" spans="1:8">
      <c r="A181" s="2147"/>
      <c r="B181" s="2147"/>
      <c r="C181" s="2147"/>
      <c r="D181" s="2147"/>
      <c r="E181" s="2147"/>
      <c r="F181" s="2147"/>
      <c r="G181" s="2147"/>
      <c r="H181" s="2147"/>
    </row>
    <row r="182" spans="1:8">
      <c r="A182" s="2147"/>
      <c r="B182" s="2147"/>
      <c r="C182" s="2147"/>
      <c r="D182" s="2147"/>
      <c r="E182" s="2147"/>
      <c r="F182" s="2147"/>
      <c r="G182" s="2147"/>
      <c r="H182" s="2147"/>
    </row>
    <row r="183" spans="1:8">
      <c r="A183" s="2147"/>
      <c r="B183" s="2147"/>
      <c r="C183" s="2147"/>
      <c r="D183" s="2147"/>
      <c r="E183" s="2147"/>
      <c r="F183" s="2147"/>
      <c r="G183" s="2147"/>
      <c r="H183" s="2147"/>
    </row>
    <row r="184" spans="1:8">
      <c r="A184" s="2147"/>
      <c r="B184" s="2147"/>
      <c r="C184" s="2147"/>
      <c r="D184" s="2147"/>
      <c r="E184" s="2147"/>
      <c r="F184" s="2147"/>
      <c r="G184" s="2147"/>
      <c r="H184" s="2147"/>
    </row>
    <row r="185" spans="1:8">
      <c r="A185" s="2147"/>
      <c r="B185" s="2147"/>
      <c r="C185" s="2147"/>
      <c r="D185" s="2147"/>
      <c r="E185" s="2147"/>
      <c r="F185" s="2147"/>
      <c r="G185" s="2147"/>
      <c r="H185" s="2147"/>
    </row>
    <row r="186" spans="1:8">
      <c r="A186" s="2147"/>
      <c r="B186" s="2147"/>
      <c r="C186" s="2147"/>
      <c r="D186" s="2147"/>
      <c r="E186" s="2147"/>
      <c r="F186" s="2147"/>
      <c r="G186" s="2147"/>
      <c r="H186" s="2147"/>
    </row>
    <row r="187" spans="1:8">
      <c r="A187" s="2147"/>
      <c r="B187" s="2147"/>
      <c r="C187" s="2147"/>
      <c r="D187" s="2147"/>
      <c r="E187" s="2147"/>
      <c r="F187" s="2147"/>
      <c r="G187" s="2147"/>
      <c r="H187" s="2147"/>
    </row>
    <row r="188" spans="1:8">
      <c r="A188" s="2147"/>
      <c r="B188" s="2147"/>
      <c r="C188" s="2147"/>
      <c r="D188" s="2147"/>
      <c r="E188" s="2147"/>
      <c r="F188" s="2147"/>
      <c r="G188" s="2147"/>
      <c r="H188" s="2147"/>
    </row>
    <row r="189" spans="1:8">
      <c r="A189" s="2147"/>
      <c r="B189" s="2147"/>
      <c r="C189" s="2147"/>
      <c r="D189" s="2147"/>
      <c r="E189" s="2147"/>
      <c r="F189" s="2147"/>
      <c r="G189" s="2147"/>
      <c r="H189" s="2147"/>
    </row>
    <row r="190" spans="1:8">
      <c r="A190" s="2147"/>
      <c r="B190" s="2147"/>
      <c r="C190" s="2147"/>
      <c r="D190" s="2147"/>
      <c r="E190" s="2147"/>
      <c r="F190" s="2147"/>
      <c r="G190" s="2147"/>
      <c r="H190" s="2147"/>
    </row>
    <row r="191" spans="1:8">
      <c r="A191" s="2147"/>
      <c r="B191" s="2147"/>
      <c r="C191" s="2147"/>
      <c r="D191" s="2147"/>
      <c r="E191" s="2147"/>
      <c r="F191" s="2147"/>
      <c r="G191" s="2147"/>
      <c r="H191" s="2147"/>
    </row>
    <row r="192" spans="1:8">
      <c r="A192" s="2147"/>
      <c r="B192" s="2147"/>
      <c r="C192" s="2147"/>
      <c r="D192" s="2147"/>
      <c r="E192" s="2147"/>
      <c r="F192" s="2147"/>
      <c r="G192" s="2147"/>
      <c r="H192" s="2147"/>
    </row>
    <row r="193" spans="1:8" ht="15.75">
      <c r="A193" s="2149" t="s">
        <v>865</v>
      </c>
      <c r="B193" s="2147"/>
      <c r="C193" s="2147"/>
      <c r="D193" s="2147"/>
      <c r="E193" s="2147"/>
      <c r="F193" s="2147"/>
      <c r="G193" s="2147"/>
      <c r="H193" s="2147"/>
    </row>
    <row r="194" spans="1:8">
      <c r="A194" s="2147"/>
      <c r="B194" s="2147"/>
      <c r="C194" s="2147"/>
      <c r="D194" s="2147"/>
      <c r="E194" s="2147"/>
      <c r="F194" s="2147"/>
      <c r="G194" s="2147"/>
      <c r="H194" s="2147"/>
    </row>
    <row r="195" spans="1:8">
      <c r="A195" s="2148" t="s">
        <v>1026</v>
      </c>
      <c r="B195" s="2147"/>
      <c r="C195" s="2147"/>
      <c r="D195" s="2147"/>
      <c r="E195" s="2147"/>
      <c r="F195" s="2147"/>
      <c r="G195" s="2147"/>
      <c r="H195" s="2147"/>
    </row>
    <row r="196" spans="1:8">
      <c r="A196" s="2148" t="s">
        <v>1027</v>
      </c>
      <c r="B196" s="2147"/>
      <c r="C196" s="2147"/>
      <c r="D196" s="2147"/>
      <c r="E196" s="2147"/>
      <c r="F196" s="2147"/>
      <c r="G196" s="2147"/>
      <c r="H196" s="2147"/>
    </row>
    <row r="197" spans="1:8">
      <c r="A197" s="2148" t="s">
        <v>1028</v>
      </c>
      <c r="B197" s="2147"/>
      <c r="C197" s="2147"/>
      <c r="D197" s="2147"/>
      <c r="E197" s="2147"/>
      <c r="F197" s="2147"/>
      <c r="G197" s="2147"/>
      <c r="H197" s="2147"/>
    </row>
    <row r="198" spans="1:8">
      <c r="A198" s="2148" t="s">
        <v>1029</v>
      </c>
      <c r="B198" s="2147"/>
      <c r="C198" s="2147"/>
      <c r="D198" s="2147"/>
      <c r="E198" s="2147"/>
      <c r="F198" s="2147"/>
      <c r="G198" s="2147"/>
      <c r="H198" s="2147"/>
    </row>
    <row r="199" spans="1:8">
      <c r="A199" s="2148" t="s">
        <v>1030</v>
      </c>
      <c r="B199" s="2147"/>
      <c r="C199" s="2147"/>
      <c r="D199" s="2147"/>
      <c r="E199" s="2147"/>
      <c r="F199" s="2147"/>
      <c r="G199" s="2147"/>
      <c r="H199" s="2147"/>
    </row>
    <row r="200" spans="1:8">
      <c r="A200" s="2147"/>
      <c r="B200" s="2147"/>
      <c r="C200" s="2147"/>
      <c r="D200" s="2147"/>
      <c r="E200" s="2147"/>
      <c r="F200" s="2147"/>
      <c r="G200" s="2147"/>
      <c r="H200" s="2147"/>
    </row>
    <row r="201" spans="1:8">
      <c r="A201" s="2148" t="s">
        <v>1023</v>
      </c>
      <c r="B201" s="2147"/>
      <c r="C201" s="2147"/>
      <c r="D201" s="2147"/>
      <c r="E201" s="2147"/>
      <c r="F201" s="2147"/>
      <c r="G201" s="2147"/>
      <c r="H201" s="2147"/>
    </row>
    <row r="202" spans="1:8">
      <c r="A202" s="2148" t="s">
        <v>1024</v>
      </c>
      <c r="B202" s="2147"/>
      <c r="C202" s="2147"/>
      <c r="D202" s="2147"/>
      <c r="E202" s="2147"/>
      <c r="F202" s="2147"/>
      <c r="G202" s="2147"/>
      <c r="H202" s="2147"/>
    </row>
    <row r="203" spans="1:8">
      <c r="A203" s="2148" t="s">
        <v>1025</v>
      </c>
      <c r="B203" s="2147"/>
      <c r="C203" s="2147"/>
      <c r="D203" s="2147"/>
      <c r="E203" s="2147"/>
      <c r="F203" s="2147"/>
      <c r="G203" s="2147"/>
      <c r="H203" s="2147"/>
    </row>
    <row r="204" spans="1:8" ht="15.75">
      <c r="A204" s="2149" t="s">
        <v>866</v>
      </c>
      <c r="B204" s="2147"/>
      <c r="C204" s="2147"/>
      <c r="D204" s="2147"/>
      <c r="E204" s="2147"/>
      <c r="F204" s="2147"/>
      <c r="G204" s="2147"/>
      <c r="H204" s="2147"/>
    </row>
    <row r="205" spans="1:8">
      <c r="A205" s="2147"/>
      <c r="B205" s="2147"/>
      <c r="C205" s="2147"/>
      <c r="D205" s="2147"/>
      <c r="E205" s="2147"/>
      <c r="F205" s="2147"/>
      <c r="G205" s="2147"/>
      <c r="H205" s="2147"/>
    </row>
    <row r="206" spans="1:8">
      <c r="A206" s="2148" t="s">
        <v>1021</v>
      </c>
      <c r="B206" s="2147"/>
      <c r="C206" s="2147"/>
      <c r="D206" s="2147"/>
      <c r="E206" s="2147"/>
      <c r="F206" s="2147"/>
      <c r="G206" s="2147"/>
      <c r="H206" s="2147"/>
    </row>
    <row r="207" spans="1:8">
      <c r="A207" s="2148" t="s">
        <v>1022</v>
      </c>
      <c r="B207" s="2147"/>
      <c r="C207" s="2147"/>
      <c r="D207" s="2147"/>
      <c r="E207" s="2147"/>
      <c r="F207" s="2147"/>
      <c r="G207" s="2147"/>
      <c r="H207" s="2147"/>
    </row>
    <row r="208" spans="1:8">
      <c r="A208" s="2147"/>
      <c r="B208" s="2147"/>
      <c r="C208" s="2147"/>
      <c r="D208" s="2147"/>
      <c r="E208" s="2147"/>
      <c r="F208" s="2147"/>
      <c r="G208" s="2147"/>
      <c r="H208" s="2147"/>
    </row>
    <row r="209" spans="1:8">
      <c r="A209" s="2148" t="s">
        <v>1014</v>
      </c>
      <c r="B209" s="2147"/>
      <c r="C209" s="2147"/>
      <c r="D209" s="2147"/>
      <c r="E209" s="2147"/>
      <c r="F209" s="2147"/>
      <c r="G209" s="2147"/>
      <c r="H209" s="2147"/>
    </row>
    <row r="210" spans="1:8">
      <c r="A210" s="2148" t="s">
        <v>1015</v>
      </c>
      <c r="B210" s="2147"/>
      <c r="C210" s="2147"/>
      <c r="D210" s="2147"/>
      <c r="E210" s="2147"/>
      <c r="F210" s="2147"/>
      <c r="G210" s="2147"/>
      <c r="H210" s="2147"/>
    </row>
    <row r="211" spans="1:8">
      <c r="A211" s="2148" t="s">
        <v>1016</v>
      </c>
      <c r="B211" s="2147"/>
      <c r="C211" s="2147"/>
      <c r="D211" s="2147"/>
      <c r="E211" s="2147"/>
      <c r="F211" s="2147"/>
      <c r="G211" s="2147"/>
      <c r="H211" s="2147"/>
    </row>
    <row r="212" spans="1:8">
      <c r="A212" s="2148" t="s">
        <v>1017</v>
      </c>
      <c r="B212" s="2147"/>
      <c r="C212" s="2147"/>
      <c r="D212" s="2147"/>
      <c r="E212" s="2147"/>
      <c r="F212" s="2147"/>
      <c r="G212" s="2147"/>
      <c r="H212" s="2147"/>
    </row>
    <row r="213" spans="1:8">
      <c r="A213" s="2148" t="s">
        <v>1018</v>
      </c>
      <c r="B213" s="2147"/>
      <c r="C213" s="2147"/>
      <c r="D213" s="2147"/>
      <c r="E213" s="2147"/>
      <c r="F213" s="2147"/>
      <c r="G213" s="2147"/>
      <c r="H213" s="2147"/>
    </row>
    <row r="214" spans="1:8">
      <c r="A214" s="2148" t="s">
        <v>1019</v>
      </c>
      <c r="B214" s="2147"/>
      <c r="C214" s="2147"/>
      <c r="D214" s="2147"/>
      <c r="E214" s="2147"/>
      <c r="F214" s="2147"/>
      <c r="G214" s="2147"/>
      <c r="H214" s="2147"/>
    </row>
    <row r="215" spans="1:8">
      <c r="A215" s="2148" t="s">
        <v>1020</v>
      </c>
      <c r="B215" s="2147"/>
      <c r="C215" s="2147"/>
      <c r="D215" s="2147"/>
      <c r="E215" s="2147"/>
      <c r="F215" s="2147"/>
      <c r="G215" s="2147"/>
      <c r="H215" s="2147"/>
    </row>
    <row r="216" spans="1:8">
      <c r="A216" s="2147"/>
      <c r="B216" s="2147"/>
      <c r="C216" s="2147"/>
      <c r="D216" s="2147"/>
      <c r="E216" s="2147"/>
      <c r="F216" s="2147"/>
      <c r="G216" s="2147"/>
      <c r="H216" s="2147"/>
    </row>
    <row r="217" spans="1:8">
      <c r="A217" s="2148" t="s">
        <v>1011</v>
      </c>
      <c r="B217" s="2147"/>
      <c r="C217" s="2147"/>
      <c r="D217" s="2147"/>
      <c r="E217" s="2147"/>
      <c r="F217" s="2147"/>
      <c r="G217" s="2147"/>
      <c r="H217" s="2147"/>
    </row>
    <row r="218" spans="1:8">
      <c r="A218" s="2148" t="s">
        <v>1012</v>
      </c>
      <c r="B218" s="2147"/>
      <c r="C218" s="2147"/>
      <c r="D218" s="2147"/>
      <c r="E218" s="2147"/>
      <c r="F218" s="2147"/>
      <c r="G218" s="2147"/>
      <c r="H218" s="2147"/>
    </row>
    <row r="219" spans="1:8">
      <c r="A219" s="2148" t="s">
        <v>1013</v>
      </c>
      <c r="B219" s="2147"/>
      <c r="C219" s="2147"/>
      <c r="D219" s="2147"/>
      <c r="E219" s="2147"/>
      <c r="F219" s="2147"/>
      <c r="G219" s="2147"/>
      <c r="H219" s="2147"/>
    </row>
    <row r="220" spans="1:8">
      <c r="A220" s="2147"/>
      <c r="B220" s="2147"/>
      <c r="C220" s="2147"/>
      <c r="D220" s="2147"/>
      <c r="E220" s="2147"/>
      <c r="F220" s="2147"/>
      <c r="G220" s="2147"/>
      <c r="H220" s="2147"/>
    </row>
    <row r="221" spans="1:8">
      <c r="A221" s="2148" t="s">
        <v>1006</v>
      </c>
      <c r="B221" s="2147"/>
      <c r="C221" s="2147"/>
      <c r="D221" s="2147"/>
      <c r="E221" s="2147"/>
      <c r="F221" s="2147"/>
      <c r="G221" s="2147"/>
      <c r="H221" s="2147"/>
    </row>
    <row r="222" spans="1:8">
      <c r="A222" s="2148" t="s">
        <v>1007</v>
      </c>
      <c r="B222" s="2147"/>
      <c r="C222" s="2147"/>
      <c r="D222" s="2147"/>
      <c r="E222" s="2147"/>
      <c r="F222" s="2147"/>
      <c r="G222" s="2147"/>
      <c r="H222" s="2147"/>
    </row>
    <row r="223" spans="1:8">
      <c r="A223" s="2148" t="s">
        <v>1008</v>
      </c>
      <c r="B223" s="2147"/>
      <c r="C223" s="2147"/>
      <c r="D223" s="2147"/>
      <c r="E223" s="2147"/>
      <c r="F223" s="2147"/>
      <c r="G223" s="2147"/>
      <c r="H223" s="2147"/>
    </row>
    <row r="224" spans="1:8">
      <c r="A224" s="2148" t="s">
        <v>1009</v>
      </c>
      <c r="B224" s="2147"/>
      <c r="C224" s="2147"/>
      <c r="D224" s="2147"/>
      <c r="E224" s="2147"/>
      <c r="F224" s="2147"/>
      <c r="G224" s="2147"/>
      <c r="H224" s="2147"/>
    </row>
    <row r="225" spans="1:8">
      <c r="A225" s="2148" t="s">
        <v>1010</v>
      </c>
      <c r="B225" s="2147"/>
      <c r="C225" s="2147"/>
      <c r="D225" s="2147"/>
      <c r="E225" s="2147"/>
      <c r="F225" s="2147"/>
      <c r="G225" s="2147"/>
      <c r="H225" s="2147"/>
    </row>
    <row r="226" spans="1:8">
      <c r="A226" s="2147"/>
      <c r="B226" s="2147"/>
      <c r="C226" s="2147"/>
      <c r="D226" s="2147"/>
      <c r="E226" s="2147"/>
      <c r="F226" s="2147"/>
      <c r="G226" s="2147"/>
      <c r="H226" s="2147"/>
    </row>
    <row r="227" spans="1:8">
      <c r="A227" s="2148" t="s">
        <v>1000</v>
      </c>
      <c r="B227" s="2147"/>
      <c r="C227" s="2147"/>
      <c r="D227" s="2147"/>
      <c r="E227" s="2147"/>
      <c r="F227" s="2147"/>
      <c r="G227" s="2147"/>
      <c r="H227" s="2147"/>
    </row>
    <row r="228" spans="1:8">
      <c r="A228" s="2148" t="s">
        <v>1001</v>
      </c>
      <c r="B228" s="2147"/>
      <c r="C228" s="2147"/>
      <c r="D228" s="2147"/>
      <c r="E228" s="2147"/>
      <c r="F228" s="2147"/>
      <c r="G228" s="2147"/>
      <c r="H228" s="2147"/>
    </row>
    <row r="229" spans="1:8">
      <c r="A229" s="2148" t="s">
        <v>1002</v>
      </c>
      <c r="B229" s="2147"/>
      <c r="C229" s="2147"/>
      <c r="D229" s="2147"/>
      <c r="E229" s="2147"/>
      <c r="F229" s="2147"/>
      <c r="G229" s="2147"/>
      <c r="H229" s="2147"/>
    </row>
    <row r="230" spans="1:8">
      <c r="A230" s="2148" t="s">
        <v>1003</v>
      </c>
      <c r="B230" s="2147"/>
      <c r="C230" s="2147"/>
      <c r="D230" s="2147"/>
      <c r="E230" s="2147"/>
      <c r="F230" s="2147"/>
      <c r="G230" s="2147"/>
      <c r="H230" s="2147"/>
    </row>
    <row r="231" spans="1:8">
      <c r="A231" s="2148" t="s">
        <v>1004</v>
      </c>
      <c r="B231" s="2147"/>
      <c r="C231" s="2147"/>
      <c r="D231" s="2147"/>
      <c r="E231" s="2147"/>
      <c r="F231" s="2147"/>
      <c r="G231" s="2147"/>
      <c r="H231" s="2147"/>
    </row>
    <row r="232" spans="1:8">
      <c r="A232" s="2148" t="s">
        <v>1005</v>
      </c>
      <c r="B232" s="2147"/>
      <c r="C232" s="2147"/>
      <c r="D232" s="2147"/>
      <c r="E232" s="2147"/>
      <c r="F232" s="2147"/>
      <c r="G232" s="2147"/>
      <c r="H232" s="2147"/>
    </row>
    <row r="233" spans="1:8">
      <c r="A233" s="2147"/>
      <c r="B233" s="2147"/>
      <c r="C233" s="2147"/>
      <c r="D233" s="2147"/>
      <c r="E233" s="2147"/>
      <c r="F233" s="2147"/>
      <c r="G233" s="2147"/>
      <c r="H233" s="2147"/>
    </row>
    <row r="234" spans="1:8">
      <c r="A234" s="2148" t="s">
        <v>990</v>
      </c>
      <c r="B234" s="2147"/>
      <c r="C234" s="2147"/>
      <c r="D234" s="2147"/>
      <c r="E234" s="2147"/>
      <c r="F234" s="2147"/>
      <c r="G234" s="2147"/>
      <c r="H234" s="2147"/>
    </row>
    <row r="235" spans="1:8">
      <c r="A235" s="2148" t="s">
        <v>991</v>
      </c>
      <c r="B235" s="2147"/>
      <c r="C235" s="2147"/>
      <c r="D235" s="2147"/>
      <c r="E235" s="2147"/>
      <c r="F235" s="2147"/>
      <c r="G235" s="2147"/>
      <c r="H235" s="2147"/>
    </row>
    <row r="236" spans="1:8">
      <c r="A236" s="2148" t="s">
        <v>992</v>
      </c>
      <c r="B236" s="2147"/>
      <c r="C236" s="2147"/>
      <c r="D236" s="2147"/>
      <c r="E236" s="2147"/>
      <c r="F236" s="2147"/>
      <c r="G236" s="2147"/>
      <c r="H236" s="2147"/>
    </row>
    <row r="237" spans="1:8">
      <c r="A237" s="2148" t="s">
        <v>993</v>
      </c>
      <c r="B237" s="2147"/>
      <c r="C237" s="2147"/>
      <c r="D237" s="2147"/>
      <c r="E237" s="2147"/>
      <c r="F237" s="2147"/>
      <c r="G237" s="2147"/>
      <c r="H237" s="2147"/>
    </row>
    <row r="238" spans="1:8">
      <c r="A238" s="2148" t="s">
        <v>994</v>
      </c>
      <c r="B238" s="2147"/>
      <c r="C238" s="2147"/>
      <c r="D238" s="2147"/>
      <c r="E238" s="2147"/>
      <c r="F238" s="2147"/>
      <c r="G238" s="2147"/>
      <c r="H238" s="2147"/>
    </row>
    <row r="239" spans="1:8">
      <c r="A239" s="2148" t="s">
        <v>995</v>
      </c>
      <c r="B239" s="2147"/>
      <c r="C239" s="2147"/>
      <c r="D239" s="2147"/>
      <c r="E239" s="2147"/>
      <c r="F239" s="2147"/>
      <c r="G239" s="2147"/>
      <c r="H239" s="2147"/>
    </row>
    <row r="240" spans="1:8">
      <c r="A240" s="2148" t="s">
        <v>996</v>
      </c>
      <c r="B240" s="2147"/>
      <c r="C240" s="2147"/>
      <c r="D240" s="2147"/>
      <c r="E240" s="2147"/>
      <c r="F240" s="2147"/>
      <c r="G240" s="2147"/>
      <c r="H240" s="2147"/>
    </row>
    <row r="241" spans="1:8">
      <c r="A241" s="2148" t="s">
        <v>997</v>
      </c>
      <c r="B241" s="2147"/>
      <c r="C241" s="2147"/>
      <c r="D241" s="2147"/>
      <c r="E241" s="2147"/>
      <c r="F241" s="2147"/>
      <c r="G241" s="2147"/>
      <c r="H241" s="2147"/>
    </row>
    <row r="242" spans="1:8">
      <c r="A242" s="2148" t="s">
        <v>998</v>
      </c>
      <c r="B242" s="2147"/>
      <c r="C242" s="2147"/>
      <c r="D242" s="2147"/>
      <c r="E242" s="2147"/>
      <c r="F242" s="2147"/>
      <c r="G242" s="2147"/>
      <c r="H242" s="2147"/>
    </row>
    <row r="243" spans="1:8">
      <c r="A243" s="2148" t="s">
        <v>999</v>
      </c>
      <c r="B243" s="2147"/>
      <c r="C243" s="2147"/>
      <c r="D243" s="2147"/>
      <c r="E243" s="2147"/>
      <c r="F243" s="2147"/>
      <c r="G243" s="2147"/>
      <c r="H243" s="2147"/>
    </row>
    <row r="244" spans="1:8">
      <c r="A244" s="2147"/>
      <c r="B244" s="2147"/>
      <c r="C244" s="2147"/>
      <c r="D244" s="2147"/>
      <c r="E244" s="2147"/>
      <c r="F244" s="2147"/>
      <c r="G244" s="2147"/>
      <c r="H244" s="2147"/>
    </row>
    <row r="245" spans="1:8">
      <c r="A245" s="2148" t="s">
        <v>988</v>
      </c>
      <c r="B245" s="2147"/>
      <c r="C245" s="2147"/>
      <c r="D245" s="2147"/>
      <c r="E245" s="2147"/>
      <c r="F245" s="2147"/>
      <c r="G245" s="2147"/>
      <c r="H245" s="2147"/>
    </row>
    <row r="246" spans="1:8">
      <c r="A246" s="2148" t="s">
        <v>989</v>
      </c>
      <c r="B246" s="2147"/>
      <c r="C246" s="2147"/>
      <c r="D246" s="2147"/>
      <c r="E246" s="2147"/>
      <c r="F246" s="2147"/>
      <c r="G246" s="2147"/>
      <c r="H246" s="2147"/>
    </row>
    <row r="247" spans="1:8">
      <c r="A247" s="2147"/>
      <c r="B247" s="2147"/>
      <c r="C247" s="2147"/>
      <c r="D247" s="2147"/>
      <c r="E247" s="2147"/>
      <c r="F247" s="2147"/>
      <c r="G247" s="2147"/>
      <c r="H247" s="2147"/>
    </row>
    <row r="248" spans="1:8">
      <c r="A248" s="2148" t="s">
        <v>972</v>
      </c>
      <c r="B248" s="2147"/>
      <c r="C248" s="2147"/>
      <c r="D248" s="2147"/>
      <c r="E248" s="2147"/>
      <c r="F248" s="2147"/>
      <c r="G248" s="2147"/>
      <c r="H248" s="2147"/>
    </row>
    <row r="249" spans="1:8">
      <c r="A249" s="2148" t="s">
        <v>973</v>
      </c>
      <c r="B249" s="2147"/>
      <c r="C249" s="2147"/>
      <c r="D249" s="2147"/>
      <c r="E249" s="2147"/>
      <c r="F249" s="2147"/>
      <c r="G249" s="2147"/>
      <c r="H249" s="2147"/>
    </row>
    <row r="250" spans="1:8">
      <c r="A250" s="2148" t="s">
        <v>974</v>
      </c>
      <c r="B250" s="2147"/>
      <c r="C250" s="2147"/>
      <c r="D250" s="2147"/>
      <c r="E250" s="2147"/>
      <c r="F250" s="2147"/>
      <c r="G250" s="2147"/>
      <c r="H250" s="2147"/>
    </row>
    <row r="251" spans="1:8">
      <c r="A251" s="2148" t="s">
        <v>975</v>
      </c>
      <c r="B251" s="2147"/>
      <c r="C251" s="2147"/>
      <c r="D251" s="2147"/>
      <c r="E251" s="2147"/>
      <c r="F251" s="2147"/>
      <c r="G251" s="2147"/>
      <c r="H251" s="2147"/>
    </row>
    <row r="252" spans="1:8">
      <c r="A252" s="2148" t="s">
        <v>976</v>
      </c>
      <c r="B252" s="2147"/>
      <c r="C252" s="2147"/>
      <c r="D252" s="2147"/>
      <c r="E252" s="2147"/>
      <c r="F252" s="2147"/>
      <c r="G252" s="2147"/>
      <c r="H252" s="2147"/>
    </row>
    <row r="253" spans="1:8">
      <c r="A253" s="2148" t="s">
        <v>977</v>
      </c>
      <c r="B253" s="2147"/>
      <c r="C253" s="2147"/>
      <c r="D253" s="2147"/>
      <c r="E253" s="2147"/>
      <c r="F253" s="2147"/>
      <c r="G253" s="2147"/>
      <c r="H253" s="2147"/>
    </row>
    <row r="254" spans="1:8">
      <c r="A254" s="2148" t="s">
        <v>978</v>
      </c>
      <c r="B254" s="2147"/>
      <c r="C254" s="2147"/>
      <c r="D254" s="2147"/>
      <c r="E254" s="2147"/>
      <c r="F254" s="2147"/>
      <c r="G254" s="2147"/>
      <c r="H254" s="2147"/>
    </row>
    <row r="255" spans="1:8">
      <c r="A255" s="2148" t="s">
        <v>979</v>
      </c>
      <c r="B255" s="2147"/>
      <c r="C255" s="2147"/>
      <c r="D255" s="2147"/>
      <c r="E255" s="2147"/>
      <c r="F255" s="2147"/>
      <c r="G255" s="2147"/>
      <c r="H255" s="2147"/>
    </row>
    <row r="256" spans="1:8">
      <c r="A256" s="2148" t="s">
        <v>980</v>
      </c>
      <c r="B256" s="2147"/>
      <c r="C256" s="2147"/>
      <c r="D256" s="2147"/>
      <c r="E256" s="2147"/>
      <c r="F256" s="2147"/>
      <c r="G256" s="2147"/>
      <c r="H256" s="2147"/>
    </row>
    <row r="257" spans="1:8">
      <c r="A257" s="2148" t="s">
        <v>981</v>
      </c>
      <c r="B257" s="2147"/>
      <c r="C257" s="2147"/>
      <c r="D257" s="2147"/>
      <c r="E257" s="2147"/>
      <c r="F257" s="2147"/>
      <c r="G257" s="2147"/>
      <c r="H257" s="2147"/>
    </row>
    <row r="258" spans="1:8">
      <c r="A258" s="2148" t="s">
        <v>982</v>
      </c>
      <c r="B258" s="2147"/>
      <c r="C258" s="2147"/>
      <c r="D258" s="2147"/>
      <c r="E258" s="2147"/>
      <c r="F258" s="2147"/>
      <c r="G258" s="2147"/>
      <c r="H258" s="2147"/>
    </row>
    <row r="259" spans="1:8">
      <c r="A259" s="2148" t="s">
        <v>983</v>
      </c>
      <c r="B259" s="2147"/>
      <c r="C259" s="2147"/>
      <c r="D259" s="2147"/>
      <c r="E259" s="2147"/>
      <c r="F259" s="2147"/>
      <c r="G259" s="2147"/>
      <c r="H259" s="2147"/>
    </row>
    <row r="260" spans="1:8">
      <c r="A260" s="2148" t="s">
        <v>984</v>
      </c>
      <c r="B260" s="2147"/>
      <c r="C260" s="2147"/>
      <c r="D260" s="2147"/>
      <c r="E260" s="2147"/>
      <c r="F260" s="2147"/>
      <c r="G260" s="2147"/>
      <c r="H260" s="2147"/>
    </row>
    <row r="261" spans="1:8">
      <c r="A261" s="2148" t="s">
        <v>985</v>
      </c>
      <c r="B261" s="2147"/>
      <c r="C261" s="2147"/>
      <c r="D261" s="2147"/>
      <c r="E261" s="2147"/>
      <c r="F261" s="2147"/>
      <c r="G261" s="2147"/>
      <c r="H261" s="2147"/>
    </row>
    <row r="262" spans="1:8">
      <c r="A262" s="2148" t="s">
        <v>986</v>
      </c>
      <c r="B262" s="2147"/>
      <c r="C262" s="2147"/>
      <c r="D262" s="2147"/>
      <c r="E262" s="2147"/>
      <c r="F262" s="2147"/>
      <c r="G262" s="2147"/>
      <c r="H262" s="2147"/>
    </row>
    <row r="263" spans="1:8">
      <c r="A263" s="2148" t="s">
        <v>987</v>
      </c>
      <c r="B263" s="2147"/>
      <c r="C263" s="2147"/>
      <c r="D263" s="2147"/>
      <c r="E263" s="2147"/>
      <c r="F263" s="2147"/>
      <c r="G263" s="2147"/>
      <c r="H263" s="2147"/>
    </row>
    <row r="264" spans="1:8">
      <c r="A264" s="2147"/>
      <c r="B264" s="2147"/>
      <c r="C264" s="2147"/>
      <c r="D264" s="2147"/>
      <c r="E264" s="2147"/>
      <c r="F264" s="2147"/>
      <c r="G264" s="2147"/>
      <c r="H264" s="2147"/>
    </row>
    <row r="265" spans="1:8">
      <c r="A265" s="2148" t="s">
        <v>965</v>
      </c>
      <c r="B265" s="2147"/>
      <c r="C265" s="2147"/>
      <c r="D265" s="2147"/>
      <c r="E265" s="2147"/>
      <c r="F265" s="2147"/>
      <c r="G265" s="2147"/>
      <c r="H265" s="2147"/>
    </row>
    <row r="266" spans="1:8">
      <c r="A266" s="2148" t="s">
        <v>966</v>
      </c>
      <c r="B266" s="2147"/>
      <c r="C266" s="2147"/>
      <c r="D266" s="2147"/>
      <c r="E266" s="2147"/>
      <c r="F266" s="2147"/>
      <c r="G266" s="2147"/>
      <c r="H266" s="2147"/>
    </row>
    <row r="267" spans="1:8">
      <c r="A267" s="2148" t="s">
        <v>967</v>
      </c>
      <c r="B267" s="2147"/>
      <c r="C267" s="2147"/>
      <c r="D267" s="2147"/>
      <c r="E267" s="2147"/>
      <c r="F267" s="2147"/>
      <c r="G267" s="2147"/>
      <c r="H267" s="2147"/>
    </row>
    <row r="268" spans="1:8">
      <c r="A268" s="2148" t="s">
        <v>968</v>
      </c>
      <c r="B268" s="2147"/>
      <c r="C268" s="2147"/>
      <c r="D268" s="2147"/>
      <c r="E268" s="2147"/>
      <c r="F268" s="2147"/>
      <c r="G268" s="2147"/>
      <c r="H268" s="2147"/>
    </row>
    <row r="269" spans="1:8">
      <c r="A269" s="2148" t="s">
        <v>969</v>
      </c>
      <c r="B269" s="2147"/>
      <c r="C269" s="2147"/>
      <c r="D269" s="2147"/>
      <c r="E269" s="2147"/>
      <c r="F269" s="2147"/>
      <c r="G269" s="2147"/>
      <c r="H269" s="2147"/>
    </row>
    <row r="270" spans="1:8">
      <c r="A270" s="2148" t="s">
        <v>970</v>
      </c>
      <c r="B270" s="2147"/>
      <c r="C270" s="2147"/>
      <c r="D270" s="2147"/>
      <c r="E270" s="2147"/>
      <c r="F270" s="2147"/>
      <c r="G270" s="2147"/>
      <c r="H270" s="2147"/>
    </row>
    <row r="271" spans="1:8">
      <c r="A271" s="2148" t="s">
        <v>971</v>
      </c>
      <c r="B271" s="2147"/>
      <c r="C271" s="2147"/>
      <c r="D271" s="2147"/>
      <c r="E271" s="2147"/>
      <c r="F271" s="2147"/>
      <c r="G271" s="2147"/>
      <c r="H271" s="2147"/>
    </row>
    <row r="272" spans="1:8">
      <c r="A272" s="2147"/>
      <c r="B272" s="2147"/>
      <c r="C272" s="2147"/>
      <c r="D272" s="2147"/>
      <c r="E272" s="2147"/>
      <c r="F272" s="2147"/>
      <c r="G272" s="2147"/>
      <c r="H272" s="2147"/>
    </row>
    <row r="273" spans="1:8">
      <c r="A273" s="2148" t="s">
        <v>956</v>
      </c>
      <c r="B273" s="2147"/>
      <c r="C273" s="2147"/>
      <c r="D273" s="2147"/>
      <c r="E273" s="2147"/>
      <c r="F273" s="2147"/>
      <c r="G273" s="2147"/>
      <c r="H273" s="2147"/>
    </row>
    <row r="274" spans="1:8">
      <c r="A274" s="2148" t="s">
        <v>957</v>
      </c>
      <c r="B274" s="2147"/>
      <c r="C274" s="2147"/>
      <c r="D274" s="2147"/>
      <c r="E274" s="2147"/>
      <c r="F274" s="2147"/>
      <c r="G274" s="2147"/>
      <c r="H274" s="2147"/>
    </row>
    <row r="275" spans="1:8">
      <c r="A275" s="2148" t="s">
        <v>958</v>
      </c>
      <c r="B275" s="2147"/>
      <c r="C275" s="2147"/>
      <c r="D275" s="2147"/>
      <c r="E275" s="2147"/>
      <c r="F275" s="2147"/>
      <c r="G275" s="2147"/>
      <c r="H275" s="2147"/>
    </row>
    <row r="276" spans="1:8">
      <c r="A276" s="2148" t="s">
        <v>959</v>
      </c>
      <c r="B276" s="2147"/>
      <c r="C276" s="2147"/>
      <c r="D276" s="2147"/>
      <c r="E276" s="2147"/>
      <c r="F276" s="2147"/>
      <c r="G276" s="2147"/>
      <c r="H276" s="2147"/>
    </row>
    <row r="277" spans="1:8">
      <c r="A277" s="2148" t="s">
        <v>960</v>
      </c>
      <c r="B277" s="2147"/>
      <c r="C277" s="2147"/>
      <c r="D277" s="2147"/>
      <c r="E277" s="2147"/>
      <c r="F277" s="2147"/>
      <c r="G277" s="2147"/>
      <c r="H277" s="2147"/>
    </row>
    <row r="278" spans="1:8">
      <c r="A278" s="2148" t="s">
        <v>961</v>
      </c>
      <c r="B278" s="2147"/>
      <c r="C278" s="2147"/>
      <c r="D278" s="2147"/>
      <c r="E278" s="2147"/>
      <c r="F278" s="2147"/>
      <c r="G278" s="2147"/>
      <c r="H278" s="2147"/>
    </row>
    <row r="279" spans="1:8">
      <c r="A279" s="2148" t="s">
        <v>962</v>
      </c>
      <c r="B279" s="2147"/>
      <c r="C279" s="2147"/>
      <c r="D279" s="2147"/>
      <c r="E279" s="2147"/>
      <c r="F279" s="2147"/>
      <c r="G279" s="2147"/>
      <c r="H279" s="2147"/>
    </row>
    <row r="280" spans="1:8">
      <c r="A280" s="2148" t="s">
        <v>963</v>
      </c>
      <c r="B280" s="2147"/>
      <c r="C280" s="2147"/>
      <c r="D280" s="2147"/>
      <c r="E280" s="2147"/>
      <c r="F280" s="2147"/>
      <c r="G280" s="2147"/>
      <c r="H280" s="2147"/>
    </row>
    <row r="281" spans="1:8">
      <c r="A281" s="2148" t="s">
        <v>964</v>
      </c>
      <c r="B281" s="2147"/>
      <c r="C281" s="2147"/>
      <c r="D281" s="2147"/>
      <c r="E281" s="2147"/>
      <c r="F281" s="2147"/>
      <c r="G281" s="2147"/>
      <c r="H281" s="2147"/>
    </row>
    <row r="282" spans="1:8">
      <c r="A282" s="2147"/>
      <c r="B282" s="2147"/>
      <c r="C282" s="2147"/>
      <c r="D282" s="2147"/>
      <c r="E282" s="2147"/>
      <c r="F282" s="2147"/>
      <c r="G282" s="2147"/>
      <c r="H282" s="2147"/>
    </row>
    <row r="283" spans="1:8">
      <c r="A283" s="2148" t="s">
        <v>949</v>
      </c>
      <c r="B283" s="2147"/>
      <c r="C283" s="2147"/>
      <c r="D283" s="2147"/>
      <c r="E283" s="2147"/>
      <c r="F283" s="2147"/>
      <c r="G283" s="2147"/>
      <c r="H283" s="2147"/>
    </row>
    <row r="284" spans="1:8">
      <c r="A284" s="2148" t="s">
        <v>950</v>
      </c>
      <c r="B284" s="2147"/>
      <c r="C284" s="2147"/>
      <c r="D284" s="2147"/>
      <c r="E284" s="2147"/>
      <c r="F284" s="2147"/>
      <c r="G284" s="2147"/>
      <c r="H284" s="2147"/>
    </row>
    <row r="285" spans="1:8">
      <c r="A285" s="2148" t="s">
        <v>951</v>
      </c>
      <c r="B285" s="2147"/>
      <c r="C285" s="2147"/>
      <c r="D285" s="2147"/>
      <c r="E285" s="2147"/>
      <c r="F285" s="2147"/>
      <c r="G285" s="2147"/>
      <c r="H285" s="2147"/>
    </row>
    <row r="286" spans="1:8">
      <c r="A286" s="2148" t="s">
        <v>952</v>
      </c>
      <c r="B286" s="2147"/>
      <c r="C286" s="2147"/>
      <c r="D286" s="2147"/>
      <c r="E286" s="2147"/>
      <c r="F286" s="2147"/>
      <c r="G286" s="2147"/>
      <c r="H286" s="2147"/>
    </row>
    <row r="287" spans="1:8">
      <c r="A287" s="2148" t="s">
        <v>953</v>
      </c>
      <c r="B287" s="2147"/>
      <c r="C287" s="2147"/>
      <c r="D287" s="2147"/>
      <c r="E287" s="2147"/>
      <c r="F287" s="2147"/>
      <c r="G287" s="2147"/>
      <c r="H287" s="2147"/>
    </row>
    <row r="288" spans="1:8">
      <c r="A288" s="2148" t="s">
        <v>954</v>
      </c>
      <c r="B288" s="2147"/>
      <c r="C288" s="2147"/>
      <c r="D288" s="2147"/>
      <c r="E288" s="2147"/>
      <c r="F288" s="2147"/>
      <c r="G288" s="2147"/>
      <c r="H288" s="2147"/>
    </row>
    <row r="289" spans="1:8">
      <c r="A289" s="2148" t="s">
        <v>955</v>
      </c>
      <c r="B289" s="2147"/>
      <c r="C289" s="2147"/>
      <c r="D289" s="2147"/>
      <c r="E289" s="2147"/>
      <c r="F289" s="2147"/>
      <c r="G289" s="2147"/>
      <c r="H289" s="2147"/>
    </row>
    <row r="290" spans="1:8">
      <c r="A290" s="2147"/>
      <c r="B290" s="2147"/>
      <c r="C290" s="2147"/>
      <c r="D290" s="2147"/>
      <c r="E290" s="2147"/>
      <c r="F290" s="2147"/>
      <c r="G290" s="2147"/>
      <c r="H290" s="2147"/>
    </row>
    <row r="291" spans="1:8">
      <c r="A291" s="2148" t="s">
        <v>946</v>
      </c>
      <c r="B291" s="2147"/>
      <c r="C291" s="2147"/>
      <c r="D291" s="2147"/>
      <c r="E291" s="2147"/>
      <c r="F291" s="2147"/>
      <c r="G291" s="2147"/>
      <c r="H291" s="2147"/>
    </row>
    <row r="292" spans="1:8">
      <c r="A292" s="2148" t="s">
        <v>947</v>
      </c>
      <c r="B292" s="2147"/>
      <c r="C292" s="2147"/>
      <c r="D292" s="2147"/>
      <c r="E292" s="2147"/>
      <c r="F292" s="2147"/>
      <c r="G292" s="2147"/>
      <c r="H292" s="2147"/>
    </row>
    <row r="293" spans="1:8">
      <c r="A293" s="2148" t="s">
        <v>948</v>
      </c>
      <c r="B293" s="2147"/>
      <c r="C293" s="2147"/>
      <c r="D293" s="2147"/>
      <c r="E293" s="2147"/>
      <c r="F293" s="2147"/>
      <c r="G293" s="2147"/>
      <c r="H293" s="2147"/>
    </row>
    <row r="294" spans="1:8">
      <c r="A294" s="2147"/>
      <c r="B294" s="2147"/>
      <c r="C294" s="2147"/>
      <c r="D294" s="2147"/>
      <c r="E294" s="2147"/>
      <c r="F294" s="2147"/>
      <c r="G294" s="2147"/>
      <c r="H294" s="2147"/>
    </row>
    <row r="295" spans="1:8">
      <c r="A295" s="2148" t="s">
        <v>944</v>
      </c>
      <c r="B295" s="2147"/>
      <c r="C295" s="2147"/>
      <c r="D295" s="2147"/>
      <c r="E295" s="2147"/>
      <c r="F295" s="2147"/>
      <c r="G295" s="2147"/>
      <c r="H295" s="2147"/>
    </row>
    <row r="296" spans="1:8">
      <c r="A296" s="2148" t="s">
        <v>945</v>
      </c>
      <c r="B296" s="2147"/>
      <c r="C296" s="2147"/>
      <c r="D296" s="2147"/>
      <c r="E296" s="2147"/>
      <c r="F296" s="2147"/>
      <c r="G296" s="2147"/>
      <c r="H296" s="2147"/>
    </row>
    <row r="297" spans="1:8">
      <c r="A297" s="2147"/>
      <c r="B297" s="2147"/>
      <c r="C297" s="2147"/>
      <c r="D297" s="2147"/>
      <c r="E297" s="2147"/>
      <c r="F297" s="2147"/>
      <c r="G297" s="2147"/>
      <c r="H297" s="2147"/>
    </row>
    <row r="298" spans="1:8">
      <c r="A298" s="2148" t="s">
        <v>931</v>
      </c>
      <c r="B298" s="2147"/>
      <c r="C298" s="2147"/>
      <c r="D298" s="2147"/>
      <c r="E298" s="2147"/>
      <c r="F298" s="2147"/>
      <c r="G298" s="2147"/>
      <c r="H298" s="2147"/>
    </row>
    <row r="299" spans="1:8">
      <c r="A299" s="2148" t="s">
        <v>932</v>
      </c>
      <c r="B299" s="2147"/>
      <c r="C299" s="2147"/>
      <c r="D299" s="2147"/>
      <c r="E299" s="2147"/>
      <c r="F299" s="2147"/>
      <c r="G299" s="2147"/>
      <c r="H299" s="2147"/>
    </row>
    <row r="300" spans="1:8">
      <c r="A300" s="2148" t="s">
        <v>933</v>
      </c>
      <c r="B300" s="2147"/>
      <c r="C300" s="2147"/>
      <c r="D300" s="2147"/>
      <c r="E300" s="2147"/>
      <c r="F300" s="2147"/>
      <c r="G300" s="2147"/>
      <c r="H300" s="2147"/>
    </row>
    <row r="301" spans="1:8">
      <c r="A301" s="2148" t="s">
        <v>934</v>
      </c>
      <c r="B301" s="2147"/>
      <c r="C301" s="2147"/>
      <c r="D301" s="2147"/>
      <c r="E301" s="2147"/>
      <c r="F301" s="2147"/>
      <c r="G301" s="2147"/>
      <c r="H301" s="2147"/>
    </row>
    <row r="302" spans="1:8">
      <c r="A302" s="2148" t="s">
        <v>935</v>
      </c>
      <c r="B302" s="2147"/>
      <c r="C302" s="2147"/>
      <c r="D302" s="2147"/>
      <c r="E302" s="2147"/>
      <c r="F302" s="2147"/>
      <c r="G302" s="2147"/>
      <c r="H302" s="2147"/>
    </row>
    <row r="303" spans="1:8">
      <c r="A303" s="2148" t="s">
        <v>936</v>
      </c>
      <c r="B303" s="2147"/>
      <c r="C303" s="2147"/>
      <c r="D303" s="2147"/>
      <c r="E303" s="2147"/>
      <c r="F303" s="2147"/>
      <c r="G303" s="2147"/>
      <c r="H303" s="2147"/>
    </row>
    <row r="304" spans="1:8">
      <c r="A304" s="2148" t="s">
        <v>937</v>
      </c>
      <c r="B304" s="2147"/>
      <c r="C304" s="2147"/>
      <c r="D304" s="2147"/>
      <c r="E304" s="2147"/>
      <c r="F304" s="2147"/>
      <c r="G304" s="2147"/>
      <c r="H304" s="2147"/>
    </row>
    <row r="305" spans="1:8">
      <c r="A305" s="2148" t="s">
        <v>938</v>
      </c>
      <c r="B305" s="2147"/>
      <c r="C305" s="2147"/>
      <c r="D305" s="2147"/>
      <c r="E305" s="2147"/>
      <c r="F305" s="2147"/>
      <c r="G305" s="2147"/>
      <c r="H305" s="2147"/>
    </row>
    <row r="306" spans="1:8">
      <c r="A306" s="2148" t="s">
        <v>939</v>
      </c>
      <c r="B306" s="2147"/>
      <c r="C306" s="2147"/>
      <c r="D306" s="2147"/>
      <c r="E306" s="2147"/>
      <c r="F306" s="2147"/>
      <c r="G306" s="2147"/>
      <c r="H306" s="2147"/>
    </row>
    <row r="307" spans="1:8">
      <c r="A307" s="2148" t="s">
        <v>940</v>
      </c>
      <c r="B307" s="2147"/>
      <c r="C307" s="2147"/>
      <c r="D307" s="2147"/>
      <c r="E307" s="2147"/>
      <c r="F307" s="2147"/>
      <c r="G307" s="2147"/>
      <c r="H307" s="2147"/>
    </row>
    <row r="308" spans="1:8">
      <c r="A308" s="2148" t="s">
        <v>941</v>
      </c>
      <c r="B308" s="2147"/>
      <c r="C308" s="2147"/>
      <c r="D308" s="2147"/>
      <c r="E308" s="2147"/>
      <c r="F308" s="2147"/>
      <c r="G308" s="2147"/>
      <c r="H308" s="2147"/>
    </row>
    <row r="309" spans="1:8">
      <c r="A309" s="2148" t="s">
        <v>942</v>
      </c>
      <c r="B309" s="2147"/>
      <c r="C309" s="2147"/>
      <c r="D309" s="2147"/>
      <c r="E309" s="2147"/>
      <c r="F309" s="2147"/>
      <c r="G309" s="2147"/>
      <c r="H309" s="2147"/>
    </row>
    <row r="310" spans="1:8">
      <c r="A310" s="2148" t="s">
        <v>943</v>
      </c>
      <c r="B310" s="2147"/>
      <c r="C310" s="2147"/>
      <c r="D310" s="2147"/>
      <c r="E310" s="2147"/>
      <c r="F310" s="2147"/>
      <c r="G310" s="2147"/>
      <c r="H310" s="2147"/>
    </row>
    <row r="311" spans="1:8">
      <c r="A311" s="2147"/>
      <c r="B311" s="2147"/>
      <c r="C311" s="2147"/>
      <c r="D311" s="2147"/>
      <c r="E311" s="2147"/>
      <c r="F311" s="2147"/>
      <c r="G311" s="2147"/>
      <c r="H311" s="2147"/>
    </row>
    <row r="312" spans="1:8">
      <c r="A312" s="2148" t="s">
        <v>923</v>
      </c>
      <c r="B312" s="2147"/>
      <c r="C312" s="2147"/>
      <c r="D312" s="2147"/>
      <c r="E312" s="2147"/>
      <c r="F312" s="2147"/>
      <c r="G312" s="2147"/>
      <c r="H312" s="2147"/>
    </row>
    <row r="313" spans="1:8">
      <c r="A313" s="2148" t="s">
        <v>924</v>
      </c>
      <c r="B313" s="2147"/>
      <c r="C313" s="2147"/>
      <c r="D313" s="2147"/>
      <c r="E313" s="2147"/>
      <c r="F313" s="2147"/>
      <c r="G313" s="2147"/>
      <c r="H313" s="2147"/>
    </row>
    <row r="314" spans="1:8">
      <c r="A314" s="2148" t="s">
        <v>925</v>
      </c>
      <c r="B314" s="2147"/>
      <c r="C314" s="2147"/>
      <c r="D314" s="2147"/>
      <c r="E314" s="2147"/>
      <c r="F314" s="2147"/>
      <c r="G314" s="2147"/>
      <c r="H314" s="2147"/>
    </row>
    <row r="315" spans="1:8">
      <c r="A315" s="2148" t="s">
        <v>926</v>
      </c>
      <c r="B315" s="2147"/>
      <c r="C315" s="2147"/>
      <c r="D315" s="2147"/>
      <c r="E315" s="2147"/>
      <c r="F315" s="2147"/>
      <c r="G315" s="2147"/>
      <c r="H315" s="2147"/>
    </row>
    <row r="316" spans="1:8">
      <c r="A316" s="2148" t="s">
        <v>927</v>
      </c>
      <c r="B316" s="2147"/>
      <c r="C316" s="2147"/>
      <c r="D316" s="2147"/>
      <c r="E316" s="2147"/>
      <c r="F316" s="2147"/>
      <c r="G316" s="2147"/>
      <c r="H316" s="2147"/>
    </row>
    <row r="317" spans="1:8">
      <c r="A317" s="2148" t="s">
        <v>928</v>
      </c>
      <c r="B317" s="2147"/>
      <c r="C317" s="2147"/>
      <c r="D317" s="2147"/>
      <c r="E317" s="2147"/>
      <c r="F317" s="2147"/>
      <c r="G317" s="2147"/>
      <c r="H317" s="2147"/>
    </row>
    <row r="318" spans="1:8">
      <c r="A318" s="2148" t="s">
        <v>929</v>
      </c>
      <c r="B318" s="2147"/>
      <c r="C318" s="2147"/>
      <c r="D318" s="2147"/>
      <c r="E318" s="2147"/>
      <c r="F318" s="2147"/>
      <c r="G318" s="2147"/>
      <c r="H318" s="2147"/>
    </row>
    <row r="319" spans="1:8">
      <c r="A319" s="2148" t="s">
        <v>930</v>
      </c>
      <c r="B319" s="2147"/>
      <c r="C319" s="2147"/>
      <c r="D319" s="2147"/>
      <c r="E319" s="2147"/>
      <c r="F319" s="2147"/>
      <c r="G319" s="2147"/>
      <c r="H319" s="2147"/>
    </row>
    <row r="320" spans="1:8">
      <c r="A320" s="2147"/>
      <c r="B320" s="2147"/>
      <c r="C320" s="2147"/>
      <c r="D320" s="2147"/>
      <c r="E320" s="2147"/>
      <c r="F320" s="2147"/>
      <c r="G320" s="2147"/>
      <c r="H320" s="2147"/>
    </row>
    <row r="321" spans="1:8">
      <c r="A321" s="2148" t="s">
        <v>888</v>
      </c>
      <c r="B321" s="2147"/>
      <c r="C321" s="2147"/>
      <c r="D321" s="2147"/>
      <c r="E321" s="2147"/>
      <c r="F321" s="2147"/>
      <c r="G321" s="2147"/>
      <c r="H321" s="2147"/>
    </row>
    <row r="322" spans="1:8">
      <c r="A322" s="2148" t="s">
        <v>889</v>
      </c>
      <c r="B322" s="2147"/>
      <c r="C322" s="2147"/>
      <c r="D322" s="2147"/>
      <c r="E322" s="2147"/>
      <c r="F322" s="2147"/>
      <c r="G322" s="2147"/>
      <c r="H322" s="2147"/>
    </row>
    <row r="323" spans="1:8">
      <c r="A323" s="2148" t="s">
        <v>890</v>
      </c>
      <c r="B323" s="2147"/>
      <c r="C323" s="2147"/>
      <c r="D323" s="2147"/>
      <c r="E323" s="2147"/>
      <c r="F323" s="2147"/>
      <c r="G323" s="2147"/>
      <c r="H323" s="2147"/>
    </row>
    <row r="324" spans="1:8">
      <c r="A324" s="2148" t="s">
        <v>891</v>
      </c>
      <c r="B324" s="2147"/>
      <c r="C324" s="2147"/>
      <c r="D324" s="2147"/>
      <c r="E324" s="2147"/>
      <c r="F324" s="2147"/>
      <c r="G324" s="2147"/>
      <c r="H324" s="2147"/>
    </row>
    <row r="325" spans="1:8">
      <c r="A325" s="2148" t="s">
        <v>892</v>
      </c>
      <c r="B325" s="2147"/>
      <c r="C325" s="2147"/>
      <c r="D325" s="2147"/>
      <c r="E325" s="2147"/>
      <c r="F325" s="2147"/>
      <c r="G325" s="2147"/>
      <c r="H325" s="2147"/>
    </row>
    <row r="326" spans="1:8">
      <c r="A326" s="2148" t="s">
        <v>893</v>
      </c>
      <c r="B326" s="2147"/>
      <c r="C326" s="2147"/>
      <c r="D326" s="2147"/>
      <c r="E326" s="2147"/>
      <c r="F326" s="2147"/>
      <c r="G326" s="2147"/>
      <c r="H326" s="2147"/>
    </row>
    <row r="327" spans="1:8">
      <c r="A327" s="2148" t="s">
        <v>894</v>
      </c>
      <c r="B327" s="2147"/>
      <c r="C327" s="2147"/>
      <c r="D327" s="2147"/>
      <c r="E327" s="2147"/>
      <c r="F327" s="2147"/>
      <c r="G327" s="2147"/>
      <c r="H327" s="2147"/>
    </row>
    <row r="328" spans="1:8">
      <c r="A328" s="2148" t="s">
        <v>895</v>
      </c>
      <c r="B328" s="2147"/>
      <c r="C328" s="2147"/>
      <c r="D328" s="2147"/>
      <c r="E328" s="2147"/>
      <c r="F328" s="2147"/>
      <c r="G328" s="2147"/>
      <c r="H328" s="2147"/>
    </row>
    <row r="329" spans="1:8">
      <c r="A329" s="2148" t="s">
        <v>896</v>
      </c>
      <c r="B329" s="2147"/>
      <c r="C329" s="2147"/>
      <c r="D329" s="2147"/>
      <c r="E329" s="2147"/>
      <c r="F329" s="2147"/>
      <c r="G329" s="2147"/>
      <c r="H329" s="2147"/>
    </row>
    <row r="330" spans="1:8">
      <c r="A330" s="2148" t="s">
        <v>897</v>
      </c>
      <c r="B330" s="2147"/>
      <c r="C330" s="2147"/>
      <c r="D330" s="2147"/>
      <c r="E330" s="2147"/>
      <c r="F330" s="2147"/>
      <c r="G330" s="2147"/>
      <c r="H330" s="2147"/>
    </row>
    <row r="331" spans="1:8">
      <c r="A331" s="2148" t="s">
        <v>898</v>
      </c>
      <c r="B331" s="2147"/>
      <c r="C331" s="2147"/>
      <c r="D331" s="2147"/>
      <c r="E331" s="2147"/>
      <c r="F331" s="2147"/>
      <c r="G331" s="2147"/>
      <c r="H331" s="2147"/>
    </row>
    <row r="332" spans="1:8">
      <c r="A332" s="2148" t="s">
        <v>899</v>
      </c>
      <c r="B332" s="2147"/>
      <c r="C332" s="2147"/>
      <c r="D332" s="2147"/>
      <c r="E332" s="2147"/>
      <c r="F332" s="2147"/>
      <c r="G332" s="2147"/>
      <c r="H332" s="2147"/>
    </row>
    <row r="333" spans="1:8">
      <c r="A333" s="2148" t="s">
        <v>900</v>
      </c>
      <c r="B333" s="2147"/>
      <c r="C333" s="2147"/>
      <c r="D333" s="2147"/>
      <c r="E333" s="2147"/>
      <c r="F333" s="2147"/>
      <c r="G333" s="2147"/>
      <c r="H333" s="2147"/>
    </row>
    <row r="334" spans="1:8">
      <c r="A334" s="2148" t="s">
        <v>901</v>
      </c>
      <c r="B334" s="2147"/>
      <c r="C334" s="2147"/>
      <c r="D334" s="2147"/>
      <c r="E334" s="2147"/>
      <c r="F334" s="2147"/>
      <c r="G334" s="2147"/>
      <c r="H334" s="2147"/>
    </row>
    <row r="335" spans="1:8">
      <c r="A335" s="2148" t="s">
        <v>902</v>
      </c>
      <c r="B335" s="2147"/>
      <c r="C335" s="2147"/>
      <c r="D335" s="2147"/>
      <c r="E335" s="2147"/>
      <c r="F335" s="2147"/>
      <c r="G335" s="2147"/>
      <c r="H335" s="2147"/>
    </row>
    <row r="336" spans="1:8">
      <c r="A336" s="2148" t="s">
        <v>903</v>
      </c>
      <c r="B336" s="2147"/>
      <c r="C336" s="2147"/>
      <c r="D336" s="2147"/>
      <c r="E336" s="2147"/>
      <c r="F336" s="2147"/>
      <c r="G336" s="2147"/>
      <c r="H336" s="2147"/>
    </row>
    <row r="337" spans="1:8">
      <c r="A337" s="2148" t="s">
        <v>904</v>
      </c>
      <c r="B337" s="2147"/>
      <c r="C337" s="2147"/>
      <c r="D337" s="2147"/>
      <c r="E337" s="2147"/>
      <c r="F337" s="2147"/>
      <c r="G337" s="2147"/>
      <c r="H337" s="2147"/>
    </row>
    <row r="338" spans="1:8">
      <c r="A338" s="2148" t="s">
        <v>905</v>
      </c>
      <c r="B338" s="2147"/>
      <c r="C338" s="2147"/>
      <c r="D338" s="2147"/>
      <c r="E338" s="2147"/>
      <c r="F338" s="2147"/>
      <c r="G338" s="2147"/>
      <c r="H338" s="2147"/>
    </row>
    <row r="339" spans="1:8">
      <c r="A339" s="2148" t="s">
        <v>906</v>
      </c>
      <c r="B339" s="2147"/>
      <c r="C339" s="2147"/>
      <c r="D339" s="2147"/>
      <c r="E339" s="2147"/>
      <c r="F339" s="2147"/>
      <c r="G339" s="2147"/>
      <c r="H339" s="2147"/>
    </row>
    <row r="340" spans="1:8">
      <c r="A340" s="2148" t="s">
        <v>907</v>
      </c>
      <c r="B340" s="2147"/>
      <c r="C340" s="2147"/>
      <c r="D340" s="2147"/>
      <c r="E340" s="2147"/>
      <c r="F340" s="2147"/>
      <c r="G340" s="2147"/>
      <c r="H340" s="2147"/>
    </row>
    <row r="341" spans="1:8">
      <c r="A341" s="2148" t="s">
        <v>908</v>
      </c>
      <c r="B341" s="2147"/>
      <c r="C341" s="2147"/>
      <c r="D341" s="2147"/>
      <c r="E341" s="2147"/>
      <c r="F341" s="2147"/>
      <c r="G341" s="2147"/>
      <c r="H341" s="2147"/>
    </row>
    <row r="342" spans="1:8">
      <c r="A342" s="2148" t="s">
        <v>909</v>
      </c>
      <c r="B342" s="2147"/>
      <c r="C342" s="2147"/>
      <c r="D342" s="2147"/>
      <c r="E342" s="2147"/>
      <c r="F342" s="2147"/>
      <c r="G342" s="2147"/>
      <c r="H342" s="2147"/>
    </row>
    <row r="343" spans="1:8">
      <c r="A343" s="2148" t="s">
        <v>910</v>
      </c>
      <c r="B343" s="2147"/>
      <c r="C343" s="2147"/>
      <c r="D343" s="2147"/>
      <c r="E343" s="2147"/>
      <c r="F343" s="2147"/>
      <c r="G343" s="2147"/>
      <c r="H343" s="2147"/>
    </row>
    <row r="344" spans="1:8">
      <c r="A344" s="2148" t="s">
        <v>911</v>
      </c>
      <c r="B344" s="2147"/>
      <c r="C344" s="2147"/>
      <c r="D344" s="2147"/>
      <c r="E344" s="2147"/>
      <c r="F344" s="2147"/>
      <c r="G344" s="2147"/>
      <c r="H344" s="2147"/>
    </row>
    <row r="345" spans="1:8">
      <c r="A345" s="2148" t="s">
        <v>912</v>
      </c>
      <c r="B345" s="2147"/>
      <c r="C345" s="2147"/>
      <c r="D345" s="2147"/>
      <c r="E345" s="2147"/>
      <c r="F345" s="2147"/>
      <c r="G345" s="2147"/>
      <c r="H345" s="2147"/>
    </row>
    <row r="346" spans="1:8">
      <c r="A346" s="2148" t="s">
        <v>913</v>
      </c>
      <c r="B346" s="2147"/>
      <c r="C346" s="2147"/>
      <c r="D346" s="2147"/>
      <c r="E346" s="2147"/>
      <c r="F346" s="2147"/>
      <c r="G346" s="2147"/>
      <c r="H346" s="2147"/>
    </row>
    <row r="347" spans="1:8">
      <c r="A347" s="2148" t="s">
        <v>914</v>
      </c>
      <c r="B347" s="2147"/>
      <c r="C347" s="2147"/>
      <c r="D347" s="2147"/>
      <c r="E347" s="2147"/>
      <c r="F347" s="2147"/>
      <c r="G347" s="2147"/>
      <c r="H347" s="2147"/>
    </row>
    <row r="348" spans="1:8">
      <c r="A348" s="2148" t="s">
        <v>915</v>
      </c>
      <c r="B348" s="2147"/>
      <c r="C348" s="2147"/>
      <c r="D348" s="2147"/>
      <c r="E348" s="2147"/>
      <c r="F348" s="2147"/>
      <c r="G348" s="2147"/>
      <c r="H348" s="2147"/>
    </row>
    <row r="349" spans="1:8">
      <c r="A349" s="2148" t="s">
        <v>916</v>
      </c>
      <c r="B349" s="2147"/>
      <c r="C349" s="2147"/>
      <c r="D349" s="2147"/>
      <c r="E349" s="2147"/>
      <c r="F349" s="2147"/>
      <c r="G349" s="2147"/>
      <c r="H349" s="2147"/>
    </row>
    <row r="350" spans="1:8">
      <c r="A350" s="2148" t="s">
        <v>917</v>
      </c>
      <c r="B350" s="2147"/>
      <c r="C350" s="2147"/>
      <c r="D350" s="2147"/>
      <c r="E350" s="2147"/>
      <c r="F350" s="2147"/>
      <c r="G350" s="2147"/>
      <c r="H350" s="2147"/>
    </row>
    <row r="351" spans="1:8">
      <c r="A351" s="2148" t="s">
        <v>918</v>
      </c>
      <c r="B351" s="2147"/>
      <c r="C351" s="2147"/>
      <c r="D351" s="2147"/>
      <c r="E351" s="2147"/>
      <c r="F351" s="2147"/>
      <c r="G351" s="2147"/>
      <c r="H351" s="2147"/>
    </row>
    <row r="352" spans="1:8">
      <c r="A352" s="2148" t="s">
        <v>919</v>
      </c>
      <c r="B352" s="2147"/>
      <c r="C352" s="2147"/>
      <c r="D352" s="2147"/>
      <c r="E352" s="2147"/>
      <c r="F352" s="2147"/>
      <c r="G352" s="2147"/>
      <c r="H352" s="2147"/>
    </row>
    <row r="353" spans="1:8">
      <c r="A353" s="2148" t="s">
        <v>920</v>
      </c>
      <c r="B353" s="2147"/>
      <c r="C353" s="2147"/>
      <c r="D353" s="2147"/>
      <c r="E353" s="2147"/>
      <c r="F353" s="2147"/>
      <c r="G353" s="2147"/>
      <c r="H353" s="2147"/>
    </row>
    <row r="354" spans="1:8">
      <c r="A354" s="2148" t="s">
        <v>921</v>
      </c>
      <c r="B354" s="2147"/>
      <c r="C354" s="2147"/>
      <c r="D354" s="2147"/>
      <c r="E354" s="2147"/>
      <c r="F354" s="2147"/>
      <c r="G354" s="2147"/>
      <c r="H354" s="2147"/>
    </row>
    <row r="355" spans="1:8">
      <c r="A355" s="2148" t="s">
        <v>922</v>
      </c>
      <c r="B355" s="2147"/>
      <c r="C355" s="2147"/>
      <c r="D355" s="2147"/>
      <c r="E355" s="2147"/>
      <c r="F355" s="2147"/>
      <c r="G355" s="2147"/>
      <c r="H355" s="2147"/>
    </row>
    <row r="356" spans="1:8">
      <c r="A356" s="2147"/>
      <c r="B356" s="2147"/>
      <c r="C356" s="2147"/>
      <c r="D356" s="2147"/>
      <c r="E356" s="2147"/>
      <c r="F356" s="2147"/>
      <c r="G356" s="2147"/>
      <c r="H356" s="2147"/>
    </row>
    <row r="357" spans="1:8">
      <c r="A357" s="2148" t="s">
        <v>880</v>
      </c>
      <c r="B357" s="2147"/>
      <c r="C357" s="2147"/>
      <c r="D357" s="2147"/>
      <c r="E357" s="2147"/>
      <c r="F357" s="2147"/>
      <c r="G357" s="2147"/>
      <c r="H357" s="2147"/>
    </row>
    <row r="358" spans="1:8">
      <c r="A358" s="2148" t="s">
        <v>884</v>
      </c>
      <c r="B358" s="2147"/>
      <c r="C358" s="2147"/>
      <c r="D358" s="2147"/>
      <c r="E358" s="2147"/>
      <c r="F358" s="2147"/>
      <c r="G358" s="2147"/>
      <c r="H358" s="2147"/>
    </row>
    <row r="359" spans="1:8">
      <c r="A359" s="2148" t="s">
        <v>885</v>
      </c>
      <c r="B359" s="2147"/>
      <c r="C359" s="2147"/>
      <c r="D359" s="2147"/>
      <c r="E359" s="2147"/>
      <c r="F359" s="2147"/>
      <c r="G359" s="2147"/>
      <c r="H359" s="2147"/>
    </row>
    <row r="360" spans="1:8">
      <c r="A360" s="2148" t="s">
        <v>886</v>
      </c>
      <c r="B360" s="2147"/>
      <c r="C360" s="2147"/>
      <c r="D360" s="2147"/>
      <c r="E360" s="2147"/>
      <c r="F360" s="2147"/>
      <c r="G360" s="2147"/>
      <c r="H360" s="2147"/>
    </row>
    <row r="361" spans="1:8">
      <c r="A361" s="2148" t="s">
        <v>887</v>
      </c>
      <c r="B361" s="2147"/>
      <c r="C361" s="2147"/>
      <c r="D361" s="2147"/>
      <c r="E361" s="2147"/>
      <c r="F361" s="2147"/>
      <c r="G361" s="2147"/>
      <c r="H361" s="2147"/>
    </row>
    <row r="362" spans="1:8">
      <c r="A362" s="2147"/>
      <c r="B362" s="2147"/>
      <c r="C362" s="2147"/>
      <c r="D362" s="2147"/>
      <c r="E362" s="2147"/>
      <c r="F362" s="2147"/>
      <c r="G362" s="2147"/>
      <c r="H362" s="2147"/>
    </row>
    <row r="363" spans="1:8">
      <c r="A363" s="2148" t="s">
        <v>880</v>
      </c>
      <c r="B363" s="2147"/>
      <c r="C363" s="2147"/>
      <c r="D363" s="2147"/>
      <c r="E363" s="2147"/>
      <c r="F363" s="2147"/>
      <c r="G363" s="2147"/>
      <c r="H363" s="2147"/>
    </row>
    <row r="364" spans="1:8">
      <c r="A364" s="2148" t="s">
        <v>881</v>
      </c>
      <c r="B364" s="2147"/>
      <c r="C364" s="2147"/>
      <c r="D364" s="2147"/>
      <c r="E364" s="2147"/>
      <c r="F364" s="2147"/>
      <c r="G364" s="2147"/>
      <c r="H364" s="2147"/>
    </row>
    <row r="365" spans="1:8">
      <c r="A365" s="2148" t="s">
        <v>882</v>
      </c>
      <c r="B365" s="2147"/>
      <c r="C365" s="2147"/>
      <c r="D365" s="2147"/>
      <c r="E365" s="2147"/>
      <c r="F365" s="2147"/>
      <c r="G365" s="2147"/>
      <c r="H365" s="2147"/>
    </row>
    <row r="366" spans="1:8">
      <c r="A366" s="2148" t="s">
        <v>883</v>
      </c>
      <c r="B366" s="2147"/>
      <c r="C366" s="2147"/>
      <c r="D366" s="2147"/>
      <c r="E366" s="2147"/>
      <c r="F366" s="2147"/>
      <c r="G366" s="2147"/>
      <c r="H366" s="2147"/>
    </row>
    <row r="367" spans="1:8">
      <c r="A367" s="2147"/>
      <c r="B367" s="2147"/>
      <c r="C367" s="2147"/>
      <c r="D367" s="2147"/>
      <c r="E367" s="2147"/>
      <c r="F367" s="2147"/>
      <c r="G367" s="2147"/>
      <c r="H367" s="2147"/>
    </row>
    <row r="368" spans="1:8">
      <c r="A368" s="2148" t="s">
        <v>874</v>
      </c>
      <c r="B368" s="2147"/>
      <c r="C368" s="2147"/>
      <c r="D368" s="2147"/>
      <c r="E368" s="2147"/>
      <c r="F368" s="2147"/>
      <c r="G368" s="2147"/>
      <c r="H368" s="2147"/>
    </row>
    <row r="369" spans="1:8">
      <c r="A369" s="2148" t="s">
        <v>875</v>
      </c>
      <c r="B369" s="2147"/>
      <c r="C369" s="2147"/>
      <c r="D369" s="2147"/>
      <c r="E369" s="2147"/>
      <c r="F369" s="2147"/>
      <c r="G369" s="2147"/>
      <c r="H369" s="2147"/>
    </row>
    <row r="370" spans="1:8">
      <c r="A370" s="2148" t="s">
        <v>876</v>
      </c>
      <c r="B370" s="2147"/>
      <c r="C370" s="2147"/>
      <c r="D370" s="2147"/>
      <c r="E370" s="2147"/>
      <c r="F370" s="2147"/>
      <c r="G370" s="2147"/>
      <c r="H370" s="2147"/>
    </row>
    <row r="371" spans="1:8">
      <c r="A371" s="2148" t="s">
        <v>877</v>
      </c>
      <c r="B371" s="2147"/>
      <c r="C371" s="2147"/>
      <c r="D371" s="2147"/>
      <c r="E371" s="2147"/>
      <c r="F371" s="2147"/>
      <c r="G371" s="2147"/>
      <c r="H371" s="2147"/>
    </row>
    <row r="372" spans="1:8">
      <c r="A372" s="2148" t="s">
        <v>878</v>
      </c>
      <c r="B372" s="2147"/>
      <c r="C372" s="2147"/>
      <c r="D372" s="2147"/>
      <c r="E372" s="2147"/>
      <c r="F372" s="2147"/>
      <c r="G372" s="2147"/>
      <c r="H372" s="2147"/>
    </row>
    <row r="373" spans="1:8">
      <c r="A373" s="2148" t="s">
        <v>879</v>
      </c>
      <c r="B373" s="2147"/>
      <c r="C373" s="2147"/>
      <c r="D373" s="2147"/>
      <c r="E373" s="2147"/>
      <c r="F373" s="2147"/>
      <c r="G373" s="2147"/>
      <c r="H373" s="2147"/>
    </row>
    <row r="374" spans="1:8">
      <c r="A374" s="2147"/>
      <c r="B374" s="2147"/>
      <c r="C374" s="2147"/>
      <c r="D374" s="2147"/>
      <c r="E374" s="2147"/>
      <c r="F374" s="2147"/>
      <c r="G374" s="2147"/>
      <c r="H374" s="2147"/>
    </row>
    <row r="375" spans="1:8">
      <c r="A375" s="2148" t="s">
        <v>869</v>
      </c>
      <c r="B375" s="2147"/>
      <c r="C375" s="2147"/>
      <c r="D375" s="2147"/>
      <c r="E375" s="2147"/>
      <c r="F375" s="2147"/>
      <c r="G375" s="2147"/>
      <c r="H375" s="2147"/>
    </row>
    <row r="376" spans="1:8">
      <c r="A376" s="2148" t="s">
        <v>870</v>
      </c>
      <c r="B376" s="2147"/>
      <c r="C376" s="2147"/>
      <c r="D376" s="2147"/>
      <c r="E376" s="2147"/>
      <c r="F376" s="2147"/>
      <c r="G376" s="2147"/>
      <c r="H376" s="2147"/>
    </row>
    <row r="377" spans="1:8">
      <c r="A377" s="2148" t="s">
        <v>871</v>
      </c>
      <c r="B377" s="2147"/>
      <c r="C377" s="2147"/>
      <c r="D377" s="2147"/>
      <c r="E377" s="2147"/>
      <c r="F377" s="2147"/>
      <c r="G377" s="2147"/>
      <c r="H377" s="2147"/>
    </row>
    <row r="378" spans="1:8">
      <c r="A378" s="2148" t="s">
        <v>872</v>
      </c>
      <c r="B378" s="2147"/>
      <c r="C378" s="2147"/>
      <c r="D378" s="2147"/>
      <c r="E378" s="2147"/>
      <c r="F378" s="2147"/>
      <c r="G378" s="2147"/>
      <c r="H378" s="2147"/>
    </row>
    <row r="379" spans="1:8">
      <c r="A379" s="2148" t="s">
        <v>873</v>
      </c>
      <c r="B379" s="2147"/>
      <c r="C379" s="2147"/>
      <c r="D379" s="2147"/>
      <c r="E379" s="2147"/>
      <c r="F379" s="2147"/>
      <c r="G379" s="2147"/>
      <c r="H379" s="2147"/>
    </row>
    <row r="380" spans="1:8">
      <c r="A380" s="2147"/>
      <c r="B380" s="2147"/>
      <c r="C380" s="2147"/>
      <c r="D380" s="2147"/>
      <c r="E380" s="2147"/>
      <c r="F380" s="2147"/>
      <c r="G380" s="2147"/>
      <c r="H380" s="2147"/>
    </row>
    <row r="381" spans="1:8">
      <c r="A381" s="2148" t="s">
        <v>867</v>
      </c>
      <c r="B381" s="2147"/>
      <c r="C381" s="2147"/>
      <c r="D381" s="2147"/>
      <c r="E381" s="2147"/>
      <c r="F381" s="2147"/>
      <c r="G381" s="2147"/>
      <c r="H381" s="2147"/>
    </row>
    <row r="382" spans="1:8">
      <c r="A382" s="2148" t="s">
        <v>868</v>
      </c>
      <c r="B382" s="2147"/>
      <c r="C382" s="2147"/>
      <c r="D382" s="2147"/>
      <c r="E382" s="2147"/>
      <c r="F382" s="2147"/>
      <c r="G382" s="2147"/>
      <c r="H382" s="2147"/>
    </row>
    <row r="384" spans="1:8">
      <c r="A384" s="2143" t="s">
        <v>1118</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AG205"/>
  <sheetViews>
    <sheetView zoomScaleNormal="100" workbookViewId="0"/>
  </sheetViews>
  <sheetFormatPr defaultRowHeight="12.75" outlineLevelRow="2" outlineLevelCol="1"/>
  <cols>
    <col min="1" max="1" width="20" customWidth="1"/>
    <col min="2" max="2" width="1" customWidth="1"/>
    <col min="3" max="10" width="0" hidden="1" customWidth="1" outlineLevel="1"/>
    <col min="11" max="11" width="9.140625" collapsed="1"/>
    <col min="14" max="14" width="9" bestFit="1" customWidth="1"/>
    <col min="19" max="20" width="9.140625" style="1039"/>
    <col min="21" max="21" width="9.140625" style="69"/>
  </cols>
  <sheetData>
    <row r="1" spans="1:26">
      <c r="V1" s="10"/>
      <c r="W1" s="10"/>
      <c r="X1" s="10"/>
      <c r="Y1" s="10"/>
      <c r="Z1" s="10"/>
    </row>
    <row r="2" spans="1:26">
      <c r="V2" s="11" t="s">
        <v>144</v>
      </c>
      <c r="W2" s="23" t="s">
        <v>145</v>
      </c>
      <c r="X2" s="10"/>
      <c r="Y2" s="10"/>
      <c r="Z2" s="10"/>
    </row>
    <row r="3" spans="1:26">
      <c r="A3" s="75" t="s">
        <v>154</v>
      </c>
      <c r="B3" s="76"/>
      <c r="C3" s="402">
        <v>2004</v>
      </c>
      <c r="D3" s="402">
        <f>C3+1</f>
        <v>2005</v>
      </c>
      <c r="E3" s="402">
        <f t="shared" ref="E3:L3" si="0">D3+1</f>
        <v>2006</v>
      </c>
      <c r="F3" s="402">
        <f t="shared" si="0"/>
        <v>2007</v>
      </c>
      <c r="G3" s="402">
        <f t="shared" si="0"/>
        <v>2008</v>
      </c>
      <c r="H3" s="402">
        <f t="shared" si="0"/>
        <v>2009</v>
      </c>
      <c r="I3" s="402">
        <f t="shared" si="0"/>
        <v>2010</v>
      </c>
      <c r="J3" s="402">
        <f t="shared" si="0"/>
        <v>2011</v>
      </c>
      <c r="K3" s="402">
        <f t="shared" si="0"/>
        <v>2012</v>
      </c>
      <c r="L3" s="402">
        <f t="shared" si="0"/>
        <v>2013</v>
      </c>
      <c r="M3" s="402">
        <f t="shared" ref="M3:R3" si="1">L3+1</f>
        <v>2014</v>
      </c>
      <c r="N3" s="402">
        <f t="shared" ref="N3" si="2">M3+1</f>
        <v>2015</v>
      </c>
      <c r="O3" s="402">
        <f t="shared" ref="O3" si="3">N3+1</f>
        <v>2016</v>
      </c>
      <c r="P3" s="402">
        <f t="shared" ref="P3" si="4">O3+1</f>
        <v>2017</v>
      </c>
      <c r="Q3" s="404">
        <f t="shared" si="1"/>
        <v>2018</v>
      </c>
      <c r="R3" s="404">
        <f t="shared" si="1"/>
        <v>2019</v>
      </c>
      <c r="S3" s="404">
        <f t="shared" ref="S3" si="5">R3+1</f>
        <v>2020</v>
      </c>
      <c r="T3" s="404">
        <f t="shared" ref="T3:U3" si="6">S3+1</f>
        <v>2021</v>
      </c>
      <c r="U3" s="2098">
        <f t="shared" si="6"/>
        <v>2022</v>
      </c>
      <c r="V3" s="61">
        <v>40.42</v>
      </c>
      <c r="W3" s="113"/>
      <c r="X3" s="10"/>
      <c r="Y3" s="10"/>
      <c r="Z3" s="10"/>
    </row>
    <row r="4" spans="1:26">
      <c r="A4" s="14" t="s">
        <v>4</v>
      </c>
      <c r="B4" s="76"/>
      <c r="C4" s="20" t="s">
        <v>514</v>
      </c>
      <c r="D4" s="20" t="s">
        <v>514</v>
      </c>
      <c r="E4" s="20" t="s">
        <v>514</v>
      </c>
      <c r="F4" s="20" t="s">
        <v>514</v>
      </c>
      <c r="G4" s="20" t="s">
        <v>514</v>
      </c>
      <c r="H4" s="20" t="s">
        <v>514</v>
      </c>
      <c r="I4" s="20" t="s">
        <v>514</v>
      </c>
      <c r="J4" s="20" t="s">
        <v>514</v>
      </c>
      <c r="K4" s="20" t="s">
        <v>514</v>
      </c>
      <c r="L4" s="20" t="s">
        <v>514</v>
      </c>
      <c r="M4" s="20" t="s">
        <v>514</v>
      </c>
      <c r="N4" s="20" t="s">
        <v>514</v>
      </c>
      <c r="O4" s="20" t="s">
        <v>514</v>
      </c>
      <c r="P4" s="20" t="s">
        <v>514</v>
      </c>
      <c r="Q4" s="20" t="s">
        <v>514</v>
      </c>
      <c r="R4" s="20" t="s">
        <v>514</v>
      </c>
      <c r="S4" s="20" t="s">
        <v>514</v>
      </c>
      <c r="T4" s="20" t="s">
        <v>514</v>
      </c>
      <c r="U4" s="2099" t="s">
        <v>514</v>
      </c>
      <c r="V4" s="10"/>
      <c r="W4" s="10"/>
      <c r="X4" s="10"/>
      <c r="Y4" s="10"/>
      <c r="Z4" s="10"/>
    </row>
    <row r="5" spans="1:26">
      <c r="A5" s="76"/>
      <c r="B5" s="76"/>
      <c r="C5" s="77"/>
      <c r="D5" s="77"/>
      <c r="E5" s="77"/>
      <c r="F5" s="77"/>
      <c r="G5" s="77"/>
      <c r="H5" s="77"/>
      <c r="I5" s="77"/>
      <c r="J5" s="77"/>
      <c r="K5" s="77"/>
      <c r="L5" s="77"/>
      <c r="M5" s="77"/>
      <c r="N5" s="77"/>
      <c r="O5" s="77"/>
      <c r="P5" s="77"/>
      <c r="Q5" s="77"/>
      <c r="R5" s="77"/>
      <c r="S5" s="77"/>
      <c r="T5" s="77"/>
      <c r="U5" s="2100"/>
      <c r="V5" s="10"/>
      <c r="W5" s="10"/>
      <c r="X5" s="10"/>
      <c r="Y5" s="10"/>
      <c r="Z5" s="10"/>
    </row>
    <row r="6" spans="1:26">
      <c r="A6" s="78" t="s">
        <v>653</v>
      </c>
      <c r="B6" s="78"/>
      <c r="C6" s="79">
        <f>'yrP&amp;L'!P7</f>
        <v>16267.401000000002</v>
      </c>
      <c r="D6" s="79">
        <f>'yrP&amp;L'!Q7</f>
        <v>16023.38</v>
      </c>
      <c r="E6" s="79">
        <f>'yrP&amp;L'!R7</f>
        <v>15923</v>
      </c>
      <c r="F6" s="79">
        <f>'yrP&amp;L'!S7</f>
        <v>15763</v>
      </c>
      <c r="G6" s="79">
        <f>'yrP&amp;L'!T7</f>
        <v>14526</v>
      </c>
      <c r="H6" s="79">
        <f>'yrP&amp;L'!U7</f>
        <v>14197</v>
      </c>
      <c r="I6" s="79">
        <f>'yrP&amp;L'!V7</f>
        <v>14664</v>
      </c>
      <c r="J6" s="79">
        <f>'yrP&amp;L'!W7</f>
        <v>14549</v>
      </c>
      <c r="K6" s="79">
        <f>'yrP&amp;L'!X7</f>
        <v>15651</v>
      </c>
      <c r="L6" s="79">
        <f>'yrP&amp;L'!Y7</f>
        <v>16148</v>
      </c>
      <c r="M6" s="79">
        <f>'yrP&amp;L'!Z7</f>
        <v>16435</v>
      </c>
      <c r="N6" s="79">
        <f>'yrP&amp;L'!AA7</f>
        <v>15797</v>
      </c>
      <c r="O6" s="79">
        <f>'yrP&amp;L'!AB7</f>
        <v>15516</v>
      </c>
      <c r="P6" s="79">
        <f>'yrP&amp;L'!AC7</f>
        <v>15855</v>
      </c>
      <c r="Q6" s="79">
        <f>'yrP&amp;L'!AD7</f>
        <v>16007.374239900169</v>
      </c>
      <c r="R6" s="79">
        <f>'yrP&amp;L'!AE7</f>
        <v>15929.412165188094</v>
      </c>
      <c r="S6" s="79">
        <f>'yrP&amp;L'!AF7</f>
        <v>15853.165473056992</v>
      </c>
      <c r="T6" s="79">
        <f>'yrP&amp;L'!AG7</f>
        <v>15789.040595885397</v>
      </c>
      <c r="U6" s="2101">
        <f>'yrP&amp;L'!AH7</f>
        <v>15718.713972636162</v>
      </c>
      <c r="V6" s="10"/>
      <c r="W6" s="10"/>
      <c r="X6" s="10"/>
      <c r="Y6" s="10"/>
      <c r="Z6" s="10"/>
    </row>
    <row r="7" spans="1:26" hidden="1" outlineLevel="1">
      <c r="A7" s="78"/>
      <c r="B7" s="78"/>
      <c r="C7" s="80"/>
      <c r="D7" s="80"/>
      <c r="E7" s="80"/>
      <c r="F7" s="80"/>
      <c r="G7" s="80"/>
      <c r="H7" s="80"/>
      <c r="I7" s="80"/>
      <c r="J7" s="80"/>
      <c r="K7" s="80"/>
      <c r="L7" s="80"/>
      <c r="M7" s="80"/>
      <c r="N7" s="80"/>
      <c r="O7" s="80"/>
      <c r="P7" s="80"/>
      <c r="Q7" s="80"/>
      <c r="R7" s="80"/>
      <c r="S7" s="80"/>
      <c r="T7" s="80"/>
      <c r="U7" s="2102"/>
      <c r="V7" s="10"/>
      <c r="W7" s="10"/>
      <c r="X7" s="10"/>
      <c r="Y7" s="10"/>
      <c r="Z7" s="10"/>
    </row>
    <row r="8" spans="1:26" hidden="1" outlineLevel="1">
      <c r="A8" s="78" t="s">
        <v>5</v>
      </c>
      <c r="B8" s="78"/>
      <c r="C8" s="79">
        <f>'yrP&amp;L'!P10</f>
        <v>9886.3539999999994</v>
      </c>
      <c r="D8" s="79">
        <f>'yrP&amp;L'!Q10</f>
        <v>10153.833999999999</v>
      </c>
      <c r="E8" s="79">
        <f>'yrP&amp;L'!R10</f>
        <v>10266</v>
      </c>
      <c r="F8" s="79">
        <f>'yrP&amp;L'!S10</f>
        <v>10071</v>
      </c>
      <c r="G8" s="79">
        <f>'yrP&amp;L'!T10</f>
        <v>9079</v>
      </c>
      <c r="H8" s="79">
        <f>'yrP&amp;L'!U10</f>
        <v>8473</v>
      </c>
      <c r="I8" s="79">
        <f>'yrP&amp;L'!V10</f>
        <v>8775</v>
      </c>
      <c r="J8" s="79">
        <f>'yrP&amp;L'!W10</f>
        <v>9275</v>
      </c>
      <c r="K8" s="79">
        <f>'yrP&amp;L'!X10</f>
        <v>9480</v>
      </c>
      <c r="L8" s="79">
        <f>'yrP&amp;L'!Y10</f>
        <v>9855</v>
      </c>
      <c r="M8" s="79">
        <f>'yrP&amp;L'!Z10</f>
        <v>10146</v>
      </c>
      <c r="N8" s="79">
        <f>'yrP&amp;L'!AA10</f>
        <v>10044</v>
      </c>
      <c r="O8" s="79">
        <f>'yrP&amp;L'!AB10</f>
        <v>9868</v>
      </c>
      <c r="P8" s="79">
        <f>'yrP&amp;L'!AC10</f>
        <v>9789</v>
      </c>
      <c r="Q8" s="79">
        <f>'yrP&amp;L'!AD10</f>
        <v>9942.8848606534903</v>
      </c>
      <c r="R8" s="79">
        <f>'yrP&amp;L'!AE10</f>
        <v>9939.061537853433</v>
      </c>
      <c r="S8" s="79">
        <f>'yrP&amp;L'!AF10</f>
        <v>9923.1942008392871</v>
      </c>
      <c r="T8" s="79">
        <f>'yrP&amp;L'!AG10</f>
        <v>9914.633698329264</v>
      </c>
      <c r="U8" s="2101">
        <f>'yrP&amp;L'!AH10</f>
        <v>9901.9099434260806</v>
      </c>
      <c r="V8" s="10"/>
      <c r="W8" s="10"/>
      <c r="X8" s="10"/>
      <c r="Y8" s="10"/>
      <c r="Z8" s="10"/>
    </row>
    <row r="9" spans="1:26" hidden="1" outlineLevel="1">
      <c r="A9" s="78"/>
      <c r="B9" s="78"/>
      <c r="C9" s="80"/>
      <c r="D9" s="80"/>
      <c r="E9" s="80"/>
      <c r="F9" s="80"/>
      <c r="G9" s="80"/>
      <c r="H9" s="80"/>
      <c r="I9" s="80"/>
      <c r="J9" s="80"/>
      <c r="K9" s="80"/>
      <c r="L9" s="80"/>
      <c r="M9" s="80"/>
      <c r="N9" s="80"/>
      <c r="O9" s="80"/>
      <c r="P9" s="80"/>
      <c r="Q9" s="80"/>
      <c r="R9" s="80"/>
      <c r="S9" s="80"/>
      <c r="T9" s="80"/>
      <c r="U9" s="2102"/>
      <c r="V9" s="10"/>
      <c r="W9" s="10"/>
      <c r="X9" s="10"/>
      <c r="Y9" s="10"/>
      <c r="Z9" s="10"/>
    </row>
    <row r="10" spans="1:26" collapsed="1">
      <c r="A10" s="78" t="s">
        <v>6</v>
      </c>
      <c r="B10" s="78"/>
      <c r="C10" s="79">
        <f t="shared" ref="C10:O10" si="7">C6-C8</f>
        <v>6381.0470000000023</v>
      </c>
      <c r="D10" s="79">
        <f t="shared" si="7"/>
        <v>5869.5460000000003</v>
      </c>
      <c r="E10" s="79">
        <f t="shared" si="7"/>
        <v>5657</v>
      </c>
      <c r="F10" s="79">
        <f t="shared" si="7"/>
        <v>5692</v>
      </c>
      <c r="G10" s="79">
        <f t="shared" si="7"/>
        <v>5447</v>
      </c>
      <c r="H10" s="79">
        <f t="shared" si="7"/>
        <v>5724</v>
      </c>
      <c r="I10" s="79">
        <f t="shared" si="7"/>
        <v>5889</v>
      </c>
      <c r="J10" s="79">
        <f t="shared" si="7"/>
        <v>5274</v>
      </c>
      <c r="K10" s="79">
        <f t="shared" si="7"/>
        <v>6171</v>
      </c>
      <c r="L10" s="79">
        <f t="shared" si="7"/>
        <v>6293</v>
      </c>
      <c r="M10" s="79">
        <f>M6-M8</f>
        <v>6289</v>
      </c>
      <c r="N10" s="79">
        <f t="shared" si="7"/>
        <v>5753</v>
      </c>
      <c r="O10" s="79">
        <f t="shared" si="7"/>
        <v>5648</v>
      </c>
      <c r="P10" s="79">
        <f>P6-P8</f>
        <v>6066</v>
      </c>
      <c r="Q10" s="79">
        <f>Q6-Q8</f>
        <v>6064.4893792466792</v>
      </c>
      <c r="R10" s="79">
        <f>R6-R8</f>
        <v>5990.3506273346611</v>
      </c>
      <c r="S10" s="79">
        <f t="shared" ref="S10:T10" si="8">S6-S8</f>
        <v>5929.9712722177046</v>
      </c>
      <c r="T10" s="79">
        <f t="shared" si="8"/>
        <v>5874.4068975561331</v>
      </c>
      <c r="U10" s="2101">
        <f t="shared" ref="U10" si="9">U6-U8</f>
        <v>5816.8040292100814</v>
      </c>
      <c r="V10" s="10"/>
      <c r="W10" s="10"/>
      <c r="X10" s="10"/>
      <c r="Y10" s="10"/>
      <c r="Z10" s="10"/>
    </row>
    <row r="11" spans="1:26">
      <c r="A11" s="78" t="s">
        <v>7</v>
      </c>
      <c r="B11" s="78"/>
      <c r="C11" s="81">
        <f>'yrP&amp;L'!P21</f>
        <v>4401</v>
      </c>
      <c r="D11" s="81">
        <f>'yrP&amp;L'!Q21</f>
        <v>4125.277</v>
      </c>
      <c r="E11" s="81">
        <f>'yrP&amp;L'!R21</f>
        <v>4432</v>
      </c>
      <c r="F11" s="81">
        <f>'yrP&amp;L'!S21</f>
        <v>4348</v>
      </c>
      <c r="G11" s="81">
        <f>'yrP&amp;L'!T21</f>
        <v>3899</v>
      </c>
      <c r="H11" s="81">
        <f>'yrP&amp;L'!U21</f>
        <v>3909</v>
      </c>
      <c r="I11" s="81">
        <f>'yrP&amp;L'!V21</f>
        <v>3921</v>
      </c>
      <c r="J11" s="81">
        <f>'yrP&amp;L'!W21</f>
        <v>3836</v>
      </c>
      <c r="K11" s="81">
        <f>'yrP&amp;L'!X21</f>
        <v>4229</v>
      </c>
      <c r="L11" s="81">
        <f>'yrP&amp;L'!Y21</f>
        <v>4144</v>
      </c>
      <c r="M11" s="81">
        <f>'yrP&amp;L'!Z21</f>
        <v>4245</v>
      </c>
      <c r="N11" s="81">
        <f>'yrP&amp;L'!AA21</f>
        <v>4097</v>
      </c>
      <c r="O11" s="81">
        <f>'yrP&amp;L'!AB21</f>
        <v>4254</v>
      </c>
      <c r="P11" s="81">
        <f>'yrP&amp;L'!AC21</f>
        <v>4651</v>
      </c>
      <c r="Q11" s="81">
        <f>'yrP&amp;L'!AD21</f>
        <v>4683.5822655465763</v>
      </c>
      <c r="R11" s="81">
        <f>'yrP&amp;L'!AE21</f>
        <v>4683.247176565299</v>
      </c>
      <c r="S11" s="81">
        <f>'yrP&amp;L'!AF21</f>
        <v>4681.4397641937294</v>
      </c>
      <c r="T11" s="81">
        <f>'yrP&amp;L'!AG21</f>
        <v>4683.0294407396086</v>
      </c>
      <c r="U11" s="2103">
        <f>'yrP&amp;L'!AH21</f>
        <v>4681.0330210510492</v>
      </c>
      <c r="V11" s="10"/>
      <c r="W11" s="10"/>
      <c r="X11" s="10"/>
      <c r="Y11" s="10"/>
      <c r="Z11" s="10"/>
    </row>
    <row r="12" spans="1:26" hidden="1" outlineLevel="1">
      <c r="A12" s="78" t="s">
        <v>155</v>
      </c>
      <c r="B12" s="78"/>
      <c r="C12" s="81">
        <f>'yrP&amp;L'!P30</f>
        <v>614.50099999999998</v>
      </c>
      <c r="D12" s="81">
        <f>'yrP&amp;L'!Q30</f>
        <v>625.26099999999997</v>
      </c>
      <c r="E12" s="81">
        <f>'yrP&amp;L'!R30</f>
        <v>530</v>
      </c>
      <c r="F12" s="81">
        <f>'yrP&amp;L'!S30</f>
        <v>547</v>
      </c>
      <c r="G12" s="81">
        <f>'yrP&amp;L'!T30</f>
        <v>568</v>
      </c>
      <c r="H12" s="81">
        <f>'yrP&amp;L'!U30</f>
        <v>573</v>
      </c>
      <c r="I12" s="81">
        <f>'yrP&amp;L'!V30</f>
        <v>562</v>
      </c>
      <c r="J12" s="81">
        <f>'yrP&amp;L'!W30</f>
        <v>506</v>
      </c>
      <c r="K12" s="81">
        <f>'yrP&amp;L'!X30</f>
        <v>483</v>
      </c>
      <c r="L12" s="81">
        <f>'yrP&amp;L'!Y30</f>
        <v>470</v>
      </c>
      <c r="M12" s="81">
        <f>'yrP&amp;L'!Z30</f>
        <v>500</v>
      </c>
      <c r="N12" s="81">
        <f>'yrP&amp;L'!AA30</f>
        <v>527</v>
      </c>
      <c r="O12" s="81">
        <f>'yrP&amp;L'!AB30</f>
        <v>531</v>
      </c>
      <c r="P12" s="81">
        <f>'yrP&amp;L'!AC30</f>
        <v>535</v>
      </c>
      <c r="Q12" s="81">
        <f>'yrP&amp;L'!AD30</f>
        <v>550</v>
      </c>
      <c r="R12" s="81">
        <f>'yrP&amp;L'!AE30</f>
        <v>565</v>
      </c>
      <c r="S12" s="81">
        <f>'yrP&amp;L'!AF30</f>
        <v>580</v>
      </c>
      <c r="T12" s="81">
        <f>'yrP&amp;L'!AG30</f>
        <v>595</v>
      </c>
      <c r="U12" s="2103">
        <f>'yrP&amp;L'!AH30</f>
        <v>610</v>
      </c>
      <c r="V12" s="10"/>
      <c r="W12" s="10"/>
      <c r="X12" s="10"/>
      <c r="Y12" s="10"/>
      <c r="Z12" s="10"/>
    </row>
    <row r="13" spans="1:26" collapsed="1">
      <c r="A13" s="82" t="s">
        <v>25</v>
      </c>
      <c r="B13" s="78"/>
      <c r="C13" s="79">
        <f t="shared" ref="C13:L13" si="10">C10-C11</f>
        <v>1980.0470000000023</v>
      </c>
      <c r="D13" s="79">
        <f t="shared" si="10"/>
        <v>1744.2690000000002</v>
      </c>
      <c r="E13" s="79">
        <f t="shared" si="10"/>
        <v>1225</v>
      </c>
      <c r="F13" s="79">
        <f t="shared" si="10"/>
        <v>1344</v>
      </c>
      <c r="G13" s="79">
        <f t="shared" si="10"/>
        <v>1548</v>
      </c>
      <c r="H13" s="79">
        <f t="shared" si="10"/>
        <v>1815</v>
      </c>
      <c r="I13" s="79">
        <f t="shared" si="10"/>
        <v>1968</v>
      </c>
      <c r="J13" s="79">
        <f t="shared" si="10"/>
        <v>1438</v>
      </c>
      <c r="K13" s="79">
        <f t="shared" si="10"/>
        <v>1942</v>
      </c>
      <c r="L13" s="79">
        <f t="shared" si="10"/>
        <v>2149</v>
      </c>
      <c r="M13" s="79">
        <f t="shared" ref="M13:R13" si="11">M10-M11</f>
        <v>2044</v>
      </c>
      <c r="N13" s="79">
        <f t="shared" si="11"/>
        <v>1656</v>
      </c>
      <c r="O13" s="79">
        <f t="shared" si="11"/>
        <v>1394</v>
      </c>
      <c r="P13" s="79">
        <f t="shared" si="11"/>
        <v>1415</v>
      </c>
      <c r="Q13" s="79">
        <f t="shared" si="11"/>
        <v>1380.9071137001029</v>
      </c>
      <c r="R13" s="79">
        <f t="shared" si="11"/>
        <v>1307.1034507693621</v>
      </c>
      <c r="S13" s="79">
        <f t="shared" ref="S13:T13" si="12">S10-S11</f>
        <v>1248.5315080239752</v>
      </c>
      <c r="T13" s="79">
        <f t="shared" si="12"/>
        <v>1191.3774568165245</v>
      </c>
      <c r="U13" s="2101">
        <f t="shared" ref="U13" si="13">U10-U11</f>
        <v>1135.7710081590321</v>
      </c>
      <c r="V13" s="10"/>
      <c r="W13" s="10"/>
      <c r="X13" s="10"/>
      <c r="Y13" s="10"/>
      <c r="Z13" s="10"/>
    </row>
    <row r="14" spans="1:26" hidden="1" outlineLevel="1">
      <c r="A14" s="78"/>
      <c r="B14" s="78"/>
      <c r="C14" s="80"/>
      <c r="D14" s="80"/>
      <c r="E14" s="80"/>
      <c r="F14" s="80"/>
      <c r="G14" s="80"/>
      <c r="H14" s="80"/>
      <c r="I14" s="80"/>
      <c r="J14" s="80"/>
      <c r="K14" s="80"/>
      <c r="L14" s="80"/>
      <c r="M14" s="80"/>
      <c r="N14" s="80"/>
      <c r="O14" s="80"/>
      <c r="P14" s="80"/>
      <c r="Q14" s="80"/>
      <c r="R14" s="80"/>
      <c r="S14" s="80"/>
      <c r="T14" s="80"/>
      <c r="U14" s="2102"/>
      <c r="V14" s="10"/>
      <c r="W14" s="10"/>
      <c r="X14" s="10"/>
      <c r="Y14" s="10"/>
      <c r="Z14" s="10"/>
    </row>
    <row r="15" spans="1:26" hidden="1" outlineLevel="1">
      <c r="A15" s="78" t="s">
        <v>156</v>
      </c>
      <c r="B15" s="78"/>
      <c r="C15" s="81">
        <f>'yrP&amp;L'!P36</f>
        <v>108.03400000000001</v>
      </c>
      <c r="D15" s="81">
        <f>'yrP&amp;L'!Q36</f>
        <v>-47.972999999999999</v>
      </c>
      <c r="E15" s="81">
        <f>'yrP&amp;L'!R36</f>
        <v>-90.191000000000003</v>
      </c>
      <c r="F15" s="81">
        <f>'yrP&amp;L'!S36</f>
        <v>-91</v>
      </c>
      <c r="G15" s="81">
        <f>'yrP&amp;L'!T36</f>
        <v>-36</v>
      </c>
      <c r="H15" s="81">
        <f>'yrP&amp;L'!U36</f>
        <v>-1</v>
      </c>
      <c r="I15" s="81">
        <f>'yrP&amp;L'!V36</f>
        <v>-14</v>
      </c>
      <c r="J15" s="81">
        <f>'yrP&amp;L'!W36</f>
        <v>69</v>
      </c>
      <c r="K15" s="81">
        <f>'yrP&amp;L'!X36</f>
        <v>81</v>
      </c>
      <c r="L15" s="81">
        <f>'yrP&amp;L'!Y36</f>
        <v>56</v>
      </c>
      <c r="M15" s="81">
        <f>'yrP&amp;L'!Z36</f>
        <v>70</v>
      </c>
      <c r="N15" s="81">
        <f>'yrP&amp;L'!AA36</f>
        <v>53</v>
      </c>
      <c r="O15" s="81">
        <f>'yrP&amp;L'!AB36</f>
        <v>67</v>
      </c>
      <c r="P15" s="81">
        <f>'yrP&amp;L'!AC36</f>
        <v>55</v>
      </c>
      <c r="Q15" s="81">
        <f>'yrP&amp;L'!AD36</f>
        <v>53</v>
      </c>
      <c r="R15" s="81">
        <f>'yrP&amp;L'!AE36</f>
        <v>53</v>
      </c>
      <c r="S15" s="81">
        <f>'yrP&amp;L'!AF36</f>
        <v>53</v>
      </c>
      <c r="T15" s="81">
        <f>'yrP&amp;L'!AG36</f>
        <v>53</v>
      </c>
      <c r="U15" s="2103">
        <f>'yrP&amp;L'!AH36</f>
        <v>53</v>
      </c>
      <c r="V15" s="10"/>
      <c r="W15" s="10"/>
      <c r="X15" s="10"/>
      <c r="Y15" s="10"/>
      <c r="Z15" s="10"/>
    </row>
    <row r="16" spans="1:26" hidden="1" outlineLevel="1">
      <c r="A16" s="82" t="s">
        <v>157</v>
      </c>
      <c r="B16" s="78"/>
      <c r="C16" s="79">
        <f t="shared" ref="C16:L16" si="14">C13-C15</f>
        <v>1872.0130000000022</v>
      </c>
      <c r="D16" s="79">
        <f t="shared" si="14"/>
        <v>1792.2420000000002</v>
      </c>
      <c r="E16" s="79">
        <f t="shared" si="14"/>
        <v>1315.191</v>
      </c>
      <c r="F16" s="79">
        <f t="shared" si="14"/>
        <v>1435</v>
      </c>
      <c r="G16" s="79">
        <f t="shared" si="14"/>
        <v>1584</v>
      </c>
      <c r="H16" s="79">
        <f t="shared" si="14"/>
        <v>1816</v>
      </c>
      <c r="I16" s="79">
        <f t="shared" si="14"/>
        <v>1982</v>
      </c>
      <c r="J16" s="79">
        <f t="shared" si="14"/>
        <v>1369</v>
      </c>
      <c r="K16" s="79">
        <f t="shared" si="14"/>
        <v>1861</v>
      </c>
      <c r="L16" s="79">
        <f t="shared" si="14"/>
        <v>2093</v>
      </c>
      <c r="M16" s="79">
        <f t="shared" ref="M16:R16" si="15">M13-M15</f>
        <v>1974</v>
      </c>
      <c r="N16" s="79">
        <f t="shared" si="15"/>
        <v>1603</v>
      </c>
      <c r="O16" s="79">
        <f t="shared" si="15"/>
        <v>1327</v>
      </c>
      <c r="P16" s="79">
        <f t="shared" si="15"/>
        <v>1360</v>
      </c>
      <c r="Q16" s="79">
        <f t="shared" si="15"/>
        <v>1327.9071137001029</v>
      </c>
      <c r="R16" s="79">
        <f t="shared" si="15"/>
        <v>1254.1034507693621</v>
      </c>
      <c r="S16" s="79">
        <f t="shared" ref="S16:T16" si="16">S13-S15</f>
        <v>1195.5315080239752</v>
      </c>
      <c r="T16" s="79">
        <f t="shared" si="16"/>
        <v>1138.3774568165245</v>
      </c>
      <c r="U16" s="2101">
        <f t="shared" ref="U16" si="17">U13-U15</f>
        <v>1082.7710081590321</v>
      </c>
      <c r="V16" s="10"/>
      <c r="W16" s="10"/>
      <c r="X16" s="10"/>
      <c r="Y16" s="10"/>
      <c r="Z16" s="10"/>
    </row>
    <row r="17" spans="1:26" hidden="1" outlineLevel="1">
      <c r="A17" s="78"/>
      <c r="B17" s="78"/>
      <c r="C17" s="80"/>
      <c r="D17" s="80"/>
      <c r="E17" s="80"/>
      <c r="F17" s="80"/>
      <c r="G17" s="80"/>
      <c r="H17" s="80"/>
      <c r="I17" s="80"/>
      <c r="J17" s="80"/>
      <c r="K17" s="80"/>
      <c r="L17" s="80"/>
      <c r="M17" s="80"/>
      <c r="N17" s="80"/>
      <c r="O17" s="80"/>
      <c r="P17" s="80"/>
      <c r="Q17" s="80"/>
      <c r="R17" s="80"/>
      <c r="S17" s="80"/>
      <c r="T17" s="80"/>
      <c r="U17" s="2102"/>
      <c r="V17" s="10"/>
      <c r="W17" s="10"/>
      <c r="X17" s="10"/>
      <c r="Y17" s="10"/>
      <c r="Z17" s="10"/>
    </row>
    <row r="18" spans="1:26" collapsed="1">
      <c r="A18" s="78" t="s">
        <v>10</v>
      </c>
      <c r="B18" s="78"/>
      <c r="C18" s="81">
        <f>'yrP&amp;L'!P42</f>
        <v>722</v>
      </c>
      <c r="D18" s="81">
        <f>'yrP&amp;L'!Q42</f>
        <v>679.62</v>
      </c>
      <c r="E18" s="81">
        <f>'yrP&amp;L'!R42</f>
        <v>506</v>
      </c>
      <c r="F18" s="81">
        <f>'yrP&amp;L'!S42</f>
        <v>539</v>
      </c>
      <c r="G18" s="81">
        <f>'yrP&amp;L'!T42</f>
        <v>617</v>
      </c>
      <c r="H18" s="81">
        <f>'yrP&amp;L'!U42</f>
        <v>714</v>
      </c>
      <c r="I18" s="81">
        <f>'yrP&amp;L'!V42</f>
        <v>778</v>
      </c>
      <c r="J18" s="81">
        <f>'yrP&amp;L'!W42</f>
        <v>536</v>
      </c>
      <c r="K18" s="81">
        <f>'yrP&amp;L'!X42</f>
        <v>726</v>
      </c>
      <c r="L18" s="81">
        <f>'yrP&amp;L'!Y42</f>
        <v>813</v>
      </c>
      <c r="M18" s="81">
        <f>'yrP&amp;L'!Z42</f>
        <v>734</v>
      </c>
      <c r="N18" s="81">
        <f>'yrP&amp;L'!AA42</f>
        <v>601.11500000000001</v>
      </c>
      <c r="O18" s="81">
        <f>'yrP&amp;L'!AB42</f>
        <v>517.83000000000004</v>
      </c>
      <c r="P18" s="81">
        <f>'yrP&amp;L'!AC42</f>
        <v>517.68000000000006</v>
      </c>
      <c r="Q18" s="81">
        <f>'yrP&amp;L'!AD42</f>
        <v>345.25584956202715</v>
      </c>
      <c r="R18" s="81">
        <f>'yrP&amp;L'!AE42</f>
        <v>326.06689720003453</v>
      </c>
      <c r="S18" s="81">
        <f>'yrP&amp;L'!AF42</f>
        <v>310.8381920862339</v>
      </c>
      <c r="T18" s="81">
        <f>'yrP&amp;L'!AG42</f>
        <v>295.97813877229669</v>
      </c>
      <c r="U18" s="2103">
        <f>'yrP&amp;L'!AH42</f>
        <v>281.52046212134866</v>
      </c>
      <c r="V18" s="11" t="s">
        <v>676</v>
      </c>
      <c r="W18" s="11" t="s">
        <v>146</v>
      </c>
      <c r="X18" s="11" t="s">
        <v>147</v>
      </c>
      <c r="Y18" s="11" t="s">
        <v>148</v>
      </c>
      <c r="Z18" s="10"/>
    </row>
    <row r="19" spans="1:26" hidden="1" outlineLevel="1">
      <c r="A19" s="78"/>
      <c r="B19" s="78"/>
      <c r="C19" s="80"/>
      <c r="D19" s="80"/>
      <c r="E19" s="80"/>
      <c r="F19" s="80"/>
      <c r="G19" s="80"/>
      <c r="H19" s="80"/>
      <c r="I19" s="80"/>
      <c r="J19" s="80"/>
      <c r="K19" s="80"/>
      <c r="L19" s="80"/>
      <c r="M19" s="80"/>
      <c r="N19" s="80"/>
      <c r="O19" s="80"/>
      <c r="P19" s="80"/>
      <c r="Q19" s="80"/>
      <c r="R19" s="80"/>
      <c r="S19" s="80"/>
      <c r="T19" s="80"/>
      <c r="U19" s="2102"/>
      <c r="V19" s="11"/>
      <c r="W19" s="11"/>
      <c r="X19" s="11"/>
      <c r="Y19" s="10"/>
      <c r="Z19" s="10"/>
    </row>
    <row r="20" spans="1:26" hidden="1" outlineLevel="1">
      <c r="A20" s="78"/>
      <c r="B20" s="78"/>
      <c r="C20" s="80"/>
      <c r="D20" s="80"/>
      <c r="E20" s="80"/>
      <c r="F20" s="80"/>
      <c r="G20" s="80"/>
      <c r="H20" s="80"/>
      <c r="I20" s="80"/>
      <c r="J20" s="80"/>
      <c r="K20" s="80"/>
      <c r="L20" s="80"/>
      <c r="M20" s="80"/>
      <c r="N20" s="80"/>
      <c r="O20" s="80"/>
      <c r="P20" s="80"/>
      <c r="Q20" s="80"/>
      <c r="R20" s="80"/>
      <c r="S20" s="80"/>
      <c r="T20" s="80"/>
      <c r="U20" s="2102"/>
      <c r="V20" s="11"/>
      <c r="W20" s="11"/>
      <c r="X20" s="11"/>
      <c r="Y20" s="10"/>
      <c r="Z20" s="10"/>
    </row>
    <row r="21" spans="1:26" hidden="1" outlineLevel="1">
      <c r="A21" s="78" t="s">
        <v>158</v>
      </c>
      <c r="B21" s="78"/>
      <c r="C21" s="83">
        <f>C16-C18</f>
        <v>1150.0130000000022</v>
      </c>
      <c r="D21" s="83">
        <f t="shared" ref="D21:P21" si="18">D16-D18</f>
        <v>1112.6220000000003</v>
      </c>
      <c r="E21" s="83">
        <f t="shared" si="18"/>
        <v>809.19100000000003</v>
      </c>
      <c r="F21" s="83">
        <f t="shared" si="18"/>
        <v>896</v>
      </c>
      <c r="G21" s="83">
        <f t="shared" si="18"/>
        <v>967</v>
      </c>
      <c r="H21" s="83">
        <f t="shared" si="18"/>
        <v>1102</v>
      </c>
      <c r="I21" s="83">
        <f t="shared" si="18"/>
        <v>1204</v>
      </c>
      <c r="J21" s="83">
        <f t="shared" si="18"/>
        <v>833</v>
      </c>
      <c r="K21" s="83">
        <f t="shared" si="18"/>
        <v>1135</v>
      </c>
      <c r="L21" s="83">
        <f t="shared" si="18"/>
        <v>1280</v>
      </c>
      <c r="M21" s="83">
        <f>M16-M18</f>
        <v>1240</v>
      </c>
      <c r="N21" s="83">
        <f t="shared" si="18"/>
        <v>1001.885</v>
      </c>
      <c r="O21" s="83">
        <f t="shared" si="18"/>
        <v>809.17</v>
      </c>
      <c r="P21" s="83">
        <f t="shared" si="18"/>
        <v>842.31999999999994</v>
      </c>
      <c r="Q21" s="83">
        <f>Q16-Q18</f>
        <v>982.6512641380757</v>
      </c>
      <c r="R21" s="83">
        <f>R16-R18</f>
        <v>928.03655356932757</v>
      </c>
      <c r="S21" s="83">
        <f t="shared" ref="S21:T21" si="19">S16-S18</f>
        <v>884.69331593774132</v>
      </c>
      <c r="T21" s="83">
        <f t="shared" si="19"/>
        <v>842.39931804422781</v>
      </c>
      <c r="U21" s="2104">
        <f t="shared" ref="U21" si="20">U16-U18</f>
        <v>801.25054603768353</v>
      </c>
      <c r="V21" s="11"/>
      <c r="W21" s="11"/>
      <c r="X21" s="11"/>
      <c r="Y21" s="10"/>
      <c r="Z21" s="10"/>
    </row>
    <row r="22" spans="1:26" hidden="1" outlineLevel="1">
      <c r="A22" s="78"/>
      <c r="B22" s="78"/>
      <c r="C22" s="80"/>
      <c r="D22" s="80"/>
      <c r="E22" s="80"/>
      <c r="F22" s="80"/>
      <c r="G22" s="80"/>
      <c r="H22" s="80"/>
      <c r="I22" s="80"/>
      <c r="J22" s="80"/>
      <c r="K22" s="80"/>
      <c r="L22" s="80"/>
      <c r="M22" s="80"/>
      <c r="N22" s="80"/>
      <c r="O22" s="80"/>
      <c r="P22" s="80"/>
      <c r="Q22" s="80"/>
      <c r="R22" s="80"/>
      <c r="S22" s="80"/>
      <c r="T22" s="80"/>
      <c r="U22" s="2102"/>
      <c r="V22" s="11"/>
      <c r="W22" s="11"/>
      <c r="X22" s="11"/>
      <c r="Y22" s="10"/>
      <c r="Z22" s="10"/>
    </row>
    <row r="23" spans="1:26" collapsed="1">
      <c r="A23" s="84" t="s">
        <v>159</v>
      </c>
      <c r="B23" s="84"/>
      <c r="C23" s="85">
        <f t="shared" ref="C23:Q23" si="21">C21/C24</f>
        <v>1.1603142700898601</v>
      </c>
      <c r="D23" s="85">
        <f t="shared" si="21"/>
        <v>1.2330872231814931</v>
      </c>
      <c r="E23" s="85">
        <f t="shared" si="21"/>
        <v>0.96793181818181817</v>
      </c>
      <c r="F23" s="85">
        <f t="shared" si="21"/>
        <v>1.128463476070529</v>
      </c>
      <c r="G23" s="85">
        <f t="shared" si="21"/>
        <v>1.344923504867872</v>
      </c>
      <c r="H23" s="85">
        <f t="shared" si="21"/>
        <v>1.5765379113018598</v>
      </c>
      <c r="I23" s="85">
        <f t="shared" si="21"/>
        <v>1.8783151326053042</v>
      </c>
      <c r="J23" s="85">
        <f t="shared" si="21"/>
        <v>1.5628517823639776</v>
      </c>
      <c r="K23" s="85">
        <f t="shared" si="21"/>
        <v>2.3258196721311477</v>
      </c>
      <c r="L23" s="85">
        <f>L21/L24</f>
        <v>2.7438370846730975</v>
      </c>
      <c r="M23" s="85">
        <f>M21/M24</f>
        <v>2.8213879408418658</v>
      </c>
      <c r="N23" s="85">
        <f t="shared" si="21"/>
        <v>2.425871670702179</v>
      </c>
      <c r="O23" s="85">
        <f t="shared" si="21"/>
        <v>2.0229249999999999</v>
      </c>
      <c r="P23" s="85">
        <f t="shared" si="21"/>
        <v>2.1297597977243994</v>
      </c>
      <c r="Q23" s="85">
        <f t="shared" si="21"/>
        <v>2.554552679735032</v>
      </c>
      <c r="R23" s="85">
        <f>R21/R24</f>
        <v>2.4964960935200362</v>
      </c>
      <c r="S23" s="85">
        <f t="shared" ref="S23:T23" si="22">S21/S24</f>
        <v>2.45052910191886</v>
      </c>
      <c r="T23" s="85">
        <f t="shared" si="22"/>
        <v>2.4007763509441493</v>
      </c>
      <c r="U23" s="2105">
        <f t="shared" ref="U23" si="23">U21/U24</f>
        <v>2.3478436576038972</v>
      </c>
      <c r="V23" s="37">
        <f>O23</f>
        <v>2.0229249999999999</v>
      </c>
      <c r="W23" s="11">
        <v>12.5</v>
      </c>
      <c r="X23" s="61">
        <f>V23*W23</f>
        <v>25.286562499999999</v>
      </c>
      <c r="Y23" s="114">
        <f>X23/$V$3-1</f>
        <v>-0.37440468827313222</v>
      </c>
      <c r="Z23" s="10"/>
    </row>
    <row r="24" spans="1:26">
      <c r="A24" s="78" t="s">
        <v>160</v>
      </c>
      <c r="B24" s="78"/>
      <c r="C24" s="81">
        <f>'yrP&amp;L'!P54</f>
        <v>991.12199999999996</v>
      </c>
      <c r="D24" s="81">
        <f>'yrP&amp;L'!Q54</f>
        <v>902.30600000000004</v>
      </c>
      <c r="E24" s="81">
        <f>'yrP&amp;L'!R54</f>
        <v>836</v>
      </c>
      <c r="F24" s="81">
        <f>'yrP&amp;L'!S54</f>
        <v>794</v>
      </c>
      <c r="G24" s="81">
        <f>'yrP&amp;L'!T54</f>
        <v>719</v>
      </c>
      <c r="H24" s="81">
        <f>'yrP&amp;L'!U54</f>
        <v>699</v>
      </c>
      <c r="I24" s="81">
        <f>'yrP&amp;L'!V54</f>
        <v>641</v>
      </c>
      <c r="J24" s="81">
        <f>'yrP&amp;L'!W54</f>
        <v>533</v>
      </c>
      <c r="K24" s="81">
        <f>'yrP&amp;L'!X54</f>
        <v>488</v>
      </c>
      <c r="L24" s="81">
        <f>'yrP&amp;L'!Y54</f>
        <v>466.5</v>
      </c>
      <c r="M24" s="81">
        <f>'yrP&amp;L'!Z54</f>
        <v>439.5</v>
      </c>
      <c r="N24" s="81">
        <f>'yrP&amp;L'!AA54</f>
        <v>413</v>
      </c>
      <c r="O24" s="81">
        <f>'yrP&amp;L'!AB54</f>
        <v>400</v>
      </c>
      <c r="P24" s="81">
        <f>'yrP&amp;L'!AC54</f>
        <v>395.5</v>
      </c>
      <c r="Q24" s="81">
        <f>'yrP&amp;L'!AD54</f>
        <v>384.66666666666669</v>
      </c>
      <c r="R24" s="81">
        <f>'yrP&amp;L'!AE54</f>
        <v>371.73563218390808</v>
      </c>
      <c r="S24" s="81">
        <f>'yrP&amp;L'!AF54</f>
        <v>361.02134646962236</v>
      </c>
      <c r="T24" s="81">
        <f>'yrP&amp;L'!AG54</f>
        <v>350.8862113344872</v>
      </c>
      <c r="U24" s="2103">
        <f>'yrP&amp;L'!AH54</f>
        <v>341.27082671910256</v>
      </c>
      <c r="V24" s="10"/>
      <c r="W24" s="10"/>
      <c r="X24" s="10"/>
      <c r="Y24" s="10"/>
      <c r="Z24" s="10"/>
    </row>
    <row r="25" spans="1:26" hidden="1" outlineLevel="1">
      <c r="A25" s="78"/>
      <c r="B25" s="78"/>
      <c r="C25" s="80"/>
      <c r="D25" s="80"/>
      <c r="E25" s="80"/>
      <c r="F25" s="80"/>
      <c r="G25" s="80"/>
      <c r="H25" s="80"/>
      <c r="I25" s="80"/>
      <c r="J25" s="80"/>
      <c r="K25" s="80"/>
      <c r="L25" s="80"/>
      <c r="M25" s="80"/>
      <c r="N25" s="80"/>
      <c r="O25" s="80"/>
      <c r="P25" s="80"/>
      <c r="Q25" s="80"/>
      <c r="R25" s="80"/>
      <c r="S25" s="80"/>
      <c r="T25" s="80"/>
      <c r="U25" s="2102"/>
      <c r="V25" s="10"/>
      <c r="W25" s="10"/>
      <c r="X25" s="10"/>
      <c r="Y25" s="10"/>
      <c r="Z25" s="10"/>
    </row>
    <row r="26" spans="1:26" hidden="1" outlineLevel="1">
      <c r="A26" s="78" t="s">
        <v>663</v>
      </c>
      <c r="B26" s="78"/>
      <c r="C26" s="83">
        <f t="shared" ref="C26:O26" si="24">C13+C12</f>
        <v>2594.5480000000025</v>
      </c>
      <c r="D26" s="83">
        <f t="shared" si="24"/>
        <v>2369.5300000000002</v>
      </c>
      <c r="E26" s="83">
        <f t="shared" si="24"/>
        <v>1755</v>
      </c>
      <c r="F26" s="83">
        <f t="shared" si="24"/>
        <v>1891</v>
      </c>
      <c r="G26" s="83">
        <f t="shared" si="24"/>
        <v>2116</v>
      </c>
      <c r="H26" s="83">
        <f t="shared" si="24"/>
        <v>2388</v>
      </c>
      <c r="I26" s="83">
        <f t="shared" si="24"/>
        <v>2530</v>
      </c>
      <c r="J26" s="83">
        <f t="shared" si="24"/>
        <v>1944</v>
      </c>
      <c r="K26" s="83">
        <f t="shared" si="24"/>
        <v>2425</v>
      </c>
      <c r="L26" s="83">
        <f t="shared" si="24"/>
        <v>2619</v>
      </c>
      <c r="M26" s="83">
        <f>M13+M12</f>
        <v>2544</v>
      </c>
      <c r="N26" s="83">
        <f t="shared" si="24"/>
        <v>2183</v>
      </c>
      <c r="O26" s="83">
        <f t="shared" si="24"/>
        <v>1925</v>
      </c>
      <c r="P26" s="83">
        <f>P13+P12</f>
        <v>1950</v>
      </c>
      <c r="Q26" s="83">
        <f>Q13+Q12</f>
        <v>1930.9071137001029</v>
      </c>
      <c r="R26" s="83">
        <f>R13+R12</f>
        <v>1872.1034507693621</v>
      </c>
      <c r="S26" s="83">
        <f t="shared" ref="S26:T26" si="25">S13+S12</f>
        <v>1828.5315080239752</v>
      </c>
      <c r="T26" s="83">
        <f t="shared" si="25"/>
        <v>1786.3774568165245</v>
      </c>
      <c r="U26" s="2104">
        <f t="shared" ref="U26" si="26">U13+U12</f>
        <v>1745.7710081590321</v>
      </c>
      <c r="V26" s="10"/>
      <c r="W26" s="10"/>
      <c r="X26" s="10"/>
      <c r="Y26" s="10"/>
      <c r="Z26" s="10"/>
    </row>
    <row r="27" spans="1:26" collapsed="1">
      <c r="A27" s="78"/>
      <c r="B27" s="78"/>
      <c r="C27" s="80"/>
      <c r="D27" s="80"/>
      <c r="E27" s="80"/>
      <c r="F27" s="80"/>
      <c r="G27" s="80"/>
      <c r="H27" s="80"/>
      <c r="I27" s="80"/>
      <c r="J27" s="80"/>
      <c r="K27" s="80"/>
      <c r="L27" s="80"/>
      <c r="M27" s="80"/>
      <c r="N27" s="80"/>
      <c r="O27" s="80"/>
      <c r="P27" s="80"/>
      <c r="Q27" s="80"/>
      <c r="R27" s="80"/>
      <c r="S27" s="80"/>
      <c r="T27" s="80"/>
      <c r="U27" s="2102"/>
      <c r="V27" s="10"/>
      <c r="W27" s="10"/>
      <c r="X27" s="10"/>
      <c r="Y27" s="10"/>
      <c r="Z27" s="10"/>
    </row>
    <row r="28" spans="1:26">
      <c r="A28" s="86" t="s">
        <v>16</v>
      </c>
      <c r="B28" s="78"/>
      <c r="C28" s="80"/>
      <c r="D28" s="80"/>
      <c r="E28" s="80"/>
      <c r="F28" s="80"/>
      <c r="G28" s="80"/>
      <c r="H28" s="80"/>
      <c r="I28" s="80"/>
      <c r="J28" s="80"/>
      <c r="K28" s="80"/>
      <c r="L28" s="80"/>
      <c r="M28" s="80"/>
      <c r="N28" s="80"/>
      <c r="O28" s="80"/>
      <c r="P28" s="80"/>
      <c r="Q28" s="80"/>
      <c r="R28" s="80"/>
      <c r="S28" s="80"/>
      <c r="T28" s="80"/>
      <c r="U28" s="2102"/>
      <c r="V28" s="10"/>
      <c r="W28" s="10"/>
      <c r="X28" s="10"/>
      <c r="Y28" s="10"/>
      <c r="Z28" s="10"/>
    </row>
    <row r="29" spans="1:26">
      <c r="A29" s="78" t="s">
        <v>664</v>
      </c>
      <c r="B29" s="78"/>
      <c r="C29" s="87">
        <f t="shared" ref="C29:L29" si="27">C10/C6</f>
        <v>0.39225977155170649</v>
      </c>
      <c r="D29" s="87">
        <f t="shared" si="27"/>
        <v>0.36631135253610664</v>
      </c>
      <c r="E29" s="87">
        <f t="shared" si="27"/>
        <v>0.35527224769201782</v>
      </c>
      <c r="F29" s="87">
        <f t="shared" si="27"/>
        <v>0.36109877561377912</v>
      </c>
      <c r="G29" s="87">
        <f t="shared" si="27"/>
        <v>0.37498278948093072</v>
      </c>
      <c r="H29" s="87">
        <f t="shared" si="27"/>
        <v>0.40318377121927168</v>
      </c>
      <c r="I29" s="87">
        <f t="shared" si="27"/>
        <v>0.40159574468085107</v>
      </c>
      <c r="J29" s="87">
        <f t="shared" si="27"/>
        <v>0.36249914083442158</v>
      </c>
      <c r="K29" s="87">
        <f t="shared" si="27"/>
        <v>0.3942879049262028</v>
      </c>
      <c r="L29" s="87">
        <f t="shared" si="27"/>
        <v>0.38970770374040131</v>
      </c>
      <c r="M29" s="87">
        <f t="shared" ref="M29:R29" si="28">M10/M6</f>
        <v>0.38265895953757223</v>
      </c>
      <c r="N29" s="87">
        <f t="shared" si="28"/>
        <v>0.36418307273532952</v>
      </c>
      <c r="O29" s="87">
        <f t="shared" si="28"/>
        <v>0.36401134312967259</v>
      </c>
      <c r="P29" s="87">
        <f t="shared" si="28"/>
        <v>0.38259224219489119</v>
      </c>
      <c r="Q29" s="87">
        <f t="shared" si="28"/>
        <v>0.37885597527483689</v>
      </c>
      <c r="R29" s="87">
        <f t="shared" si="28"/>
        <v>0.37605597527483697</v>
      </c>
      <c r="S29" s="87">
        <f t="shared" ref="S29:T29" si="29">S10/S6</f>
        <v>0.37405597527483692</v>
      </c>
      <c r="T29" s="87">
        <f t="shared" si="29"/>
        <v>0.37205597527483686</v>
      </c>
      <c r="U29" s="2106">
        <f t="shared" ref="U29" si="30">U10/U6</f>
        <v>0.37005597527483691</v>
      </c>
      <c r="V29" s="10"/>
      <c r="W29" s="10"/>
      <c r="X29" s="10"/>
      <c r="Y29" s="10"/>
      <c r="Z29" s="10"/>
    </row>
    <row r="30" spans="1:26">
      <c r="A30" s="78" t="s">
        <v>18</v>
      </c>
      <c r="B30" s="78"/>
      <c r="C30" s="87">
        <f t="shared" ref="C30:L30" si="31">C11/C6</f>
        <v>0.27054106553345553</v>
      </c>
      <c r="D30" s="87">
        <f t="shared" si="31"/>
        <v>0.25745360841470405</v>
      </c>
      <c r="E30" s="87">
        <f t="shared" si="31"/>
        <v>0.27833950888651637</v>
      </c>
      <c r="F30" s="87">
        <f t="shared" si="31"/>
        <v>0.27583581805493879</v>
      </c>
      <c r="G30" s="87">
        <f t="shared" si="31"/>
        <v>0.26841525540410299</v>
      </c>
      <c r="H30" s="87">
        <f t="shared" si="31"/>
        <v>0.27533986053391563</v>
      </c>
      <c r="I30" s="87">
        <f t="shared" si="31"/>
        <v>0.26738952536824878</v>
      </c>
      <c r="J30" s="87">
        <f t="shared" si="31"/>
        <v>0.26366073269640528</v>
      </c>
      <c r="K30" s="87">
        <f t="shared" si="31"/>
        <v>0.27020637658935531</v>
      </c>
      <c r="L30" s="87">
        <f t="shared" si="31"/>
        <v>0.25662620757988608</v>
      </c>
      <c r="M30" s="87">
        <f t="shared" ref="M30:R30" si="32">M11/M6</f>
        <v>0.25829023425616066</v>
      </c>
      <c r="N30" s="87">
        <f t="shared" si="32"/>
        <v>0.25935304171678164</v>
      </c>
      <c r="O30" s="87">
        <f t="shared" si="32"/>
        <v>0.27416860015467903</v>
      </c>
      <c r="P30" s="87">
        <f t="shared" si="32"/>
        <v>0.29334594765058342</v>
      </c>
      <c r="Q30" s="87">
        <f t="shared" si="32"/>
        <v>0.29258904023573234</v>
      </c>
      <c r="R30" s="87">
        <f t="shared" si="32"/>
        <v>0.29399999999999998</v>
      </c>
      <c r="S30" s="87">
        <f t="shared" ref="S30:T30" si="33">S11/S6</f>
        <v>0.29530000000000001</v>
      </c>
      <c r="T30" s="87">
        <f t="shared" si="33"/>
        <v>0.29659999999999997</v>
      </c>
      <c r="U30" s="2106">
        <f t="shared" ref="U30" si="34">U11/U6</f>
        <v>0.29780000000000001</v>
      </c>
      <c r="V30" s="10"/>
      <c r="W30" s="10"/>
      <c r="X30" s="10"/>
      <c r="Y30" s="10"/>
      <c r="Z30" s="10"/>
    </row>
    <row r="31" spans="1:26">
      <c r="A31" s="78" t="s">
        <v>666</v>
      </c>
      <c r="B31" s="78"/>
      <c r="C31" s="87">
        <f t="shared" ref="C31:L31" si="35">C13/C6</f>
        <v>0.12171870601825098</v>
      </c>
      <c r="D31" s="87">
        <f t="shared" si="35"/>
        <v>0.10885774412140262</v>
      </c>
      <c r="E31" s="87">
        <f t="shared" si="35"/>
        <v>7.6932738805501472E-2</v>
      </c>
      <c r="F31" s="87">
        <f t="shared" si="35"/>
        <v>8.5262957558840322E-2</v>
      </c>
      <c r="G31" s="87">
        <f t="shared" si="35"/>
        <v>0.10656753407682776</v>
      </c>
      <c r="H31" s="87">
        <f t="shared" si="35"/>
        <v>0.12784391068535605</v>
      </c>
      <c r="I31" s="87">
        <f t="shared" si="35"/>
        <v>0.13420621931260229</v>
      </c>
      <c r="J31" s="87">
        <f t="shared" si="35"/>
        <v>9.8838408138016365E-2</v>
      </c>
      <c r="K31" s="87">
        <f t="shared" si="35"/>
        <v>0.12408152833684749</v>
      </c>
      <c r="L31" s="87">
        <f t="shared" si="35"/>
        <v>0.13308149616051523</v>
      </c>
      <c r="M31" s="87">
        <f t="shared" ref="M31:R31" si="36">M13/M6</f>
        <v>0.12436872528141162</v>
      </c>
      <c r="N31" s="87">
        <f t="shared" si="36"/>
        <v>0.10483003101854782</v>
      </c>
      <c r="O31" s="87">
        <f t="shared" si="36"/>
        <v>8.9842742974993561E-2</v>
      </c>
      <c r="P31" s="87">
        <f t="shared" si="36"/>
        <v>8.9246294544307783E-2</v>
      </c>
      <c r="Q31" s="87">
        <f t="shared" si="36"/>
        <v>8.6266935039104514E-2</v>
      </c>
      <c r="R31" s="87">
        <f t="shared" si="36"/>
        <v>8.2055975274837004E-2</v>
      </c>
      <c r="S31" s="87">
        <f t="shared" ref="S31:T31" si="37">S13/S6</f>
        <v>7.8755975274836951E-2</v>
      </c>
      <c r="T31" s="87">
        <f t="shared" si="37"/>
        <v>7.5455975274836898E-2</v>
      </c>
      <c r="U31" s="2106">
        <f t="shared" ref="U31" si="38">U13/U6</f>
        <v>7.2255975274836917E-2</v>
      </c>
      <c r="V31" s="10"/>
      <c r="W31" s="115">
        <f>10*Q23</f>
        <v>25.54552679735032</v>
      </c>
      <c r="X31" s="10"/>
      <c r="Y31" s="10"/>
      <c r="Z31" s="10"/>
    </row>
    <row r="32" spans="1:26">
      <c r="A32" s="78" t="s">
        <v>20</v>
      </c>
      <c r="B32" s="78"/>
      <c r="C32" s="87">
        <f>C18/C16</f>
        <v>0.38568108234291065</v>
      </c>
      <c r="D32" s="87">
        <f t="shared" ref="D32:L32" si="39">D18/D16</f>
        <v>0.37920102307612474</v>
      </c>
      <c r="E32" s="87">
        <f t="shared" si="39"/>
        <v>0.3847349928641543</v>
      </c>
      <c r="F32" s="87">
        <f t="shared" si="39"/>
        <v>0.37560975609756098</v>
      </c>
      <c r="G32" s="87">
        <f t="shared" si="39"/>
        <v>0.38952020202020204</v>
      </c>
      <c r="H32" s="87">
        <f t="shared" si="39"/>
        <v>0.39317180616740088</v>
      </c>
      <c r="I32" s="87">
        <f t="shared" si="39"/>
        <v>0.39253279515640765</v>
      </c>
      <c r="J32" s="87">
        <f t="shared" si="39"/>
        <v>0.39152666179693207</v>
      </c>
      <c r="K32" s="87">
        <f t="shared" si="39"/>
        <v>0.39011284255776463</v>
      </c>
      <c r="L32" s="87">
        <f t="shared" si="39"/>
        <v>0.38843764930721453</v>
      </c>
      <c r="M32" s="87">
        <f t="shared" ref="M32:R32" si="40">M18/M16</f>
        <v>0.37183383991894631</v>
      </c>
      <c r="N32" s="87">
        <f t="shared" si="40"/>
        <v>0.37499376169681847</v>
      </c>
      <c r="O32" s="87">
        <f t="shared" si="40"/>
        <v>0.39022607385079128</v>
      </c>
      <c r="P32" s="87">
        <f t="shared" si="40"/>
        <v>0.38064705882352945</v>
      </c>
      <c r="Q32" s="87">
        <f t="shared" si="40"/>
        <v>0.26000000000000029</v>
      </c>
      <c r="R32" s="87">
        <f t="shared" si="40"/>
        <v>0.26000000000000029</v>
      </c>
      <c r="S32" s="87">
        <f t="shared" ref="S32:T32" si="41">S18/S16</f>
        <v>0.26000000000000029</v>
      </c>
      <c r="T32" s="87">
        <f t="shared" si="41"/>
        <v>0.26000000000000029</v>
      </c>
      <c r="U32" s="2106">
        <f t="shared" ref="U32" si="42">U18/U16</f>
        <v>0.26000000000000029</v>
      </c>
      <c r="V32" s="10"/>
      <c r="W32" s="10"/>
      <c r="X32" s="10"/>
      <c r="Y32" s="10"/>
      <c r="Z32" s="10"/>
    </row>
    <row r="33" spans="1:26">
      <c r="A33" s="78"/>
      <c r="B33" s="78"/>
      <c r="C33" s="80"/>
      <c r="D33" s="80"/>
      <c r="E33" s="80"/>
      <c r="F33" s="80"/>
      <c r="G33" s="80"/>
      <c r="H33" s="80"/>
      <c r="I33" s="80"/>
      <c r="J33" s="80"/>
      <c r="K33" s="80"/>
      <c r="L33" s="80"/>
      <c r="M33" s="80"/>
      <c r="N33" s="80"/>
      <c r="O33" s="80"/>
      <c r="P33" s="80"/>
      <c r="Q33" s="80"/>
      <c r="R33" s="80"/>
      <c r="S33" s="80"/>
      <c r="T33" s="80"/>
      <c r="U33" s="2102"/>
      <c r="V33" s="10"/>
      <c r="W33" s="10"/>
      <c r="X33" s="10"/>
      <c r="Y33" s="10"/>
      <c r="Z33" s="10"/>
    </row>
    <row r="34" spans="1:26">
      <c r="A34" s="86" t="s">
        <v>21</v>
      </c>
      <c r="B34" s="78"/>
      <c r="C34" s="80"/>
      <c r="D34" s="80"/>
      <c r="E34" s="80"/>
      <c r="F34" s="80"/>
      <c r="G34" s="80"/>
      <c r="H34" s="80"/>
      <c r="I34" s="80"/>
      <c r="J34" s="80"/>
      <c r="K34" s="80"/>
      <c r="L34" s="80"/>
      <c r="M34" s="80"/>
      <c r="N34" s="80"/>
      <c r="V34" s="10"/>
      <c r="W34" s="10"/>
      <c r="X34" s="10"/>
      <c r="Y34" s="10"/>
      <c r="Z34" s="10"/>
    </row>
    <row r="35" spans="1:26">
      <c r="A35" s="78" t="s">
        <v>560</v>
      </c>
      <c r="B35" s="78"/>
      <c r="C35" s="88" t="s">
        <v>644</v>
      </c>
      <c r="D35" s="87">
        <f>((D6/C6)-1)</f>
        <v>-1.5000613804258101E-2</v>
      </c>
      <c r="E35" s="87">
        <f t="shared" ref="E35:M35" si="43">((E6/D6)-1)</f>
        <v>-6.2645958593005036E-3</v>
      </c>
      <c r="F35" s="87">
        <f t="shared" si="43"/>
        <v>-1.0048357721534895E-2</v>
      </c>
      <c r="G35" s="87">
        <f t="shared" si="43"/>
        <v>-7.8474909598426734E-2</v>
      </c>
      <c r="H35" s="87">
        <f t="shared" si="43"/>
        <v>-2.2649043095139709E-2</v>
      </c>
      <c r="I35" s="87">
        <f t="shared" si="43"/>
        <v>3.2894273438050403E-2</v>
      </c>
      <c r="J35" s="87">
        <f t="shared" si="43"/>
        <v>-7.8423349699945355E-3</v>
      </c>
      <c r="K35" s="87">
        <f t="shared" si="43"/>
        <v>7.5744037390885977E-2</v>
      </c>
      <c r="L35" s="87">
        <f t="shared" si="43"/>
        <v>3.1755159414733836E-2</v>
      </c>
      <c r="M35" s="87">
        <f t="shared" si="43"/>
        <v>1.7773098835769163E-2</v>
      </c>
      <c r="N35" s="87">
        <f>((N6/M6)-1)</f>
        <v>-3.8819592333434794E-2</v>
      </c>
      <c r="O35" s="87">
        <f>((O6/N6)-1)</f>
        <v>-1.778818763056278E-2</v>
      </c>
      <c r="P35" s="87">
        <f>((P6/O6)-1)</f>
        <v>2.1848414539829886E-2</v>
      </c>
      <c r="Q35" s="87">
        <f>((Q6/P6)-1)</f>
        <v>9.6104850142018083E-3</v>
      </c>
      <c r="R35" s="87">
        <f>((R6/Q6)-1)</f>
        <v>-4.8703849578118907E-3</v>
      </c>
      <c r="S35" s="87">
        <f t="shared" ref="S35:U35" si="44">((S6/R6)-1)</f>
        <v>-4.7865352054692334E-3</v>
      </c>
      <c r="T35" s="87">
        <f t="shared" si="44"/>
        <v>-4.0449257456233179E-3</v>
      </c>
      <c r="U35" s="2106">
        <f t="shared" si="44"/>
        <v>-4.454141644778753E-3</v>
      </c>
      <c r="V35" s="10"/>
      <c r="W35" s="10"/>
      <c r="X35" s="10"/>
      <c r="Y35" s="10"/>
      <c r="Z35" s="10"/>
    </row>
    <row r="36" spans="1:26">
      <c r="A36" s="78" t="s">
        <v>161</v>
      </c>
      <c r="B36" s="78"/>
      <c r="C36" s="98">
        <v>4.0000000000000001E-3</v>
      </c>
      <c r="D36" s="98">
        <v>-5.0999999999999997E-2</v>
      </c>
      <c r="E36" s="98">
        <v>-7.0000000000000007E-2</v>
      </c>
      <c r="F36" s="98">
        <v>-0.04</v>
      </c>
      <c r="G36" s="98">
        <v>-0.11838208207470713</v>
      </c>
      <c r="H36" s="98">
        <v>-3.0030152268958239E-2</v>
      </c>
      <c r="I36" s="98">
        <v>0.02</v>
      </c>
      <c r="J36" s="98">
        <v>-0.04</v>
      </c>
      <c r="K36" s="98">
        <v>4.7896859694612506E-2</v>
      </c>
      <c r="L36" s="87">
        <v>2.1890636611345059E-2</v>
      </c>
      <c r="M36" s="87">
        <v>0</v>
      </c>
      <c r="N36" s="87">
        <v>-0.04</v>
      </c>
      <c r="O36" s="87">
        <v>-0.02</v>
      </c>
      <c r="P36" s="87">
        <v>0.03</v>
      </c>
      <c r="Q36" s="87">
        <f>yrSales!AD35</f>
        <v>-1.202125311883347E-4</v>
      </c>
      <c r="R36" s="87">
        <f>yrSales!AE35</f>
        <v>-4.0060432606804138E-3</v>
      </c>
      <c r="S36" s="87">
        <f>yrSales!AF35</f>
        <v>-3.647679074000364E-3</v>
      </c>
      <c r="T36" s="87">
        <f>yrSales!AG35</f>
        <v>-3.302695135328289E-3</v>
      </c>
      <c r="U36" s="87">
        <f>yrSales!AH35</f>
        <v>-2.9751988000538713E-3</v>
      </c>
      <c r="V36" s="1431" t="s">
        <v>321</v>
      </c>
      <c r="W36" s="10"/>
      <c r="X36" s="10"/>
      <c r="Y36" s="10"/>
      <c r="Z36" s="10"/>
    </row>
    <row r="37" spans="1:26">
      <c r="A37" s="78" t="s">
        <v>7</v>
      </c>
      <c r="B37" s="78"/>
      <c r="C37" s="88" t="s">
        <v>644</v>
      </c>
      <c r="D37" s="87">
        <f>((D11/C11)-1)</f>
        <v>-6.2650079527380109E-2</v>
      </c>
      <c r="E37" s="87">
        <f t="shared" ref="E37:M37" si="45">((E11/D11)-1)</f>
        <v>7.4352098053051874E-2</v>
      </c>
      <c r="F37" s="87">
        <f t="shared" si="45"/>
        <v>-1.8953068592057809E-2</v>
      </c>
      <c r="G37" s="87">
        <f t="shared" si="45"/>
        <v>-0.10326586936522542</v>
      </c>
      <c r="H37" s="87">
        <f t="shared" si="45"/>
        <v>2.5647601949216892E-3</v>
      </c>
      <c r="I37" s="87">
        <f t="shared" si="45"/>
        <v>3.0698388334613469E-3</v>
      </c>
      <c r="J37" s="87">
        <f t="shared" si="45"/>
        <v>-2.1678143330782995E-2</v>
      </c>
      <c r="K37" s="87">
        <f t="shared" si="45"/>
        <v>0.10245046923879042</v>
      </c>
      <c r="L37" s="87">
        <f t="shared" si="45"/>
        <v>-2.0099314258690049E-2</v>
      </c>
      <c r="M37" s="87">
        <f t="shared" si="45"/>
        <v>2.437258687258681E-2</v>
      </c>
      <c r="N37" s="87">
        <f>((N11/M11)-1)</f>
        <v>-3.4864546525323892E-2</v>
      </c>
      <c r="O37" s="87">
        <f>((O11/N11)-1)</f>
        <v>3.8320722479863401E-2</v>
      </c>
      <c r="P37" s="87">
        <f>((P11/O11)-1)</f>
        <v>9.3323930418429679E-2</v>
      </c>
      <c r="Q37" s="87">
        <f>((Q11/P11)-1)</f>
        <v>7.0054322826438309E-3</v>
      </c>
      <c r="R37" s="87">
        <f>((R11/Q11)-1)</f>
        <v>-7.1545445831544541E-5</v>
      </c>
      <c r="S37" s="87">
        <f t="shared" ref="S37:U37" si="46">((S11/R11)-1)</f>
        <v>-3.8593144957499437E-4</v>
      </c>
      <c r="T37" s="87">
        <f t="shared" si="46"/>
        <v>3.3957000964490724E-4</v>
      </c>
      <c r="U37" s="2106">
        <f t="shared" si="46"/>
        <v>-4.2630944644328483E-4</v>
      </c>
      <c r="V37" s="1431" t="s">
        <v>384</v>
      </c>
      <c r="W37" s="115">
        <f>R23*10</f>
        <v>24.964960935200363</v>
      </c>
      <c r="X37" s="10"/>
      <c r="Y37" s="10"/>
      <c r="Z37" s="10"/>
    </row>
    <row r="38" spans="1:26">
      <c r="A38" s="78" t="s">
        <v>25</v>
      </c>
      <c r="B38" s="78"/>
      <c r="C38" s="88" t="s">
        <v>644</v>
      </c>
      <c r="D38" s="87">
        <f>((D13/C13)-1)</f>
        <v>-0.11907697140522511</v>
      </c>
      <c r="E38" s="87">
        <f t="shared" ref="E38:M38" si="47">((E13/D13)-1)</f>
        <v>-0.29770006805143023</v>
      </c>
      <c r="F38" s="87">
        <f t="shared" si="47"/>
        <v>9.7142857142857197E-2</v>
      </c>
      <c r="G38" s="87">
        <f t="shared" si="47"/>
        <v>0.15178571428571419</v>
      </c>
      <c r="H38" s="87">
        <f t="shared" si="47"/>
        <v>0.17248062015503884</v>
      </c>
      <c r="I38" s="87">
        <f t="shared" si="47"/>
        <v>8.4297520661156922E-2</v>
      </c>
      <c r="J38" s="87">
        <f t="shared" si="47"/>
        <v>-0.26930894308943087</v>
      </c>
      <c r="K38" s="87">
        <f t="shared" si="47"/>
        <v>0.35048678720445059</v>
      </c>
      <c r="L38" s="87">
        <f t="shared" si="47"/>
        <v>0.1065911431513904</v>
      </c>
      <c r="M38" s="87">
        <f t="shared" si="47"/>
        <v>-4.8859934853420217E-2</v>
      </c>
      <c r="N38" s="87">
        <f>((N13/M13)-1)</f>
        <v>-0.18982387475538165</v>
      </c>
      <c r="O38" s="87">
        <f>((O13/N13)-1)</f>
        <v>-0.15821256038647347</v>
      </c>
      <c r="P38" s="87">
        <f>((P13/O13)-1)</f>
        <v>1.5064562410330051E-2</v>
      </c>
      <c r="Q38" s="87">
        <f>((Q13/P13)-1)</f>
        <v>-2.4093912579432608E-2</v>
      </c>
      <c r="R38" s="87">
        <f>((R13/Q13)-1)</f>
        <v>-5.3445783716028372E-2</v>
      </c>
      <c r="S38" s="87">
        <f t="shared" ref="S38:U38" si="48">((S13/R13)-1)</f>
        <v>-4.4810487426157009E-2</v>
      </c>
      <c r="T38" s="87">
        <f t="shared" si="48"/>
        <v>-4.577701951463542E-2</v>
      </c>
      <c r="U38" s="2106">
        <f t="shared" si="48"/>
        <v>-4.6674081618161667E-2</v>
      </c>
      <c r="V38" s="1431" t="s">
        <v>322</v>
      </c>
      <c r="W38" s="10"/>
      <c r="X38" s="10"/>
      <c r="Y38" s="10"/>
      <c r="Z38" s="10"/>
    </row>
    <row r="39" spans="1:26">
      <c r="A39" s="78" t="s">
        <v>26</v>
      </c>
      <c r="B39" s="78"/>
      <c r="C39" s="88" t="s">
        <v>644</v>
      </c>
      <c r="D39" s="87">
        <f>((D23/C23)-1)</f>
        <v>6.2718312587844993E-2</v>
      </c>
      <c r="E39" s="87">
        <f t="shared" ref="E39:M39" si="49">((E23/D23)-1)</f>
        <v>-0.21503377864507145</v>
      </c>
      <c r="F39" s="87">
        <f t="shared" si="49"/>
        <v>0.16585017133774627</v>
      </c>
      <c r="G39" s="87">
        <f t="shared" si="49"/>
        <v>0.19181837373335986</v>
      </c>
      <c r="H39" s="87">
        <f t="shared" si="49"/>
        <v>0.17221381409104164</v>
      </c>
      <c r="I39" s="87">
        <f t="shared" si="49"/>
        <v>0.19141767485581451</v>
      </c>
      <c r="J39" s="87">
        <f t="shared" si="49"/>
        <v>-0.16795017234608833</v>
      </c>
      <c r="K39" s="87">
        <f t="shared" si="49"/>
        <v>0.48818953811032606</v>
      </c>
      <c r="L39" s="87">
        <f t="shared" si="49"/>
        <v>0.17972907252904968</v>
      </c>
      <c r="M39" s="87">
        <f t="shared" si="49"/>
        <v>2.8263651877133089E-2</v>
      </c>
      <c r="N39" s="87">
        <f>((N23/M23)-1)</f>
        <v>-0.1401850005858003</v>
      </c>
      <c r="O39" s="87">
        <f>((O23/N23)-1)</f>
        <v>-0.16610386920654563</v>
      </c>
      <c r="P39" s="87">
        <f>((P23/O23)-1)</f>
        <v>5.2812040844025132E-2</v>
      </c>
      <c r="Q39" s="87">
        <f>((Q23/P23)-1)</f>
        <v>0.19945577077025978</v>
      </c>
      <c r="R39" s="87">
        <f>((R23/Q23)-1)</f>
        <v>-2.2726713242420815E-2</v>
      </c>
      <c r="S39" s="87">
        <f t="shared" ref="S39:U39" si="50">((S23/R23)-1)</f>
        <v>-1.8412603056135013E-2</v>
      </c>
      <c r="T39" s="87">
        <f t="shared" si="50"/>
        <v>-2.0302860690677882E-2</v>
      </c>
      <c r="U39" s="2106">
        <f t="shared" si="50"/>
        <v>-2.2048156763721627E-2</v>
      </c>
      <c r="V39" s="10"/>
      <c r="W39" s="10"/>
      <c r="X39" s="10"/>
      <c r="Y39" s="10"/>
      <c r="Z39" s="10"/>
    </row>
    <row r="40" spans="1:26">
      <c r="A40" s="78" t="s">
        <v>663</v>
      </c>
      <c r="B40" s="78"/>
      <c r="C40" s="88" t="s">
        <v>644</v>
      </c>
      <c r="D40" s="87">
        <f>((D26/C26)-1)</f>
        <v>-8.6727244976775197E-2</v>
      </c>
      <c r="E40" s="87">
        <f t="shared" ref="E40:M40" si="51">((E26/D26)-1)</f>
        <v>-0.25934679029174568</v>
      </c>
      <c r="F40" s="87">
        <f t="shared" si="51"/>
        <v>7.7492877492877588E-2</v>
      </c>
      <c r="G40" s="87">
        <f t="shared" si="51"/>
        <v>0.11898466419883658</v>
      </c>
      <c r="H40" s="87">
        <f t="shared" si="51"/>
        <v>0.12854442344045358</v>
      </c>
      <c r="I40" s="87">
        <f t="shared" si="51"/>
        <v>5.9463986599664898E-2</v>
      </c>
      <c r="J40" s="87">
        <f t="shared" si="51"/>
        <v>-0.23162055335968379</v>
      </c>
      <c r="K40" s="87">
        <f t="shared" si="51"/>
        <v>0.24742798353909468</v>
      </c>
      <c r="L40" s="87">
        <f t="shared" si="51"/>
        <v>8.0000000000000071E-2</v>
      </c>
      <c r="M40" s="87">
        <f t="shared" si="51"/>
        <v>-2.8636884306987409E-2</v>
      </c>
      <c r="N40" s="87">
        <f>((N26/M26)-1)</f>
        <v>-0.14190251572327039</v>
      </c>
      <c r="O40" s="87">
        <f>((O26/N26)-1)</f>
        <v>-0.11818598259276225</v>
      </c>
      <c r="P40" s="87">
        <f>((P26/O26)-1)</f>
        <v>1.298701298701288E-2</v>
      </c>
      <c r="Q40" s="87">
        <f>((Q26/P26)-1)</f>
        <v>-9.7912237435370253E-3</v>
      </c>
      <c r="R40" s="87">
        <f>((R26/Q26)-1)</f>
        <v>-3.0453905583297636E-2</v>
      </c>
      <c r="S40" s="87">
        <f t="shared" ref="S40:U40" si="52">((S26/R26)-1)</f>
        <v>-2.3274324251408518E-2</v>
      </c>
      <c r="T40" s="87">
        <f t="shared" si="52"/>
        <v>-2.305350004769946E-2</v>
      </c>
      <c r="U40" s="2106">
        <f t="shared" si="52"/>
        <v>-2.2731169441567278E-2</v>
      </c>
      <c r="V40" s="10"/>
      <c r="W40" s="10"/>
      <c r="X40" s="10"/>
      <c r="Y40" s="10"/>
      <c r="Z40" s="10"/>
    </row>
    <row r="41" spans="1:26">
      <c r="A41" s="89"/>
      <c r="B41" s="89"/>
      <c r="C41" s="89"/>
      <c r="D41" s="89"/>
      <c r="E41" s="89"/>
      <c r="F41" s="89"/>
      <c r="G41" s="89"/>
      <c r="H41" s="89"/>
      <c r="I41" s="89"/>
      <c r="J41" s="89"/>
      <c r="K41" s="89"/>
      <c r="L41" s="89"/>
      <c r="M41" s="89"/>
      <c r="N41" s="89"/>
      <c r="O41" s="89"/>
      <c r="P41" s="89"/>
      <c r="Q41" s="89"/>
      <c r="R41" s="89"/>
      <c r="S41" s="89"/>
      <c r="T41" s="89"/>
      <c r="U41" s="89"/>
      <c r="V41" s="10"/>
      <c r="W41" s="10"/>
      <c r="X41" s="10"/>
      <c r="Y41" s="10"/>
      <c r="Z41" s="10"/>
    </row>
    <row r="42" spans="1:26" outlineLevel="1">
      <c r="A42" s="75" t="s">
        <v>162</v>
      </c>
      <c r="B42" s="76"/>
      <c r="C42" s="403">
        <v>2004</v>
      </c>
      <c r="D42" s="403">
        <f>C42+1</f>
        <v>2005</v>
      </c>
      <c r="E42" s="403">
        <f t="shared" ref="E42:L42" si="53">D42+1</f>
        <v>2006</v>
      </c>
      <c r="F42" s="403">
        <f t="shared" si="53"/>
        <v>2007</v>
      </c>
      <c r="G42" s="403">
        <f t="shared" si="53"/>
        <v>2008</v>
      </c>
      <c r="H42" s="403">
        <f t="shared" si="53"/>
        <v>2009</v>
      </c>
      <c r="I42" s="403">
        <f t="shared" si="53"/>
        <v>2010</v>
      </c>
      <c r="J42" s="403">
        <f t="shared" si="53"/>
        <v>2011</v>
      </c>
      <c r="K42" s="403">
        <f t="shared" si="53"/>
        <v>2012</v>
      </c>
      <c r="L42" s="403">
        <f t="shared" si="53"/>
        <v>2013</v>
      </c>
      <c r="M42" s="403">
        <f t="shared" ref="M42:R42" si="54">L42+1</f>
        <v>2014</v>
      </c>
      <c r="N42" s="403">
        <f t="shared" si="54"/>
        <v>2015</v>
      </c>
      <c r="O42" s="403">
        <f t="shared" ref="O42" si="55">N42+1</f>
        <v>2016</v>
      </c>
      <c r="P42" s="403">
        <f t="shared" ref="P42" si="56">O42+1</f>
        <v>2017</v>
      </c>
      <c r="Q42" s="405">
        <f t="shared" si="54"/>
        <v>2018</v>
      </c>
      <c r="R42" s="405">
        <f t="shared" si="54"/>
        <v>2019</v>
      </c>
      <c r="S42" s="405">
        <f t="shared" ref="S42" si="57">R42+1</f>
        <v>2020</v>
      </c>
      <c r="T42" s="405">
        <f t="shared" ref="T42:U42" si="58">S42+1</f>
        <v>2021</v>
      </c>
      <c r="U42" s="2107">
        <f t="shared" si="58"/>
        <v>2022</v>
      </c>
      <c r="V42" s="10"/>
      <c r="W42" s="10"/>
      <c r="X42" s="10">
        <f>10*2.15</f>
        <v>21.5</v>
      </c>
      <c r="Y42" s="10"/>
      <c r="Z42" s="10"/>
    </row>
    <row r="43" spans="1:26" outlineLevel="1">
      <c r="A43" s="14" t="s">
        <v>4</v>
      </c>
      <c r="B43" s="76"/>
      <c r="C43" s="20" t="s">
        <v>514</v>
      </c>
      <c r="D43" s="20" t="s">
        <v>514</v>
      </c>
      <c r="E43" s="20" t="s">
        <v>514</v>
      </c>
      <c r="F43" s="20" t="s">
        <v>514</v>
      </c>
      <c r="G43" s="20" t="s">
        <v>514</v>
      </c>
      <c r="H43" s="20" t="s">
        <v>514</v>
      </c>
      <c r="I43" s="20" t="s">
        <v>514</v>
      </c>
      <c r="J43" s="20" t="s">
        <v>514</v>
      </c>
      <c r="K43" s="20" t="s">
        <v>514</v>
      </c>
      <c r="L43" s="20" t="s">
        <v>514</v>
      </c>
      <c r="M43" s="20" t="s">
        <v>514</v>
      </c>
      <c r="N43" s="20" t="s">
        <v>514</v>
      </c>
      <c r="O43" s="20" t="s">
        <v>514</v>
      </c>
      <c r="P43" s="20" t="s">
        <v>514</v>
      </c>
      <c r="Q43" s="20" t="s">
        <v>514</v>
      </c>
      <c r="R43" s="20" t="s">
        <v>514</v>
      </c>
      <c r="S43" s="20" t="s">
        <v>514</v>
      </c>
      <c r="T43" s="20" t="s">
        <v>514</v>
      </c>
      <c r="U43" s="2099" t="s">
        <v>514</v>
      </c>
      <c r="V43" s="10"/>
      <c r="W43" s="10"/>
      <c r="X43" s="10"/>
      <c r="Y43" s="10"/>
      <c r="Z43" s="10"/>
    </row>
    <row r="44" spans="1:26" outlineLevel="1">
      <c r="A44" s="76"/>
      <c r="B44" s="76"/>
      <c r="C44" s="77"/>
      <c r="D44" s="77"/>
      <c r="E44" s="77"/>
      <c r="F44" s="77"/>
      <c r="G44" s="77"/>
      <c r="H44" s="77"/>
      <c r="I44" s="77"/>
      <c r="J44" s="77"/>
      <c r="K44" s="77"/>
      <c r="L44" s="77"/>
      <c r="M44" s="77"/>
      <c r="N44" s="77"/>
      <c r="O44" s="77"/>
      <c r="P44" s="77"/>
      <c r="Q44" s="77"/>
      <c r="R44" s="77"/>
      <c r="S44" s="77"/>
      <c r="T44" s="77"/>
      <c r="U44" s="2100"/>
      <c r="V44" s="10"/>
      <c r="W44" s="10"/>
      <c r="X44" s="10"/>
      <c r="Y44" s="10"/>
      <c r="Z44" s="10"/>
    </row>
    <row r="45" spans="1:26" outlineLevel="1">
      <c r="A45" s="76" t="s">
        <v>653</v>
      </c>
      <c r="B45" s="76"/>
      <c r="C45" s="90">
        <f>C6</f>
        <v>16267.401000000002</v>
      </c>
      <c r="D45" s="90">
        <f t="shared" ref="D45:J45" si="59">D6</f>
        <v>16023.38</v>
      </c>
      <c r="E45" s="90">
        <f t="shared" si="59"/>
        <v>15923</v>
      </c>
      <c r="F45" s="90">
        <f t="shared" si="59"/>
        <v>15763</v>
      </c>
      <c r="G45" s="90">
        <f t="shared" si="59"/>
        <v>14526</v>
      </c>
      <c r="H45" s="90">
        <f t="shared" si="59"/>
        <v>14197</v>
      </c>
      <c r="I45" s="90">
        <f t="shared" si="59"/>
        <v>14664</v>
      </c>
      <c r="J45" s="90">
        <f t="shared" si="59"/>
        <v>14549</v>
      </c>
      <c r="K45" s="90">
        <f t="shared" ref="K45:P45" si="60">K6</f>
        <v>15651</v>
      </c>
      <c r="L45" s="90">
        <f t="shared" si="60"/>
        <v>16148</v>
      </c>
      <c r="M45" s="90">
        <f t="shared" si="60"/>
        <v>16435</v>
      </c>
      <c r="N45" s="90">
        <f t="shared" si="60"/>
        <v>15797</v>
      </c>
      <c r="O45" s="90">
        <f t="shared" si="60"/>
        <v>15516</v>
      </c>
      <c r="P45" s="90">
        <f t="shared" si="60"/>
        <v>15855</v>
      </c>
      <c r="Q45" s="90">
        <f>(P45*(1+Q74))</f>
        <v>16405.655209582161</v>
      </c>
      <c r="R45" s="90">
        <f>(Q45*(1+R74))</f>
        <v>16801.61649795531</v>
      </c>
      <c r="S45" s="90">
        <f t="shared" ref="S45:U45" si="61">(R45*(1+S74))</f>
        <v>17202.52228643691</v>
      </c>
      <c r="T45" s="90">
        <f t="shared" si="61"/>
        <v>17619.817104982558</v>
      </c>
      <c r="U45" s="2108">
        <f t="shared" si="61"/>
        <v>18034.253830174344</v>
      </c>
      <c r="V45" s="10"/>
      <c r="W45" s="10"/>
      <c r="X45" s="10"/>
      <c r="Y45" s="10"/>
      <c r="Z45" s="10"/>
    </row>
    <row r="46" spans="1:26" hidden="1" outlineLevel="2">
      <c r="A46" s="76"/>
      <c r="B46" s="76"/>
      <c r="C46" s="77"/>
      <c r="D46" s="77"/>
      <c r="E46" s="77"/>
      <c r="F46" s="77"/>
      <c r="G46" s="77"/>
      <c r="H46" s="77"/>
      <c r="I46" s="77"/>
      <c r="J46" s="77"/>
      <c r="K46" s="77"/>
      <c r="L46" s="77"/>
      <c r="M46" s="77"/>
      <c r="N46" s="77"/>
      <c r="O46" s="77"/>
      <c r="P46" s="77"/>
      <c r="Q46" s="77"/>
      <c r="R46" s="77"/>
      <c r="S46" s="77"/>
      <c r="T46" s="77"/>
      <c r="U46" s="2100"/>
      <c r="V46" s="10"/>
      <c r="W46" s="10"/>
      <c r="X46" s="10"/>
      <c r="Y46" s="10"/>
      <c r="Z46" s="10"/>
    </row>
    <row r="47" spans="1:26" hidden="1" outlineLevel="2">
      <c r="A47" s="76" t="s">
        <v>5</v>
      </c>
      <c r="B47" s="76"/>
      <c r="C47" s="90">
        <f>C8</f>
        <v>9886.3539999999994</v>
      </c>
      <c r="D47" s="90">
        <f t="shared" ref="D47:J47" si="62">D8</f>
        <v>10153.833999999999</v>
      </c>
      <c r="E47" s="90">
        <f t="shared" si="62"/>
        <v>10266</v>
      </c>
      <c r="F47" s="90">
        <f t="shared" si="62"/>
        <v>10071</v>
      </c>
      <c r="G47" s="90">
        <f t="shared" si="62"/>
        <v>9079</v>
      </c>
      <c r="H47" s="90">
        <f t="shared" si="62"/>
        <v>8473</v>
      </c>
      <c r="I47" s="90">
        <f t="shared" si="62"/>
        <v>8775</v>
      </c>
      <c r="J47" s="90">
        <f t="shared" si="62"/>
        <v>9275</v>
      </c>
      <c r="K47" s="90">
        <f t="shared" ref="K47:P47" si="63">K8</f>
        <v>9480</v>
      </c>
      <c r="L47" s="90">
        <f t="shared" si="63"/>
        <v>9855</v>
      </c>
      <c r="M47" s="90">
        <f t="shared" si="63"/>
        <v>10146</v>
      </c>
      <c r="N47" s="90">
        <f t="shared" si="63"/>
        <v>10044</v>
      </c>
      <c r="O47" s="90">
        <f t="shared" si="63"/>
        <v>9868</v>
      </c>
      <c r="P47" s="90">
        <f t="shared" si="63"/>
        <v>9789</v>
      </c>
      <c r="Q47" s="90">
        <f>Q45-Q49</f>
        <v>10124.652084294874</v>
      </c>
      <c r="R47" s="90">
        <f>R45-R49</f>
        <v>10342.134641040109</v>
      </c>
      <c r="S47" s="90">
        <f t="shared" ref="S47:T47" si="64">S45-S49</f>
        <v>10578.588290245829</v>
      </c>
      <c r="T47" s="90">
        <f t="shared" si="64"/>
        <v>10835.201245459246</v>
      </c>
      <c r="U47" s="2108">
        <f t="shared" ref="U47" si="65">U45-U49</f>
        <v>11126.125140902946</v>
      </c>
      <c r="V47" s="10"/>
      <c r="W47" s="10"/>
      <c r="X47" s="10"/>
      <c r="Y47" s="10"/>
      <c r="Z47" s="10"/>
    </row>
    <row r="48" spans="1:26" hidden="1" outlineLevel="2">
      <c r="A48" s="76"/>
      <c r="B48" s="76"/>
      <c r="C48" s="77"/>
      <c r="D48" s="77"/>
      <c r="E48" s="77"/>
      <c r="F48" s="77"/>
      <c r="G48" s="77"/>
      <c r="H48" s="77"/>
      <c r="I48" s="77"/>
      <c r="J48" s="77"/>
      <c r="K48" s="77"/>
      <c r="L48" s="77"/>
      <c r="M48" s="77"/>
      <c r="N48" s="77"/>
      <c r="O48" s="77"/>
      <c r="P48" s="77"/>
      <c r="Q48" s="77"/>
      <c r="R48" s="77"/>
      <c r="S48" s="77"/>
      <c r="T48" s="77"/>
      <c r="U48" s="2100"/>
      <c r="V48" s="10"/>
      <c r="W48" s="10"/>
      <c r="X48" s="10"/>
      <c r="Y48" s="10"/>
      <c r="Z48" s="10"/>
    </row>
    <row r="49" spans="1:26" outlineLevel="1" collapsed="1">
      <c r="A49" s="76" t="s">
        <v>6</v>
      </c>
      <c r="B49" s="76"/>
      <c r="C49" s="90">
        <f t="shared" ref="C49:J49" si="66">C45-C47</f>
        <v>6381.0470000000023</v>
      </c>
      <c r="D49" s="90">
        <f t="shared" si="66"/>
        <v>5869.5460000000003</v>
      </c>
      <c r="E49" s="90">
        <f t="shared" si="66"/>
        <v>5657</v>
      </c>
      <c r="F49" s="90">
        <f t="shared" si="66"/>
        <v>5692</v>
      </c>
      <c r="G49" s="90">
        <f t="shared" si="66"/>
        <v>5447</v>
      </c>
      <c r="H49" s="90">
        <f t="shared" si="66"/>
        <v>5724</v>
      </c>
      <c r="I49" s="90">
        <f t="shared" si="66"/>
        <v>5889</v>
      </c>
      <c r="J49" s="90">
        <f t="shared" si="66"/>
        <v>5274</v>
      </c>
      <c r="K49" s="90">
        <f t="shared" ref="K49:P49" si="67">K45-K47</f>
        <v>6171</v>
      </c>
      <c r="L49" s="90">
        <f t="shared" si="67"/>
        <v>6293</v>
      </c>
      <c r="M49" s="90">
        <f t="shared" si="67"/>
        <v>6289</v>
      </c>
      <c r="N49" s="90">
        <f t="shared" si="67"/>
        <v>5753</v>
      </c>
      <c r="O49" s="90">
        <f t="shared" si="67"/>
        <v>5648</v>
      </c>
      <c r="P49" s="90">
        <f t="shared" si="67"/>
        <v>6066</v>
      </c>
      <c r="Q49" s="90">
        <f>Q45*Q68</f>
        <v>6281.0031252872868</v>
      </c>
      <c r="R49" s="90">
        <f>R45*R68</f>
        <v>6459.4818569152003</v>
      </c>
      <c r="S49" s="90">
        <f t="shared" ref="S49:T49" si="68">S45*S68</f>
        <v>6623.9339961910819</v>
      </c>
      <c r="T49" s="90">
        <f t="shared" si="68"/>
        <v>6784.6158595233119</v>
      </c>
      <c r="U49" s="2108">
        <f t="shared" ref="U49" si="69">U45*U68</f>
        <v>6908.128689271397</v>
      </c>
      <c r="V49" s="10"/>
      <c r="W49" s="10"/>
      <c r="X49" s="10"/>
      <c r="Y49" s="10"/>
      <c r="Z49" s="10"/>
    </row>
    <row r="50" spans="1:26" outlineLevel="1">
      <c r="A50" s="76" t="s">
        <v>7</v>
      </c>
      <c r="B50" s="76"/>
      <c r="C50" s="91">
        <f>C11</f>
        <v>4401</v>
      </c>
      <c r="D50" s="91">
        <f t="shared" ref="D50:J50" si="70">D11</f>
        <v>4125.277</v>
      </c>
      <c r="E50" s="91">
        <f t="shared" si="70"/>
        <v>4432</v>
      </c>
      <c r="F50" s="91">
        <f t="shared" si="70"/>
        <v>4348</v>
      </c>
      <c r="G50" s="91">
        <f t="shared" si="70"/>
        <v>3899</v>
      </c>
      <c r="H50" s="91">
        <f t="shared" si="70"/>
        <v>3909</v>
      </c>
      <c r="I50" s="91">
        <f t="shared" si="70"/>
        <v>3921</v>
      </c>
      <c r="J50" s="91">
        <f t="shared" si="70"/>
        <v>3836</v>
      </c>
      <c r="K50" s="91">
        <f t="shared" ref="K50:M51" si="71">K11</f>
        <v>4229</v>
      </c>
      <c r="L50" s="91">
        <f t="shared" si="71"/>
        <v>4144</v>
      </c>
      <c r="M50" s="91">
        <f t="shared" si="71"/>
        <v>4245</v>
      </c>
      <c r="N50" s="91">
        <f t="shared" ref="N50:P51" si="72">N11</f>
        <v>4097</v>
      </c>
      <c r="O50" s="91">
        <f t="shared" si="72"/>
        <v>4254</v>
      </c>
      <c r="P50" s="91">
        <f t="shared" si="72"/>
        <v>4651</v>
      </c>
      <c r="Q50" s="91">
        <f>Q45*Q69</f>
        <v>4759.1007741860312</v>
      </c>
      <c r="R50" s="91">
        <f>R45*R69</f>
        <v>4857.1631878027474</v>
      </c>
      <c r="S50" s="91">
        <f t="shared" ref="S50:T50" si="73">S45*S69</f>
        <v>4955.8581351334051</v>
      </c>
      <c r="T50" s="91">
        <f t="shared" si="73"/>
        <v>5058.4563817985827</v>
      </c>
      <c r="U50" s="2109">
        <f t="shared" ref="U50" si="74">U45*U69</f>
        <v>5159.4023696421582</v>
      </c>
      <c r="V50" s="10"/>
      <c r="W50" s="115"/>
      <c r="X50" s="115">
        <f>12*Q62</f>
        <v>33.90949621606363</v>
      </c>
      <c r="Y50" s="10"/>
      <c r="Z50" s="10"/>
    </row>
    <row r="51" spans="1:26" hidden="1" outlineLevel="2">
      <c r="A51" s="76" t="s">
        <v>155</v>
      </c>
      <c r="B51" s="76"/>
      <c r="C51" s="91">
        <f>C12</f>
        <v>614.50099999999998</v>
      </c>
      <c r="D51" s="91">
        <f t="shared" ref="D51:J51" si="75">D12</f>
        <v>625.26099999999997</v>
      </c>
      <c r="E51" s="91">
        <f t="shared" si="75"/>
        <v>530</v>
      </c>
      <c r="F51" s="91">
        <f t="shared" si="75"/>
        <v>547</v>
      </c>
      <c r="G51" s="91">
        <f t="shared" si="75"/>
        <v>568</v>
      </c>
      <c r="H51" s="91">
        <f t="shared" si="75"/>
        <v>573</v>
      </c>
      <c r="I51" s="91">
        <f t="shared" si="75"/>
        <v>562</v>
      </c>
      <c r="J51" s="91">
        <f t="shared" si="75"/>
        <v>506</v>
      </c>
      <c r="K51" s="91">
        <f t="shared" si="71"/>
        <v>483</v>
      </c>
      <c r="L51" s="91">
        <f t="shared" si="71"/>
        <v>470</v>
      </c>
      <c r="M51" s="91">
        <f t="shared" si="71"/>
        <v>500</v>
      </c>
      <c r="N51" s="91">
        <f t="shared" si="72"/>
        <v>527</v>
      </c>
      <c r="O51" s="91">
        <f t="shared" si="72"/>
        <v>531</v>
      </c>
      <c r="P51" s="91">
        <f t="shared" si="72"/>
        <v>535</v>
      </c>
      <c r="Q51" s="91">
        <f>Q12</f>
        <v>550</v>
      </c>
      <c r="R51" s="91">
        <f>R12</f>
        <v>565</v>
      </c>
      <c r="S51" s="91">
        <f t="shared" ref="S51:T51" si="76">S12</f>
        <v>580</v>
      </c>
      <c r="T51" s="91">
        <f t="shared" si="76"/>
        <v>595</v>
      </c>
      <c r="U51" s="2109">
        <f t="shared" ref="U51" si="77">U12</f>
        <v>610</v>
      </c>
      <c r="V51" s="10"/>
      <c r="W51" s="10"/>
      <c r="X51" s="10"/>
      <c r="Y51" s="10"/>
      <c r="Z51" s="10"/>
    </row>
    <row r="52" spans="1:26" outlineLevel="1" collapsed="1">
      <c r="A52" s="92" t="s">
        <v>25</v>
      </c>
      <c r="B52" s="76"/>
      <c r="C52" s="90">
        <f t="shared" ref="C52:J52" si="78">C49-C50</f>
        <v>1980.0470000000023</v>
      </c>
      <c r="D52" s="90">
        <f t="shared" si="78"/>
        <v>1744.2690000000002</v>
      </c>
      <c r="E52" s="90">
        <f t="shared" si="78"/>
        <v>1225</v>
      </c>
      <c r="F52" s="90">
        <f t="shared" si="78"/>
        <v>1344</v>
      </c>
      <c r="G52" s="90">
        <f t="shared" si="78"/>
        <v>1548</v>
      </c>
      <c r="H52" s="90">
        <f t="shared" si="78"/>
        <v>1815</v>
      </c>
      <c r="I52" s="90">
        <f t="shared" si="78"/>
        <v>1968</v>
      </c>
      <c r="J52" s="90">
        <f t="shared" si="78"/>
        <v>1438</v>
      </c>
      <c r="K52" s="90">
        <f t="shared" ref="K52:R52" si="79">K49-K50</f>
        <v>1942</v>
      </c>
      <c r="L52" s="90">
        <f t="shared" si="79"/>
        <v>2149</v>
      </c>
      <c r="M52" s="90">
        <f t="shared" si="79"/>
        <v>2044</v>
      </c>
      <c r="N52" s="90">
        <f>N49-N50</f>
        <v>1656</v>
      </c>
      <c r="O52" s="90">
        <f>O49-O50</f>
        <v>1394</v>
      </c>
      <c r="P52" s="90">
        <f>P49-P50</f>
        <v>1415</v>
      </c>
      <c r="Q52" s="90">
        <f t="shared" si="79"/>
        <v>1521.9023511012556</v>
      </c>
      <c r="R52" s="90">
        <f t="shared" si="79"/>
        <v>1602.3186691124529</v>
      </c>
      <c r="S52" s="90">
        <f t="shared" ref="S52:T52" si="80">S49-S50</f>
        <v>1668.0758610576768</v>
      </c>
      <c r="T52" s="90">
        <f t="shared" si="80"/>
        <v>1726.1594777247292</v>
      </c>
      <c r="U52" s="2108">
        <f t="shared" ref="U52" si="81">U49-U50</f>
        <v>1748.7263196292388</v>
      </c>
      <c r="V52" s="36">
        <f>O52/K52-1</f>
        <v>-0.28218331616889802</v>
      </c>
      <c r="W52" s="10"/>
      <c r="X52" s="115">
        <f>13*Q62</f>
        <v>36.735287567402267</v>
      </c>
      <c r="Y52" s="10"/>
      <c r="Z52" s="10"/>
    </row>
    <row r="53" spans="1:26" hidden="1" outlineLevel="2">
      <c r="A53" s="76"/>
      <c r="B53" s="76"/>
      <c r="C53" s="77"/>
      <c r="D53" s="77"/>
      <c r="E53" s="77"/>
      <c r="F53" s="77"/>
      <c r="G53" s="77"/>
      <c r="H53" s="77"/>
      <c r="I53" s="77"/>
      <c r="J53" s="77"/>
      <c r="K53" s="77"/>
      <c r="L53" s="77"/>
      <c r="M53" s="77"/>
      <c r="N53" s="77"/>
      <c r="O53" s="77"/>
      <c r="P53" s="77"/>
      <c r="Q53" s="77"/>
      <c r="R53" s="77"/>
      <c r="S53" s="77"/>
      <c r="T53" s="77"/>
      <c r="U53" s="2100"/>
      <c r="V53" s="10"/>
      <c r="W53" s="10"/>
      <c r="X53" s="10"/>
      <c r="Y53" s="10"/>
      <c r="Z53" s="10"/>
    </row>
    <row r="54" spans="1:26" hidden="1" outlineLevel="2">
      <c r="A54" s="76" t="s">
        <v>156</v>
      </c>
      <c r="B54" s="76"/>
      <c r="C54" s="91">
        <f>C15</f>
        <v>108.03400000000001</v>
      </c>
      <c r="D54" s="91">
        <f t="shared" ref="D54:J54" si="82">D15</f>
        <v>-47.972999999999999</v>
      </c>
      <c r="E54" s="91">
        <f t="shared" si="82"/>
        <v>-90.191000000000003</v>
      </c>
      <c r="F54" s="91">
        <f t="shared" si="82"/>
        <v>-91</v>
      </c>
      <c r="G54" s="91">
        <f t="shared" si="82"/>
        <v>-36</v>
      </c>
      <c r="H54" s="91">
        <f t="shared" si="82"/>
        <v>-1</v>
      </c>
      <c r="I54" s="91">
        <f t="shared" si="82"/>
        <v>-14</v>
      </c>
      <c r="J54" s="91">
        <f t="shared" si="82"/>
        <v>69</v>
      </c>
      <c r="K54" s="91">
        <f t="shared" ref="K54:R54" si="83">K15</f>
        <v>81</v>
      </c>
      <c r="L54" s="91">
        <f t="shared" si="83"/>
        <v>56</v>
      </c>
      <c r="M54" s="91">
        <f t="shared" si="83"/>
        <v>70</v>
      </c>
      <c r="N54" s="91">
        <f>N15</f>
        <v>53</v>
      </c>
      <c r="O54" s="91">
        <f>O15</f>
        <v>67</v>
      </c>
      <c r="P54" s="91">
        <f>P15</f>
        <v>55</v>
      </c>
      <c r="Q54" s="91">
        <f t="shared" si="83"/>
        <v>53</v>
      </c>
      <c r="R54" s="91">
        <f t="shared" si="83"/>
        <v>53</v>
      </c>
      <c r="S54" s="91">
        <f t="shared" ref="S54:T54" si="84">S15</f>
        <v>53</v>
      </c>
      <c r="T54" s="91">
        <f t="shared" si="84"/>
        <v>53</v>
      </c>
      <c r="U54" s="2109">
        <f t="shared" ref="U54" si="85">U15</f>
        <v>53</v>
      </c>
      <c r="V54" s="10"/>
      <c r="W54" s="10"/>
      <c r="X54" s="10"/>
      <c r="Y54" s="10"/>
      <c r="Z54" s="10"/>
    </row>
    <row r="55" spans="1:26" hidden="1" outlineLevel="2">
      <c r="A55" s="92" t="s">
        <v>157</v>
      </c>
      <c r="B55" s="76"/>
      <c r="C55" s="90">
        <f t="shared" ref="C55:K55" si="86">C52-C54</f>
        <v>1872.0130000000022</v>
      </c>
      <c r="D55" s="90">
        <f t="shared" si="86"/>
        <v>1792.2420000000002</v>
      </c>
      <c r="E55" s="90">
        <f t="shared" si="86"/>
        <v>1315.191</v>
      </c>
      <c r="F55" s="90">
        <f t="shared" si="86"/>
        <v>1435</v>
      </c>
      <c r="G55" s="90">
        <f t="shared" si="86"/>
        <v>1584</v>
      </c>
      <c r="H55" s="90">
        <f t="shared" si="86"/>
        <v>1816</v>
      </c>
      <c r="I55" s="90">
        <f t="shared" si="86"/>
        <v>1982</v>
      </c>
      <c r="J55" s="90">
        <f t="shared" si="86"/>
        <v>1369</v>
      </c>
      <c r="K55" s="90">
        <f t="shared" si="86"/>
        <v>1861</v>
      </c>
      <c r="L55" s="90">
        <f t="shared" ref="L55:R55" si="87">L52-L54</f>
        <v>2093</v>
      </c>
      <c r="M55" s="90">
        <f t="shared" si="87"/>
        <v>1974</v>
      </c>
      <c r="N55" s="90">
        <f>N52-N54</f>
        <v>1603</v>
      </c>
      <c r="O55" s="90">
        <f>O52-O54</f>
        <v>1327</v>
      </c>
      <c r="P55" s="90">
        <f>P52-P54</f>
        <v>1360</v>
      </c>
      <c r="Q55" s="90">
        <f t="shared" si="87"/>
        <v>1468.9023511012556</v>
      </c>
      <c r="R55" s="90">
        <f t="shared" si="87"/>
        <v>1549.3186691124529</v>
      </c>
      <c r="S55" s="90">
        <f t="shared" ref="S55:T55" si="88">S52-S54</f>
        <v>1615.0758610576768</v>
      </c>
      <c r="T55" s="90">
        <f t="shared" si="88"/>
        <v>1673.1594777247292</v>
      </c>
      <c r="U55" s="2108">
        <f t="shared" ref="U55" si="89">U52-U54</f>
        <v>1695.7263196292388</v>
      </c>
      <c r="V55" s="10"/>
      <c r="W55" s="10"/>
      <c r="X55" s="10"/>
      <c r="Y55" s="10"/>
      <c r="Z55" s="10"/>
    </row>
    <row r="56" spans="1:26" hidden="1" outlineLevel="2">
      <c r="A56" s="76"/>
      <c r="B56" s="76"/>
      <c r="C56" s="77"/>
      <c r="D56" s="77"/>
      <c r="E56" s="77"/>
      <c r="F56" s="77"/>
      <c r="G56" s="77"/>
      <c r="H56" s="77"/>
      <c r="I56" s="77"/>
      <c r="J56" s="77"/>
      <c r="K56" s="77"/>
      <c r="L56" s="77"/>
      <c r="M56" s="77"/>
      <c r="N56" s="77"/>
      <c r="O56" s="77"/>
      <c r="P56" s="77"/>
      <c r="Q56" s="77"/>
      <c r="R56" s="77"/>
      <c r="S56" s="77"/>
      <c r="T56" s="77"/>
      <c r="U56" s="2100"/>
      <c r="V56" s="10"/>
      <c r="W56" s="10"/>
      <c r="X56" s="10"/>
      <c r="Y56" s="10"/>
      <c r="Z56" s="10"/>
    </row>
    <row r="57" spans="1:26" outlineLevel="1" collapsed="1">
      <c r="A57" s="76" t="s">
        <v>10</v>
      </c>
      <c r="B57" s="76"/>
      <c r="C57" s="91">
        <f>C18</f>
        <v>722</v>
      </c>
      <c r="D57" s="91">
        <f t="shared" ref="D57:J57" si="90">D18</f>
        <v>679.62</v>
      </c>
      <c r="E57" s="91">
        <f t="shared" si="90"/>
        <v>506</v>
      </c>
      <c r="F57" s="91">
        <f t="shared" si="90"/>
        <v>539</v>
      </c>
      <c r="G57" s="91">
        <f t="shared" si="90"/>
        <v>617</v>
      </c>
      <c r="H57" s="91">
        <f t="shared" si="90"/>
        <v>714</v>
      </c>
      <c r="I57" s="91">
        <f t="shared" si="90"/>
        <v>778</v>
      </c>
      <c r="J57" s="91">
        <f t="shared" si="90"/>
        <v>536</v>
      </c>
      <c r="K57" s="91">
        <f t="shared" ref="K57:P57" si="91">K18</f>
        <v>726</v>
      </c>
      <c r="L57" s="91">
        <f t="shared" si="91"/>
        <v>813</v>
      </c>
      <c r="M57" s="91">
        <f t="shared" si="91"/>
        <v>734</v>
      </c>
      <c r="N57" s="91">
        <f t="shared" si="91"/>
        <v>601.11500000000001</v>
      </c>
      <c r="O57" s="91">
        <f t="shared" si="91"/>
        <v>517.83000000000004</v>
      </c>
      <c r="P57" s="91">
        <f t="shared" si="91"/>
        <v>517.68000000000006</v>
      </c>
      <c r="Q57" s="91">
        <f>Q55*Q71</f>
        <v>381.91461128632687</v>
      </c>
      <c r="R57" s="91">
        <f>R55*R71</f>
        <v>402.82285396923817</v>
      </c>
      <c r="S57" s="91">
        <f t="shared" ref="S57:T57" si="92">S55*S71</f>
        <v>419.91972387499641</v>
      </c>
      <c r="T57" s="91">
        <f t="shared" si="92"/>
        <v>435.02146420843007</v>
      </c>
      <c r="U57" s="2109">
        <f t="shared" ref="U57" si="93">U55*U71</f>
        <v>440.8888431036026</v>
      </c>
      <c r="V57" s="11"/>
      <c r="W57" s="11"/>
      <c r="X57" s="11"/>
      <c r="Y57" s="11"/>
      <c r="Z57" s="10"/>
    </row>
    <row r="58" spans="1:26" hidden="1" outlineLevel="2">
      <c r="A58" s="76"/>
      <c r="B58" s="76"/>
      <c r="C58" s="77"/>
      <c r="D58" s="77"/>
      <c r="E58" s="77"/>
      <c r="F58" s="77"/>
      <c r="G58" s="77"/>
      <c r="H58" s="77"/>
      <c r="I58" s="77"/>
      <c r="J58" s="77"/>
      <c r="K58" s="77"/>
      <c r="L58" s="77"/>
      <c r="M58" s="77"/>
      <c r="N58" s="77"/>
      <c r="O58" s="77"/>
      <c r="P58" s="77"/>
      <c r="Q58" s="77"/>
      <c r="R58" s="77"/>
      <c r="S58" s="77"/>
      <c r="T58" s="77"/>
      <c r="U58" s="2100"/>
      <c r="V58" s="11"/>
      <c r="W58" s="11"/>
      <c r="X58" s="11"/>
      <c r="Y58" s="10"/>
      <c r="Z58" s="10"/>
    </row>
    <row r="59" spans="1:26" hidden="1" outlineLevel="2">
      <c r="A59" s="76"/>
      <c r="B59" s="76"/>
      <c r="C59" s="77"/>
      <c r="D59" s="77"/>
      <c r="E59" s="77"/>
      <c r="F59" s="77"/>
      <c r="G59" s="77"/>
      <c r="H59" s="77"/>
      <c r="I59" s="77"/>
      <c r="J59" s="77"/>
      <c r="K59" s="77"/>
      <c r="L59" s="77"/>
      <c r="M59" s="77"/>
      <c r="N59" s="77"/>
      <c r="O59" s="77"/>
      <c r="P59" s="77"/>
      <c r="Q59" s="77"/>
      <c r="R59" s="77"/>
      <c r="S59" s="77"/>
      <c r="T59" s="77"/>
      <c r="U59" s="2100"/>
      <c r="V59" s="11"/>
      <c r="W59" s="11"/>
      <c r="X59" s="11"/>
      <c r="Y59" s="10"/>
      <c r="Z59" s="10"/>
    </row>
    <row r="60" spans="1:26" hidden="1" outlineLevel="2">
      <c r="A60" s="76" t="s">
        <v>158</v>
      </c>
      <c r="B60" s="76"/>
      <c r="C60" s="93">
        <f>C55-C57</f>
        <v>1150.0130000000022</v>
      </c>
      <c r="D60" s="93">
        <f t="shared" ref="D60:J60" si="94">D55-D57</f>
        <v>1112.6220000000003</v>
      </c>
      <c r="E60" s="93">
        <f t="shared" si="94"/>
        <v>809.19100000000003</v>
      </c>
      <c r="F60" s="93">
        <f t="shared" si="94"/>
        <v>896</v>
      </c>
      <c r="G60" s="93">
        <f t="shared" si="94"/>
        <v>967</v>
      </c>
      <c r="H60" s="93">
        <f t="shared" si="94"/>
        <v>1102</v>
      </c>
      <c r="I60" s="93">
        <f t="shared" si="94"/>
        <v>1204</v>
      </c>
      <c r="J60" s="93">
        <f t="shared" si="94"/>
        <v>833</v>
      </c>
      <c r="K60" s="93">
        <f t="shared" ref="K60:R60" si="95">K55-K57</f>
        <v>1135</v>
      </c>
      <c r="L60" s="93">
        <f t="shared" si="95"/>
        <v>1280</v>
      </c>
      <c r="M60" s="93">
        <f t="shared" si="95"/>
        <v>1240</v>
      </c>
      <c r="N60" s="93">
        <f t="shared" si="95"/>
        <v>1001.885</v>
      </c>
      <c r="O60" s="93">
        <f t="shared" si="95"/>
        <v>809.17</v>
      </c>
      <c r="P60" s="93">
        <f t="shared" si="95"/>
        <v>842.31999999999994</v>
      </c>
      <c r="Q60" s="93">
        <f t="shared" si="95"/>
        <v>1086.9877398149288</v>
      </c>
      <c r="R60" s="93">
        <f t="shared" si="95"/>
        <v>1146.4958151432147</v>
      </c>
      <c r="S60" s="93">
        <f t="shared" ref="S60:T60" si="96">S55-S57</f>
        <v>1195.1561371826804</v>
      </c>
      <c r="T60" s="93">
        <f t="shared" si="96"/>
        <v>1238.138013516299</v>
      </c>
      <c r="U60" s="2110">
        <f t="shared" ref="U60" si="97">U55-U57</f>
        <v>1254.8374765256362</v>
      </c>
      <c r="V60" s="11"/>
      <c r="W60" s="11"/>
      <c r="X60" s="11"/>
      <c r="Y60" s="10"/>
      <c r="Z60" s="10"/>
    </row>
    <row r="61" spans="1:26" hidden="1" outlineLevel="2">
      <c r="A61" s="76"/>
      <c r="B61" s="76"/>
      <c r="C61" s="94"/>
      <c r="D61" s="94"/>
      <c r="E61" s="94"/>
      <c r="F61" s="94"/>
      <c r="G61" s="94"/>
      <c r="H61" s="94"/>
      <c r="I61" s="94"/>
      <c r="J61" s="94"/>
      <c r="K61" s="94"/>
      <c r="L61" s="94"/>
      <c r="M61" s="94"/>
      <c r="N61" s="94"/>
      <c r="O61" s="94"/>
      <c r="P61" s="94"/>
      <c r="Q61" s="77"/>
      <c r="R61" s="77"/>
      <c r="S61" s="77"/>
      <c r="T61" s="77"/>
      <c r="U61" s="2100"/>
      <c r="V61" s="11"/>
      <c r="W61" s="11"/>
      <c r="X61" s="11"/>
      <c r="Y61" s="10"/>
      <c r="Z61" s="10"/>
    </row>
    <row r="62" spans="1:26" outlineLevel="1" collapsed="1">
      <c r="A62" s="84" t="s">
        <v>159</v>
      </c>
      <c r="B62" s="84"/>
      <c r="C62" s="85">
        <f t="shared" ref="C62:J62" si="98">C60/C63</f>
        <v>1.1603142700898601</v>
      </c>
      <c r="D62" s="85">
        <f t="shared" si="98"/>
        <v>1.2330872231814931</v>
      </c>
      <c r="E62" s="85">
        <f t="shared" si="98"/>
        <v>0.96793181818181817</v>
      </c>
      <c r="F62" s="85">
        <f t="shared" si="98"/>
        <v>1.128463476070529</v>
      </c>
      <c r="G62" s="85">
        <f t="shared" si="98"/>
        <v>1.344923504867872</v>
      </c>
      <c r="H62" s="85">
        <f t="shared" si="98"/>
        <v>1.5765379113018598</v>
      </c>
      <c r="I62" s="85">
        <f t="shared" si="98"/>
        <v>1.8783151326053042</v>
      </c>
      <c r="J62" s="85">
        <f t="shared" si="98"/>
        <v>1.5628517823639776</v>
      </c>
      <c r="K62" s="85">
        <f t="shared" ref="K62:R62" si="99">K60/K63</f>
        <v>2.3258196721311477</v>
      </c>
      <c r="L62" s="85">
        <f t="shared" si="99"/>
        <v>2.7438370846730975</v>
      </c>
      <c r="M62" s="85">
        <f t="shared" si="99"/>
        <v>2.8213879408418658</v>
      </c>
      <c r="N62" s="85">
        <f t="shared" si="99"/>
        <v>2.425871670702179</v>
      </c>
      <c r="O62" s="85">
        <f t="shared" si="99"/>
        <v>2.0229249999999999</v>
      </c>
      <c r="P62" s="85">
        <f t="shared" si="99"/>
        <v>2.1297597977243994</v>
      </c>
      <c r="Q62" s="85">
        <f t="shared" si="99"/>
        <v>2.8257913513386361</v>
      </c>
      <c r="R62" s="451">
        <f t="shared" si="99"/>
        <v>3.0841698128524064</v>
      </c>
      <c r="S62" s="451">
        <f t="shared" ref="S62:T62" si="100">S60/S63</f>
        <v>3.3104860664610176</v>
      </c>
      <c r="T62" s="451">
        <f t="shared" si="100"/>
        <v>3.5286026453060777</v>
      </c>
      <c r="U62" s="2111">
        <f t="shared" ref="U62" si="101">U60/U63</f>
        <v>3.6769550113302931</v>
      </c>
      <c r="V62" s="37"/>
      <c r="W62" s="11"/>
      <c r="X62" s="61"/>
      <c r="Y62" s="19"/>
      <c r="Z62" s="10"/>
    </row>
    <row r="63" spans="1:26" outlineLevel="1">
      <c r="A63" s="76" t="s">
        <v>160</v>
      </c>
      <c r="B63" s="76"/>
      <c r="C63" s="91">
        <f>C24</f>
        <v>991.12199999999996</v>
      </c>
      <c r="D63" s="91">
        <f t="shared" ref="D63:J63" si="102">D24</f>
        <v>902.30600000000004</v>
      </c>
      <c r="E63" s="91">
        <f t="shared" si="102"/>
        <v>836</v>
      </c>
      <c r="F63" s="91">
        <f t="shared" si="102"/>
        <v>794</v>
      </c>
      <c r="G63" s="91">
        <f t="shared" si="102"/>
        <v>719</v>
      </c>
      <c r="H63" s="91">
        <f t="shared" si="102"/>
        <v>699</v>
      </c>
      <c r="I63" s="91">
        <f t="shared" si="102"/>
        <v>641</v>
      </c>
      <c r="J63" s="91">
        <f t="shared" si="102"/>
        <v>533</v>
      </c>
      <c r="K63" s="91">
        <f t="shared" ref="K63:R63" si="103">K24</f>
        <v>488</v>
      </c>
      <c r="L63" s="91">
        <f t="shared" si="103"/>
        <v>466.5</v>
      </c>
      <c r="M63" s="91">
        <f t="shared" si="103"/>
        <v>439.5</v>
      </c>
      <c r="N63" s="91">
        <f t="shared" si="103"/>
        <v>413</v>
      </c>
      <c r="O63" s="91">
        <f t="shared" si="103"/>
        <v>400</v>
      </c>
      <c r="P63" s="91">
        <f t="shared" si="103"/>
        <v>395.5</v>
      </c>
      <c r="Q63" s="91">
        <f t="shared" si="103"/>
        <v>384.66666666666669</v>
      </c>
      <c r="R63" s="91">
        <f t="shared" si="103"/>
        <v>371.73563218390808</v>
      </c>
      <c r="S63" s="91">
        <f t="shared" ref="S63:T63" si="104">S24</f>
        <v>361.02134646962236</v>
      </c>
      <c r="T63" s="91">
        <f t="shared" si="104"/>
        <v>350.8862113344872</v>
      </c>
      <c r="U63" s="2109">
        <f t="shared" ref="U63" si="105">U24</f>
        <v>341.27082671910256</v>
      </c>
      <c r="V63" s="10"/>
      <c r="W63" s="10"/>
      <c r="X63" s="10"/>
      <c r="Y63" s="10"/>
      <c r="Z63" s="10"/>
    </row>
    <row r="64" spans="1:26" hidden="1" outlineLevel="2">
      <c r="A64" s="76"/>
      <c r="B64" s="76"/>
      <c r="C64" s="77"/>
      <c r="D64" s="77"/>
      <c r="E64" s="77"/>
      <c r="F64" s="77"/>
      <c r="G64" s="77"/>
      <c r="H64" s="77"/>
      <c r="I64" s="77"/>
      <c r="J64" s="77"/>
      <c r="K64" s="77"/>
      <c r="L64" s="77"/>
      <c r="M64" s="77"/>
      <c r="N64" s="77"/>
      <c r="O64" s="77"/>
      <c r="P64" s="77"/>
      <c r="Q64" s="77"/>
      <c r="R64" s="77"/>
      <c r="S64" s="77"/>
      <c r="T64" s="77"/>
      <c r="U64" s="2100"/>
      <c r="V64" s="10"/>
      <c r="W64" s="10"/>
      <c r="X64" s="10"/>
      <c r="Y64" s="10"/>
      <c r="Z64" s="10"/>
    </row>
    <row r="65" spans="1:33" hidden="1" outlineLevel="2">
      <c r="A65" s="76" t="s">
        <v>663</v>
      </c>
      <c r="B65" s="76"/>
      <c r="C65" s="93">
        <f t="shared" ref="C65:P65" si="106">C52+C51</f>
        <v>2594.5480000000025</v>
      </c>
      <c r="D65" s="93">
        <f t="shared" si="106"/>
        <v>2369.5300000000002</v>
      </c>
      <c r="E65" s="93">
        <f t="shared" si="106"/>
        <v>1755</v>
      </c>
      <c r="F65" s="93">
        <f t="shared" si="106"/>
        <v>1891</v>
      </c>
      <c r="G65" s="93">
        <f t="shared" si="106"/>
        <v>2116</v>
      </c>
      <c r="H65" s="93">
        <f t="shared" si="106"/>
        <v>2388</v>
      </c>
      <c r="I65" s="93">
        <f t="shared" si="106"/>
        <v>2530</v>
      </c>
      <c r="J65" s="93">
        <f t="shared" si="106"/>
        <v>1944</v>
      </c>
      <c r="K65" s="93">
        <f>K52+K51</f>
        <v>2425</v>
      </c>
      <c r="L65" s="93">
        <f>L52+L51</f>
        <v>2619</v>
      </c>
      <c r="M65" s="93">
        <f>M52+M51</f>
        <v>2544</v>
      </c>
      <c r="N65" s="93">
        <f t="shared" si="106"/>
        <v>2183</v>
      </c>
      <c r="O65" s="93">
        <f t="shared" ref="O65" si="107">O52+O51</f>
        <v>1925</v>
      </c>
      <c r="P65" s="93">
        <f t="shared" si="106"/>
        <v>1950</v>
      </c>
      <c r="Q65" s="93">
        <f>Q52+Q51</f>
        <v>2071.9023511012556</v>
      </c>
      <c r="R65" s="93">
        <f>R52+R51</f>
        <v>2167.3186691124529</v>
      </c>
      <c r="S65" s="93">
        <f t="shared" ref="S65:T65" si="108">S52+S51</f>
        <v>2248.0758610576768</v>
      </c>
      <c r="T65" s="93">
        <f t="shared" si="108"/>
        <v>2321.1594777247292</v>
      </c>
      <c r="U65" s="2110">
        <f t="shared" ref="U65" si="109">U52+U51</f>
        <v>2358.7263196292388</v>
      </c>
      <c r="V65" s="10"/>
      <c r="W65" s="10"/>
      <c r="X65" s="10"/>
      <c r="Y65" s="10"/>
      <c r="Z65" s="10"/>
    </row>
    <row r="66" spans="1:33" outlineLevel="1" collapsed="1">
      <c r="A66" s="76"/>
      <c r="B66" s="76"/>
      <c r="C66" s="77"/>
      <c r="D66" s="77"/>
      <c r="E66" s="77"/>
      <c r="F66" s="77"/>
      <c r="G66" s="77"/>
      <c r="H66" s="77"/>
      <c r="I66" s="77"/>
      <c r="J66" s="77"/>
      <c r="K66" s="77"/>
      <c r="L66" s="77"/>
      <c r="M66" s="77"/>
      <c r="N66" s="77"/>
      <c r="O66" s="77"/>
      <c r="P66" s="74">
        <f>P50/O50-1</f>
        <v>9.3323930418429679E-2</v>
      </c>
      <c r="Q66" s="74">
        <f>Q50/P50-1</f>
        <v>2.3242479936794513E-2</v>
      </c>
      <c r="R66" s="74">
        <f>R50/Q50-1</f>
        <v>2.060523999588737E-2</v>
      </c>
      <c r="S66" s="74">
        <f t="shared" ref="S66:U66" si="110">S50/R50-1</f>
        <v>2.0319462928175769E-2</v>
      </c>
      <c r="T66" s="74">
        <f t="shared" si="110"/>
        <v>2.0702418000594358E-2</v>
      </c>
      <c r="U66" s="2112">
        <f t="shared" si="110"/>
        <v>1.9955887769794955E-2</v>
      </c>
      <c r="V66" s="10"/>
      <c r="W66" s="10"/>
      <c r="X66" s="10"/>
      <c r="Y66" s="10"/>
      <c r="Z66" s="10"/>
    </row>
    <row r="67" spans="1:33" outlineLevel="1">
      <c r="A67" s="14" t="s">
        <v>16</v>
      </c>
      <c r="B67" s="76"/>
      <c r="C67" s="77"/>
      <c r="D67" s="77"/>
      <c r="E67" s="77"/>
      <c r="F67" s="77"/>
      <c r="G67" s="77"/>
      <c r="H67" s="77"/>
      <c r="I67" s="77"/>
      <c r="J67" s="77"/>
      <c r="K67" s="77"/>
      <c r="L67" s="77"/>
      <c r="M67" s="77"/>
      <c r="N67" s="77"/>
      <c r="O67" s="77"/>
      <c r="P67" s="77"/>
      <c r="Q67" s="77"/>
      <c r="R67" s="77"/>
      <c r="S67" s="77"/>
      <c r="T67" s="77"/>
      <c r="U67" s="2100"/>
      <c r="V67" s="10"/>
      <c r="W67" s="10"/>
      <c r="X67" s="10"/>
      <c r="Y67" s="10"/>
      <c r="Z67" s="10"/>
    </row>
    <row r="68" spans="1:33" outlineLevel="1">
      <c r="A68" s="76" t="s">
        <v>664</v>
      </c>
      <c r="B68" s="76"/>
      <c r="C68" s="95">
        <f t="shared" ref="C68:J68" si="111">C49/C45</f>
        <v>0.39225977155170649</v>
      </c>
      <c r="D68" s="95">
        <f t="shared" si="111"/>
        <v>0.36631135253610664</v>
      </c>
      <c r="E68" s="95">
        <f t="shared" si="111"/>
        <v>0.35527224769201782</v>
      </c>
      <c r="F68" s="95">
        <f t="shared" si="111"/>
        <v>0.36109877561377912</v>
      </c>
      <c r="G68" s="95">
        <f t="shared" si="111"/>
        <v>0.37498278948093072</v>
      </c>
      <c r="H68" s="95">
        <f t="shared" si="111"/>
        <v>0.40318377121927168</v>
      </c>
      <c r="I68" s="95">
        <f t="shared" si="111"/>
        <v>0.40159574468085107</v>
      </c>
      <c r="J68" s="95">
        <f t="shared" si="111"/>
        <v>0.36249914083442158</v>
      </c>
      <c r="K68" s="95">
        <f t="shared" ref="K68:P68" si="112">K49/K45</f>
        <v>0.3942879049262028</v>
      </c>
      <c r="L68" s="95">
        <f t="shared" si="112"/>
        <v>0.38970770374040131</v>
      </c>
      <c r="M68" s="95">
        <f t="shared" si="112"/>
        <v>0.38265895953757223</v>
      </c>
      <c r="N68" s="95">
        <f t="shared" si="112"/>
        <v>0.36418307273532952</v>
      </c>
      <c r="O68" s="95">
        <f t="shared" si="112"/>
        <v>0.36401134312967259</v>
      </c>
      <c r="P68" s="95">
        <f t="shared" si="112"/>
        <v>0.38259224219489119</v>
      </c>
      <c r="Q68" s="96">
        <f>Q29+0.004</f>
        <v>0.38285597527483689</v>
      </c>
      <c r="R68" s="96">
        <f>R29+0.0084</f>
        <v>0.38445597527483699</v>
      </c>
      <c r="S68" s="96">
        <f>S29+0.011</f>
        <v>0.38505597527483693</v>
      </c>
      <c r="T68" s="96">
        <f>T29+0.013</f>
        <v>0.38505597527483687</v>
      </c>
      <c r="U68" s="2113">
        <f>U29+0.013</f>
        <v>0.38305597527483692</v>
      </c>
      <c r="V68" s="1008">
        <f>13*R62</f>
        <v>40.094207567081284</v>
      </c>
      <c r="W68" s="10"/>
      <c r="X68" s="10"/>
      <c r="Y68" s="10"/>
      <c r="Z68" s="10"/>
      <c r="AD68" s="96">
        <v>0.35599999999999998</v>
      </c>
      <c r="AE68" s="96">
        <v>0.35899999999999999</v>
      </c>
      <c r="AF68" s="96">
        <v>0.36249999999999999</v>
      </c>
      <c r="AG68" s="96">
        <f>AF68+0.001</f>
        <v>0.36349999999999999</v>
      </c>
    </row>
    <row r="69" spans="1:33" outlineLevel="1">
      <c r="A69" s="76" t="s">
        <v>18</v>
      </c>
      <c r="B69" s="76"/>
      <c r="C69" s="95">
        <f t="shared" ref="C69:J69" si="113">C50/C45</f>
        <v>0.27054106553345553</v>
      </c>
      <c r="D69" s="95">
        <f t="shared" si="113"/>
        <v>0.25745360841470405</v>
      </c>
      <c r="E69" s="95">
        <f t="shared" si="113"/>
        <v>0.27833950888651637</v>
      </c>
      <c r="F69" s="95">
        <f t="shared" si="113"/>
        <v>0.27583581805493879</v>
      </c>
      <c r="G69" s="95">
        <f t="shared" si="113"/>
        <v>0.26841525540410299</v>
      </c>
      <c r="H69" s="95">
        <f t="shared" si="113"/>
        <v>0.27533986053391563</v>
      </c>
      <c r="I69" s="95">
        <f t="shared" si="113"/>
        <v>0.26738952536824878</v>
      </c>
      <c r="J69" s="95">
        <f t="shared" si="113"/>
        <v>0.26366073269640528</v>
      </c>
      <c r="K69" s="95">
        <f t="shared" ref="K69:P69" si="114">K50/K45</f>
        <v>0.27020637658935531</v>
      </c>
      <c r="L69" s="95">
        <f t="shared" si="114"/>
        <v>0.25662620757988608</v>
      </c>
      <c r="M69" s="95">
        <f t="shared" si="114"/>
        <v>0.25829023425616066</v>
      </c>
      <c r="N69" s="95">
        <f t="shared" si="114"/>
        <v>0.25935304171678164</v>
      </c>
      <c r="O69" s="95">
        <f t="shared" si="114"/>
        <v>0.27416860015467903</v>
      </c>
      <c r="P69" s="95">
        <f t="shared" si="114"/>
        <v>0.29334594765058342</v>
      </c>
      <c r="Q69" s="96">
        <f>Q30-0.0025</f>
        <v>0.29008904023573234</v>
      </c>
      <c r="R69" s="96">
        <f>Q69-0.1%</f>
        <v>0.28908904023573234</v>
      </c>
      <c r="S69" s="96">
        <f t="shared" ref="S69:U69" si="115">R69-0.1%</f>
        <v>0.28808904023573234</v>
      </c>
      <c r="T69" s="96">
        <f t="shared" si="115"/>
        <v>0.28708904023573234</v>
      </c>
      <c r="U69" s="2113">
        <f t="shared" si="115"/>
        <v>0.28608904023573234</v>
      </c>
      <c r="V69" s="10"/>
      <c r="W69" s="10"/>
      <c r="X69" s="10"/>
      <c r="Y69" s="10"/>
      <c r="Z69" s="10"/>
      <c r="AD69" s="96">
        <v>0.26400000000000001</v>
      </c>
      <c r="AE69" s="96">
        <v>0.2545</v>
      </c>
      <c r="AF69" s="96">
        <v>0.25209999999999999</v>
      </c>
      <c r="AG69" s="96">
        <v>0.25</v>
      </c>
    </row>
    <row r="70" spans="1:33" outlineLevel="1">
      <c r="A70" s="76" t="s">
        <v>666</v>
      </c>
      <c r="B70" s="76"/>
      <c r="C70" s="95">
        <f t="shared" ref="C70:J70" si="116">C52/C45</f>
        <v>0.12171870601825098</v>
      </c>
      <c r="D70" s="95">
        <f t="shared" si="116"/>
        <v>0.10885774412140262</v>
      </c>
      <c r="E70" s="95">
        <f t="shared" si="116"/>
        <v>7.6932738805501472E-2</v>
      </c>
      <c r="F70" s="95">
        <f t="shared" si="116"/>
        <v>8.5262957558840322E-2</v>
      </c>
      <c r="G70" s="95">
        <f t="shared" si="116"/>
        <v>0.10656753407682776</v>
      </c>
      <c r="H70" s="95">
        <f t="shared" si="116"/>
        <v>0.12784391068535605</v>
      </c>
      <c r="I70" s="95">
        <f t="shared" si="116"/>
        <v>0.13420621931260229</v>
      </c>
      <c r="J70" s="95">
        <f t="shared" si="116"/>
        <v>9.8838408138016365E-2</v>
      </c>
      <c r="K70" s="95">
        <f t="shared" ref="K70:R70" si="117">K52/K45</f>
        <v>0.12408152833684749</v>
      </c>
      <c r="L70" s="95">
        <f t="shared" si="117"/>
        <v>0.13308149616051523</v>
      </c>
      <c r="M70" s="95">
        <f t="shared" si="117"/>
        <v>0.12436872528141162</v>
      </c>
      <c r="N70" s="95">
        <f t="shared" si="117"/>
        <v>0.10483003101854782</v>
      </c>
      <c r="O70" s="95">
        <f t="shared" si="117"/>
        <v>8.9842742974993561E-2</v>
      </c>
      <c r="P70" s="95">
        <f t="shared" si="117"/>
        <v>8.9246294544307783E-2</v>
      </c>
      <c r="Q70" s="95">
        <f t="shared" si="117"/>
        <v>9.2766935039104562E-2</v>
      </c>
      <c r="R70" s="95">
        <f t="shared" si="117"/>
        <v>9.5366935039104636E-2</v>
      </c>
      <c r="S70" s="95">
        <f t="shared" ref="S70:T70" si="118">S52/S45</f>
        <v>9.6966935039104585E-2</v>
      </c>
      <c r="T70" s="95">
        <f t="shared" si="118"/>
        <v>9.796693503910453E-2</v>
      </c>
      <c r="U70" s="112">
        <f t="shared" ref="U70" si="119">U52/U45</f>
        <v>9.6966935039104585E-2</v>
      </c>
      <c r="V70">
        <f>12*2.5</f>
        <v>30</v>
      </c>
      <c r="W70" s="10"/>
      <c r="X70" s="10"/>
      <c r="Y70" s="10"/>
      <c r="Z70" s="10"/>
      <c r="AD70" s="95"/>
      <c r="AE70" s="95"/>
      <c r="AF70" s="95"/>
      <c r="AG70" s="95"/>
    </row>
    <row r="71" spans="1:33" outlineLevel="1">
      <c r="A71" s="76" t="s">
        <v>20</v>
      </c>
      <c r="B71" s="76"/>
      <c r="C71" s="95">
        <f>C57/C55</f>
        <v>0.38568108234291065</v>
      </c>
      <c r="D71" s="95">
        <f t="shared" ref="D71:J71" si="120">D57/D55</f>
        <v>0.37920102307612474</v>
      </c>
      <c r="E71" s="95">
        <f t="shared" si="120"/>
        <v>0.3847349928641543</v>
      </c>
      <c r="F71" s="95">
        <f t="shared" si="120"/>
        <v>0.37560975609756098</v>
      </c>
      <c r="G71" s="95">
        <f t="shared" si="120"/>
        <v>0.38952020202020204</v>
      </c>
      <c r="H71" s="95">
        <f t="shared" si="120"/>
        <v>0.39317180616740088</v>
      </c>
      <c r="I71" s="95">
        <f t="shared" si="120"/>
        <v>0.39253279515640765</v>
      </c>
      <c r="J71" s="95">
        <f t="shared" si="120"/>
        <v>0.39152666179693207</v>
      </c>
      <c r="K71" s="95">
        <f t="shared" ref="K71:P71" si="121">K57/K55</f>
        <v>0.39011284255776463</v>
      </c>
      <c r="L71" s="95">
        <f t="shared" si="121"/>
        <v>0.38843764930721453</v>
      </c>
      <c r="M71" s="95">
        <f t="shared" si="121"/>
        <v>0.37183383991894631</v>
      </c>
      <c r="N71" s="95">
        <f t="shared" si="121"/>
        <v>0.37499376169681847</v>
      </c>
      <c r="O71" s="95">
        <f t="shared" si="121"/>
        <v>0.39022607385079128</v>
      </c>
      <c r="P71" s="95">
        <f t="shared" si="121"/>
        <v>0.38064705882352945</v>
      </c>
      <c r="Q71" s="96">
        <f>Q32</f>
        <v>0.26000000000000029</v>
      </c>
      <c r="R71" s="96">
        <f t="shared" ref="R71:T71" si="122">R32</f>
        <v>0.26000000000000029</v>
      </c>
      <c r="S71" s="96">
        <f t="shared" si="122"/>
        <v>0.26000000000000029</v>
      </c>
      <c r="T71" s="96">
        <f t="shared" si="122"/>
        <v>0.26000000000000029</v>
      </c>
      <c r="U71" s="2113">
        <f t="shared" ref="U71" si="123">U32</f>
        <v>0.26000000000000029</v>
      </c>
      <c r="V71" s="10"/>
      <c r="W71" s="10"/>
      <c r="X71" s="10"/>
      <c r="Y71" s="10"/>
      <c r="Z71" s="10"/>
      <c r="AD71" s="96">
        <v>0.4</v>
      </c>
      <c r="AE71" s="96">
        <v>0.38500000000000001</v>
      </c>
      <c r="AF71" s="96">
        <v>0.38500000000000001</v>
      </c>
      <c r="AG71" s="96">
        <v>0.38500000000000001</v>
      </c>
    </row>
    <row r="72" spans="1:33" outlineLevel="1">
      <c r="A72" s="76"/>
      <c r="B72" s="76"/>
      <c r="C72" s="77"/>
      <c r="D72" s="77"/>
      <c r="E72" s="77"/>
      <c r="F72" s="77"/>
      <c r="G72" s="77"/>
      <c r="H72" s="77"/>
      <c r="I72" s="77"/>
      <c r="J72" s="77"/>
      <c r="K72" s="77"/>
      <c r="L72" s="77"/>
      <c r="M72" s="77"/>
      <c r="N72" s="77"/>
      <c r="O72" s="77"/>
      <c r="P72" s="77"/>
      <c r="Q72" s="77"/>
      <c r="R72" s="77"/>
      <c r="S72" s="77"/>
      <c r="T72" s="77"/>
      <c r="U72" s="2100"/>
      <c r="V72" s="10"/>
      <c r="W72" s="10"/>
      <c r="X72" s="10"/>
      <c r="Y72" s="10">
        <f>12*2.45</f>
        <v>29.400000000000002</v>
      </c>
      <c r="Z72" s="10"/>
    </row>
    <row r="73" spans="1:33" outlineLevel="1">
      <c r="A73" s="14" t="s">
        <v>21</v>
      </c>
      <c r="B73" s="76"/>
      <c r="C73" s="77"/>
      <c r="D73" s="77"/>
      <c r="E73" s="77"/>
      <c r="F73" s="77"/>
      <c r="G73" s="77"/>
      <c r="H73" s="77"/>
      <c r="I73" s="77"/>
      <c r="J73" s="77"/>
      <c r="K73" s="77"/>
      <c r="L73" s="77"/>
      <c r="M73" s="77"/>
      <c r="N73" s="77"/>
      <c r="O73" s="77"/>
      <c r="P73" s="77"/>
      <c r="Q73" s="77"/>
      <c r="R73" s="77"/>
      <c r="S73" s="77"/>
      <c r="T73" s="77"/>
      <c r="U73" s="2100"/>
      <c r="V73" s="10"/>
      <c r="W73" s="10"/>
      <c r="X73" s="10"/>
      <c r="Y73" s="10"/>
      <c r="Z73" s="10"/>
    </row>
    <row r="74" spans="1:33" outlineLevel="1">
      <c r="A74" s="76" t="s">
        <v>560</v>
      </c>
      <c r="B74" s="76"/>
      <c r="C74" s="97" t="s">
        <v>644</v>
      </c>
      <c r="D74" s="95">
        <f t="shared" ref="D74:P74" si="124">((D45/C45)-1)</f>
        <v>-1.5000613804258101E-2</v>
      </c>
      <c r="E74" s="95">
        <f t="shared" si="124"/>
        <v>-6.2645958593005036E-3</v>
      </c>
      <c r="F74" s="95">
        <f t="shared" si="124"/>
        <v>-1.0048357721534895E-2</v>
      </c>
      <c r="G74" s="95">
        <f t="shared" si="124"/>
        <v>-7.8474909598426734E-2</v>
      </c>
      <c r="H74" s="95">
        <f t="shared" si="124"/>
        <v>-2.2649043095139709E-2</v>
      </c>
      <c r="I74" s="95">
        <f t="shared" si="124"/>
        <v>3.2894273438050403E-2</v>
      </c>
      <c r="J74" s="95">
        <f t="shared" si="124"/>
        <v>-7.8423349699945355E-3</v>
      </c>
      <c r="K74" s="95">
        <f t="shared" si="124"/>
        <v>7.5744037390885977E-2</v>
      </c>
      <c r="L74" s="95">
        <f t="shared" si="124"/>
        <v>3.1755159414733836E-2</v>
      </c>
      <c r="M74" s="95">
        <f t="shared" si="124"/>
        <v>1.7773098835769163E-2</v>
      </c>
      <c r="N74" s="95">
        <f t="shared" si="124"/>
        <v>-3.8819592333434794E-2</v>
      </c>
      <c r="O74" s="95">
        <f t="shared" si="124"/>
        <v>-1.778818763056278E-2</v>
      </c>
      <c r="P74" s="95">
        <f t="shared" si="124"/>
        <v>2.1848414539829886E-2</v>
      </c>
      <c r="Q74" s="95">
        <f>Q75+Q81</f>
        <v>3.4730697545390141E-2</v>
      </c>
      <c r="R74" s="95">
        <f>R75+R81</f>
        <v>2.4135658302868523E-2</v>
      </c>
      <c r="S74" s="95">
        <f t="shared" ref="S74:T74" si="125">S75+S81</f>
        <v>2.386114386853113E-2</v>
      </c>
      <c r="T74" s="95">
        <f t="shared" si="125"/>
        <v>2.4257769389704972E-2</v>
      </c>
      <c r="U74" s="112">
        <f t="shared" ref="U74" si="126">U75+U81</f>
        <v>2.3521057155275117E-2</v>
      </c>
      <c r="V74" s="10"/>
      <c r="W74" s="10"/>
      <c r="X74" s="10"/>
      <c r="Y74" s="10"/>
      <c r="Z74" s="10"/>
    </row>
    <row r="75" spans="1:33" outlineLevel="1">
      <c r="A75" s="76" t="s">
        <v>161</v>
      </c>
      <c r="B75" s="76"/>
      <c r="C75" s="99">
        <f>C36</f>
        <v>4.0000000000000001E-3</v>
      </c>
      <c r="D75" s="99">
        <f t="shared" ref="D75:J75" si="127">D36</f>
        <v>-5.0999999999999997E-2</v>
      </c>
      <c r="E75" s="99">
        <f t="shared" si="127"/>
        <v>-7.0000000000000007E-2</v>
      </c>
      <c r="F75" s="99">
        <f t="shared" si="127"/>
        <v>-0.04</v>
      </c>
      <c r="G75" s="99">
        <f t="shared" si="127"/>
        <v>-0.11838208207470713</v>
      </c>
      <c r="H75" s="99">
        <f t="shared" si="127"/>
        <v>-3.0030152268958239E-2</v>
      </c>
      <c r="I75" s="99">
        <f t="shared" si="127"/>
        <v>0.02</v>
      </c>
      <c r="J75" s="99">
        <f t="shared" si="127"/>
        <v>-0.04</v>
      </c>
      <c r="K75" s="99">
        <f t="shared" ref="K75:P75" si="128">K36</f>
        <v>4.7896859694612506E-2</v>
      </c>
      <c r="L75" s="99">
        <f t="shared" si="128"/>
        <v>2.1890636611345059E-2</v>
      </c>
      <c r="M75" s="99">
        <f t="shared" si="128"/>
        <v>0</v>
      </c>
      <c r="N75" s="99">
        <f t="shared" si="128"/>
        <v>-0.04</v>
      </c>
      <c r="O75" s="99">
        <f t="shared" si="128"/>
        <v>-0.02</v>
      </c>
      <c r="P75" s="99">
        <f t="shared" si="128"/>
        <v>0.03</v>
      </c>
      <c r="Q75" s="96">
        <v>0.02</v>
      </c>
      <c r="R75" s="96">
        <v>0.02</v>
      </c>
      <c r="S75" s="96">
        <v>0.02</v>
      </c>
      <c r="T75" s="96">
        <v>0.02</v>
      </c>
      <c r="U75" s="2113">
        <v>0.02</v>
      </c>
      <c r="V75" s="10"/>
      <c r="W75" s="10"/>
      <c r="X75" s="10"/>
      <c r="Y75" s="10"/>
      <c r="Z75" s="10"/>
    </row>
    <row r="76" spans="1:33" outlineLevel="1">
      <c r="A76" s="76" t="s">
        <v>7</v>
      </c>
      <c r="B76" s="76"/>
      <c r="C76" s="97" t="s">
        <v>644</v>
      </c>
      <c r="D76" s="95">
        <f t="shared" ref="D76:P76" si="129">((D50/C50)-1)</f>
        <v>-6.2650079527380109E-2</v>
      </c>
      <c r="E76" s="95">
        <f t="shared" si="129"/>
        <v>7.4352098053051874E-2</v>
      </c>
      <c r="F76" s="95">
        <f t="shared" si="129"/>
        <v>-1.8953068592057809E-2</v>
      </c>
      <c r="G76" s="95">
        <f t="shared" si="129"/>
        <v>-0.10326586936522542</v>
      </c>
      <c r="H76" s="95">
        <f t="shared" si="129"/>
        <v>2.5647601949216892E-3</v>
      </c>
      <c r="I76" s="95">
        <f t="shared" si="129"/>
        <v>3.0698388334613469E-3</v>
      </c>
      <c r="J76" s="95">
        <f t="shared" si="129"/>
        <v>-2.1678143330782995E-2</v>
      </c>
      <c r="K76" s="95">
        <f t="shared" si="129"/>
        <v>0.10245046923879042</v>
      </c>
      <c r="L76" s="95">
        <f t="shared" si="129"/>
        <v>-2.0099314258690049E-2</v>
      </c>
      <c r="M76" s="95">
        <f t="shared" si="129"/>
        <v>2.437258687258681E-2</v>
      </c>
      <c r="N76" s="95">
        <f t="shared" si="129"/>
        <v>-3.4864546525323892E-2</v>
      </c>
      <c r="O76" s="95">
        <f t="shared" si="129"/>
        <v>3.8320722479863401E-2</v>
      </c>
      <c r="P76" s="95">
        <f t="shared" si="129"/>
        <v>9.3323930418429679E-2</v>
      </c>
      <c r="Q76" s="95">
        <f>((Q50/P50)-1)</f>
        <v>2.3242479936794513E-2</v>
      </c>
      <c r="R76" s="95">
        <f>((R50/Q50)-1)</f>
        <v>2.060523999588737E-2</v>
      </c>
      <c r="S76" s="95">
        <f t="shared" ref="S76:U76" si="130">((S50/R50)-1)</f>
        <v>2.0319462928175769E-2</v>
      </c>
      <c r="T76" s="95">
        <f t="shared" si="130"/>
        <v>2.0702418000594358E-2</v>
      </c>
      <c r="U76" s="112">
        <f t="shared" si="130"/>
        <v>1.9955887769794955E-2</v>
      </c>
      <c r="V76" s="10"/>
      <c r="W76" s="10"/>
      <c r="X76" s="10"/>
      <c r="Y76" s="10"/>
      <c r="Z76" s="10"/>
    </row>
    <row r="77" spans="1:33" outlineLevel="1">
      <c r="A77" s="76" t="s">
        <v>25</v>
      </c>
      <c r="B77" s="76"/>
      <c r="C77" s="97" t="s">
        <v>644</v>
      </c>
      <c r="D77" s="95">
        <f t="shared" ref="D77:P77" si="131">((D52/C52)-1)</f>
        <v>-0.11907697140522511</v>
      </c>
      <c r="E77" s="95">
        <f t="shared" si="131"/>
        <v>-0.29770006805143023</v>
      </c>
      <c r="F77" s="95">
        <f t="shared" si="131"/>
        <v>9.7142857142857197E-2</v>
      </c>
      <c r="G77" s="95">
        <f t="shared" si="131"/>
        <v>0.15178571428571419</v>
      </c>
      <c r="H77" s="95">
        <f t="shared" si="131"/>
        <v>0.17248062015503884</v>
      </c>
      <c r="I77" s="95">
        <f t="shared" si="131"/>
        <v>8.4297520661156922E-2</v>
      </c>
      <c r="J77" s="95">
        <f t="shared" si="131"/>
        <v>-0.26930894308943087</v>
      </c>
      <c r="K77" s="95">
        <f t="shared" si="131"/>
        <v>0.35048678720445059</v>
      </c>
      <c r="L77" s="95">
        <f t="shared" si="131"/>
        <v>0.1065911431513904</v>
      </c>
      <c r="M77" s="95">
        <f t="shared" si="131"/>
        <v>-4.8859934853420217E-2</v>
      </c>
      <c r="N77" s="95">
        <f t="shared" si="131"/>
        <v>-0.18982387475538165</v>
      </c>
      <c r="O77" s="95">
        <f t="shared" si="131"/>
        <v>-0.15821256038647347</v>
      </c>
      <c r="P77" s="95">
        <f t="shared" si="131"/>
        <v>1.5064562410330051E-2</v>
      </c>
      <c r="Q77" s="95">
        <f>((Q52/P52)-1)</f>
        <v>7.5549364735869595E-2</v>
      </c>
      <c r="R77" s="95">
        <f>((R52/Q52)-1)</f>
        <v>5.2839341468266854E-2</v>
      </c>
      <c r="S77" s="95">
        <f t="shared" ref="S77:U77" si="132">((S52/R52)-1)</f>
        <v>4.1038772881331953E-2</v>
      </c>
      <c r="T77" s="95">
        <f t="shared" si="132"/>
        <v>3.4820728495059683E-2</v>
      </c>
      <c r="U77" s="112">
        <f t="shared" si="132"/>
        <v>1.3073439734696546E-2</v>
      </c>
      <c r="V77" s="10"/>
      <c r="W77" s="10"/>
      <c r="X77" s="10"/>
      <c r="Y77" s="10"/>
      <c r="Z77" s="10"/>
    </row>
    <row r="78" spans="1:33" outlineLevel="1">
      <c r="A78" s="76" t="s">
        <v>26</v>
      </c>
      <c r="B78" s="76"/>
      <c r="C78" s="97" t="s">
        <v>644</v>
      </c>
      <c r="D78" s="95">
        <f t="shared" ref="D78:P78" si="133">((D62/C62)-1)</f>
        <v>6.2718312587844993E-2</v>
      </c>
      <c r="E78" s="95">
        <f t="shared" si="133"/>
        <v>-0.21503377864507145</v>
      </c>
      <c r="F78" s="95">
        <f t="shared" si="133"/>
        <v>0.16585017133774627</v>
      </c>
      <c r="G78" s="95">
        <f t="shared" si="133"/>
        <v>0.19181837373335986</v>
      </c>
      <c r="H78" s="95">
        <f t="shared" si="133"/>
        <v>0.17221381409104164</v>
      </c>
      <c r="I78" s="95">
        <f t="shared" si="133"/>
        <v>0.19141767485581451</v>
      </c>
      <c r="J78" s="95">
        <f t="shared" si="133"/>
        <v>-0.16795017234608833</v>
      </c>
      <c r="K78" s="95">
        <f t="shared" si="133"/>
        <v>0.48818953811032606</v>
      </c>
      <c r="L78" s="95">
        <f t="shared" si="133"/>
        <v>0.17972907252904968</v>
      </c>
      <c r="M78" s="95">
        <f t="shared" si="133"/>
        <v>2.8263651877133089E-2</v>
      </c>
      <c r="N78" s="95">
        <f t="shared" si="133"/>
        <v>-0.1401850005858003</v>
      </c>
      <c r="O78" s="95">
        <f t="shared" si="133"/>
        <v>-0.16610386920654563</v>
      </c>
      <c r="P78" s="95">
        <f t="shared" si="133"/>
        <v>5.2812040844025132E-2</v>
      </c>
      <c r="Q78" s="95">
        <f>((Q62/P62)-1)</f>
        <v>0.326812232232917</v>
      </c>
      <c r="R78" s="95">
        <f>((R62/Q62)-1)</f>
        <v>9.1435788913208693E-2</v>
      </c>
      <c r="S78" s="95">
        <f t="shared" ref="S78:U78" si="134">((S62/R62)-1)</f>
        <v>7.3379958738167383E-2</v>
      </c>
      <c r="T78" s="95">
        <f t="shared" si="134"/>
        <v>6.5886572082217265E-2</v>
      </c>
      <c r="U78" s="112">
        <f t="shared" si="134"/>
        <v>4.2042808708303125E-2</v>
      </c>
      <c r="V78" s="10"/>
      <c r="W78" s="10"/>
      <c r="X78" s="10"/>
      <c r="Y78" s="10"/>
      <c r="Z78" s="10"/>
    </row>
    <row r="79" spans="1:33" hidden="1" outlineLevel="2">
      <c r="A79" s="76" t="s">
        <v>663</v>
      </c>
      <c r="B79" s="76"/>
      <c r="C79" s="97" t="s">
        <v>644</v>
      </c>
      <c r="D79" s="95">
        <f t="shared" ref="D79:P79" si="135">((D65/C65)-1)</f>
        <v>-8.6727244976775197E-2</v>
      </c>
      <c r="E79" s="95">
        <f t="shared" si="135"/>
        <v>-0.25934679029174568</v>
      </c>
      <c r="F79" s="95">
        <f t="shared" si="135"/>
        <v>7.7492877492877588E-2</v>
      </c>
      <c r="G79" s="95">
        <f t="shared" si="135"/>
        <v>0.11898466419883658</v>
      </c>
      <c r="H79" s="95">
        <f t="shared" si="135"/>
        <v>0.12854442344045358</v>
      </c>
      <c r="I79" s="95">
        <f t="shared" si="135"/>
        <v>5.9463986599664898E-2</v>
      </c>
      <c r="J79" s="95">
        <f t="shared" si="135"/>
        <v>-0.23162055335968379</v>
      </c>
      <c r="K79" s="95">
        <f t="shared" si="135"/>
        <v>0.24742798353909468</v>
      </c>
      <c r="L79" s="95">
        <f t="shared" si="135"/>
        <v>8.0000000000000071E-2</v>
      </c>
      <c r="M79" s="95">
        <f t="shared" si="135"/>
        <v>-2.8636884306987409E-2</v>
      </c>
      <c r="N79" s="95">
        <f t="shared" si="135"/>
        <v>-0.14190251572327039</v>
      </c>
      <c r="O79" s="95">
        <f t="shared" si="135"/>
        <v>-0.11818598259276225</v>
      </c>
      <c r="P79" s="95">
        <f t="shared" si="135"/>
        <v>1.298701298701288E-2</v>
      </c>
      <c r="Q79" s="95">
        <f>((Q65/P65)-1)</f>
        <v>6.2514026205772177E-2</v>
      </c>
      <c r="R79" s="95">
        <f>((R65/Q65)-1)</f>
        <v>4.6052516886465167E-2</v>
      </c>
      <c r="S79" s="95">
        <f t="shared" ref="S79:U79" si="136">((S65/R65)-1)</f>
        <v>3.726133729023573E-2</v>
      </c>
      <c r="T79" s="95">
        <f t="shared" si="136"/>
        <v>3.2509408571589793E-2</v>
      </c>
      <c r="U79" s="112">
        <f t="shared" si="136"/>
        <v>1.6184515654794174E-2</v>
      </c>
      <c r="V79" s="10"/>
      <c r="W79" s="10"/>
      <c r="X79" s="10"/>
      <c r="Y79" s="10"/>
      <c r="Z79" s="10"/>
    </row>
    <row r="80" spans="1:33" outlineLevel="1" collapsed="1">
      <c r="A80" s="76" t="s">
        <v>163</v>
      </c>
      <c r="B80" s="76"/>
      <c r="C80" s="97" t="s">
        <v>644</v>
      </c>
      <c r="D80" s="97" t="s">
        <v>644</v>
      </c>
      <c r="E80" s="95">
        <f t="shared" ref="E80:R80" si="137">E35-E36</f>
        <v>6.3735404140699503E-2</v>
      </c>
      <c r="F80" s="95">
        <f t="shared" si="137"/>
        <v>2.9951642278465106E-2</v>
      </c>
      <c r="G80" s="95">
        <f t="shared" si="137"/>
        <v>3.9907172476280395E-2</v>
      </c>
      <c r="H80" s="95">
        <f t="shared" si="137"/>
        <v>7.3811091738185293E-3</v>
      </c>
      <c r="I80" s="95">
        <f t="shared" si="137"/>
        <v>1.2894273438050403E-2</v>
      </c>
      <c r="J80" s="95">
        <f t="shared" si="137"/>
        <v>3.2157665030005465E-2</v>
      </c>
      <c r="K80" s="95">
        <f t="shared" si="137"/>
        <v>2.784717769627347E-2</v>
      </c>
      <c r="L80" s="95">
        <f t="shared" si="137"/>
        <v>9.8645228033887762E-3</v>
      </c>
      <c r="M80" s="95">
        <f t="shared" si="137"/>
        <v>1.7773098835769163E-2</v>
      </c>
      <c r="N80" s="95">
        <f>N35-N36</f>
        <v>1.1804076665652072E-3</v>
      </c>
      <c r="O80" s="95">
        <f>O35-O36</f>
        <v>2.2118123694372209E-3</v>
      </c>
      <c r="P80" s="95">
        <f>P35-P36</f>
        <v>-8.1515854601701132E-3</v>
      </c>
      <c r="Q80" s="95">
        <f t="shared" si="137"/>
        <v>9.7306975453901427E-3</v>
      </c>
      <c r="R80" s="95">
        <f t="shared" si="137"/>
        <v>-8.6434169713147692E-4</v>
      </c>
      <c r="S80" s="95">
        <f t="shared" ref="S80:T80" si="138">S35-S36</f>
        <v>-1.1388561314688694E-3</v>
      </c>
      <c r="T80" s="95">
        <f t="shared" si="138"/>
        <v>-7.422306102950289E-4</v>
      </c>
      <c r="U80" s="112">
        <f t="shared" ref="U80" si="139">U35-U36</f>
        <v>-1.4789428447248816E-3</v>
      </c>
      <c r="V80" s="10"/>
      <c r="W80" s="10"/>
      <c r="X80" s="10"/>
      <c r="Y80" s="10"/>
      <c r="Z80" s="10"/>
    </row>
    <row r="81" spans="1:26" outlineLevel="1">
      <c r="A81" s="76" t="s">
        <v>164</v>
      </c>
      <c r="B81" s="76"/>
      <c r="C81" s="97" t="str">
        <f t="shared" ref="C81:K81" si="140">C80</f>
        <v>NA</v>
      </c>
      <c r="D81" s="97" t="str">
        <f t="shared" si="140"/>
        <v>NA</v>
      </c>
      <c r="E81" s="95">
        <f>E80</f>
        <v>6.3735404140699503E-2</v>
      </c>
      <c r="F81" s="95">
        <f t="shared" si="140"/>
        <v>2.9951642278465106E-2</v>
      </c>
      <c r="G81" s="95">
        <f t="shared" si="140"/>
        <v>3.9907172476280395E-2</v>
      </c>
      <c r="H81" s="95">
        <f t="shared" si="140"/>
        <v>7.3811091738185293E-3</v>
      </c>
      <c r="I81" s="95">
        <f t="shared" si="140"/>
        <v>1.2894273438050403E-2</v>
      </c>
      <c r="J81" s="95">
        <f t="shared" si="140"/>
        <v>3.2157665030005465E-2</v>
      </c>
      <c r="K81" s="95">
        <f t="shared" si="140"/>
        <v>2.784717769627347E-2</v>
      </c>
      <c r="L81" s="95">
        <f>L80</f>
        <v>9.8645228033887762E-3</v>
      </c>
      <c r="M81" s="95">
        <f>M80</f>
        <v>1.7773098835769163E-2</v>
      </c>
      <c r="N81" s="95">
        <f>N80</f>
        <v>1.1804076665652072E-3</v>
      </c>
      <c r="O81" s="95">
        <f>O80</f>
        <v>2.2118123694372209E-3</v>
      </c>
      <c r="P81" s="95">
        <f>P80</f>
        <v>-8.1515854601701132E-3</v>
      </c>
      <c r="Q81" s="96">
        <f t="shared" ref="Q81:T81" si="141">Q80+0.005</f>
        <v>1.4730697545390144E-2</v>
      </c>
      <c r="R81" s="96">
        <f t="shared" si="141"/>
        <v>4.1356583028685232E-3</v>
      </c>
      <c r="S81" s="96">
        <f t="shared" si="141"/>
        <v>3.8611438685311307E-3</v>
      </c>
      <c r="T81" s="96">
        <f t="shared" si="141"/>
        <v>4.2577693897049712E-3</v>
      </c>
      <c r="U81" s="2113">
        <f t="shared" ref="U81" si="142">U80+0.005</f>
        <v>3.5210571552751185E-3</v>
      </c>
      <c r="V81" s="10"/>
      <c r="W81" s="10"/>
      <c r="X81" s="10"/>
      <c r="Y81" s="10"/>
      <c r="Z81" s="10"/>
    </row>
    <row r="82" spans="1:26">
      <c r="A82" s="89"/>
      <c r="B82" s="89"/>
      <c r="C82" s="89"/>
      <c r="D82" s="89"/>
      <c r="E82" s="89"/>
      <c r="F82" s="89"/>
      <c r="G82" s="89"/>
      <c r="H82" s="89"/>
      <c r="I82" s="89"/>
      <c r="J82" s="89"/>
      <c r="K82" s="89"/>
      <c r="L82" s="89"/>
      <c r="M82" s="89"/>
      <c r="N82" s="89"/>
      <c r="O82" s="89"/>
      <c r="P82" s="89"/>
      <c r="Q82" s="89"/>
      <c r="R82" s="89"/>
      <c r="S82" s="89"/>
      <c r="T82" s="89"/>
      <c r="U82" s="89"/>
      <c r="V82" s="10"/>
      <c r="W82" s="10"/>
      <c r="X82" s="10"/>
      <c r="Y82" s="10"/>
      <c r="Z82" s="10"/>
    </row>
    <row r="83" spans="1:26">
      <c r="A83" s="75" t="s">
        <v>165</v>
      </c>
      <c r="B83" s="76"/>
      <c r="C83" s="403">
        <v>2004</v>
      </c>
      <c r="D83" s="403">
        <f>C83+1</f>
        <v>2005</v>
      </c>
      <c r="E83" s="403">
        <f t="shared" ref="E83:L83" si="143">D83+1</f>
        <v>2006</v>
      </c>
      <c r="F83" s="403">
        <f t="shared" si="143"/>
        <v>2007</v>
      </c>
      <c r="G83" s="403">
        <f t="shared" si="143"/>
        <v>2008</v>
      </c>
      <c r="H83" s="403">
        <f t="shared" si="143"/>
        <v>2009</v>
      </c>
      <c r="I83" s="403">
        <f t="shared" si="143"/>
        <v>2010</v>
      </c>
      <c r="J83" s="403">
        <f t="shared" si="143"/>
        <v>2011</v>
      </c>
      <c r="K83" s="403">
        <f t="shared" si="143"/>
        <v>2012</v>
      </c>
      <c r="L83" s="403">
        <f t="shared" si="143"/>
        <v>2013</v>
      </c>
      <c r="M83" s="403">
        <f t="shared" ref="M83:R83" si="144">L83+1</f>
        <v>2014</v>
      </c>
      <c r="N83" s="403">
        <f t="shared" si="144"/>
        <v>2015</v>
      </c>
      <c r="O83" s="403">
        <f t="shared" ref="O83" si="145">N83+1</f>
        <v>2016</v>
      </c>
      <c r="P83" s="403">
        <f t="shared" ref="P83" si="146">O83+1</f>
        <v>2017</v>
      </c>
      <c r="Q83" s="405">
        <f t="shared" si="144"/>
        <v>2018</v>
      </c>
      <c r="R83" s="405">
        <f t="shared" si="144"/>
        <v>2019</v>
      </c>
      <c r="S83" s="405">
        <f t="shared" ref="S83" si="147">R83+1</f>
        <v>2020</v>
      </c>
      <c r="T83" s="405">
        <f t="shared" ref="T83:U83" si="148">S83+1</f>
        <v>2021</v>
      </c>
      <c r="U83" s="2107">
        <f t="shared" si="148"/>
        <v>2022</v>
      </c>
      <c r="V83" s="10"/>
      <c r="W83" s="10"/>
      <c r="X83" s="10"/>
      <c r="Y83" s="10"/>
      <c r="Z83" s="10"/>
    </row>
    <row r="84" spans="1:26">
      <c r="A84" s="14" t="s">
        <v>4</v>
      </c>
      <c r="B84" s="76"/>
      <c r="C84" s="20" t="s">
        <v>514</v>
      </c>
      <c r="D84" s="20" t="s">
        <v>514</v>
      </c>
      <c r="E84" s="20" t="s">
        <v>514</v>
      </c>
      <c r="F84" s="20" t="s">
        <v>514</v>
      </c>
      <c r="G84" s="20" t="s">
        <v>514</v>
      </c>
      <c r="H84" s="20" t="s">
        <v>514</v>
      </c>
      <c r="I84" s="20" t="s">
        <v>514</v>
      </c>
      <c r="J84" s="20" t="s">
        <v>514</v>
      </c>
      <c r="K84" s="20" t="s">
        <v>514</v>
      </c>
      <c r="L84" s="20" t="s">
        <v>514</v>
      </c>
      <c r="M84" s="20" t="s">
        <v>514</v>
      </c>
      <c r="N84" s="20" t="s">
        <v>514</v>
      </c>
      <c r="O84" s="20" t="s">
        <v>514</v>
      </c>
      <c r="P84" s="20" t="s">
        <v>514</v>
      </c>
      <c r="Q84" s="20" t="s">
        <v>514</v>
      </c>
      <c r="R84" s="20" t="s">
        <v>514</v>
      </c>
      <c r="S84" s="20" t="s">
        <v>514</v>
      </c>
      <c r="T84" s="20" t="s">
        <v>514</v>
      </c>
      <c r="U84" s="2099" t="s">
        <v>514</v>
      </c>
      <c r="V84" s="10"/>
      <c r="W84" s="10"/>
      <c r="X84" s="10"/>
      <c r="Y84" s="10"/>
      <c r="Z84" s="10"/>
    </row>
    <row r="85" spans="1:26">
      <c r="A85" s="76"/>
      <c r="B85" s="76"/>
      <c r="C85" s="77"/>
      <c r="D85" s="77"/>
      <c r="E85" s="77"/>
      <c r="F85" s="77"/>
      <c r="G85" s="77"/>
      <c r="H85" s="77"/>
      <c r="I85" s="77"/>
      <c r="J85" s="77"/>
      <c r="K85" s="77"/>
      <c r="L85" s="77"/>
      <c r="M85" s="77"/>
      <c r="N85" s="77"/>
      <c r="Q85" s="77"/>
      <c r="R85" s="77"/>
      <c r="S85" s="77"/>
      <c r="T85" s="77"/>
      <c r="U85" s="2100"/>
      <c r="V85" s="10"/>
      <c r="W85" s="10"/>
      <c r="X85" s="10"/>
      <c r="Y85" s="10"/>
      <c r="Z85" s="10"/>
    </row>
    <row r="86" spans="1:26">
      <c r="A86" s="76" t="s">
        <v>653</v>
      </c>
      <c r="B86" s="76"/>
      <c r="C86" s="90">
        <f>C6</f>
        <v>16267.401000000002</v>
      </c>
      <c r="D86" s="90">
        <f t="shared" ref="D86:J86" si="149">D6</f>
        <v>16023.38</v>
      </c>
      <c r="E86" s="90">
        <f t="shared" si="149"/>
        <v>15923</v>
      </c>
      <c r="F86" s="90">
        <f t="shared" si="149"/>
        <v>15763</v>
      </c>
      <c r="G86" s="90">
        <f t="shared" si="149"/>
        <v>14526</v>
      </c>
      <c r="H86" s="90">
        <f t="shared" si="149"/>
        <v>14197</v>
      </c>
      <c r="I86" s="90">
        <f t="shared" si="149"/>
        <v>14664</v>
      </c>
      <c r="J86" s="90">
        <f t="shared" si="149"/>
        <v>14549</v>
      </c>
      <c r="K86" s="90">
        <f t="shared" ref="K86:P86" si="150">K6</f>
        <v>15651</v>
      </c>
      <c r="L86" s="90">
        <f t="shared" si="150"/>
        <v>16148</v>
      </c>
      <c r="M86" s="90">
        <f t="shared" si="150"/>
        <v>16435</v>
      </c>
      <c r="N86" s="90">
        <f t="shared" si="150"/>
        <v>15797</v>
      </c>
      <c r="O86" s="90">
        <f t="shared" si="150"/>
        <v>15516</v>
      </c>
      <c r="P86" s="90">
        <f t="shared" si="150"/>
        <v>15855</v>
      </c>
      <c r="Q86" s="90">
        <f>(P86*(1+Q115))</f>
        <v>15612.905209582161</v>
      </c>
      <c r="R86" s="90">
        <f>(Q86*(1+R115))</f>
        <v>15209.087694356604</v>
      </c>
      <c r="S86" s="90">
        <f t="shared" ref="S86:U86" si="151">(R86*(1+S115))</f>
        <v>14811.539539222924</v>
      </c>
      <c r="T86" s="90">
        <f t="shared" si="151"/>
        <v>14430.257472710744</v>
      </c>
      <c r="U86" s="2108">
        <f t="shared" si="151"/>
        <v>14048.159509856172</v>
      </c>
      <c r="V86" s="10"/>
      <c r="W86" s="10"/>
      <c r="X86" s="10"/>
      <c r="Y86" s="10"/>
      <c r="Z86" s="10"/>
    </row>
    <row r="87" spans="1:26" hidden="1" outlineLevel="1">
      <c r="A87" s="76"/>
      <c r="B87" s="76"/>
      <c r="C87" s="77"/>
      <c r="D87" s="77"/>
      <c r="E87" s="77"/>
      <c r="F87" s="77"/>
      <c r="G87" s="77"/>
      <c r="H87" s="77"/>
      <c r="I87" s="77"/>
      <c r="J87" s="77"/>
      <c r="K87" s="77"/>
      <c r="L87" s="77"/>
      <c r="M87" s="77"/>
      <c r="N87" s="77"/>
      <c r="O87" s="77"/>
      <c r="P87" s="77"/>
      <c r="Q87" s="77"/>
      <c r="R87" s="77"/>
      <c r="S87" s="77"/>
      <c r="T87" s="77"/>
      <c r="U87" s="2100"/>
      <c r="V87" s="10"/>
      <c r="W87" s="10"/>
      <c r="X87" s="10"/>
      <c r="Y87" s="10"/>
      <c r="Z87" s="10"/>
    </row>
    <row r="88" spans="1:26" hidden="1" outlineLevel="1">
      <c r="A88" s="76" t="s">
        <v>5</v>
      </c>
      <c r="B88" s="76"/>
      <c r="C88" s="90">
        <f>C8</f>
        <v>9886.3539999999994</v>
      </c>
      <c r="D88" s="90">
        <f t="shared" ref="D88:J88" si="152">D8</f>
        <v>10153.833999999999</v>
      </c>
      <c r="E88" s="90">
        <f t="shared" si="152"/>
        <v>10266</v>
      </c>
      <c r="F88" s="90">
        <f t="shared" si="152"/>
        <v>10071</v>
      </c>
      <c r="G88" s="90">
        <f t="shared" si="152"/>
        <v>9079</v>
      </c>
      <c r="H88" s="90">
        <f t="shared" si="152"/>
        <v>8473</v>
      </c>
      <c r="I88" s="90">
        <f t="shared" si="152"/>
        <v>8775</v>
      </c>
      <c r="J88" s="90">
        <f t="shared" si="152"/>
        <v>9275</v>
      </c>
      <c r="K88" s="90">
        <f t="shared" ref="K88:P88" si="153">K8</f>
        <v>9480</v>
      </c>
      <c r="L88" s="90">
        <f t="shared" si="153"/>
        <v>9855</v>
      </c>
      <c r="M88" s="90">
        <f t="shared" si="153"/>
        <v>10146</v>
      </c>
      <c r="N88" s="90">
        <f t="shared" si="153"/>
        <v>10044</v>
      </c>
      <c r="O88" s="90">
        <f t="shared" si="153"/>
        <v>9868</v>
      </c>
      <c r="P88" s="90">
        <f t="shared" si="153"/>
        <v>9789</v>
      </c>
      <c r="Q88" s="90">
        <f>Q86-Q90</f>
        <v>9811.8369875622793</v>
      </c>
      <c r="R88" s="90">
        <f>R86-R90</f>
        <v>9626.5011776640185</v>
      </c>
      <c r="S88" s="90">
        <f t="shared" ref="S88:T88" si="154">S86-S90</f>
        <v>9419.3100669493142</v>
      </c>
      <c r="T88" s="90">
        <f t="shared" si="154"/>
        <v>9220.1267874341611</v>
      </c>
      <c r="U88" s="2108">
        <f t="shared" ref="U88" si="155">U86-U90</f>
        <v>9018.1320557381441</v>
      </c>
      <c r="V88" s="10"/>
      <c r="W88" s="10"/>
      <c r="X88" s="10"/>
      <c r="Y88" s="10"/>
      <c r="Z88" s="10"/>
    </row>
    <row r="89" spans="1:26" hidden="1" outlineLevel="1">
      <c r="A89" s="76"/>
      <c r="B89" s="76"/>
      <c r="C89" s="77"/>
      <c r="D89" s="77"/>
      <c r="E89" s="77"/>
      <c r="F89" s="77"/>
      <c r="G89" s="77"/>
      <c r="H89" s="77"/>
      <c r="I89" s="77"/>
      <c r="J89" s="77"/>
      <c r="K89" s="77"/>
      <c r="L89" s="77"/>
      <c r="M89" s="77"/>
      <c r="N89" s="77"/>
      <c r="O89" s="77"/>
      <c r="P89" s="77"/>
      <c r="Q89" s="77"/>
      <c r="R89" s="77"/>
      <c r="S89" s="77"/>
      <c r="T89" s="77"/>
      <c r="U89" s="2100"/>
      <c r="V89" s="10"/>
      <c r="W89" s="10"/>
      <c r="X89" s="10"/>
      <c r="Y89" s="10"/>
      <c r="Z89" s="10"/>
    </row>
    <row r="90" spans="1:26" collapsed="1">
      <c r="A90" s="76" t="s">
        <v>6</v>
      </c>
      <c r="B90" s="76"/>
      <c r="C90" s="90">
        <f t="shared" ref="C90:J90" si="156">C86-C88</f>
        <v>6381.0470000000023</v>
      </c>
      <c r="D90" s="90">
        <f t="shared" si="156"/>
        <v>5869.5460000000003</v>
      </c>
      <c r="E90" s="90">
        <f t="shared" si="156"/>
        <v>5657</v>
      </c>
      <c r="F90" s="90">
        <f t="shared" si="156"/>
        <v>5692</v>
      </c>
      <c r="G90" s="90">
        <f t="shared" si="156"/>
        <v>5447</v>
      </c>
      <c r="H90" s="90">
        <f t="shared" si="156"/>
        <v>5724</v>
      </c>
      <c r="I90" s="90">
        <f t="shared" si="156"/>
        <v>5889</v>
      </c>
      <c r="J90" s="90">
        <f t="shared" si="156"/>
        <v>5274</v>
      </c>
      <c r="K90" s="90">
        <f t="shared" ref="K90:P90" si="157">K86-K88</f>
        <v>6171</v>
      </c>
      <c r="L90" s="90">
        <f t="shared" si="157"/>
        <v>6293</v>
      </c>
      <c r="M90" s="90">
        <f t="shared" si="157"/>
        <v>6289</v>
      </c>
      <c r="N90" s="90">
        <f t="shared" si="157"/>
        <v>5753</v>
      </c>
      <c r="O90" s="90">
        <f t="shared" si="157"/>
        <v>5648</v>
      </c>
      <c r="P90" s="90">
        <f t="shared" si="157"/>
        <v>6066</v>
      </c>
      <c r="Q90" s="90">
        <f>Q86*Q109</f>
        <v>5801.0682220198814</v>
      </c>
      <c r="R90" s="90">
        <f>R86*R109</f>
        <v>5582.5865166925851</v>
      </c>
      <c r="S90" s="90">
        <f t="shared" ref="S90:T90" si="158">S86*S109</f>
        <v>5392.2294722736106</v>
      </c>
      <c r="T90" s="90">
        <f t="shared" si="158"/>
        <v>5210.130685276582</v>
      </c>
      <c r="U90" s="2108">
        <f t="shared" ref="U90" si="159">U86*U109</f>
        <v>5030.027454118027</v>
      </c>
      <c r="V90" s="10"/>
      <c r="W90" s="10"/>
      <c r="X90" s="10"/>
      <c r="Y90" s="10"/>
      <c r="Z90" s="10"/>
    </row>
    <row r="91" spans="1:26">
      <c r="A91" s="76" t="s">
        <v>7</v>
      </c>
      <c r="B91" s="76"/>
      <c r="C91" s="91">
        <f>C11</f>
        <v>4401</v>
      </c>
      <c r="D91" s="91">
        <f t="shared" ref="D91:J91" si="160">D11</f>
        <v>4125.277</v>
      </c>
      <c r="E91" s="91">
        <f t="shared" si="160"/>
        <v>4432</v>
      </c>
      <c r="F91" s="91">
        <f t="shared" si="160"/>
        <v>4348</v>
      </c>
      <c r="G91" s="91">
        <f t="shared" si="160"/>
        <v>3899</v>
      </c>
      <c r="H91" s="91">
        <f t="shared" si="160"/>
        <v>3909</v>
      </c>
      <c r="I91" s="91">
        <f t="shared" si="160"/>
        <v>3921</v>
      </c>
      <c r="J91" s="91">
        <f t="shared" si="160"/>
        <v>3836</v>
      </c>
      <c r="K91" s="91">
        <f t="shared" ref="K91:P91" si="161">K11</f>
        <v>4229</v>
      </c>
      <c r="L91" s="91">
        <f t="shared" si="161"/>
        <v>4144</v>
      </c>
      <c r="M91" s="91">
        <f t="shared" si="161"/>
        <v>4245</v>
      </c>
      <c r="N91" s="91">
        <f t="shared" si="161"/>
        <v>4097</v>
      </c>
      <c r="O91" s="91">
        <f t="shared" si="161"/>
        <v>4254</v>
      </c>
      <c r="P91" s="91">
        <f t="shared" si="161"/>
        <v>4651</v>
      </c>
      <c r="Q91" s="91">
        <f>Q86*Q110</f>
        <v>4693.0681922397671</v>
      </c>
      <c r="R91" s="91">
        <f>R86*R110</f>
        <v>4632.5214236851652</v>
      </c>
      <c r="S91" s="91">
        <f t="shared" ref="S91:T91" si="162">S86*S110</f>
        <v>4570.6787708224037</v>
      </c>
      <c r="T91" s="91">
        <f t="shared" si="162"/>
        <v>4510.740333749156</v>
      </c>
      <c r="U91" s="2109">
        <f t="shared" ref="U91" si="163">U86*U110</f>
        <v>4447.4933363038417</v>
      </c>
      <c r="V91" s="10"/>
      <c r="W91" s="10"/>
      <c r="X91" s="10"/>
      <c r="Y91" s="10"/>
      <c r="Z91" s="10"/>
    </row>
    <row r="92" spans="1:26" hidden="1" outlineLevel="1">
      <c r="A92" s="76" t="s">
        <v>155</v>
      </c>
      <c r="B92" s="76"/>
      <c r="C92" s="91">
        <f>C51</f>
        <v>614.50099999999998</v>
      </c>
      <c r="D92" s="91">
        <f t="shared" ref="D92:J92" si="164">D51</f>
        <v>625.26099999999997</v>
      </c>
      <c r="E92" s="91">
        <f t="shared" si="164"/>
        <v>530</v>
      </c>
      <c r="F92" s="91">
        <f t="shared" si="164"/>
        <v>547</v>
      </c>
      <c r="G92" s="91">
        <f t="shared" si="164"/>
        <v>568</v>
      </c>
      <c r="H92" s="91">
        <f t="shared" si="164"/>
        <v>573</v>
      </c>
      <c r="I92" s="91">
        <f t="shared" si="164"/>
        <v>562</v>
      </c>
      <c r="J92" s="91">
        <f t="shared" si="164"/>
        <v>506</v>
      </c>
      <c r="K92" s="91">
        <f t="shared" ref="K92:R92" si="165">K51</f>
        <v>483</v>
      </c>
      <c r="L92" s="91">
        <f t="shared" si="165"/>
        <v>470</v>
      </c>
      <c r="M92" s="91">
        <f t="shared" si="165"/>
        <v>500</v>
      </c>
      <c r="N92" s="91">
        <f t="shared" si="165"/>
        <v>527</v>
      </c>
      <c r="O92" s="91">
        <f t="shared" si="165"/>
        <v>531</v>
      </c>
      <c r="P92" s="91">
        <f t="shared" si="165"/>
        <v>535</v>
      </c>
      <c r="Q92" s="91">
        <f t="shared" si="165"/>
        <v>550</v>
      </c>
      <c r="R92" s="91">
        <f t="shared" si="165"/>
        <v>565</v>
      </c>
      <c r="S92" s="91">
        <f t="shared" ref="S92:T92" si="166">S51</f>
        <v>580</v>
      </c>
      <c r="T92" s="91">
        <f t="shared" si="166"/>
        <v>595</v>
      </c>
      <c r="U92" s="2109">
        <f t="shared" ref="U92" si="167">U51</f>
        <v>610</v>
      </c>
      <c r="V92" s="10"/>
      <c r="W92" s="10"/>
      <c r="X92" s="10"/>
      <c r="Y92" s="10"/>
      <c r="Z92" s="10"/>
    </row>
    <row r="93" spans="1:26" collapsed="1">
      <c r="A93" s="92" t="s">
        <v>25</v>
      </c>
      <c r="B93" s="76"/>
      <c r="C93" s="90">
        <f t="shared" ref="C93:J93" si="168">C90-C91</f>
        <v>1980.0470000000023</v>
      </c>
      <c r="D93" s="90">
        <f t="shared" si="168"/>
        <v>1744.2690000000002</v>
      </c>
      <c r="E93" s="90">
        <f t="shared" si="168"/>
        <v>1225</v>
      </c>
      <c r="F93" s="90">
        <f t="shared" si="168"/>
        <v>1344</v>
      </c>
      <c r="G93" s="90">
        <f t="shared" si="168"/>
        <v>1548</v>
      </c>
      <c r="H93" s="90">
        <f t="shared" si="168"/>
        <v>1815</v>
      </c>
      <c r="I93" s="90">
        <f t="shared" si="168"/>
        <v>1968</v>
      </c>
      <c r="J93" s="90">
        <f t="shared" si="168"/>
        <v>1438</v>
      </c>
      <c r="K93" s="90">
        <f t="shared" ref="K93:R93" si="169">K90-K91</f>
        <v>1942</v>
      </c>
      <c r="L93" s="90">
        <f t="shared" si="169"/>
        <v>2149</v>
      </c>
      <c r="M93" s="90">
        <f t="shared" si="169"/>
        <v>2044</v>
      </c>
      <c r="N93" s="90">
        <f>N90-N91</f>
        <v>1656</v>
      </c>
      <c r="O93" s="90">
        <f>O90-O91</f>
        <v>1394</v>
      </c>
      <c r="P93" s="90">
        <f>P90-P91</f>
        <v>1415</v>
      </c>
      <c r="Q93" s="90">
        <f t="shared" si="169"/>
        <v>1108.0000297801143</v>
      </c>
      <c r="R93" s="90">
        <f t="shared" si="169"/>
        <v>950.06509300741982</v>
      </c>
      <c r="S93" s="90">
        <f t="shared" ref="S93:T93" si="170">S90-S91</f>
        <v>821.55070145120681</v>
      </c>
      <c r="T93" s="90">
        <f t="shared" si="170"/>
        <v>699.39035152742599</v>
      </c>
      <c r="U93" s="2108">
        <f t="shared" ref="U93" si="171">U90-U91</f>
        <v>582.53411781418527</v>
      </c>
      <c r="V93" s="10"/>
      <c r="W93" s="10"/>
      <c r="X93" s="10"/>
      <c r="Y93" s="10"/>
      <c r="Z93" s="10"/>
    </row>
    <row r="94" spans="1:26" hidden="1" outlineLevel="1">
      <c r="A94" s="76"/>
      <c r="B94" s="76"/>
      <c r="C94" s="77"/>
      <c r="D94" s="77"/>
      <c r="E94" s="77"/>
      <c r="F94" s="77"/>
      <c r="G94" s="77"/>
      <c r="H94" s="77"/>
      <c r="I94" s="77"/>
      <c r="J94" s="77"/>
      <c r="K94" s="77"/>
      <c r="L94" s="77"/>
      <c r="M94" s="77"/>
      <c r="N94" s="77"/>
      <c r="O94" s="77"/>
      <c r="P94" s="77"/>
      <c r="Q94" s="77"/>
      <c r="R94" s="77"/>
      <c r="S94" s="77"/>
      <c r="T94" s="77"/>
      <c r="U94" s="2100"/>
      <c r="V94" s="10"/>
      <c r="W94" s="10"/>
      <c r="X94" s="10"/>
      <c r="Y94" s="10"/>
      <c r="Z94" s="10"/>
    </row>
    <row r="95" spans="1:26" hidden="1" outlineLevel="1">
      <c r="A95" s="76" t="s">
        <v>156</v>
      </c>
      <c r="B95" s="76"/>
      <c r="C95" s="91">
        <f>C15</f>
        <v>108.03400000000001</v>
      </c>
      <c r="D95" s="91">
        <f t="shared" ref="D95:J95" si="172">D15</f>
        <v>-47.972999999999999</v>
      </c>
      <c r="E95" s="91">
        <f t="shared" si="172"/>
        <v>-90.191000000000003</v>
      </c>
      <c r="F95" s="91">
        <f t="shared" si="172"/>
        <v>-91</v>
      </c>
      <c r="G95" s="91">
        <f t="shared" si="172"/>
        <v>-36</v>
      </c>
      <c r="H95" s="91">
        <f t="shared" si="172"/>
        <v>-1</v>
      </c>
      <c r="I95" s="91">
        <f t="shared" si="172"/>
        <v>-14</v>
      </c>
      <c r="J95" s="91">
        <f t="shared" si="172"/>
        <v>69</v>
      </c>
      <c r="K95" s="91">
        <f t="shared" ref="K95:R95" si="173">K15</f>
        <v>81</v>
      </c>
      <c r="L95" s="91">
        <f t="shared" si="173"/>
        <v>56</v>
      </c>
      <c r="M95" s="91">
        <f t="shared" si="173"/>
        <v>70</v>
      </c>
      <c r="N95" s="91">
        <f>N15</f>
        <v>53</v>
      </c>
      <c r="O95" s="91">
        <f>O15</f>
        <v>67</v>
      </c>
      <c r="P95" s="91">
        <f>P15</f>
        <v>55</v>
      </c>
      <c r="Q95" s="91">
        <f t="shared" si="173"/>
        <v>53</v>
      </c>
      <c r="R95" s="91">
        <f t="shared" si="173"/>
        <v>53</v>
      </c>
      <c r="S95" s="91">
        <f t="shared" ref="S95:T95" si="174">S15</f>
        <v>53</v>
      </c>
      <c r="T95" s="91">
        <f t="shared" si="174"/>
        <v>53</v>
      </c>
      <c r="U95" s="2109">
        <f t="shared" ref="U95" si="175">U15</f>
        <v>53</v>
      </c>
      <c r="V95" s="10"/>
      <c r="W95" s="10"/>
      <c r="X95" s="10"/>
      <c r="Y95" s="10"/>
      <c r="Z95" s="10"/>
    </row>
    <row r="96" spans="1:26" hidden="1" outlineLevel="1">
      <c r="A96" s="92" t="s">
        <v>157</v>
      </c>
      <c r="B96" s="76"/>
      <c r="C96" s="90">
        <f t="shared" ref="C96:K96" si="176">C93-C95</f>
        <v>1872.0130000000022</v>
      </c>
      <c r="D96" s="90">
        <f t="shared" si="176"/>
        <v>1792.2420000000002</v>
      </c>
      <c r="E96" s="90">
        <f t="shared" si="176"/>
        <v>1315.191</v>
      </c>
      <c r="F96" s="90">
        <f t="shared" si="176"/>
        <v>1435</v>
      </c>
      <c r="G96" s="90">
        <f t="shared" si="176"/>
        <v>1584</v>
      </c>
      <c r="H96" s="90">
        <f t="shared" si="176"/>
        <v>1816</v>
      </c>
      <c r="I96" s="90">
        <f t="shared" si="176"/>
        <v>1982</v>
      </c>
      <c r="J96" s="90">
        <f t="shared" si="176"/>
        <v>1369</v>
      </c>
      <c r="K96" s="90">
        <f t="shared" si="176"/>
        <v>1861</v>
      </c>
      <c r="L96" s="90">
        <f t="shared" ref="L96:R96" si="177">L93-L95</f>
        <v>2093</v>
      </c>
      <c r="M96" s="90">
        <f t="shared" si="177"/>
        <v>1974</v>
      </c>
      <c r="N96" s="90">
        <f>N93-N95</f>
        <v>1603</v>
      </c>
      <c r="O96" s="90">
        <f>O93-O95</f>
        <v>1327</v>
      </c>
      <c r="P96" s="90">
        <f>P93-P95</f>
        <v>1360</v>
      </c>
      <c r="Q96" s="90">
        <f t="shared" si="177"/>
        <v>1055.0000297801143</v>
      </c>
      <c r="R96" s="90">
        <f t="shared" si="177"/>
        <v>897.06509300741982</v>
      </c>
      <c r="S96" s="90">
        <f t="shared" ref="S96:T96" si="178">S93-S95</f>
        <v>768.55070145120681</v>
      </c>
      <c r="T96" s="90">
        <f t="shared" si="178"/>
        <v>646.39035152742599</v>
      </c>
      <c r="U96" s="2108">
        <f t="shared" ref="U96" si="179">U93-U95</f>
        <v>529.53411781418527</v>
      </c>
      <c r="V96" s="10"/>
      <c r="W96" s="10"/>
      <c r="X96" s="10"/>
      <c r="Y96" s="10"/>
      <c r="Z96" s="10"/>
    </row>
    <row r="97" spans="1:26" hidden="1" outlineLevel="1">
      <c r="A97" s="76"/>
      <c r="B97" s="76"/>
      <c r="C97" s="77"/>
      <c r="D97" s="77"/>
      <c r="E97" s="77"/>
      <c r="F97" s="77"/>
      <c r="G97" s="77"/>
      <c r="H97" s="77"/>
      <c r="I97" s="77"/>
      <c r="J97" s="77"/>
      <c r="K97" s="77"/>
      <c r="L97" s="77"/>
      <c r="M97" s="77"/>
      <c r="N97" s="77"/>
      <c r="O97" s="77"/>
      <c r="P97" s="77"/>
      <c r="Q97" s="77"/>
      <c r="R97" s="77"/>
      <c r="S97" s="77"/>
      <c r="T97" s="77"/>
      <c r="U97" s="2100"/>
      <c r="V97" s="10"/>
      <c r="W97" s="10"/>
      <c r="X97" s="10"/>
      <c r="Y97" s="10"/>
      <c r="Z97" s="10"/>
    </row>
    <row r="98" spans="1:26" collapsed="1">
      <c r="A98" s="76" t="s">
        <v>10</v>
      </c>
      <c r="B98" s="76"/>
      <c r="C98" s="91">
        <f>C18</f>
        <v>722</v>
      </c>
      <c r="D98" s="91">
        <f t="shared" ref="D98:J98" si="180">D18</f>
        <v>679.62</v>
      </c>
      <c r="E98" s="91">
        <f t="shared" si="180"/>
        <v>506</v>
      </c>
      <c r="F98" s="91">
        <f t="shared" si="180"/>
        <v>539</v>
      </c>
      <c r="G98" s="91">
        <f t="shared" si="180"/>
        <v>617</v>
      </c>
      <c r="H98" s="91">
        <f t="shared" si="180"/>
        <v>714</v>
      </c>
      <c r="I98" s="91">
        <f t="shared" si="180"/>
        <v>778</v>
      </c>
      <c r="J98" s="91">
        <f t="shared" si="180"/>
        <v>536</v>
      </c>
      <c r="K98" s="91">
        <f t="shared" ref="K98:P98" si="181">K18</f>
        <v>726</v>
      </c>
      <c r="L98" s="91">
        <f t="shared" si="181"/>
        <v>813</v>
      </c>
      <c r="M98" s="91">
        <f t="shared" si="181"/>
        <v>734</v>
      </c>
      <c r="N98" s="91">
        <f t="shared" si="181"/>
        <v>601.11500000000001</v>
      </c>
      <c r="O98" s="91">
        <f t="shared" si="181"/>
        <v>517.83000000000004</v>
      </c>
      <c r="P98" s="91">
        <f t="shared" si="181"/>
        <v>517.68000000000006</v>
      </c>
      <c r="Q98" s="91">
        <f>Q96*Q112</f>
        <v>274.30000774283002</v>
      </c>
      <c r="R98" s="91">
        <f>R96*R112</f>
        <v>233.2369241819294</v>
      </c>
      <c r="S98" s="91">
        <f t="shared" ref="S98:T98" si="182">S96*S112</f>
        <v>199.823182377314</v>
      </c>
      <c r="T98" s="91">
        <f t="shared" si="182"/>
        <v>168.06149139713094</v>
      </c>
      <c r="U98" s="2109">
        <f t="shared" ref="U98" si="183">U96*U112</f>
        <v>137.67887063168831</v>
      </c>
      <c r="V98" s="11"/>
      <c r="W98" s="11"/>
      <c r="X98" s="11"/>
      <c r="Y98" s="11"/>
      <c r="Z98" s="10"/>
    </row>
    <row r="99" spans="1:26" hidden="1" outlineLevel="1">
      <c r="A99" s="76"/>
      <c r="B99" s="76"/>
      <c r="C99" s="77"/>
      <c r="D99" s="77"/>
      <c r="E99" s="77"/>
      <c r="F99" s="77"/>
      <c r="G99" s="77"/>
      <c r="H99" s="77"/>
      <c r="I99" s="77"/>
      <c r="J99" s="77"/>
      <c r="K99" s="77"/>
      <c r="L99" s="77"/>
      <c r="M99" s="77"/>
      <c r="N99" s="77"/>
      <c r="O99" s="77"/>
      <c r="P99" s="77"/>
      <c r="Q99" s="77"/>
      <c r="R99" s="77"/>
      <c r="S99" s="77"/>
      <c r="T99" s="77"/>
      <c r="U99" s="2100"/>
      <c r="V99" s="11"/>
      <c r="W99" s="11"/>
      <c r="X99" s="11"/>
      <c r="Y99" s="10"/>
      <c r="Z99" s="10"/>
    </row>
    <row r="100" spans="1:26" hidden="1" outlineLevel="1">
      <c r="A100" s="76"/>
      <c r="B100" s="76"/>
      <c r="C100" s="77"/>
      <c r="D100" s="77"/>
      <c r="E100" s="77"/>
      <c r="F100" s="77"/>
      <c r="G100" s="77"/>
      <c r="H100" s="77"/>
      <c r="I100" s="77"/>
      <c r="J100" s="77"/>
      <c r="K100" s="77"/>
      <c r="L100" s="77"/>
      <c r="M100" s="77"/>
      <c r="N100" s="77"/>
      <c r="O100" s="77"/>
      <c r="P100" s="77"/>
      <c r="Q100" s="77"/>
      <c r="R100" s="77"/>
      <c r="S100" s="77"/>
      <c r="T100" s="77"/>
      <c r="U100" s="2100"/>
      <c r="V100" s="11"/>
      <c r="W100" s="11"/>
      <c r="X100" s="11"/>
      <c r="Y100" s="10"/>
      <c r="Z100" s="10"/>
    </row>
    <row r="101" spans="1:26" hidden="1" outlineLevel="1">
      <c r="A101" s="76" t="s">
        <v>158</v>
      </c>
      <c r="B101" s="76"/>
      <c r="C101" s="93">
        <f>C96-C98</f>
        <v>1150.0130000000022</v>
      </c>
      <c r="D101" s="93">
        <f t="shared" ref="D101:J101" si="184">D96-D98</f>
        <v>1112.6220000000003</v>
      </c>
      <c r="E101" s="93">
        <f t="shared" si="184"/>
        <v>809.19100000000003</v>
      </c>
      <c r="F101" s="93">
        <f t="shared" si="184"/>
        <v>896</v>
      </c>
      <c r="G101" s="93">
        <f t="shared" si="184"/>
        <v>967</v>
      </c>
      <c r="H101" s="93">
        <f t="shared" si="184"/>
        <v>1102</v>
      </c>
      <c r="I101" s="93">
        <f t="shared" si="184"/>
        <v>1204</v>
      </c>
      <c r="J101" s="93">
        <f t="shared" si="184"/>
        <v>833</v>
      </c>
      <c r="K101" s="93">
        <f t="shared" ref="K101:R101" si="185">K96-K98</f>
        <v>1135</v>
      </c>
      <c r="L101" s="93">
        <f t="shared" si="185"/>
        <v>1280</v>
      </c>
      <c r="M101" s="93">
        <f t="shared" si="185"/>
        <v>1240</v>
      </c>
      <c r="N101" s="93">
        <f t="shared" si="185"/>
        <v>1001.885</v>
      </c>
      <c r="O101" s="93">
        <f t="shared" si="185"/>
        <v>809.17</v>
      </c>
      <c r="P101" s="93">
        <f t="shared" si="185"/>
        <v>842.31999999999994</v>
      </c>
      <c r="Q101" s="93">
        <f t="shared" si="185"/>
        <v>780.70002203728427</v>
      </c>
      <c r="R101" s="93">
        <f t="shared" si="185"/>
        <v>663.82816882549037</v>
      </c>
      <c r="S101" s="93">
        <f t="shared" ref="S101:T101" si="186">S96-S98</f>
        <v>568.72751907389284</v>
      </c>
      <c r="T101" s="93">
        <f t="shared" si="186"/>
        <v>478.32886013029508</v>
      </c>
      <c r="U101" s="2110">
        <f t="shared" ref="U101" si="187">U96-U98</f>
        <v>391.85524718249695</v>
      </c>
      <c r="V101" s="11"/>
      <c r="W101" s="11"/>
      <c r="X101" s="11"/>
      <c r="Y101" s="10"/>
      <c r="Z101" s="10"/>
    </row>
    <row r="102" spans="1:26" hidden="1" outlineLevel="1">
      <c r="A102" s="76"/>
      <c r="B102" s="76"/>
      <c r="C102" s="77"/>
      <c r="D102" s="77"/>
      <c r="E102" s="77"/>
      <c r="F102" s="77"/>
      <c r="G102" s="77"/>
      <c r="H102" s="77"/>
      <c r="I102" s="77"/>
      <c r="J102" s="77"/>
      <c r="K102" s="77"/>
      <c r="L102" s="77"/>
      <c r="M102" s="77"/>
      <c r="N102" s="77"/>
      <c r="O102" s="77"/>
      <c r="P102" s="77"/>
      <c r="Q102" s="77"/>
      <c r="R102" s="77"/>
      <c r="S102" s="77"/>
      <c r="T102" s="77"/>
      <c r="U102" s="2100"/>
      <c r="V102" s="11"/>
      <c r="W102" s="11"/>
      <c r="X102" s="11"/>
      <c r="Y102" s="10"/>
      <c r="Z102" s="10"/>
    </row>
    <row r="103" spans="1:26" collapsed="1">
      <c r="A103" s="84" t="s">
        <v>159</v>
      </c>
      <c r="B103" s="84"/>
      <c r="C103" s="85">
        <f t="shared" ref="C103:J103" si="188">C101/C104</f>
        <v>1.1603142700898601</v>
      </c>
      <c r="D103" s="85">
        <f t="shared" si="188"/>
        <v>1.2330872231814931</v>
      </c>
      <c r="E103" s="85">
        <f t="shared" si="188"/>
        <v>0.96793181818181817</v>
      </c>
      <c r="F103" s="85">
        <f t="shared" si="188"/>
        <v>1.128463476070529</v>
      </c>
      <c r="G103" s="85">
        <f t="shared" si="188"/>
        <v>1.344923504867872</v>
      </c>
      <c r="H103" s="85">
        <f t="shared" si="188"/>
        <v>1.5765379113018598</v>
      </c>
      <c r="I103" s="85">
        <f t="shared" si="188"/>
        <v>1.8783151326053042</v>
      </c>
      <c r="J103" s="85">
        <f t="shared" si="188"/>
        <v>1.5628517823639776</v>
      </c>
      <c r="K103" s="85">
        <f t="shared" ref="K103:R103" si="189">K101/K104</f>
        <v>2.3258196721311477</v>
      </c>
      <c r="L103" s="85">
        <f t="shared" si="189"/>
        <v>2.7438370846730975</v>
      </c>
      <c r="M103" s="85">
        <f t="shared" si="189"/>
        <v>2.8213879408418658</v>
      </c>
      <c r="N103" s="85">
        <f>N101/N104</f>
        <v>2.425871670702179</v>
      </c>
      <c r="O103" s="85">
        <f>O101/O104</f>
        <v>2.0229249999999999</v>
      </c>
      <c r="P103" s="85">
        <f>P101/P104</f>
        <v>2.1297597977243994</v>
      </c>
      <c r="Q103" s="85">
        <f t="shared" si="189"/>
        <v>2.0295494507035117</v>
      </c>
      <c r="R103" s="85">
        <f t="shared" si="189"/>
        <v>1.7857533993326631</v>
      </c>
      <c r="S103" s="85">
        <f t="shared" ref="S103:T103" si="190">S101/S104</f>
        <v>1.5753293389307872</v>
      </c>
      <c r="T103" s="85">
        <f t="shared" si="190"/>
        <v>1.363202213934595</v>
      </c>
      <c r="U103" s="2105">
        <f t="shared" ref="U103" si="191">U101/U104</f>
        <v>1.1482236877664027</v>
      </c>
      <c r="V103" s="37"/>
      <c r="W103" s="11"/>
      <c r="X103" s="61"/>
      <c r="Y103" s="19"/>
      <c r="Z103" s="10"/>
    </row>
    <row r="104" spans="1:26">
      <c r="A104" s="76" t="s">
        <v>160</v>
      </c>
      <c r="B104" s="76"/>
      <c r="C104" s="91">
        <f>C24</f>
        <v>991.12199999999996</v>
      </c>
      <c r="D104" s="91">
        <f t="shared" ref="D104:J104" si="192">D24</f>
        <v>902.30600000000004</v>
      </c>
      <c r="E104" s="91">
        <f t="shared" si="192"/>
        <v>836</v>
      </c>
      <c r="F104" s="91">
        <f t="shared" si="192"/>
        <v>794</v>
      </c>
      <c r="G104" s="91">
        <f t="shared" si="192"/>
        <v>719</v>
      </c>
      <c r="H104" s="91">
        <f t="shared" si="192"/>
        <v>699</v>
      </c>
      <c r="I104" s="91">
        <f t="shared" si="192"/>
        <v>641</v>
      </c>
      <c r="J104" s="91">
        <f t="shared" si="192"/>
        <v>533</v>
      </c>
      <c r="K104" s="91">
        <f t="shared" ref="K104:R104" si="193">K24</f>
        <v>488</v>
      </c>
      <c r="L104" s="91">
        <f t="shared" si="193"/>
        <v>466.5</v>
      </c>
      <c r="M104" s="91">
        <f>M24</f>
        <v>439.5</v>
      </c>
      <c r="N104" s="91">
        <f>N24</f>
        <v>413</v>
      </c>
      <c r="O104" s="91">
        <f>O24</f>
        <v>400</v>
      </c>
      <c r="P104" s="91">
        <f>P24</f>
        <v>395.5</v>
      </c>
      <c r="Q104" s="91">
        <f t="shared" si="193"/>
        <v>384.66666666666669</v>
      </c>
      <c r="R104" s="91">
        <f t="shared" si="193"/>
        <v>371.73563218390808</v>
      </c>
      <c r="S104" s="91">
        <f t="shared" ref="S104:T104" si="194">S24</f>
        <v>361.02134646962236</v>
      </c>
      <c r="T104" s="91">
        <f t="shared" si="194"/>
        <v>350.8862113344872</v>
      </c>
      <c r="U104" s="2109">
        <f t="shared" ref="U104" si="195">U24</f>
        <v>341.27082671910256</v>
      </c>
      <c r="V104" s="10"/>
      <c r="W104" s="10"/>
      <c r="X104" s="10"/>
      <c r="Y104" s="10"/>
      <c r="Z104" s="10"/>
    </row>
    <row r="105" spans="1:26" hidden="1" outlineLevel="1">
      <c r="A105" s="76"/>
      <c r="B105" s="76"/>
      <c r="C105" s="77"/>
      <c r="D105" s="77"/>
      <c r="E105" s="77"/>
      <c r="F105" s="77"/>
      <c r="G105" s="77"/>
      <c r="H105" s="77"/>
      <c r="I105" s="77"/>
      <c r="J105" s="77"/>
      <c r="K105" s="77"/>
      <c r="L105" s="77"/>
      <c r="M105" s="77"/>
      <c r="N105" s="77"/>
      <c r="O105" s="77"/>
      <c r="P105" s="77"/>
      <c r="Q105" s="77"/>
      <c r="R105" s="77"/>
      <c r="S105" s="77"/>
      <c r="T105" s="77"/>
      <c r="U105" s="2100"/>
      <c r="V105" s="10"/>
      <c r="W105" s="10"/>
      <c r="X105" s="10"/>
      <c r="Y105" s="10"/>
      <c r="Z105" s="10"/>
    </row>
    <row r="106" spans="1:26" hidden="1" outlineLevel="1">
      <c r="A106" s="76" t="s">
        <v>663</v>
      </c>
      <c r="B106" s="76"/>
      <c r="C106" s="93">
        <f t="shared" ref="C106:P106" si="196">C93+C92</f>
        <v>2594.5480000000025</v>
      </c>
      <c r="D106" s="93">
        <f t="shared" si="196"/>
        <v>2369.5300000000002</v>
      </c>
      <c r="E106" s="93">
        <f t="shared" si="196"/>
        <v>1755</v>
      </c>
      <c r="F106" s="93">
        <f t="shared" si="196"/>
        <v>1891</v>
      </c>
      <c r="G106" s="93">
        <f t="shared" si="196"/>
        <v>2116</v>
      </c>
      <c r="H106" s="93">
        <f t="shared" si="196"/>
        <v>2388</v>
      </c>
      <c r="I106" s="93">
        <f t="shared" si="196"/>
        <v>2530</v>
      </c>
      <c r="J106" s="93">
        <f t="shared" si="196"/>
        <v>1944</v>
      </c>
      <c r="K106" s="93">
        <f>K93+K92</f>
        <v>2425</v>
      </c>
      <c r="L106" s="93">
        <f>L93+L92</f>
        <v>2619</v>
      </c>
      <c r="M106" s="93">
        <f>M93+M92</f>
        <v>2544</v>
      </c>
      <c r="N106" s="93">
        <f>N93+N92</f>
        <v>2183</v>
      </c>
      <c r="O106" s="93">
        <f>O93+O92</f>
        <v>1925</v>
      </c>
      <c r="P106" s="93">
        <f t="shared" si="196"/>
        <v>1950</v>
      </c>
      <c r="Q106" s="93">
        <f>Q93+Q92</f>
        <v>1658.0000297801143</v>
      </c>
      <c r="R106" s="93">
        <f>R93+R92</f>
        <v>1515.0650930074198</v>
      </c>
      <c r="S106" s="93">
        <f t="shared" ref="S106:T106" si="197">S93+S92</f>
        <v>1401.5507014512068</v>
      </c>
      <c r="T106" s="93">
        <f t="shared" si="197"/>
        <v>1294.390351527426</v>
      </c>
      <c r="U106" s="2110">
        <f t="shared" ref="U106" si="198">U93+U92</f>
        <v>1192.5341178141853</v>
      </c>
      <c r="V106" s="10"/>
      <c r="W106" s="10"/>
      <c r="X106" s="10"/>
      <c r="Y106" s="10"/>
      <c r="Z106" s="10"/>
    </row>
    <row r="107" spans="1:26" collapsed="1">
      <c r="A107" s="76"/>
      <c r="B107" s="76"/>
      <c r="C107" s="77"/>
      <c r="D107" s="77"/>
      <c r="E107" s="77"/>
      <c r="F107" s="77"/>
      <c r="G107" s="77"/>
      <c r="H107" s="77"/>
      <c r="I107" s="77"/>
      <c r="J107" s="77"/>
      <c r="K107" s="77"/>
      <c r="L107" s="77"/>
      <c r="M107" s="77"/>
      <c r="N107" s="77"/>
      <c r="O107" s="77"/>
      <c r="P107" s="95">
        <f>P91/O91-1</f>
        <v>9.3323930418429679E-2</v>
      </c>
      <c r="Q107" s="95">
        <f>Q91/P91-1</f>
        <v>9.04497790577663E-3</v>
      </c>
      <c r="R107" s="95">
        <f>R91/Q91-1</f>
        <v>-1.2901318726780686E-2</v>
      </c>
      <c r="S107" s="95">
        <f t="shared" ref="S107:U107" si="199">S91/R91-1</f>
        <v>-1.3349674444368964E-2</v>
      </c>
      <c r="T107" s="95">
        <f t="shared" si="199"/>
        <v>-1.3113684001569648E-2</v>
      </c>
      <c r="U107" s="112">
        <f t="shared" si="199"/>
        <v>-1.4021422818800477E-2</v>
      </c>
      <c r="V107" s="115"/>
      <c r="W107" s="10"/>
      <c r="X107" s="10"/>
      <c r="Y107" s="10"/>
      <c r="Z107" s="10"/>
    </row>
    <row r="108" spans="1:26">
      <c r="A108" s="14" t="s">
        <v>16</v>
      </c>
      <c r="B108" s="76"/>
      <c r="C108" s="77"/>
      <c r="D108" s="77"/>
      <c r="E108" s="77"/>
      <c r="F108" s="77"/>
      <c r="G108" s="77"/>
      <c r="H108" s="77"/>
      <c r="I108" s="77"/>
      <c r="J108" s="77"/>
      <c r="K108" s="77"/>
      <c r="L108" s="77"/>
      <c r="M108" s="77"/>
      <c r="N108" s="77"/>
      <c r="O108" s="77"/>
      <c r="Q108" s="77"/>
      <c r="R108" s="77"/>
      <c r="S108" s="77"/>
      <c r="T108" s="77"/>
      <c r="U108" s="2100"/>
    </row>
    <row r="109" spans="1:26">
      <c r="A109" s="76" t="s">
        <v>664</v>
      </c>
      <c r="B109" s="76"/>
      <c r="C109" s="95">
        <f t="shared" ref="C109:J109" si="200">C90/C86</f>
        <v>0.39225977155170649</v>
      </c>
      <c r="D109" s="95">
        <f t="shared" si="200"/>
        <v>0.36631135253610664</v>
      </c>
      <c r="E109" s="95">
        <f t="shared" si="200"/>
        <v>0.35527224769201782</v>
      </c>
      <c r="F109" s="95">
        <f t="shared" si="200"/>
        <v>0.36109877561377912</v>
      </c>
      <c r="G109" s="95">
        <f t="shared" si="200"/>
        <v>0.37498278948093072</v>
      </c>
      <c r="H109" s="95">
        <f t="shared" si="200"/>
        <v>0.40318377121927168</v>
      </c>
      <c r="I109" s="95">
        <f t="shared" si="200"/>
        <v>0.40159574468085107</v>
      </c>
      <c r="J109" s="95">
        <f t="shared" si="200"/>
        <v>0.36249914083442158</v>
      </c>
      <c r="K109" s="95">
        <f t="shared" ref="K109:P109" si="201">K90/K86</f>
        <v>0.3942879049262028</v>
      </c>
      <c r="L109" s="95">
        <f t="shared" si="201"/>
        <v>0.38970770374040131</v>
      </c>
      <c r="M109" s="95">
        <f t="shared" si="201"/>
        <v>0.38265895953757223</v>
      </c>
      <c r="N109" s="95">
        <f t="shared" si="201"/>
        <v>0.36418307273532952</v>
      </c>
      <c r="O109" s="95">
        <f t="shared" si="201"/>
        <v>0.36401134312967259</v>
      </c>
      <c r="P109" s="95">
        <f t="shared" si="201"/>
        <v>0.38259224219489119</v>
      </c>
      <c r="Q109" s="96">
        <f>Q29-0.0073</f>
        <v>0.37155597527483691</v>
      </c>
      <c r="R109" s="96">
        <f>R29-0.009</f>
        <v>0.36705597527483697</v>
      </c>
      <c r="S109" s="96">
        <f>R109-0.3%</f>
        <v>0.36405597527483696</v>
      </c>
      <c r="T109" s="96">
        <f>S109-0.3%</f>
        <v>0.36105597527483696</v>
      </c>
      <c r="U109" s="2113">
        <f>T109-0.3%</f>
        <v>0.35805597527483696</v>
      </c>
    </row>
    <row r="110" spans="1:26">
      <c r="A110" s="76" t="s">
        <v>18</v>
      </c>
      <c r="B110" s="76"/>
      <c r="C110" s="95">
        <f t="shared" ref="C110:J110" si="202">C91/C86</f>
        <v>0.27054106553345553</v>
      </c>
      <c r="D110" s="95">
        <f t="shared" si="202"/>
        <v>0.25745360841470405</v>
      </c>
      <c r="E110" s="95">
        <f t="shared" si="202"/>
        <v>0.27833950888651637</v>
      </c>
      <c r="F110" s="95">
        <f t="shared" si="202"/>
        <v>0.27583581805493879</v>
      </c>
      <c r="G110" s="95">
        <f t="shared" si="202"/>
        <v>0.26841525540410299</v>
      </c>
      <c r="H110" s="95">
        <f t="shared" si="202"/>
        <v>0.27533986053391563</v>
      </c>
      <c r="I110" s="95">
        <f t="shared" si="202"/>
        <v>0.26738952536824878</v>
      </c>
      <c r="J110" s="95">
        <f t="shared" si="202"/>
        <v>0.26366073269640528</v>
      </c>
      <c r="K110" s="95">
        <f t="shared" ref="K110:P110" si="203">K91/K86</f>
        <v>0.27020637658935531</v>
      </c>
      <c r="L110" s="95">
        <f t="shared" si="203"/>
        <v>0.25662620757988608</v>
      </c>
      <c r="M110" s="95">
        <f t="shared" si="203"/>
        <v>0.25829023425616066</v>
      </c>
      <c r="N110" s="95">
        <f t="shared" si="203"/>
        <v>0.25935304171678164</v>
      </c>
      <c r="O110" s="95">
        <f t="shared" si="203"/>
        <v>0.27416860015467903</v>
      </c>
      <c r="P110" s="95">
        <f t="shared" si="203"/>
        <v>0.29334594765058342</v>
      </c>
      <c r="Q110" s="96">
        <f>Q30+0.008</f>
        <v>0.30058904023573235</v>
      </c>
      <c r="R110" s="96">
        <f>Q110+0.4%</f>
        <v>0.30458904023573236</v>
      </c>
      <c r="S110" s="96">
        <f t="shared" ref="S110:U110" si="204">R110+0.4%</f>
        <v>0.30858904023573236</v>
      </c>
      <c r="T110" s="96">
        <f t="shared" si="204"/>
        <v>0.31258904023573236</v>
      </c>
      <c r="U110" s="2113">
        <f t="shared" si="204"/>
        <v>0.31658904023573237</v>
      </c>
      <c r="V110" s="1008">
        <f>9*R103</f>
        <v>16.071780593993967</v>
      </c>
      <c r="Z110">
        <f>9*1.65</f>
        <v>14.85</v>
      </c>
    </row>
    <row r="111" spans="1:26">
      <c r="A111" s="76" t="s">
        <v>666</v>
      </c>
      <c r="B111" s="76"/>
      <c r="C111" s="95">
        <f t="shared" ref="C111:J111" si="205">C93/C86</f>
        <v>0.12171870601825098</v>
      </c>
      <c r="D111" s="95">
        <f t="shared" si="205"/>
        <v>0.10885774412140262</v>
      </c>
      <c r="E111" s="95">
        <f t="shared" si="205"/>
        <v>7.6932738805501472E-2</v>
      </c>
      <c r="F111" s="95">
        <f t="shared" si="205"/>
        <v>8.5262957558840322E-2</v>
      </c>
      <c r="G111" s="95">
        <f t="shared" si="205"/>
        <v>0.10656753407682776</v>
      </c>
      <c r="H111" s="95">
        <f t="shared" si="205"/>
        <v>0.12784391068535605</v>
      </c>
      <c r="I111" s="95">
        <f t="shared" si="205"/>
        <v>0.13420621931260229</v>
      </c>
      <c r="J111" s="95">
        <f t="shared" si="205"/>
        <v>9.8838408138016365E-2</v>
      </c>
      <c r="K111" s="95">
        <f t="shared" ref="K111:R111" si="206">K93/K86</f>
        <v>0.12408152833684749</v>
      </c>
      <c r="L111" s="95">
        <f t="shared" si="206"/>
        <v>0.13308149616051523</v>
      </c>
      <c r="M111" s="95">
        <f t="shared" si="206"/>
        <v>0.12436872528141162</v>
      </c>
      <c r="N111" s="95">
        <f t="shared" si="206"/>
        <v>0.10483003101854782</v>
      </c>
      <c r="O111" s="95">
        <f t="shared" si="206"/>
        <v>8.9842742974993561E-2</v>
      </c>
      <c r="P111" s="95">
        <f t="shared" si="206"/>
        <v>8.9246294544307783E-2</v>
      </c>
      <c r="Q111" s="95">
        <f t="shared" si="206"/>
        <v>7.0966935039104562E-2</v>
      </c>
      <c r="R111" s="95">
        <f t="shared" si="206"/>
        <v>6.2466935039104644E-2</v>
      </c>
      <c r="S111" s="95">
        <f t="shared" ref="S111:T111" si="207">S93/S86</f>
        <v>5.5466935039104576E-2</v>
      </c>
      <c r="T111" s="95">
        <f t="shared" si="207"/>
        <v>4.8466935039104646E-2</v>
      </c>
      <c r="U111" s="112">
        <f t="shared" ref="U111" si="208">U93/U86</f>
        <v>4.1466935039104591E-2</v>
      </c>
    </row>
    <row r="112" spans="1:26">
      <c r="A112" s="76" t="s">
        <v>20</v>
      </c>
      <c r="B112" s="76"/>
      <c r="C112" s="95">
        <f>C98/C96</f>
        <v>0.38568108234291065</v>
      </c>
      <c r="D112" s="95">
        <f t="shared" ref="D112:J112" si="209">D98/D96</f>
        <v>0.37920102307612474</v>
      </c>
      <c r="E112" s="95">
        <f t="shared" si="209"/>
        <v>0.3847349928641543</v>
      </c>
      <c r="F112" s="95">
        <f t="shared" si="209"/>
        <v>0.37560975609756098</v>
      </c>
      <c r="G112" s="95">
        <f t="shared" si="209"/>
        <v>0.38952020202020204</v>
      </c>
      <c r="H112" s="95">
        <f t="shared" si="209"/>
        <v>0.39317180616740088</v>
      </c>
      <c r="I112" s="95">
        <f t="shared" si="209"/>
        <v>0.39253279515640765</v>
      </c>
      <c r="J112" s="95">
        <f t="shared" si="209"/>
        <v>0.39152666179693207</v>
      </c>
      <c r="K112" s="95">
        <f t="shared" ref="K112:P112" si="210">K98/K96</f>
        <v>0.39011284255776463</v>
      </c>
      <c r="L112" s="95">
        <f t="shared" si="210"/>
        <v>0.38843764930721453</v>
      </c>
      <c r="M112" s="95">
        <f t="shared" si="210"/>
        <v>0.37183383991894631</v>
      </c>
      <c r="N112" s="95">
        <f t="shared" si="210"/>
        <v>0.37499376169681847</v>
      </c>
      <c r="O112" s="95">
        <f t="shared" si="210"/>
        <v>0.39022607385079128</v>
      </c>
      <c r="P112" s="95">
        <f t="shared" si="210"/>
        <v>0.38064705882352945</v>
      </c>
      <c r="Q112" s="96">
        <f t="shared" ref="Q112:T112" si="211">Q71</f>
        <v>0.26000000000000029</v>
      </c>
      <c r="R112" s="96">
        <f t="shared" si="211"/>
        <v>0.26000000000000029</v>
      </c>
      <c r="S112" s="96">
        <f t="shared" si="211"/>
        <v>0.26000000000000029</v>
      </c>
      <c r="T112" s="96">
        <f t="shared" si="211"/>
        <v>0.26000000000000029</v>
      </c>
      <c r="U112" s="2113">
        <f t="shared" ref="U112" si="212">U71</f>
        <v>0.26000000000000029</v>
      </c>
      <c r="V112">
        <f>9*1.6</f>
        <v>14.4</v>
      </c>
    </row>
    <row r="113" spans="1:29">
      <c r="A113" s="76"/>
      <c r="B113" s="76"/>
      <c r="C113" s="77"/>
      <c r="D113" s="77"/>
      <c r="E113" s="77"/>
      <c r="F113" s="77"/>
      <c r="G113" s="77"/>
      <c r="H113" s="77"/>
      <c r="I113" s="77"/>
      <c r="J113" s="77"/>
      <c r="K113" s="77"/>
      <c r="L113" s="77"/>
      <c r="M113" s="77"/>
      <c r="N113" s="77"/>
      <c r="O113" s="77"/>
      <c r="P113" s="77"/>
      <c r="Q113" s="77"/>
      <c r="R113" s="77"/>
      <c r="S113" s="77"/>
      <c r="T113" s="77"/>
      <c r="U113" s="2100"/>
    </row>
    <row r="114" spans="1:29">
      <c r="A114" s="14" t="s">
        <v>21</v>
      </c>
      <c r="B114" s="76"/>
      <c r="C114" s="77"/>
      <c r="D114" s="77"/>
      <c r="E114" s="77"/>
      <c r="F114" s="77"/>
      <c r="G114" s="77"/>
      <c r="H114" s="77"/>
      <c r="I114" s="77"/>
      <c r="J114" s="77"/>
      <c r="K114" s="77"/>
      <c r="L114" s="77"/>
      <c r="M114" s="77"/>
      <c r="N114" s="77"/>
      <c r="O114" s="77"/>
      <c r="P114" s="77"/>
      <c r="Q114" s="77"/>
      <c r="R114" s="77"/>
      <c r="S114" s="77"/>
      <c r="T114" s="77"/>
      <c r="U114" s="2100"/>
    </row>
    <row r="115" spans="1:29">
      <c r="A115" s="76" t="s">
        <v>560</v>
      </c>
      <c r="B115" s="76"/>
      <c r="C115" s="97" t="s">
        <v>644</v>
      </c>
      <c r="D115" s="95">
        <f t="shared" ref="D115:P115" si="213">((D86/C86)-1)</f>
        <v>-1.5000613804258101E-2</v>
      </c>
      <c r="E115" s="95">
        <f t="shared" si="213"/>
        <v>-6.2645958593005036E-3</v>
      </c>
      <c r="F115" s="95">
        <f t="shared" si="213"/>
        <v>-1.0048357721534895E-2</v>
      </c>
      <c r="G115" s="95">
        <f t="shared" si="213"/>
        <v>-7.8474909598426734E-2</v>
      </c>
      <c r="H115" s="95">
        <f t="shared" si="213"/>
        <v>-2.2649043095139709E-2</v>
      </c>
      <c r="I115" s="95">
        <f t="shared" si="213"/>
        <v>3.2894273438050403E-2</v>
      </c>
      <c r="J115" s="95">
        <f t="shared" si="213"/>
        <v>-7.8423349699945355E-3</v>
      </c>
      <c r="K115" s="95">
        <f t="shared" si="213"/>
        <v>7.5744037390885977E-2</v>
      </c>
      <c r="L115" s="95">
        <f t="shared" si="213"/>
        <v>3.1755159414733836E-2</v>
      </c>
      <c r="M115" s="95">
        <f t="shared" si="213"/>
        <v>1.7773098835769163E-2</v>
      </c>
      <c r="N115" s="95">
        <f t="shared" si="213"/>
        <v>-3.8819592333434794E-2</v>
      </c>
      <c r="O115" s="95">
        <f t="shared" si="213"/>
        <v>-1.778818763056278E-2</v>
      </c>
      <c r="P115" s="95">
        <f t="shared" si="213"/>
        <v>2.1848414539829886E-2</v>
      </c>
      <c r="Q115" s="95">
        <f>Q116+Q122</f>
        <v>-1.5269302454609859E-2</v>
      </c>
      <c r="R115" s="95">
        <f>R116+R122</f>
        <v>-2.5864341697131477E-2</v>
      </c>
      <c r="S115" s="95">
        <f t="shared" ref="S115:T115" si="214">S116+S122</f>
        <v>-2.6138856131468869E-2</v>
      </c>
      <c r="T115" s="95">
        <f t="shared" si="214"/>
        <v>-2.5742230610295028E-2</v>
      </c>
      <c r="U115" s="112">
        <f t="shared" ref="U115" si="215">U116+U122</f>
        <v>-2.6478942844724882E-2</v>
      </c>
    </row>
    <row r="116" spans="1:29">
      <c r="A116" s="76" t="s">
        <v>161</v>
      </c>
      <c r="B116" s="76"/>
      <c r="C116" s="99">
        <f>C36</f>
        <v>4.0000000000000001E-3</v>
      </c>
      <c r="D116" s="99">
        <f t="shared" ref="D116:J116" si="216">D36</f>
        <v>-5.0999999999999997E-2</v>
      </c>
      <c r="E116" s="99">
        <f t="shared" si="216"/>
        <v>-7.0000000000000007E-2</v>
      </c>
      <c r="F116" s="99">
        <f t="shared" si="216"/>
        <v>-0.04</v>
      </c>
      <c r="G116" s="99">
        <f t="shared" si="216"/>
        <v>-0.11838208207470713</v>
      </c>
      <c r="H116" s="99">
        <f t="shared" si="216"/>
        <v>-3.0030152268958239E-2</v>
      </c>
      <c r="I116" s="99">
        <f t="shared" si="216"/>
        <v>0.02</v>
      </c>
      <c r="J116" s="99">
        <f t="shared" si="216"/>
        <v>-0.04</v>
      </c>
      <c r="K116" s="99">
        <f t="shared" ref="K116:P116" si="217">K36</f>
        <v>4.7896859694612506E-2</v>
      </c>
      <c r="L116" s="99">
        <f t="shared" si="217"/>
        <v>2.1890636611345059E-2</v>
      </c>
      <c r="M116" s="99">
        <f t="shared" si="217"/>
        <v>0</v>
      </c>
      <c r="N116" s="99">
        <f t="shared" si="217"/>
        <v>-0.04</v>
      </c>
      <c r="O116" s="99">
        <f t="shared" si="217"/>
        <v>-0.02</v>
      </c>
      <c r="P116" s="99">
        <f t="shared" si="217"/>
        <v>0.03</v>
      </c>
      <c r="Q116" s="96">
        <v>-0.02</v>
      </c>
      <c r="R116" s="96">
        <v>-0.02</v>
      </c>
      <c r="S116" s="96">
        <v>-0.02</v>
      </c>
      <c r="T116" s="96">
        <v>-0.02</v>
      </c>
      <c r="U116" s="2113">
        <v>-0.02</v>
      </c>
    </row>
    <row r="117" spans="1:29">
      <c r="A117" s="76" t="s">
        <v>7</v>
      </c>
      <c r="B117" s="76"/>
      <c r="C117" s="97" t="s">
        <v>644</v>
      </c>
      <c r="D117" s="95">
        <f t="shared" ref="D117:P117" si="218">((D91/C91)-1)</f>
        <v>-6.2650079527380109E-2</v>
      </c>
      <c r="E117" s="95">
        <f t="shared" si="218"/>
        <v>7.4352098053051874E-2</v>
      </c>
      <c r="F117" s="95">
        <f t="shared" si="218"/>
        <v>-1.8953068592057809E-2</v>
      </c>
      <c r="G117" s="95">
        <f t="shared" si="218"/>
        <v>-0.10326586936522542</v>
      </c>
      <c r="H117" s="95">
        <f t="shared" si="218"/>
        <v>2.5647601949216892E-3</v>
      </c>
      <c r="I117" s="95">
        <f t="shared" si="218"/>
        <v>3.0698388334613469E-3</v>
      </c>
      <c r="J117" s="95">
        <f t="shared" si="218"/>
        <v>-2.1678143330782995E-2</v>
      </c>
      <c r="K117" s="95">
        <f t="shared" si="218"/>
        <v>0.10245046923879042</v>
      </c>
      <c r="L117" s="95">
        <f t="shared" si="218"/>
        <v>-2.0099314258690049E-2</v>
      </c>
      <c r="M117" s="95">
        <f t="shared" si="218"/>
        <v>2.437258687258681E-2</v>
      </c>
      <c r="N117" s="95">
        <f t="shared" si="218"/>
        <v>-3.4864546525323892E-2</v>
      </c>
      <c r="O117" s="95">
        <f t="shared" si="218"/>
        <v>3.8320722479863401E-2</v>
      </c>
      <c r="P117" s="95">
        <f t="shared" si="218"/>
        <v>9.3323930418429679E-2</v>
      </c>
      <c r="Q117" s="95">
        <f>((Q91/P91)-1)</f>
        <v>9.04497790577663E-3</v>
      </c>
      <c r="R117" s="95">
        <f>((R91/Q91)-1)</f>
        <v>-1.2901318726780686E-2</v>
      </c>
      <c r="S117" s="95">
        <f t="shared" ref="S117:U117" si="219">((S91/R91)-1)</f>
        <v>-1.3349674444368964E-2</v>
      </c>
      <c r="T117" s="95">
        <f t="shared" si="219"/>
        <v>-1.3113684001569648E-2</v>
      </c>
      <c r="U117" s="112">
        <f t="shared" si="219"/>
        <v>-1.4021422818800477E-2</v>
      </c>
    </row>
    <row r="118" spans="1:29">
      <c r="A118" s="76" t="s">
        <v>25</v>
      </c>
      <c r="B118" s="76"/>
      <c r="C118" s="97" t="s">
        <v>644</v>
      </c>
      <c r="D118" s="95">
        <f t="shared" ref="D118:P118" si="220">((D93/C93)-1)</f>
        <v>-0.11907697140522511</v>
      </c>
      <c r="E118" s="95">
        <f t="shared" si="220"/>
        <v>-0.29770006805143023</v>
      </c>
      <c r="F118" s="95">
        <f t="shared" si="220"/>
        <v>9.7142857142857197E-2</v>
      </c>
      <c r="G118" s="95">
        <f t="shared" si="220"/>
        <v>0.15178571428571419</v>
      </c>
      <c r="H118" s="95">
        <f t="shared" si="220"/>
        <v>0.17248062015503884</v>
      </c>
      <c r="I118" s="95">
        <f t="shared" si="220"/>
        <v>8.4297520661156922E-2</v>
      </c>
      <c r="J118" s="95">
        <f t="shared" si="220"/>
        <v>-0.26930894308943087</v>
      </c>
      <c r="K118" s="95">
        <f t="shared" si="220"/>
        <v>0.35048678720445059</v>
      </c>
      <c r="L118" s="95">
        <f t="shared" si="220"/>
        <v>0.1065911431513904</v>
      </c>
      <c r="M118" s="95">
        <f t="shared" si="220"/>
        <v>-4.8859934853420217E-2</v>
      </c>
      <c r="N118" s="95">
        <f t="shared" si="220"/>
        <v>-0.18982387475538165</v>
      </c>
      <c r="O118" s="95">
        <f t="shared" si="220"/>
        <v>-0.15821256038647347</v>
      </c>
      <c r="P118" s="95">
        <f t="shared" si="220"/>
        <v>1.5064562410330051E-2</v>
      </c>
      <c r="Q118" s="95">
        <f>((Q93/P93)-1)</f>
        <v>-0.21696110969603222</v>
      </c>
      <c r="R118" s="95">
        <f>((R93/Q93)-1)</f>
        <v>-0.14254055282294276</v>
      </c>
      <c r="S118" s="95">
        <f t="shared" ref="S118:U118" si="221">((S93/R93)-1)</f>
        <v>-0.13526903840809712</v>
      </c>
      <c r="T118" s="95">
        <f t="shared" si="221"/>
        <v>-0.14869483978042242</v>
      </c>
      <c r="U118" s="112">
        <f t="shared" si="221"/>
        <v>-0.1670829937216517</v>
      </c>
    </row>
    <row r="119" spans="1:29">
      <c r="A119" s="76" t="s">
        <v>26</v>
      </c>
      <c r="B119" s="76"/>
      <c r="C119" s="97" t="s">
        <v>644</v>
      </c>
      <c r="D119" s="95">
        <f t="shared" ref="D119:P119" si="222">((D103/C103)-1)</f>
        <v>6.2718312587844993E-2</v>
      </c>
      <c r="E119" s="95">
        <f t="shared" si="222"/>
        <v>-0.21503377864507145</v>
      </c>
      <c r="F119" s="95">
        <f t="shared" si="222"/>
        <v>0.16585017133774627</v>
      </c>
      <c r="G119" s="95">
        <f t="shared" si="222"/>
        <v>0.19181837373335986</v>
      </c>
      <c r="H119" s="95">
        <f t="shared" si="222"/>
        <v>0.17221381409104164</v>
      </c>
      <c r="I119" s="95">
        <f t="shared" si="222"/>
        <v>0.19141767485581451</v>
      </c>
      <c r="J119" s="95">
        <f t="shared" si="222"/>
        <v>-0.16795017234608833</v>
      </c>
      <c r="K119" s="95">
        <f t="shared" si="222"/>
        <v>0.48818953811032606</v>
      </c>
      <c r="L119" s="95">
        <f t="shared" si="222"/>
        <v>0.17972907252904968</v>
      </c>
      <c r="M119" s="95">
        <f t="shared" si="222"/>
        <v>2.8263651877133089E-2</v>
      </c>
      <c r="N119" s="95">
        <f t="shared" si="222"/>
        <v>-0.1401850005858003</v>
      </c>
      <c r="O119" s="95">
        <f t="shared" si="222"/>
        <v>-0.16610386920654563</v>
      </c>
      <c r="P119" s="95">
        <f t="shared" si="222"/>
        <v>5.2812040844025132E-2</v>
      </c>
      <c r="Q119" s="95">
        <f>((Q103/P103)-1)</f>
        <v>-4.7052417426585058E-2</v>
      </c>
      <c r="R119" s="95">
        <f>((R103/Q103)-1)</f>
        <v>-0.12012323783800416</v>
      </c>
      <c r="S119" s="95">
        <f t="shared" ref="S119:U119" si="223">((S103/R103)-1)</f>
        <v>-0.11783489281359427</v>
      </c>
      <c r="T119" s="95">
        <f t="shared" si="223"/>
        <v>-0.13465573182314239</v>
      </c>
      <c r="U119" s="112">
        <f t="shared" si="223"/>
        <v>-0.15770112751482568</v>
      </c>
    </row>
    <row r="120" spans="1:29">
      <c r="A120" s="76" t="s">
        <v>663</v>
      </c>
      <c r="B120" s="76"/>
      <c r="C120" s="97" t="s">
        <v>644</v>
      </c>
      <c r="D120" s="95">
        <f t="shared" ref="D120:P120" si="224">((D106/C106)-1)</f>
        <v>-8.6727244976775197E-2</v>
      </c>
      <c r="E120" s="95">
        <f t="shared" si="224"/>
        <v>-0.25934679029174568</v>
      </c>
      <c r="F120" s="95">
        <f t="shared" si="224"/>
        <v>7.7492877492877588E-2</v>
      </c>
      <c r="G120" s="95">
        <f t="shared" si="224"/>
        <v>0.11898466419883658</v>
      </c>
      <c r="H120" s="95">
        <f t="shared" si="224"/>
        <v>0.12854442344045358</v>
      </c>
      <c r="I120" s="95">
        <f t="shared" si="224"/>
        <v>5.9463986599664898E-2</v>
      </c>
      <c r="J120" s="95">
        <f t="shared" si="224"/>
        <v>-0.23162055335968379</v>
      </c>
      <c r="K120" s="95">
        <f t="shared" si="224"/>
        <v>0.24742798353909468</v>
      </c>
      <c r="L120" s="95">
        <f t="shared" si="224"/>
        <v>8.0000000000000071E-2</v>
      </c>
      <c r="M120" s="95">
        <f t="shared" si="224"/>
        <v>-2.8636884306987409E-2</v>
      </c>
      <c r="N120" s="95">
        <f t="shared" si="224"/>
        <v>-0.14190251572327039</v>
      </c>
      <c r="O120" s="95">
        <f t="shared" si="224"/>
        <v>-0.11818598259276225</v>
      </c>
      <c r="P120" s="95">
        <f t="shared" si="224"/>
        <v>1.298701298701288E-2</v>
      </c>
      <c r="Q120" s="95">
        <f>((Q106/P106)-1)</f>
        <v>-0.14974357447173625</v>
      </c>
      <c r="R120" s="95">
        <f>((R106/Q106)-1)</f>
        <v>-8.6209248616027301E-2</v>
      </c>
      <c r="S120" s="95">
        <f t="shared" ref="S120:U120" si="225">((S106/R106)-1)</f>
        <v>-7.4923771975292319E-2</v>
      </c>
      <c r="T120" s="95">
        <f t="shared" si="225"/>
        <v>-7.6458418388163807E-2</v>
      </c>
      <c r="U120" s="112">
        <f t="shared" si="225"/>
        <v>-7.8690507537426235E-2</v>
      </c>
    </row>
    <row r="121" spans="1:29" outlineLevel="1">
      <c r="A121" s="76" t="s">
        <v>163</v>
      </c>
      <c r="B121" s="76"/>
      <c r="C121" s="97" t="s">
        <v>644</v>
      </c>
      <c r="D121" s="97" t="s">
        <v>644</v>
      </c>
      <c r="E121" s="95">
        <f>E35-E36</f>
        <v>6.3735404140699503E-2</v>
      </c>
      <c r="F121" s="95">
        <f t="shared" ref="F121:L121" si="226">F35-F36</f>
        <v>2.9951642278465106E-2</v>
      </c>
      <c r="G121" s="95">
        <f t="shared" si="226"/>
        <v>3.9907172476280395E-2</v>
      </c>
      <c r="H121" s="95">
        <f t="shared" si="226"/>
        <v>7.3811091738185293E-3</v>
      </c>
      <c r="I121" s="95">
        <f t="shared" si="226"/>
        <v>1.2894273438050403E-2</v>
      </c>
      <c r="J121" s="95">
        <f t="shared" si="226"/>
        <v>3.2157665030005465E-2</v>
      </c>
      <c r="K121" s="95">
        <f t="shared" si="226"/>
        <v>2.784717769627347E-2</v>
      </c>
      <c r="L121" s="95">
        <f t="shared" si="226"/>
        <v>9.8645228033887762E-3</v>
      </c>
      <c r="M121" s="95">
        <f t="shared" ref="M121:R121" si="227">M35-M36</f>
        <v>1.7773098835769163E-2</v>
      </c>
      <c r="N121" s="95">
        <f>N35-N36</f>
        <v>1.1804076665652072E-3</v>
      </c>
      <c r="O121" s="95">
        <f>O35-O36</f>
        <v>2.2118123694372209E-3</v>
      </c>
      <c r="P121" s="95">
        <f>P35-P36</f>
        <v>-8.1515854601701132E-3</v>
      </c>
      <c r="Q121" s="95">
        <f t="shared" si="227"/>
        <v>9.7306975453901427E-3</v>
      </c>
      <c r="R121" s="95">
        <f t="shared" si="227"/>
        <v>-8.6434169713147692E-4</v>
      </c>
      <c r="S121" s="95">
        <f t="shared" ref="S121:T121" si="228">S35-S36</f>
        <v>-1.1388561314688694E-3</v>
      </c>
      <c r="T121" s="95">
        <f t="shared" si="228"/>
        <v>-7.422306102950289E-4</v>
      </c>
      <c r="U121" s="112">
        <f t="shared" ref="U121" si="229">U35-U36</f>
        <v>-1.4789428447248816E-3</v>
      </c>
    </row>
    <row r="122" spans="1:29" outlineLevel="1">
      <c r="A122" s="76" t="s">
        <v>166</v>
      </c>
      <c r="B122" s="76"/>
      <c r="C122" s="97" t="str">
        <f t="shared" ref="C122:J122" si="230">C121</f>
        <v>NA</v>
      </c>
      <c r="D122" s="97" t="str">
        <f t="shared" si="230"/>
        <v>NA</v>
      </c>
      <c r="E122" s="95">
        <f t="shared" si="230"/>
        <v>6.3735404140699503E-2</v>
      </c>
      <c r="F122" s="95">
        <f t="shared" si="230"/>
        <v>2.9951642278465106E-2</v>
      </c>
      <c r="G122" s="95">
        <f t="shared" si="230"/>
        <v>3.9907172476280395E-2</v>
      </c>
      <c r="H122" s="95">
        <f t="shared" si="230"/>
        <v>7.3811091738185293E-3</v>
      </c>
      <c r="I122" s="95">
        <f t="shared" si="230"/>
        <v>1.2894273438050403E-2</v>
      </c>
      <c r="J122" s="95">
        <f t="shared" si="230"/>
        <v>3.2157665030005465E-2</v>
      </c>
      <c r="K122" s="96">
        <f>K121</f>
        <v>2.784717769627347E-2</v>
      </c>
      <c r="L122" s="96">
        <f>L121-1%</f>
        <v>-1.35477196611224E-4</v>
      </c>
      <c r="M122" s="96">
        <f>M121-1%</f>
        <v>7.7730988357691631E-3</v>
      </c>
      <c r="N122" s="96">
        <v>0</v>
      </c>
      <c r="O122" s="96">
        <v>-0.01</v>
      </c>
      <c r="P122" s="96">
        <f>P121</f>
        <v>-8.1515854601701132E-3</v>
      </c>
      <c r="Q122" s="96">
        <f t="shared" ref="Q122:T122" si="231">Q121-0.005</f>
        <v>4.7306975453901426E-3</v>
      </c>
      <c r="R122" s="96">
        <f t="shared" si="231"/>
        <v>-5.864341697131477E-3</v>
      </c>
      <c r="S122" s="96">
        <f t="shared" si="231"/>
        <v>-6.1388561314688695E-3</v>
      </c>
      <c r="T122" s="96">
        <f t="shared" si="231"/>
        <v>-5.742230610295029E-3</v>
      </c>
      <c r="U122" s="2113">
        <f t="shared" ref="U122" si="232">U121-0.005</f>
        <v>-6.4789428447248817E-3</v>
      </c>
    </row>
    <row r="123" spans="1:29">
      <c r="A123" s="100"/>
      <c r="B123" s="100"/>
      <c r="C123" s="100"/>
      <c r="D123" s="100"/>
      <c r="E123" s="100"/>
      <c r="F123" s="100"/>
      <c r="G123" s="100"/>
      <c r="H123" s="100"/>
      <c r="I123" s="100"/>
      <c r="J123" s="100"/>
      <c r="K123" s="100"/>
      <c r="L123" s="100"/>
      <c r="M123" s="100"/>
      <c r="N123" s="100"/>
      <c r="O123" s="100"/>
      <c r="P123" s="100"/>
      <c r="Q123" s="100"/>
      <c r="R123" s="100"/>
      <c r="S123" s="100"/>
      <c r="T123" s="100"/>
      <c r="U123" s="100"/>
      <c r="V123" s="10"/>
      <c r="W123" s="10"/>
      <c r="X123" s="10"/>
      <c r="Y123" s="10"/>
      <c r="Z123" s="10"/>
      <c r="AA123" s="10"/>
      <c r="AB123" s="10"/>
      <c r="AC123" s="10"/>
    </row>
    <row r="124" spans="1:29">
      <c r="A124" s="101" t="s">
        <v>383</v>
      </c>
      <c r="B124" s="10"/>
      <c r="C124" s="17">
        <f t="shared" ref="C124:P125" si="233">C83</f>
        <v>2004</v>
      </c>
      <c r="D124" s="17">
        <f t="shared" si="233"/>
        <v>2005</v>
      </c>
      <c r="E124" s="17">
        <f t="shared" si="233"/>
        <v>2006</v>
      </c>
      <c r="F124" s="17">
        <f t="shared" si="233"/>
        <v>2007</v>
      </c>
      <c r="G124" s="17">
        <f t="shared" si="233"/>
        <v>2008</v>
      </c>
      <c r="H124" s="17">
        <f t="shared" si="233"/>
        <v>2009</v>
      </c>
      <c r="I124" s="17">
        <f t="shared" si="233"/>
        <v>2010</v>
      </c>
      <c r="J124" s="17">
        <f t="shared" si="233"/>
        <v>2011</v>
      </c>
      <c r="K124" s="17">
        <f t="shared" si="233"/>
        <v>2012</v>
      </c>
      <c r="L124" s="17">
        <f t="shared" si="233"/>
        <v>2013</v>
      </c>
      <c r="M124" s="17">
        <f>M83</f>
        <v>2014</v>
      </c>
      <c r="N124" s="17">
        <f t="shared" si="233"/>
        <v>2015</v>
      </c>
      <c r="O124" s="17">
        <f t="shared" si="233"/>
        <v>2016</v>
      </c>
      <c r="P124" s="17">
        <f t="shared" si="233"/>
        <v>2017</v>
      </c>
      <c r="Q124" s="17">
        <f>Q83</f>
        <v>2018</v>
      </c>
      <c r="R124" s="17">
        <f>R83</f>
        <v>2019</v>
      </c>
      <c r="S124" s="17">
        <f t="shared" ref="S124:T124" si="234">S83</f>
        <v>2020</v>
      </c>
      <c r="T124" s="17">
        <f t="shared" si="234"/>
        <v>2021</v>
      </c>
      <c r="U124" s="28">
        <f t="shared" ref="U124" si="235">U83</f>
        <v>2022</v>
      </c>
      <c r="V124" s="10"/>
      <c r="W124" s="10"/>
      <c r="X124" s="10"/>
      <c r="Y124" s="10"/>
      <c r="Z124" s="10"/>
      <c r="AA124" s="10"/>
      <c r="AB124" s="10"/>
      <c r="AC124" s="10"/>
    </row>
    <row r="125" spans="1:29">
      <c r="A125" s="14" t="s">
        <v>4</v>
      </c>
      <c r="B125" s="10"/>
      <c r="C125" s="20" t="str">
        <f t="shared" si="233"/>
        <v>Jan</v>
      </c>
      <c r="D125" s="20" t="str">
        <f t="shared" si="233"/>
        <v>Jan</v>
      </c>
      <c r="E125" s="20" t="str">
        <f t="shared" si="233"/>
        <v>Jan</v>
      </c>
      <c r="F125" s="20" t="str">
        <f t="shared" si="233"/>
        <v>Jan</v>
      </c>
      <c r="G125" s="20" t="str">
        <f t="shared" si="233"/>
        <v>Jan</v>
      </c>
      <c r="H125" s="20" t="str">
        <f t="shared" si="233"/>
        <v>Jan</v>
      </c>
      <c r="I125" s="20" t="str">
        <f t="shared" si="233"/>
        <v>Jan</v>
      </c>
      <c r="J125" s="20" t="str">
        <f t="shared" si="233"/>
        <v>Jan</v>
      </c>
      <c r="K125" s="20" t="str">
        <f t="shared" si="233"/>
        <v>Jan</v>
      </c>
      <c r="L125" s="20" t="str">
        <f t="shared" si="233"/>
        <v>Jan</v>
      </c>
      <c r="M125" s="20" t="str">
        <f>M84</f>
        <v>Jan</v>
      </c>
      <c r="N125" s="20" t="str">
        <f t="shared" si="233"/>
        <v>Jan</v>
      </c>
      <c r="O125" s="20" t="str">
        <f t="shared" si="233"/>
        <v>Jan</v>
      </c>
      <c r="P125" s="20" t="str">
        <f t="shared" si="233"/>
        <v>Jan</v>
      </c>
      <c r="Q125" s="20" t="str">
        <f>Q84</f>
        <v>Jan</v>
      </c>
      <c r="R125" s="20" t="str">
        <f>R84</f>
        <v>Jan</v>
      </c>
      <c r="S125" s="20" t="str">
        <f t="shared" ref="S125:T125" si="236">S84</f>
        <v>Jan</v>
      </c>
      <c r="T125" s="20" t="str">
        <f t="shared" si="236"/>
        <v>Jan</v>
      </c>
      <c r="U125" s="2099" t="str">
        <f t="shared" ref="U125" si="237">U84</f>
        <v>Jan</v>
      </c>
      <c r="V125" s="10"/>
      <c r="W125" s="10"/>
      <c r="X125" s="10"/>
      <c r="Y125" s="10"/>
      <c r="Z125" s="10"/>
      <c r="AA125" s="10"/>
      <c r="AB125" s="10"/>
      <c r="AC125" s="10"/>
    </row>
    <row r="126" spans="1:29">
      <c r="A126" s="11"/>
      <c r="B126" s="10"/>
      <c r="C126" s="10"/>
      <c r="D126" s="10"/>
      <c r="E126" s="10"/>
      <c r="F126" s="10"/>
      <c r="G126" s="10"/>
      <c r="H126" s="10"/>
      <c r="I126" s="10"/>
      <c r="J126" s="10"/>
      <c r="K126" s="10"/>
      <c r="L126" s="10"/>
      <c r="M126" s="10"/>
      <c r="N126" s="10"/>
      <c r="O126" s="10"/>
      <c r="P126" s="10"/>
      <c r="Q126" s="10"/>
      <c r="R126" s="10"/>
      <c r="S126" s="10"/>
      <c r="T126" s="10"/>
      <c r="U126" s="24"/>
      <c r="V126" s="10"/>
      <c r="W126" s="10"/>
      <c r="X126" s="10"/>
      <c r="Y126" s="10"/>
      <c r="Z126" s="10"/>
      <c r="AA126" s="10"/>
      <c r="AB126" s="10"/>
      <c r="AC126" s="10"/>
    </row>
    <row r="127" spans="1:29">
      <c r="A127" s="11" t="s">
        <v>653</v>
      </c>
      <c r="B127" s="10"/>
      <c r="C127" s="102">
        <f t="shared" ref="C127:J127" si="238">C6</f>
        <v>16267.401000000002</v>
      </c>
      <c r="D127" s="102">
        <f t="shared" si="238"/>
        <v>16023.38</v>
      </c>
      <c r="E127" s="102">
        <f t="shared" si="238"/>
        <v>15923</v>
      </c>
      <c r="F127" s="102">
        <f t="shared" si="238"/>
        <v>15763</v>
      </c>
      <c r="G127" s="102">
        <f t="shared" si="238"/>
        <v>14526</v>
      </c>
      <c r="H127" s="102">
        <f t="shared" si="238"/>
        <v>14197</v>
      </c>
      <c r="I127" s="102">
        <f t="shared" si="238"/>
        <v>14664</v>
      </c>
      <c r="J127" s="102">
        <f t="shared" si="238"/>
        <v>14549</v>
      </c>
      <c r="K127" s="102">
        <f t="shared" ref="K127:R127" si="239">(J127*(1+K168))</f>
        <v>15651</v>
      </c>
      <c r="L127" s="102">
        <f t="shared" si="239"/>
        <v>16148</v>
      </c>
      <c r="M127" s="102">
        <f t="shared" si="239"/>
        <v>16435</v>
      </c>
      <c r="N127" s="102">
        <f t="shared" si="239"/>
        <v>15797</v>
      </c>
      <c r="O127" s="102">
        <f t="shared" si="239"/>
        <v>15516</v>
      </c>
      <c r="P127" s="102">
        <f t="shared" si="239"/>
        <v>15855</v>
      </c>
      <c r="Q127" s="102">
        <f t="shared" si="239"/>
        <v>16007.374239900169</v>
      </c>
      <c r="R127" s="102">
        <f t="shared" si="239"/>
        <v>15929.412165188094</v>
      </c>
      <c r="S127" s="102">
        <f t="shared" ref="S127" si="240">(R127*(1+S168))</f>
        <v>15853.165473056992</v>
      </c>
      <c r="T127" s="102">
        <f t="shared" ref="T127:U127" si="241">(S127*(1+T168))</f>
        <v>15789.040595885397</v>
      </c>
      <c r="U127" s="111">
        <f t="shared" si="241"/>
        <v>15718.713972636162</v>
      </c>
      <c r="V127" s="10"/>
      <c r="W127" s="10"/>
      <c r="X127" s="10"/>
      <c r="Y127" s="10"/>
      <c r="Z127" s="10"/>
      <c r="AA127" s="10"/>
      <c r="AB127" s="10"/>
      <c r="AC127" s="10"/>
    </row>
    <row r="128" spans="1:29">
      <c r="A128" s="11"/>
      <c r="B128" s="10"/>
      <c r="C128" s="25"/>
      <c r="D128" s="25"/>
      <c r="E128" s="25"/>
      <c r="F128" s="25"/>
      <c r="G128" s="25"/>
      <c r="H128" s="25"/>
      <c r="I128" s="25"/>
      <c r="J128" s="25"/>
      <c r="K128" s="25"/>
      <c r="L128" s="25"/>
      <c r="M128" s="25"/>
      <c r="V128" s="10"/>
      <c r="W128" s="10"/>
      <c r="X128" s="10"/>
      <c r="Y128" s="10"/>
      <c r="Z128" s="10"/>
      <c r="AA128" s="10"/>
      <c r="AB128" s="10"/>
      <c r="AC128" s="10"/>
    </row>
    <row r="129" spans="1:29">
      <c r="A129" s="11" t="s">
        <v>5</v>
      </c>
      <c r="B129" s="10"/>
      <c r="C129" s="102">
        <f t="shared" ref="C129:J129" si="242">C8</f>
        <v>9886.3539999999994</v>
      </c>
      <c r="D129" s="102">
        <f t="shared" si="242"/>
        <v>10153.833999999999</v>
      </c>
      <c r="E129" s="102">
        <f t="shared" si="242"/>
        <v>10266</v>
      </c>
      <c r="F129" s="102">
        <f t="shared" si="242"/>
        <v>10071</v>
      </c>
      <c r="G129" s="102">
        <f t="shared" si="242"/>
        <v>9079</v>
      </c>
      <c r="H129" s="102">
        <f t="shared" si="242"/>
        <v>8473</v>
      </c>
      <c r="I129" s="102">
        <f t="shared" si="242"/>
        <v>8775</v>
      </c>
      <c r="J129" s="102">
        <f t="shared" si="242"/>
        <v>9275</v>
      </c>
      <c r="K129" s="102">
        <f t="shared" ref="K129:P129" si="243">K127-K131</f>
        <v>9480</v>
      </c>
      <c r="L129" s="102">
        <f t="shared" si="243"/>
        <v>9855</v>
      </c>
      <c r="M129" s="102">
        <f>M127-M131</f>
        <v>10146</v>
      </c>
      <c r="N129" s="102">
        <f t="shared" si="243"/>
        <v>10044</v>
      </c>
      <c r="O129" s="102">
        <f t="shared" si="243"/>
        <v>9868</v>
      </c>
      <c r="P129" s="102">
        <f t="shared" si="243"/>
        <v>9789</v>
      </c>
      <c r="Q129" s="102">
        <f>Q127-Q131</f>
        <v>9942.8848606534903</v>
      </c>
      <c r="R129" s="102">
        <f>R127-R131</f>
        <v>9939.061537853433</v>
      </c>
      <c r="S129" s="102">
        <f t="shared" ref="S129:T129" si="244">S127-S131</f>
        <v>9923.1942008392871</v>
      </c>
      <c r="T129" s="102">
        <f t="shared" si="244"/>
        <v>9914.633698329264</v>
      </c>
      <c r="U129" s="111">
        <f t="shared" ref="U129" si="245">U127-U131</f>
        <v>9901.9099434260806</v>
      </c>
      <c r="V129" s="10"/>
      <c r="W129" s="10"/>
      <c r="X129" s="10"/>
      <c r="Y129" s="10"/>
      <c r="Z129" s="10"/>
      <c r="AA129" s="10"/>
      <c r="AB129" s="10"/>
      <c r="AC129" s="10"/>
    </row>
    <row r="130" spans="1:29">
      <c r="A130" s="11"/>
      <c r="B130" s="10"/>
      <c r="C130" s="25"/>
      <c r="D130" s="25"/>
      <c r="E130" s="25"/>
      <c r="F130" s="25"/>
      <c r="G130" s="25"/>
      <c r="H130" s="25"/>
      <c r="I130" s="25"/>
      <c r="J130" s="25"/>
      <c r="K130" s="25"/>
      <c r="L130" s="25"/>
      <c r="M130" s="25"/>
      <c r="V130" s="10"/>
      <c r="W130" s="10"/>
      <c r="X130" s="10"/>
      <c r="Y130" s="10"/>
      <c r="Z130" s="10"/>
      <c r="AA130" s="10"/>
      <c r="AB130" s="10"/>
      <c r="AC130" s="10"/>
    </row>
    <row r="131" spans="1:29">
      <c r="A131" s="11" t="s">
        <v>6</v>
      </c>
      <c r="B131" s="10"/>
      <c r="C131" s="102">
        <f t="shared" ref="C131:J131" si="246">C127-C129</f>
        <v>6381.0470000000023</v>
      </c>
      <c r="D131" s="102">
        <f t="shared" si="246"/>
        <v>5869.5460000000003</v>
      </c>
      <c r="E131" s="102">
        <f t="shared" si="246"/>
        <v>5657</v>
      </c>
      <c r="F131" s="102">
        <f t="shared" si="246"/>
        <v>5692</v>
      </c>
      <c r="G131" s="102">
        <f t="shared" si="246"/>
        <v>5447</v>
      </c>
      <c r="H131" s="102">
        <f t="shared" si="246"/>
        <v>5724</v>
      </c>
      <c r="I131" s="102">
        <f t="shared" si="246"/>
        <v>5889</v>
      </c>
      <c r="J131" s="102">
        <f t="shared" si="246"/>
        <v>5274</v>
      </c>
      <c r="K131" s="102">
        <f t="shared" ref="K131:P131" si="247">K127*K153</f>
        <v>6171</v>
      </c>
      <c r="L131" s="102">
        <f t="shared" si="247"/>
        <v>6293</v>
      </c>
      <c r="M131" s="102">
        <f>M127*M153</f>
        <v>6289</v>
      </c>
      <c r="N131" s="102">
        <f t="shared" si="247"/>
        <v>5753</v>
      </c>
      <c r="O131" s="102">
        <f t="shared" si="247"/>
        <v>5648</v>
      </c>
      <c r="P131" s="102">
        <f t="shared" si="247"/>
        <v>6066</v>
      </c>
      <c r="Q131" s="102">
        <f>Q127*Q153</f>
        <v>6064.4893792466792</v>
      </c>
      <c r="R131" s="102">
        <f>R127*R153</f>
        <v>5990.3506273346611</v>
      </c>
      <c r="S131" s="102">
        <f t="shared" ref="S131:T131" si="248">S127*S153</f>
        <v>5929.9712722177046</v>
      </c>
      <c r="T131" s="102">
        <f t="shared" si="248"/>
        <v>5874.4068975561331</v>
      </c>
      <c r="U131" s="111">
        <f t="shared" ref="U131" si="249">U127*U153</f>
        <v>5816.8040292100814</v>
      </c>
      <c r="V131" s="10"/>
      <c r="W131" s="10"/>
      <c r="X131" s="10"/>
      <c r="Y131" s="10"/>
      <c r="Z131" s="10"/>
      <c r="AA131" s="10"/>
      <c r="AB131" s="10"/>
      <c r="AC131" s="10"/>
    </row>
    <row r="132" spans="1:29">
      <c r="A132" s="11" t="s">
        <v>7</v>
      </c>
      <c r="B132" s="10"/>
      <c r="C132" s="25">
        <f t="shared" ref="C132:P133" si="250">C11</f>
        <v>4401</v>
      </c>
      <c r="D132" s="25">
        <f t="shared" si="250"/>
        <v>4125.277</v>
      </c>
      <c r="E132" s="25">
        <f t="shared" si="250"/>
        <v>4432</v>
      </c>
      <c r="F132" s="25">
        <f t="shared" si="250"/>
        <v>4348</v>
      </c>
      <c r="G132" s="25">
        <f t="shared" si="250"/>
        <v>3899</v>
      </c>
      <c r="H132" s="25">
        <f t="shared" si="250"/>
        <v>3909</v>
      </c>
      <c r="I132" s="25">
        <f t="shared" si="250"/>
        <v>3921</v>
      </c>
      <c r="J132" s="25">
        <f t="shared" si="250"/>
        <v>3836</v>
      </c>
      <c r="K132" s="25">
        <f t="shared" ref="K132:P132" si="251">K127*K157</f>
        <v>4229</v>
      </c>
      <c r="L132" s="25">
        <f t="shared" si="251"/>
        <v>4144</v>
      </c>
      <c r="M132" s="25">
        <f>M127*M157</f>
        <v>4245</v>
      </c>
      <c r="N132" s="25">
        <f t="shared" si="251"/>
        <v>4097</v>
      </c>
      <c r="O132" s="25">
        <f t="shared" si="251"/>
        <v>4254</v>
      </c>
      <c r="P132" s="25">
        <f t="shared" si="251"/>
        <v>4651</v>
      </c>
      <c r="Q132" s="25">
        <f>Q127*Q157</f>
        <v>4683.5822655465763</v>
      </c>
      <c r="R132" s="25">
        <f>R127*R157</f>
        <v>4683.247176565299</v>
      </c>
      <c r="S132" s="25">
        <f t="shared" ref="S132:T132" si="252">S127*S157</f>
        <v>4681.4397641937294</v>
      </c>
      <c r="T132" s="25">
        <f t="shared" si="252"/>
        <v>4683.0294407396086</v>
      </c>
      <c r="U132" s="110">
        <f t="shared" ref="U132" si="253">U127*U157</f>
        <v>4681.0330210510492</v>
      </c>
      <c r="V132" s="10"/>
      <c r="W132" s="10"/>
      <c r="X132" s="10"/>
      <c r="Y132" s="10"/>
      <c r="Z132" s="10"/>
      <c r="AA132" s="10"/>
      <c r="AB132" s="10"/>
      <c r="AC132" s="10"/>
    </row>
    <row r="133" spans="1:29">
      <c r="A133" s="11" t="s">
        <v>155</v>
      </c>
      <c r="B133" s="10"/>
      <c r="C133" s="25">
        <f>C12</f>
        <v>614.50099999999998</v>
      </c>
      <c r="D133" s="25">
        <f>D12</f>
        <v>625.26099999999997</v>
      </c>
      <c r="E133" s="25">
        <f>E12</f>
        <v>530</v>
      </c>
      <c r="F133" s="25">
        <f>F12</f>
        <v>547</v>
      </c>
      <c r="G133" s="25">
        <f>G12</f>
        <v>568</v>
      </c>
      <c r="H133" s="25">
        <f t="shared" si="250"/>
        <v>573</v>
      </c>
      <c r="I133" s="25">
        <f t="shared" si="250"/>
        <v>562</v>
      </c>
      <c r="J133" s="25">
        <f t="shared" si="250"/>
        <v>506</v>
      </c>
      <c r="K133" s="25">
        <f t="shared" si="250"/>
        <v>483</v>
      </c>
      <c r="L133" s="25">
        <f t="shared" si="250"/>
        <v>470</v>
      </c>
      <c r="M133" s="25">
        <f>M12</f>
        <v>500</v>
      </c>
      <c r="N133" s="25">
        <f t="shared" si="250"/>
        <v>527</v>
      </c>
      <c r="O133" s="25">
        <f t="shared" si="250"/>
        <v>531</v>
      </c>
      <c r="P133" s="25">
        <f t="shared" si="250"/>
        <v>535</v>
      </c>
      <c r="Q133" s="25">
        <f>Q12</f>
        <v>550</v>
      </c>
      <c r="R133" s="25">
        <f>R12</f>
        <v>565</v>
      </c>
      <c r="S133" s="25">
        <f t="shared" ref="S133:T133" si="254">S12</f>
        <v>580</v>
      </c>
      <c r="T133" s="25">
        <f t="shared" si="254"/>
        <v>595</v>
      </c>
      <c r="U133" s="110">
        <f t="shared" ref="U133" si="255">U12</f>
        <v>610</v>
      </c>
      <c r="V133" s="10"/>
      <c r="W133" s="10"/>
      <c r="X133" s="10"/>
      <c r="Y133" s="10"/>
      <c r="Z133" s="10"/>
      <c r="AA133" s="10"/>
      <c r="AB133" s="10"/>
      <c r="AC133" s="10"/>
    </row>
    <row r="134" spans="1:29">
      <c r="A134" s="103" t="s">
        <v>25</v>
      </c>
      <c r="B134" s="10"/>
      <c r="C134" s="102">
        <f>C131-C132</f>
        <v>1980.0470000000023</v>
      </c>
      <c r="D134" s="102">
        <f t="shared" ref="D134:P134" si="256">D131-D132</f>
        <v>1744.2690000000002</v>
      </c>
      <c r="E134" s="102">
        <f t="shared" si="256"/>
        <v>1225</v>
      </c>
      <c r="F134" s="102">
        <f t="shared" si="256"/>
        <v>1344</v>
      </c>
      <c r="G134" s="102">
        <f t="shared" si="256"/>
        <v>1548</v>
      </c>
      <c r="H134" s="102">
        <f t="shared" si="256"/>
        <v>1815</v>
      </c>
      <c r="I134" s="102">
        <f t="shared" si="256"/>
        <v>1968</v>
      </c>
      <c r="J134" s="102">
        <f t="shared" si="256"/>
        <v>1438</v>
      </c>
      <c r="K134" s="102">
        <f t="shared" si="256"/>
        <v>1942</v>
      </c>
      <c r="L134" s="102">
        <f t="shared" si="256"/>
        <v>2149</v>
      </c>
      <c r="M134" s="102">
        <f>M131-M132</f>
        <v>2044</v>
      </c>
      <c r="N134" s="102">
        <f t="shared" si="256"/>
        <v>1656</v>
      </c>
      <c r="O134" s="102">
        <f t="shared" si="256"/>
        <v>1394</v>
      </c>
      <c r="P134" s="102">
        <f t="shared" si="256"/>
        <v>1415</v>
      </c>
      <c r="Q134" s="102">
        <f>Q131-Q132</f>
        <v>1380.9071137001029</v>
      </c>
      <c r="R134" s="102">
        <f>R131-R132</f>
        <v>1307.1034507693621</v>
      </c>
      <c r="S134" s="102">
        <f t="shared" ref="S134:T134" si="257">S131-S132</f>
        <v>1248.5315080239752</v>
      </c>
      <c r="T134" s="102">
        <f t="shared" si="257"/>
        <v>1191.3774568165245</v>
      </c>
      <c r="U134" s="111">
        <f t="shared" ref="U134" si="258">U131-U132</f>
        <v>1135.7710081590321</v>
      </c>
      <c r="V134" s="10"/>
      <c r="W134" s="10"/>
      <c r="X134" s="10"/>
      <c r="Y134" s="10"/>
      <c r="Z134" s="10"/>
      <c r="AA134" s="10"/>
      <c r="AB134" s="10"/>
      <c r="AC134" s="10"/>
    </row>
    <row r="135" spans="1:29">
      <c r="A135" s="11"/>
      <c r="B135" s="10"/>
      <c r="C135" s="25"/>
      <c r="D135" s="25"/>
      <c r="E135" s="25"/>
      <c r="F135" s="25"/>
      <c r="G135" s="25"/>
      <c r="H135" s="25"/>
      <c r="I135" s="25"/>
      <c r="J135" s="25"/>
      <c r="K135" s="25"/>
      <c r="L135" s="25"/>
      <c r="M135" s="25"/>
      <c r="V135" s="10"/>
      <c r="W135" s="10"/>
      <c r="X135" s="10"/>
      <c r="Y135" s="10"/>
      <c r="Z135" s="10"/>
      <c r="AA135" s="10"/>
      <c r="AB135" s="10"/>
      <c r="AC135" s="10"/>
    </row>
    <row r="136" spans="1:29">
      <c r="A136" s="11" t="s">
        <v>156</v>
      </c>
      <c r="B136" s="10"/>
      <c r="C136" s="25">
        <f>C15</f>
        <v>108.03400000000001</v>
      </c>
      <c r="D136" s="25">
        <f>D15</f>
        <v>-47.972999999999999</v>
      </c>
      <c r="E136" s="25">
        <f>E15</f>
        <v>-90.191000000000003</v>
      </c>
      <c r="F136" s="25">
        <f>F15</f>
        <v>-91</v>
      </c>
      <c r="G136" s="25">
        <f>G15</f>
        <v>-36</v>
      </c>
      <c r="H136" s="25">
        <f t="shared" ref="H136:P136" si="259">H15</f>
        <v>-1</v>
      </c>
      <c r="I136" s="25">
        <f t="shared" si="259"/>
        <v>-14</v>
      </c>
      <c r="J136" s="25">
        <f t="shared" si="259"/>
        <v>69</v>
      </c>
      <c r="K136" s="25">
        <f t="shared" si="259"/>
        <v>81</v>
      </c>
      <c r="L136" s="25">
        <f t="shared" si="259"/>
        <v>56</v>
      </c>
      <c r="M136" s="25">
        <f>M15</f>
        <v>70</v>
      </c>
      <c r="N136" s="25">
        <f t="shared" si="259"/>
        <v>53</v>
      </c>
      <c r="O136" s="25">
        <f t="shared" si="259"/>
        <v>67</v>
      </c>
      <c r="P136" s="25">
        <f t="shared" si="259"/>
        <v>55</v>
      </c>
      <c r="Q136" s="25">
        <f>Q15</f>
        <v>53</v>
      </c>
      <c r="R136" s="25">
        <f>R15</f>
        <v>53</v>
      </c>
      <c r="S136" s="25">
        <f t="shared" ref="S136:T136" si="260">S15</f>
        <v>53</v>
      </c>
      <c r="T136" s="25">
        <f t="shared" si="260"/>
        <v>53</v>
      </c>
      <c r="U136" s="110">
        <f t="shared" ref="U136" si="261">U15</f>
        <v>53</v>
      </c>
      <c r="V136" s="10"/>
      <c r="W136" s="10"/>
      <c r="X136" s="10"/>
      <c r="Y136" s="10"/>
      <c r="Z136" s="10"/>
      <c r="AA136" s="10"/>
      <c r="AB136" s="10"/>
      <c r="AC136" s="10"/>
    </row>
    <row r="137" spans="1:29">
      <c r="A137" s="103" t="s">
        <v>157</v>
      </c>
      <c r="B137" s="10"/>
      <c r="C137" s="102">
        <f>C134-C136</f>
        <v>1872.0130000000022</v>
      </c>
      <c r="D137" s="102">
        <f>D134-D136</f>
        <v>1792.2420000000002</v>
      </c>
      <c r="E137" s="102">
        <f>E134-E136</f>
        <v>1315.191</v>
      </c>
      <c r="F137" s="102">
        <f>F134-F136</f>
        <v>1435</v>
      </c>
      <c r="G137" s="102">
        <f>G134-G136</f>
        <v>1584</v>
      </c>
      <c r="H137" s="102">
        <f t="shared" ref="H137:Q137" si="262">H134-H136</f>
        <v>1816</v>
      </c>
      <c r="I137" s="102">
        <f t="shared" si="262"/>
        <v>1982</v>
      </c>
      <c r="J137" s="102">
        <f t="shared" si="262"/>
        <v>1369</v>
      </c>
      <c r="K137" s="102">
        <f t="shared" si="262"/>
        <v>1861</v>
      </c>
      <c r="L137" s="102">
        <f t="shared" si="262"/>
        <v>2093</v>
      </c>
      <c r="M137" s="102">
        <f>M134-M136</f>
        <v>1974</v>
      </c>
      <c r="N137" s="102">
        <f t="shared" si="262"/>
        <v>1603</v>
      </c>
      <c r="O137" s="102">
        <f t="shared" si="262"/>
        <v>1327</v>
      </c>
      <c r="P137" s="102">
        <f t="shared" si="262"/>
        <v>1360</v>
      </c>
      <c r="Q137" s="102">
        <f t="shared" si="262"/>
        <v>1327.9071137001029</v>
      </c>
      <c r="R137" s="102">
        <f>R134-R136</f>
        <v>1254.1034507693621</v>
      </c>
      <c r="S137" s="102">
        <f t="shared" ref="S137:T137" si="263">S134-S136</f>
        <v>1195.5315080239752</v>
      </c>
      <c r="T137" s="102">
        <f t="shared" si="263"/>
        <v>1138.3774568165245</v>
      </c>
      <c r="U137" s="111">
        <f t="shared" ref="U137" si="264">U134-U136</f>
        <v>1082.7710081590321</v>
      </c>
      <c r="V137" s="10"/>
      <c r="W137" s="10"/>
      <c r="X137" s="10"/>
      <c r="Y137" s="10"/>
      <c r="Z137" s="10"/>
      <c r="AA137" s="10"/>
      <c r="AB137" s="10"/>
      <c r="AC137" s="10"/>
    </row>
    <row r="138" spans="1:29">
      <c r="A138" s="11"/>
      <c r="B138" s="10"/>
      <c r="C138" s="25"/>
      <c r="D138" s="25"/>
      <c r="E138" s="25"/>
      <c r="F138" s="25"/>
      <c r="G138" s="25"/>
      <c r="H138" s="25"/>
      <c r="I138" s="25"/>
      <c r="J138" s="25"/>
      <c r="K138" s="25"/>
      <c r="L138" s="25"/>
      <c r="M138" s="25"/>
      <c r="V138" s="10"/>
      <c r="W138" s="10"/>
      <c r="X138" s="10"/>
      <c r="Y138" s="10"/>
      <c r="Z138" s="10"/>
      <c r="AA138" s="10"/>
      <c r="AB138" s="10"/>
      <c r="AC138" s="10"/>
    </row>
    <row r="139" spans="1:29">
      <c r="A139" s="11" t="s">
        <v>10</v>
      </c>
      <c r="B139" s="10"/>
      <c r="C139" s="25">
        <f t="shared" ref="C139:J139" si="265">C18</f>
        <v>722</v>
      </c>
      <c r="D139" s="25">
        <f t="shared" si="265"/>
        <v>679.62</v>
      </c>
      <c r="E139" s="25">
        <f t="shared" si="265"/>
        <v>506</v>
      </c>
      <c r="F139" s="25">
        <f t="shared" si="265"/>
        <v>539</v>
      </c>
      <c r="G139" s="25">
        <f>G18</f>
        <v>617</v>
      </c>
      <c r="H139" s="25">
        <f t="shared" si="265"/>
        <v>714</v>
      </c>
      <c r="I139" s="25">
        <f t="shared" si="265"/>
        <v>778</v>
      </c>
      <c r="J139" s="25">
        <f t="shared" si="265"/>
        <v>536</v>
      </c>
      <c r="K139" s="25">
        <f t="shared" ref="K139:P139" si="266">K137*K162</f>
        <v>726</v>
      </c>
      <c r="L139" s="25">
        <f t="shared" si="266"/>
        <v>813</v>
      </c>
      <c r="M139" s="25">
        <f>M137*M162</f>
        <v>734</v>
      </c>
      <c r="N139" s="25">
        <f t="shared" si="266"/>
        <v>601.11500000000001</v>
      </c>
      <c r="O139" s="25">
        <f t="shared" si="266"/>
        <v>517.83000000000004</v>
      </c>
      <c r="P139" s="25">
        <f t="shared" si="266"/>
        <v>517.68000000000006</v>
      </c>
      <c r="Q139" s="25">
        <f>Q137*Q162</f>
        <v>345.25584956202709</v>
      </c>
      <c r="R139" s="25">
        <f>R137*R162</f>
        <v>326.06689720003453</v>
      </c>
      <c r="S139" s="25">
        <f t="shared" ref="S139:T139" si="267">S137*S162</f>
        <v>310.8381920862339</v>
      </c>
      <c r="T139" s="25">
        <f t="shared" si="267"/>
        <v>295.97813877229669</v>
      </c>
      <c r="U139" s="110">
        <f t="shared" ref="U139" si="268">U137*U162</f>
        <v>281.52046212134866</v>
      </c>
      <c r="V139" s="10"/>
      <c r="W139" s="10"/>
      <c r="X139" s="10"/>
      <c r="Y139" s="10"/>
      <c r="Z139" s="10"/>
      <c r="AA139" s="10"/>
      <c r="AB139" s="10"/>
      <c r="AC139" s="10"/>
    </row>
    <row r="140" spans="1:29">
      <c r="A140" s="11"/>
      <c r="B140" s="10"/>
      <c r="C140" s="25"/>
      <c r="D140" s="25"/>
      <c r="E140" s="25"/>
      <c r="F140" s="25"/>
      <c r="G140" s="25"/>
      <c r="H140" s="25"/>
      <c r="I140" s="25"/>
      <c r="J140" s="25"/>
      <c r="K140" s="25"/>
      <c r="L140" s="25"/>
      <c r="M140" s="25"/>
      <c r="V140" s="10"/>
      <c r="W140" s="10"/>
      <c r="X140" s="10"/>
      <c r="Y140" s="10"/>
      <c r="Z140" s="10"/>
      <c r="AA140" s="10"/>
      <c r="AB140" s="10"/>
      <c r="AC140" s="10"/>
    </row>
    <row r="141" spans="1:29">
      <c r="A141" s="11"/>
      <c r="B141" s="10"/>
      <c r="C141" s="25"/>
      <c r="D141" s="25"/>
      <c r="E141" s="25"/>
      <c r="F141" s="25"/>
      <c r="G141" s="25"/>
      <c r="H141" s="25"/>
      <c r="I141" s="25"/>
      <c r="J141" s="25"/>
      <c r="K141" s="25"/>
      <c r="L141" s="25"/>
      <c r="M141" s="25"/>
      <c r="V141" s="10"/>
      <c r="W141" s="10"/>
      <c r="X141" s="10"/>
      <c r="Y141" s="10"/>
      <c r="Z141" s="10"/>
      <c r="AA141" s="10"/>
      <c r="AB141" s="10"/>
      <c r="AC141" s="10"/>
    </row>
    <row r="142" spans="1:29">
      <c r="A142" s="11" t="s">
        <v>158</v>
      </c>
      <c r="B142" s="10"/>
      <c r="C142" s="102">
        <f t="shared" ref="C142:P142" si="269">C137-C139</f>
        <v>1150.0130000000022</v>
      </c>
      <c r="D142" s="102">
        <f t="shared" si="269"/>
        <v>1112.6220000000003</v>
      </c>
      <c r="E142" s="102">
        <f t="shared" si="269"/>
        <v>809.19100000000003</v>
      </c>
      <c r="F142" s="102">
        <f t="shared" si="269"/>
        <v>896</v>
      </c>
      <c r="G142" s="102">
        <f t="shared" si="269"/>
        <v>967</v>
      </c>
      <c r="H142" s="102">
        <f t="shared" si="269"/>
        <v>1102</v>
      </c>
      <c r="I142" s="102">
        <f t="shared" si="269"/>
        <v>1204</v>
      </c>
      <c r="J142" s="102">
        <f t="shared" si="269"/>
        <v>833</v>
      </c>
      <c r="K142" s="102">
        <f t="shared" si="269"/>
        <v>1135</v>
      </c>
      <c r="L142" s="102">
        <f t="shared" si="269"/>
        <v>1280</v>
      </c>
      <c r="M142" s="102">
        <f>M137-M139</f>
        <v>1240</v>
      </c>
      <c r="N142" s="102">
        <f t="shared" si="269"/>
        <v>1001.885</v>
      </c>
      <c r="O142" s="102">
        <f t="shared" si="269"/>
        <v>809.17</v>
      </c>
      <c r="P142" s="102">
        <f t="shared" si="269"/>
        <v>842.31999999999994</v>
      </c>
      <c r="Q142" s="102">
        <f>Q137-Q139</f>
        <v>982.6512641380757</v>
      </c>
      <c r="R142" s="102">
        <f>R137-R139</f>
        <v>928.03655356932757</v>
      </c>
      <c r="S142" s="102">
        <f t="shared" ref="S142:T142" si="270">S137-S139</f>
        <v>884.69331593774132</v>
      </c>
      <c r="T142" s="102">
        <f t="shared" si="270"/>
        <v>842.39931804422781</v>
      </c>
      <c r="U142" s="111">
        <f t="shared" ref="U142" si="271">U137-U139</f>
        <v>801.25054603768353</v>
      </c>
      <c r="V142" s="10"/>
      <c r="W142" s="10"/>
      <c r="X142" s="10"/>
      <c r="Y142" s="10"/>
      <c r="Z142" s="10"/>
      <c r="AA142" s="10"/>
      <c r="AB142" s="10"/>
      <c r="AC142" s="10"/>
    </row>
    <row r="143" spans="1:29">
      <c r="A143" s="11"/>
      <c r="B143" s="10"/>
      <c r="V143" s="10"/>
      <c r="W143" s="10"/>
      <c r="X143" s="10"/>
      <c r="Y143" s="10"/>
      <c r="Z143" s="10"/>
      <c r="AA143" s="10"/>
      <c r="AB143" s="10"/>
      <c r="AC143" s="10"/>
    </row>
    <row r="144" spans="1:29">
      <c r="A144" s="34" t="s">
        <v>159</v>
      </c>
      <c r="B144" s="10"/>
      <c r="C144" s="104">
        <f t="shared" ref="C144:P144" si="272">C142/C145</f>
        <v>1.1603142700898601</v>
      </c>
      <c r="D144" s="104">
        <f t="shared" si="272"/>
        <v>1.2330872231814931</v>
      </c>
      <c r="E144" s="104">
        <f t="shared" si="272"/>
        <v>0.96793181818181817</v>
      </c>
      <c r="F144" s="104">
        <f t="shared" si="272"/>
        <v>1.128463476070529</v>
      </c>
      <c r="G144" s="104">
        <f t="shared" si="272"/>
        <v>1.344923504867872</v>
      </c>
      <c r="H144" s="104">
        <f t="shared" si="272"/>
        <v>1.5765379113018598</v>
      </c>
      <c r="I144" s="104">
        <f t="shared" si="272"/>
        <v>1.8783151326053042</v>
      </c>
      <c r="J144" s="104">
        <f t="shared" si="272"/>
        <v>1.5628517823639776</v>
      </c>
      <c r="K144" s="104">
        <f t="shared" si="272"/>
        <v>2.3258196721311477</v>
      </c>
      <c r="L144" s="104">
        <f t="shared" si="272"/>
        <v>2.7438370846730975</v>
      </c>
      <c r="M144" s="104">
        <f>M142/M145</f>
        <v>2.8213879408418658</v>
      </c>
      <c r="N144" s="104">
        <f t="shared" si="272"/>
        <v>2.425871670702179</v>
      </c>
      <c r="O144" s="104">
        <f t="shared" si="272"/>
        <v>2.0229249999999999</v>
      </c>
      <c r="P144" s="104">
        <f t="shared" si="272"/>
        <v>2.1297597977243994</v>
      </c>
      <c r="Q144" s="104">
        <f>Q142/Q145</f>
        <v>2.554552679735032</v>
      </c>
      <c r="R144" s="104">
        <f>R142/R145</f>
        <v>2.4964960935200362</v>
      </c>
      <c r="S144" s="104">
        <f t="shared" ref="S144:T144" si="273">S142/S145</f>
        <v>2.45052910191886</v>
      </c>
      <c r="T144" s="104">
        <f t="shared" si="273"/>
        <v>2.4007763509441493</v>
      </c>
      <c r="U144" s="2114">
        <f t="shared" ref="U144" si="274">U142/U145</f>
        <v>2.3478436576038972</v>
      </c>
      <c r="V144" s="10"/>
      <c r="W144" s="10"/>
      <c r="X144" s="10"/>
      <c r="Y144" s="10"/>
      <c r="Z144" s="10"/>
      <c r="AA144" s="10"/>
      <c r="AB144" s="10"/>
      <c r="AC144" s="10"/>
    </row>
    <row r="145" spans="1:29">
      <c r="A145" s="11" t="s">
        <v>160</v>
      </c>
      <c r="B145" s="10"/>
      <c r="C145" s="25">
        <f t="shared" ref="C145:J145" si="275">C24</f>
        <v>991.12199999999996</v>
      </c>
      <c r="D145" s="25">
        <f t="shared" si="275"/>
        <v>902.30600000000004</v>
      </c>
      <c r="E145" s="25">
        <f t="shared" si="275"/>
        <v>836</v>
      </c>
      <c r="F145" s="25">
        <f t="shared" si="275"/>
        <v>794</v>
      </c>
      <c r="G145" s="25">
        <f>G24</f>
        <v>719</v>
      </c>
      <c r="H145" s="25">
        <f t="shared" si="275"/>
        <v>699</v>
      </c>
      <c r="I145" s="25">
        <f t="shared" si="275"/>
        <v>641</v>
      </c>
      <c r="J145" s="25">
        <f t="shared" si="275"/>
        <v>533</v>
      </c>
      <c r="K145" s="110">
        <f t="shared" ref="K145:R145" si="276">INDEX(K146:K148,MATCH($AA$150,$AC$150:$AC$152,0))</f>
        <v>488</v>
      </c>
      <c r="L145" s="110">
        <f t="shared" si="276"/>
        <v>466.5</v>
      </c>
      <c r="M145" s="110">
        <f t="shared" si="276"/>
        <v>439.5</v>
      </c>
      <c r="N145" s="110">
        <f t="shared" si="276"/>
        <v>413</v>
      </c>
      <c r="O145" s="110">
        <f t="shared" si="276"/>
        <v>400</v>
      </c>
      <c r="P145" s="110">
        <f t="shared" si="276"/>
        <v>395.5</v>
      </c>
      <c r="Q145" s="110">
        <f t="shared" si="276"/>
        <v>384.66666666666669</v>
      </c>
      <c r="R145" s="110">
        <f t="shared" si="276"/>
        <v>371.73563218390808</v>
      </c>
      <c r="S145" s="110">
        <f t="shared" ref="S145:T145" si="277">INDEX(S146:S148,MATCH($AA$150,$AC$150:$AC$152,0))</f>
        <v>361.02134646962236</v>
      </c>
      <c r="T145" s="110">
        <f t="shared" si="277"/>
        <v>350.8862113344872</v>
      </c>
      <c r="U145" s="110">
        <f t="shared" ref="U145" si="278">INDEX(U146:U148,MATCH($AA$150,$AC$150:$AC$152,0))</f>
        <v>341.27082671910256</v>
      </c>
      <c r="V145" s="10"/>
      <c r="W145" s="10"/>
      <c r="X145" s="10"/>
      <c r="Y145" s="10"/>
      <c r="Z145" s="10"/>
      <c r="AA145" s="10"/>
      <c r="AB145" s="10"/>
      <c r="AC145" s="10"/>
    </row>
    <row r="146" spans="1:29" hidden="1" outlineLevel="1">
      <c r="A146" s="103" t="s">
        <v>321</v>
      </c>
      <c r="B146" s="10"/>
      <c r="C146" s="25"/>
      <c r="D146" s="25"/>
      <c r="E146" s="25"/>
      <c r="F146" s="25"/>
      <c r="G146" s="25"/>
      <c r="H146" s="25"/>
      <c r="I146" s="25"/>
      <c r="J146" s="25"/>
      <c r="K146" s="110">
        <f t="shared" ref="K146:P146" si="279">K63</f>
        <v>488</v>
      </c>
      <c r="L146" s="110">
        <f t="shared" si="279"/>
        <v>466.5</v>
      </c>
      <c r="M146" s="110">
        <f>M63</f>
        <v>439.5</v>
      </c>
      <c r="N146" s="110">
        <f t="shared" si="279"/>
        <v>413</v>
      </c>
      <c r="O146" s="110">
        <f t="shared" si="279"/>
        <v>400</v>
      </c>
      <c r="P146" s="110">
        <f t="shared" si="279"/>
        <v>395.5</v>
      </c>
      <c r="Q146" s="110">
        <f>Q63</f>
        <v>384.66666666666669</v>
      </c>
      <c r="R146" s="110">
        <f>R63</f>
        <v>371.73563218390808</v>
      </c>
      <c r="S146" s="110">
        <f t="shared" ref="S146:T146" si="280">S63</f>
        <v>361.02134646962236</v>
      </c>
      <c r="T146" s="110">
        <f t="shared" si="280"/>
        <v>350.8862113344872</v>
      </c>
      <c r="U146" s="110">
        <f t="shared" ref="U146" si="281">U63</f>
        <v>341.27082671910256</v>
      </c>
      <c r="V146" s="10"/>
      <c r="W146" s="10"/>
      <c r="X146" s="10"/>
      <c r="Y146" s="10"/>
      <c r="Z146" s="10"/>
      <c r="AA146" s="10"/>
      <c r="AB146" s="10"/>
      <c r="AC146" s="10"/>
    </row>
    <row r="147" spans="1:29" hidden="1" outlineLevel="1">
      <c r="A147" s="103" t="s">
        <v>384</v>
      </c>
      <c r="B147" s="10"/>
      <c r="C147" s="25"/>
      <c r="D147" s="25"/>
      <c r="E147" s="25"/>
      <c r="F147" s="25"/>
      <c r="G147" s="25"/>
      <c r="H147" s="25"/>
      <c r="I147" s="25"/>
      <c r="J147" s="25"/>
      <c r="K147" s="110">
        <f t="shared" ref="K147:P147" si="282">K24</f>
        <v>488</v>
      </c>
      <c r="L147" s="110">
        <f t="shared" si="282"/>
        <v>466.5</v>
      </c>
      <c r="M147" s="110">
        <f>M24</f>
        <v>439.5</v>
      </c>
      <c r="N147" s="110">
        <f t="shared" si="282"/>
        <v>413</v>
      </c>
      <c r="O147" s="110">
        <f t="shared" si="282"/>
        <v>400</v>
      </c>
      <c r="P147" s="110">
        <f t="shared" si="282"/>
        <v>395.5</v>
      </c>
      <c r="Q147" s="110">
        <f>Q24</f>
        <v>384.66666666666669</v>
      </c>
      <c r="R147" s="110">
        <f>R24</f>
        <v>371.73563218390808</v>
      </c>
      <c r="S147" s="110">
        <f t="shared" ref="S147:T147" si="283">S24</f>
        <v>361.02134646962236</v>
      </c>
      <c r="T147" s="110">
        <f t="shared" si="283"/>
        <v>350.8862113344872</v>
      </c>
      <c r="U147" s="110">
        <f t="shared" ref="U147" si="284">U24</f>
        <v>341.27082671910256</v>
      </c>
      <c r="V147" s="10"/>
      <c r="W147" s="10"/>
      <c r="X147" s="10"/>
      <c r="Y147" s="10"/>
      <c r="Z147" s="10"/>
      <c r="AA147" s="10"/>
      <c r="AB147" s="10"/>
      <c r="AC147" s="10"/>
    </row>
    <row r="148" spans="1:29" hidden="1" outlineLevel="1">
      <c r="A148" s="103" t="s">
        <v>322</v>
      </c>
      <c r="B148" s="10"/>
      <c r="C148" s="25"/>
      <c r="D148" s="25"/>
      <c r="E148" s="25"/>
      <c r="F148" s="25"/>
      <c r="G148" s="25"/>
      <c r="H148" s="25"/>
      <c r="I148" s="25"/>
      <c r="J148" s="25"/>
      <c r="K148" s="110">
        <f t="shared" ref="K148:P148" si="285">K104</f>
        <v>488</v>
      </c>
      <c r="L148" s="110">
        <f t="shared" si="285"/>
        <v>466.5</v>
      </c>
      <c r="M148" s="110">
        <f>M104</f>
        <v>439.5</v>
      </c>
      <c r="N148" s="110">
        <f t="shared" si="285"/>
        <v>413</v>
      </c>
      <c r="O148" s="110">
        <f t="shared" si="285"/>
        <v>400</v>
      </c>
      <c r="P148" s="110">
        <f t="shared" si="285"/>
        <v>395.5</v>
      </c>
      <c r="Q148" s="110">
        <f>Q104</f>
        <v>384.66666666666669</v>
      </c>
      <c r="R148" s="110">
        <f>R104</f>
        <v>371.73563218390808</v>
      </c>
      <c r="S148" s="110">
        <f t="shared" ref="S148:T148" si="286">S104</f>
        <v>361.02134646962236</v>
      </c>
      <c r="T148" s="110">
        <f t="shared" si="286"/>
        <v>350.8862113344872</v>
      </c>
      <c r="U148" s="110">
        <f t="shared" ref="U148" si="287">U104</f>
        <v>341.27082671910256</v>
      </c>
      <c r="V148" s="10"/>
      <c r="W148" s="10"/>
      <c r="X148" s="10"/>
      <c r="Y148" s="10"/>
      <c r="Z148" s="10"/>
      <c r="AA148" s="10"/>
      <c r="AB148" s="10"/>
      <c r="AC148" s="10"/>
    </row>
    <row r="149" spans="1:29" ht="13.5" collapsed="1" thickBot="1">
      <c r="A149" s="11"/>
      <c r="B149" s="10"/>
      <c r="K149" s="69"/>
      <c r="L149" s="69"/>
      <c r="M149" s="69"/>
      <c r="N149" s="69"/>
      <c r="O149" s="69"/>
      <c r="P149" s="69"/>
      <c r="Q149" s="69"/>
      <c r="R149" s="69"/>
      <c r="S149" s="69"/>
      <c r="T149" s="69"/>
      <c r="V149" s="10"/>
      <c r="W149" s="10"/>
      <c r="X149" s="10"/>
      <c r="Y149" s="10"/>
      <c r="Z149" s="10"/>
      <c r="AA149" s="10"/>
      <c r="AB149" s="10"/>
      <c r="AC149" s="10"/>
    </row>
    <row r="150" spans="1:29" ht="13.5" thickBot="1">
      <c r="A150" s="11" t="s">
        <v>663</v>
      </c>
      <c r="B150" s="10"/>
      <c r="C150" s="102">
        <f>C133+C134</f>
        <v>2594.5480000000025</v>
      </c>
      <c r="D150" s="102">
        <f>D133+D134</f>
        <v>2369.5300000000002</v>
      </c>
      <c r="E150" s="102">
        <f>E133+E134</f>
        <v>1755</v>
      </c>
      <c r="F150" s="102">
        <f>F133+F134</f>
        <v>1891</v>
      </c>
      <c r="G150" s="102">
        <f t="shared" ref="G150:P150" si="288">G133+G134</f>
        <v>2116</v>
      </c>
      <c r="H150" s="102">
        <f>H133+H134</f>
        <v>2388</v>
      </c>
      <c r="I150" s="102">
        <f>I133+I134</f>
        <v>2530</v>
      </c>
      <c r="J150" s="102">
        <f>J133+J134</f>
        <v>1944</v>
      </c>
      <c r="K150" s="111">
        <f t="shared" si="288"/>
        <v>2425</v>
      </c>
      <c r="L150" s="111">
        <f t="shared" si="288"/>
        <v>2619</v>
      </c>
      <c r="M150" s="111">
        <f>M133+M134</f>
        <v>2544</v>
      </c>
      <c r="N150" s="111">
        <f t="shared" si="288"/>
        <v>2183</v>
      </c>
      <c r="O150" s="111">
        <f t="shared" si="288"/>
        <v>1925</v>
      </c>
      <c r="P150" s="111">
        <f t="shared" si="288"/>
        <v>1950</v>
      </c>
      <c r="Q150" s="111">
        <f>Q133+Q134</f>
        <v>1930.9071137001029</v>
      </c>
      <c r="R150" s="111">
        <f>R133+R134</f>
        <v>1872.1034507693621</v>
      </c>
      <c r="S150" s="111">
        <f t="shared" ref="S150:T150" si="289">S133+S134</f>
        <v>1828.5315080239752</v>
      </c>
      <c r="T150" s="111">
        <f t="shared" si="289"/>
        <v>1786.3774568165245</v>
      </c>
      <c r="U150" s="111">
        <f t="shared" ref="U150" si="290">U133+U134</f>
        <v>1745.7710081590321</v>
      </c>
      <c r="V150" s="10"/>
      <c r="W150" s="10"/>
      <c r="X150" s="10"/>
      <c r="Y150" s="10"/>
      <c r="Z150" s="105" t="s">
        <v>385</v>
      </c>
      <c r="AA150" s="106" t="str">
        <f>AC151</f>
        <v>Base</v>
      </c>
      <c r="AB150" s="10"/>
      <c r="AC150" s="107" t="s">
        <v>321</v>
      </c>
    </row>
    <row r="151" spans="1:29">
      <c r="A151" s="11"/>
      <c r="B151" s="10"/>
      <c r="K151" s="69"/>
      <c r="L151" s="69"/>
      <c r="M151" s="69"/>
      <c r="N151" s="69"/>
      <c r="O151" s="69"/>
      <c r="P151" s="69"/>
      <c r="Q151" s="69"/>
      <c r="R151" s="69"/>
      <c r="S151" s="69"/>
      <c r="T151" s="69"/>
      <c r="V151" s="10"/>
      <c r="W151" s="10"/>
      <c r="X151" s="10"/>
      <c r="Y151" s="10"/>
      <c r="Z151" s="10"/>
      <c r="AA151" s="10"/>
      <c r="AB151" s="10"/>
      <c r="AC151" s="107" t="s">
        <v>384</v>
      </c>
    </row>
    <row r="152" spans="1:29">
      <c r="A152" s="14" t="s">
        <v>16</v>
      </c>
      <c r="B152" s="10"/>
      <c r="K152" s="69"/>
      <c r="L152" s="69"/>
      <c r="M152" s="69"/>
      <c r="N152" s="69"/>
      <c r="O152" s="69"/>
      <c r="P152" s="69"/>
      <c r="Q152" s="69"/>
      <c r="R152" s="69"/>
      <c r="S152" s="69"/>
      <c r="T152" s="69"/>
      <c r="V152" s="10"/>
      <c r="W152" s="10"/>
      <c r="X152" s="10"/>
      <c r="Y152" s="10"/>
      <c r="Z152" s="10"/>
      <c r="AA152" s="10"/>
      <c r="AB152" s="10"/>
      <c r="AC152" s="108" t="s">
        <v>322</v>
      </c>
    </row>
    <row r="153" spans="1:29">
      <c r="A153" s="11" t="s">
        <v>664</v>
      </c>
      <c r="B153" s="10"/>
      <c r="C153" s="19">
        <f t="shared" ref="C153:J153" si="291">C131/C127</f>
        <v>0.39225977155170649</v>
      </c>
      <c r="D153" s="19">
        <f t="shared" si="291"/>
        <v>0.36631135253610664</v>
      </c>
      <c r="E153" s="19">
        <f t="shared" si="291"/>
        <v>0.35527224769201782</v>
      </c>
      <c r="F153" s="19">
        <f t="shared" si="291"/>
        <v>0.36109877561377912</v>
      </c>
      <c r="G153" s="19">
        <f t="shared" si="291"/>
        <v>0.37498278948093072</v>
      </c>
      <c r="H153" s="19">
        <f t="shared" si="291"/>
        <v>0.40318377121927168</v>
      </c>
      <c r="I153" s="19">
        <f t="shared" si="291"/>
        <v>0.40159574468085107</v>
      </c>
      <c r="J153" s="19">
        <f t="shared" si="291"/>
        <v>0.36249914083442158</v>
      </c>
      <c r="K153" s="32">
        <f t="shared" ref="K153:R153" si="292">INDEX(K154:K156,MATCH($AA$150,$AC$150:$AC$152,0))</f>
        <v>0.3942879049262028</v>
      </c>
      <c r="L153" s="32">
        <f t="shared" si="292"/>
        <v>0.38970770374040131</v>
      </c>
      <c r="M153" s="32">
        <f t="shared" si="292"/>
        <v>0.38265895953757223</v>
      </c>
      <c r="N153" s="32">
        <f t="shared" si="292"/>
        <v>0.36418307273532952</v>
      </c>
      <c r="O153" s="32">
        <f t="shared" si="292"/>
        <v>0.36401134312967259</v>
      </c>
      <c r="P153" s="32">
        <f t="shared" si="292"/>
        <v>0.38259224219489119</v>
      </c>
      <c r="Q153" s="32">
        <f t="shared" si="292"/>
        <v>0.37885597527483689</v>
      </c>
      <c r="R153" s="32">
        <f t="shared" si="292"/>
        <v>0.37605597527483697</v>
      </c>
      <c r="S153" s="32">
        <f t="shared" ref="S153:T153" si="293">INDEX(S154:S156,MATCH($AA$150,$AC$150:$AC$152,0))</f>
        <v>0.37405597527483692</v>
      </c>
      <c r="T153" s="32">
        <f t="shared" si="293"/>
        <v>0.37205597527483686</v>
      </c>
      <c r="U153" s="32">
        <f t="shared" ref="U153" si="294">INDEX(U154:U156,MATCH($AA$150,$AC$150:$AC$152,0))</f>
        <v>0.37005597527483691</v>
      </c>
      <c r="V153" s="10"/>
      <c r="W153" s="10"/>
      <c r="X153" s="10"/>
      <c r="Y153" s="10"/>
      <c r="Z153" s="10"/>
      <c r="AA153" s="10"/>
      <c r="AB153" s="10"/>
      <c r="AC153" s="10"/>
    </row>
    <row r="154" spans="1:29" hidden="1" outlineLevel="1">
      <c r="A154" s="103" t="s">
        <v>321</v>
      </c>
      <c r="B154" s="10"/>
      <c r="C154" s="19"/>
      <c r="D154" s="19"/>
      <c r="E154" s="19"/>
      <c r="F154" s="19"/>
      <c r="G154" s="19"/>
      <c r="H154" s="19"/>
      <c r="I154" s="19"/>
      <c r="J154" s="19"/>
      <c r="K154" s="32">
        <f t="shared" ref="K154:P154" si="295">K68</f>
        <v>0.3942879049262028</v>
      </c>
      <c r="L154" s="32">
        <f t="shared" si="295"/>
        <v>0.38970770374040131</v>
      </c>
      <c r="M154" s="32">
        <f>M68</f>
        <v>0.38265895953757223</v>
      </c>
      <c r="N154" s="32">
        <f t="shared" si="295"/>
        <v>0.36418307273532952</v>
      </c>
      <c r="O154" s="32">
        <f t="shared" si="295"/>
        <v>0.36401134312967259</v>
      </c>
      <c r="P154" s="32">
        <f t="shared" si="295"/>
        <v>0.38259224219489119</v>
      </c>
      <c r="Q154" s="32">
        <f>Q68</f>
        <v>0.38285597527483689</v>
      </c>
      <c r="R154" s="32">
        <f>R68</f>
        <v>0.38445597527483699</v>
      </c>
      <c r="S154" s="32">
        <f t="shared" ref="S154:T154" si="296">S68</f>
        <v>0.38505597527483693</v>
      </c>
      <c r="T154" s="32">
        <f t="shared" si="296"/>
        <v>0.38505597527483687</v>
      </c>
      <c r="U154" s="32">
        <f t="shared" ref="U154" si="297">U68</f>
        <v>0.38305597527483692</v>
      </c>
      <c r="V154" s="10"/>
      <c r="W154" s="10"/>
      <c r="X154" s="10"/>
      <c r="Y154" s="10"/>
      <c r="Z154" s="10"/>
      <c r="AA154" s="10"/>
      <c r="AB154" s="10"/>
      <c r="AC154" s="10"/>
    </row>
    <row r="155" spans="1:29" hidden="1" outlineLevel="1">
      <c r="A155" s="103" t="s">
        <v>384</v>
      </c>
      <c r="B155" s="10"/>
      <c r="C155" s="19"/>
      <c r="D155" s="19"/>
      <c r="E155" s="19"/>
      <c r="F155" s="19"/>
      <c r="G155" s="19"/>
      <c r="H155" s="19"/>
      <c r="I155" s="19"/>
      <c r="J155" s="19"/>
      <c r="K155" s="32">
        <f t="shared" ref="K155:P155" si="298">K29</f>
        <v>0.3942879049262028</v>
      </c>
      <c r="L155" s="32">
        <f t="shared" si="298"/>
        <v>0.38970770374040131</v>
      </c>
      <c r="M155" s="32">
        <f>M29</f>
        <v>0.38265895953757223</v>
      </c>
      <c r="N155" s="32">
        <f t="shared" si="298"/>
        <v>0.36418307273532952</v>
      </c>
      <c r="O155" s="32">
        <f t="shared" si="298"/>
        <v>0.36401134312967259</v>
      </c>
      <c r="P155" s="32">
        <f t="shared" si="298"/>
        <v>0.38259224219489119</v>
      </c>
      <c r="Q155" s="32">
        <f>Q29</f>
        <v>0.37885597527483689</v>
      </c>
      <c r="R155" s="32">
        <f>R29</f>
        <v>0.37605597527483697</v>
      </c>
      <c r="S155" s="32">
        <f t="shared" ref="S155:T155" si="299">S29</f>
        <v>0.37405597527483692</v>
      </c>
      <c r="T155" s="32">
        <f t="shared" si="299"/>
        <v>0.37205597527483686</v>
      </c>
      <c r="U155" s="32">
        <f t="shared" ref="U155" si="300">U29</f>
        <v>0.37005597527483691</v>
      </c>
      <c r="V155" s="10"/>
      <c r="W155" s="10"/>
      <c r="X155" s="10"/>
      <c r="Y155" s="10"/>
      <c r="Z155" s="10"/>
      <c r="AA155" s="10"/>
      <c r="AB155" s="10"/>
      <c r="AC155" s="10"/>
    </row>
    <row r="156" spans="1:29" hidden="1" outlineLevel="1">
      <c r="A156" s="103" t="s">
        <v>322</v>
      </c>
      <c r="B156" s="10"/>
      <c r="C156" s="19"/>
      <c r="D156" s="19"/>
      <c r="E156" s="19"/>
      <c r="F156" s="19"/>
      <c r="G156" s="19"/>
      <c r="H156" s="19"/>
      <c r="I156" s="19"/>
      <c r="J156" s="19"/>
      <c r="K156" s="32">
        <f t="shared" ref="K156:P156" si="301">K109</f>
        <v>0.3942879049262028</v>
      </c>
      <c r="L156" s="32">
        <f t="shared" si="301"/>
        <v>0.38970770374040131</v>
      </c>
      <c r="M156" s="32">
        <f>M109</f>
        <v>0.38265895953757223</v>
      </c>
      <c r="N156" s="32">
        <f t="shared" si="301"/>
        <v>0.36418307273532952</v>
      </c>
      <c r="O156" s="32">
        <f t="shared" si="301"/>
        <v>0.36401134312967259</v>
      </c>
      <c r="P156" s="32">
        <f t="shared" si="301"/>
        <v>0.38259224219489119</v>
      </c>
      <c r="Q156" s="32">
        <f>Q109</f>
        <v>0.37155597527483691</v>
      </c>
      <c r="R156" s="32">
        <f>R109</f>
        <v>0.36705597527483697</v>
      </c>
      <c r="S156" s="32">
        <f t="shared" ref="S156:T156" si="302">S109</f>
        <v>0.36405597527483696</v>
      </c>
      <c r="T156" s="32">
        <f t="shared" si="302"/>
        <v>0.36105597527483696</v>
      </c>
      <c r="U156" s="32">
        <f t="shared" ref="U156" si="303">U109</f>
        <v>0.35805597527483696</v>
      </c>
      <c r="V156" s="10"/>
      <c r="W156" s="10"/>
      <c r="X156" s="10"/>
      <c r="Y156" s="10"/>
      <c r="Z156" s="10"/>
      <c r="AA156" s="10"/>
      <c r="AB156" s="10"/>
      <c r="AC156" s="10"/>
    </row>
    <row r="157" spans="1:29" collapsed="1">
      <c r="A157" s="11" t="s">
        <v>18</v>
      </c>
      <c r="B157" s="10"/>
      <c r="C157" s="19">
        <f t="shared" ref="C157:J157" si="304">C132/C127</f>
        <v>0.27054106553345553</v>
      </c>
      <c r="D157" s="19">
        <f t="shared" si="304"/>
        <v>0.25745360841470405</v>
      </c>
      <c r="E157" s="19">
        <f t="shared" si="304"/>
        <v>0.27833950888651637</v>
      </c>
      <c r="F157" s="19">
        <f t="shared" si="304"/>
        <v>0.27583581805493879</v>
      </c>
      <c r="G157" s="19">
        <f t="shared" si="304"/>
        <v>0.26841525540410299</v>
      </c>
      <c r="H157" s="19">
        <f t="shared" si="304"/>
        <v>0.27533986053391563</v>
      </c>
      <c r="I157" s="19">
        <f t="shared" si="304"/>
        <v>0.26738952536824878</v>
      </c>
      <c r="J157" s="19">
        <f t="shared" si="304"/>
        <v>0.26366073269640528</v>
      </c>
      <c r="K157" s="32">
        <f t="shared" ref="K157:R157" si="305">INDEX(K158:K160,MATCH($AA$150,$AC$150:$AC$152,0))</f>
        <v>0.27020637658935531</v>
      </c>
      <c r="L157" s="32">
        <f t="shared" si="305"/>
        <v>0.25662620757988608</v>
      </c>
      <c r="M157" s="32">
        <f t="shared" si="305"/>
        <v>0.25829023425616066</v>
      </c>
      <c r="N157" s="32">
        <f t="shared" si="305"/>
        <v>0.25935304171678164</v>
      </c>
      <c r="O157" s="32">
        <f t="shared" si="305"/>
        <v>0.27416860015467903</v>
      </c>
      <c r="P157" s="32">
        <f t="shared" si="305"/>
        <v>0.29334594765058342</v>
      </c>
      <c r="Q157" s="32">
        <f t="shared" si="305"/>
        <v>0.29258904023573234</v>
      </c>
      <c r="R157" s="32">
        <f t="shared" si="305"/>
        <v>0.29399999999999998</v>
      </c>
      <c r="S157" s="32">
        <f t="shared" ref="S157:T157" si="306">INDEX(S158:S160,MATCH($AA$150,$AC$150:$AC$152,0))</f>
        <v>0.29530000000000001</v>
      </c>
      <c r="T157" s="32">
        <f t="shared" si="306"/>
        <v>0.29659999999999997</v>
      </c>
      <c r="U157" s="32">
        <f t="shared" ref="U157" si="307">INDEX(U158:U160,MATCH($AA$150,$AC$150:$AC$152,0))</f>
        <v>0.29780000000000001</v>
      </c>
      <c r="V157" s="10"/>
      <c r="W157" s="10"/>
      <c r="X157" s="10"/>
      <c r="Y157" s="10"/>
      <c r="Z157" s="10"/>
      <c r="AA157" s="10"/>
      <c r="AB157" s="10"/>
      <c r="AC157" s="10"/>
    </row>
    <row r="158" spans="1:29" hidden="1" outlineLevel="1">
      <c r="A158" s="103" t="s">
        <v>321</v>
      </c>
      <c r="B158" s="10"/>
      <c r="C158" s="19"/>
      <c r="D158" s="19"/>
      <c r="E158" s="19"/>
      <c r="F158" s="19"/>
      <c r="G158" s="19"/>
      <c r="H158" s="19"/>
      <c r="I158" s="19"/>
      <c r="J158" s="19"/>
      <c r="K158" s="32">
        <f t="shared" ref="K158:P158" si="308">K69</f>
        <v>0.27020637658935531</v>
      </c>
      <c r="L158" s="32">
        <f t="shared" si="308"/>
        <v>0.25662620757988608</v>
      </c>
      <c r="M158" s="32">
        <f>M69</f>
        <v>0.25829023425616066</v>
      </c>
      <c r="N158" s="32">
        <f t="shared" si="308"/>
        <v>0.25935304171678164</v>
      </c>
      <c r="O158" s="32">
        <f t="shared" si="308"/>
        <v>0.27416860015467903</v>
      </c>
      <c r="P158" s="32">
        <f t="shared" si="308"/>
        <v>0.29334594765058342</v>
      </c>
      <c r="Q158" s="32">
        <f>Q69</f>
        <v>0.29008904023573234</v>
      </c>
      <c r="R158" s="32">
        <f>R69</f>
        <v>0.28908904023573234</v>
      </c>
      <c r="S158" s="32">
        <f t="shared" ref="S158:T158" si="309">S69</f>
        <v>0.28808904023573234</v>
      </c>
      <c r="T158" s="32">
        <f t="shared" si="309"/>
        <v>0.28708904023573234</v>
      </c>
      <c r="U158" s="32">
        <f t="shared" ref="U158" si="310">U69</f>
        <v>0.28608904023573234</v>
      </c>
      <c r="V158" s="10"/>
      <c r="W158" s="10"/>
      <c r="X158" s="10"/>
      <c r="Y158" s="10"/>
      <c r="Z158" s="10"/>
      <c r="AA158" s="10"/>
      <c r="AB158" s="10"/>
      <c r="AC158" s="10"/>
    </row>
    <row r="159" spans="1:29" hidden="1" outlineLevel="1">
      <c r="A159" s="103" t="s">
        <v>384</v>
      </c>
      <c r="B159" s="10"/>
      <c r="C159" s="19"/>
      <c r="D159" s="19"/>
      <c r="E159" s="19"/>
      <c r="F159" s="19"/>
      <c r="G159" s="19"/>
      <c r="H159" s="19"/>
      <c r="I159" s="19"/>
      <c r="J159" s="19"/>
      <c r="K159" s="32">
        <f t="shared" ref="K159:P159" si="311">K30</f>
        <v>0.27020637658935531</v>
      </c>
      <c r="L159" s="32">
        <f t="shared" si="311"/>
        <v>0.25662620757988608</v>
      </c>
      <c r="M159" s="32">
        <f>M30</f>
        <v>0.25829023425616066</v>
      </c>
      <c r="N159" s="32">
        <f t="shared" si="311"/>
        <v>0.25935304171678164</v>
      </c>
      <c r="O159" s="32">
        <f t="shared" si="311"/>
        <v>0.27416860015467903</v>
      </c>
      <c r="P159" s="32">
        <f t="shared" si="311"/>
        <v>0.29334594765058342</v>
      </c>
      <c r="Q159" s="32">
        <f>Q30</f>
        <v>0.29258904023573234</v>
      </c>
      <c r="R159" s="32">
        <f>R30</f>
        <v>0.29399999999999998</v>
      </c>
      <c r="S159" s="32">
        <f t="shared" ref="S159:T159" si="312">S30</f>
        <v>0.29530000000000001</v>
      </c>
      <c r="T159" s="32">
        <f t="shared" si="312"/>
        <v>0.29659999999999997</v>
      </c>
      <c r="U159" s="32">
        <f t="shared" ref="U159" si="313">U30</f>
        <v>0.29780000000000001</v>
      </c>
      <c r="V159" s="10"/>
      <c r="W159" s="10"/>
      <c r="X159" s="10"/>
      <c r="Y159" s="10"/>
      <c r="Z159" s="10"/>
      <c r="AA159" s="10"/>
      <c r="AB159" s="10"/>
      <c r="AC159" s="10"/>
    </row>
    <row r="160" spans="1:29" hidden="1" outlineLevel="1">
      <c r="A160" s="103" t="s">
        <v>322</v>
      </c>
      <c r="B160" s="10"/>
      <c r="C160" s="19"/>
      <c r="D160" s="19"/>
      <c r="E160" s="19"/>
      <c r="F160" s="19"/>
      <c r="G160" s="19"/>
      <c r="H160" s="19"/>
      <c r="I160" s="19"/>
      <c r="J160" s="19"/>
      <c r="K160" s="32">
        <f t="shared" ref="K160:P160" si="314">K110</f>
        <v>0.27020637658935531</v>
      </c>
      <c r="L160" s="32">
        <f t="shared" si="314"/>
        <v>0.25662620757988608</v>
      </c>
      <c r="M160" s="32">
        <f>M110</f>
        <v>0.25829023425616066</v>
      </c>
      <c r="N160" s="32">
        <f t="shared" si="314"/>
        <v>0.25935304171678164</v>
      </c>
      <c r="O160" s="32">
        <f t="shared" si="314"/>
        <v>0.27416860015467903</v>
      </c>
      <c r="P160" s="32">
        <f t="shared" si="314"/>
        <v>0.29334594765058342</v>
      </c>
      <c r="Q160" s="32">
        <f>Q110</f>
        <v>0.30058904023573235</v>
      </c>
      <c r="R160" s="32">
        <f>R110</f>
        <v>0.30458904023573236</v>
      </c>
      <c r="S160" s="32">
        <f t="shared" ref="S160:T160" si="315">S110</f>
        <v>0.30858904023573236</v>
      </c>
      <c r="T160" s="32">
        <f t="shared" si="315"/>
        <v>0.31258904023573236</v>
      </c>
      <c r="U160" s="32">
        <f t="shared" ref="U160" si="316">U110</f>
        <v>0.31658904023573237</v>
      </c>
      <c r="V160" s="10"/>
      <c r="W160" s="10"/>
      <c r="X160" s="10"/>
      <c r="Y160" s="10"/>
      <c r="Z160" s="10"/>
      <c r="AA160" s="10"/>
      <c r="AB160" s="10"/>
      <c r="AC160" s="10"/>
    </row>
    <row r="161" spans="1:29" collapsed="1">
      <c r="A161" s="11" t="s">
        <v>666</v>
      </c>
      <c r="B161" s="10"/>
      <c r="C161" s="19">
        <f>C134/C127</f>
        <v>0.12171870601825098</v>
      </c>
      <c r="D161" s="19">
        <f>D134/D127</f>
        <v>0.10885774412140262</v>
      </c>
      <c r="E161" s="19">
        <f>E134/E127</f>
        <v>7.6932738805501472E-2</v>
      </c>
      <c r="F161" s="19">
        <f>F134/F127</f>
        <v>8.5262957558840322E-2</v>
      </c>
      <c r="G161" s="19">
        <f t="shared" ref="G161:P161" si="317">G134/G127</f>
        <v>0.10656753407682776</v>
      </c>
      <c r="H161" s="19">
        <f t="shared" si="317"/>
        <v>0.12784391068535605</v>
      </c>
      <c r="I161" s="19">
        <f t="shared" si="317"/>
        <v>0.13420621931260229</v>
      </c>
      <c r="J161" s="19">
        <f t="shared" si="317"/>
        <v>9.8838408138016365E-2</v>
      </c>
      <c r="K161" s="32">
        <f t="shared" si="317"/>
        <v>0.12408152833684749</v>
      </c>
      <c r="L161" s="32">
        <f t="shared" si="317"/>
        <v>0.13308149616051523</v>
      </c>
      <c r="M161" s="32">
        <f>M134/M127</f>
        <v>0.12436872528141162</v>
      </c>
      <c r="N161" s="32">
        <f t="shared" si="317"/>
        <v>0.10483003101854782</v>
      </c>
      <c r="O161" s="32">
        <f t="shared" si="317"/>
        <v>8.9842742974993561E-2</v>
      </c>
      <c r="P161" s="32">
        <f t="shared" si="317"/>
        <v>8.9246294544307783E-2</v>
      </c>
      <c r="Q161" s="32">
        <f>Q134/Q127</f>
        <v>8.6266935039104514E-2</v>
      </c>
      <c r="R161" s="32">
        <f>R134/R127</f>
        <v>8.2055975274837004E-2</v>
      </c>
      <c r="S161" s="32">
        <f t="shared" ref="S161:T161" si="318">S134/S127</f>
        <v>7.8755975274836951E-2</v>
      </c>
      <c r="T161" s="32">
        <f t="shared" si="318"/>
        <v>7.5455975274836898E-2</v>
      </c>
      <c r="U161" s="32">
        <f t="shared" ref="U161" si="319">U134/U127</f>
        <v>7.2255975274836917E-2</v>
      </c>
      <c r="V161" s="10"/>
      <c r="W161" s="10"/>
      <c r="X161" s="10"/>
      <c r="Y161" s="10"/>
      <c r="Z161" s="10"/>
      <c r="AA161" s="10"/>
      <c r="AB161" s="10"/>
      <c r="AC161" s="10"/>
    </row>
    <row r="162" spans="1:29">
      <c r="A162" s="11" t="s">
        <v>20</v>
      </c>
      <c r="B162" s="10"/>
      <c r="C162" s="19">
        <f t="shared" ref="C162:J162" si="320">C139/C137</f>
        <v>0.38568108234291065</v>
      </c>
      <c r="D162" s="19">
        <f t="shared" si="320"/>
        <v>0.37920102307612474</v>
      </c>
      <c r="E162" s="19">
        <f t="shared" si="320"/>
        <v>0.3847349928641543</v>
      </c>
      <c r="F162" s="19">
        <f t="shared" si="320"/>
        <v>0.37560975609756098</v>
      </c>
      <c r="G162" s="19">
        <f t="shared" si="320"/>
        <v>0.38952020202020204</v>
      </c>
      <c r="H162" s="19">
        <f t="shared" si="320"/>
        <v>0.39317180616740088</v>
      </c>
      <c r="I162" s="19">
        <f t="shared" si="320"/>
        <v>0.39253279515640765</v>
      </c>
      <c r="J162" s="19">
        <f t="shared" si="320"/>
        <v>0.39152666179693207</v>
      </c>
      <c r="K162" s="32">
        <f t="shared" ref="K162:R162" si="321">INDEX(K163:K165,MATCH($AA$150,$AC$150:$AC$152,0))</f>
        <v>0.39011284255776463</v>
      </c>
      <c r="L162" s="32">
        <f t="shared" si="321"/>
        <v>0.38843764930721453</v>
      </c>
      <c r="M162" s="32">
        <f t="shared" si="321"/>
        <v>0.37183383991894631</v>
      </c>
      <c r="N162" s="32">
        <f t="shared" si="321"/>
        <v>0.37499376169681847</v>
      </c>
      <c r="O162" s="32">
        <f t="shared" si="321"/>
        <v>0.39022607385079128</v>
      </c>
      <c r="P162" s="32">
        <f t="shared" si="321"/>
        <v>0.38064705882352945</v>
      </c>
      <c r="Q162" s="32">
        <f t="shared" si="321"/>
        <v>0.26000000000000029</v>
      </c>
      <c r="R162" s="32">
        <f t="shared" si="321"/>
        <v>0.26000000000000029</v>
      </c>
      <c r="S162" s="32">
        <f t="shared" ref="S162:T162" si="322">INDEX(S163:S165,MATCH($AA$150,$AC$150:$AC$152,0))</f>
        <v>0.26000000000000029</v>
      </c>
      <c r="T162" s="32">
        <f t="shared" si="322"/>
        <v>0.26000000000000029</v>
      </c>
      <c r="U162" s="32">
        <f t="shared" ref="U162" si="323">INDEX(U163:U165,MATCH($AA$150,$AC$150:$AC$152,0))</f>
        <v>0.26000000000000029</v>
      </c>
      <c r="V162" s="10"/>
      <c r="W162" s="10"/>
      <c r="X162" s="10"/>
      <c r="Y162" s="10"/>
      <c r="Z162" s="10"/>
      <c r="AA162" s="10"/>
      <c r="AB162" s="10"/>
      <c r="AC162" s="10"/>
    </row>
    <row r="163" spans="1:29" hidden="1" outlineLevel="1">
      <c r="A163" s="103" t="s">
        <v>321</v>
      </c>
      <c r="B163" s="10"/>
      <c r="C163" s="19"/>
      <c r="D163" s="19"/>
      <c r="E163" s="19"/>
      <c r="F163" s="19"/>
      <c r="G163" s="19"/>
      <c r="H163" s="19"/>
      <c r="I163" s="19"/>
      <c r="J163" s="19"/>
      <c r="K163" s="32">
        <f t="shared" ref="K163:P163" si="324">K71</f>
        <v>0.39011284255776463</v>
      </c>
      <c r="L163" s="32">
        <f t="shared" si="324"/>
        <v>0.38843764930721453</v>
      </c>
      <c r="M163" s="32">
        <f>M71</f>
        <v>0.37183383991894631</v>
      </c>
      <c r="N163" s="32">
        <f t="shared" si="324"/>
        <v>0.37499376169681847</v>
      </c>
      <c r="O163" s="32">
        <f t="shared" si="324"/>
        <v>0.39022607385079128</v>
      </c>
      <c r="P163" s="32">
        <f t="shared" si="324"/>
        <v>0.38064705882352945</v>
      </c>
      <c r="Q163" s="32">
        <f>Q71</f>
        <v>0.26000000000000029</v>
      </c>
      <c r="R163" s="32">
        <f>R71</f>
        <v>0.26000000000000029</v>
      </c>
      <c r="S163" s="32">
        <f t="shared" ref="S163:T163" si="325">S71</f>
        <v>0.26000000000000029</v>
      </c>
      <c r="T163" s="32">
        <f t="shared" si="325"/>
        <v>0.26000000000000029</v>
      </c>
      <c r="U163" s="32">
        <f t="shared" ref="U163" si="326">U71</f>
        <v>0.26000000000000029</v>
      </c>
      <c r="V163" s="10"/>
      <c r="W163" s="10"/>
      <c r="X163" s="10"/>
      <c r="Y163" s="10"/>
      <c r="Z163" s="10"/>
      <c r="AA163" s="10"/>
      <c r="AB163" s="10"/>
      <c r="AC163" s="10"/>
    </row>
    <row r="164" spans="1:29" hidden="1" outlineLevel="1">
      <c r="A164" s="103" t="s">
        <v>384</v>
      </c>
      <c r="B164" s="10"/>
      <c r="C164" s="19"/>
      <c r="D164" s="19"/>
      <c r="E164" s="19"/>
      <c r="F164" s="19"/>
      <c r="G164" s="19"/>
      <c r="H164" s="19"/>
      <c r="I164" s="19"/>
      <c r="J164" s="19"/>
      <c r="K164" s="32">
        <f t="shared" ref="K164:P164" si="327">K32</f>
        <v>0.39011284255776463</v>
      </c>
      <c r="L164" s="32">
        <f t="shared" si="327"/>
        <v>0.38843764930721453</v>
      </c>
      <c r="M164" s="32">
        <f>M32</f>
        <v>0.37183383991894631</v>
      </c>
      <c r="N164" s="32">
        <f t="shared" si="327"/>
        <v>0.37499376169681847</v>
      </c>
      <c r="O164" s="32">
        <f t="shared" si="327"/>
        <v>0.39022607385079128</v>
      </c>
      <c r="P164" s="32">
        <f t="shared" si="327"/>
        <v>0.38064705882352945</v>
      </c>
      <c r="Q164" s="32">
        <f>Q32</f>
        <v>0.26000000000000029</v>
      </c>
      <c r="R164" s="32">
        <f>R32</f>
        <v>0.26000000000000029</v>
      </c>
      <c r="S164" s="32">
        <f t="shared" ref="S164:T164" si="328">S32</f>
        <v>0.26000000000000029</v>
      </c>
      <c r="T164" s="32">
        <f t="shared" si="328"/>
        <v>0.26000000000000029</v>
      </c>
      <c r="U164" s="32">
        <f t="shared" ref="U164" si="329">U32</f>
        <v>0.26000000000000029</v>
      </c>
      <c r="V164" s="10"/>
      <c r="W164" s="10"/>
      <c r="X164" s="10"/>
      <c r="Y164" s="10"/>
      <c r="Z164" s="10"/>
      <c r="AA164" s="10"/>
      <c r="AB164" s="10"/>
      <c r="AC164" s="10"/>
    </row>
    <row r="165" spans="1:29" hidden="1" outlineLevel="1">
      <c r="A165" s="103" t="s">
        <v>322</v>
      </c>
      <c r="B165" s="10"/>
      <c r="K165" s="32">
        <f t="shared" ref="K165:P165" si="330">K112</f>
        <v>0.39011284255776463</v>
      </c>
      <c r="L165" s="32">
        <f t="shared" si="330"/>
        <v>0.38843764930721453</v>
      </c>
      <c r="M165" s="32">
        <f>M112</f>
        <v>0.37183383991894631</v>
      </c>
      <c r="N165" s="32">
        <f t="shared" si="330"/>
        <v>0.37499376169681847</v>
      </c>
      <c r="O165" s="32">
        <f t="shared" si="330"/>
        <v>0.39022607385079128</v>
      </c>
      <c r="P165" s="32">
        <f t="shared" si="330"/>
        <v>0.38064705882352945</v>
      </c>
      <c r="Q165" s="32">
        <f>Q112</f>
        <v>0.26000000000000029</v>
      </c>
      <c r="R165" s="32">
        <f>R112</f>
        <v>0.26000000000000029</v>
      </c>
      <c r="S165" s="32">
        <f t="shared" ref="S165:T165" si="331">S112</f>
        <v>0.26000000000000029</v>
      </c>
      <c r="T165" s="32">
        <f t="shared" si="331"/>
        <v>0.26000000000000029</v>
      </c>
      <c r="U165" s="32">
        <f t="shared" ref="U165" si="332">U112</f>
        <v>0.26000000000000029</v>
      </c>
      <c r="V165" s="10"/>
      <c r="W165" s="10"/>
      <c r="X165" s="10"/>
      <c r="Y165" s="10"/>
      <c r="Z165" s="10"/>
      <c r="AA165" s="10"/>
      <c r="AB165" s="10"/>
      <c r="AC165" s="10"/>
    </row>
    <row r="166" spans="1:29" collapsed="1">
      <c r="A166" s="11"/>
      <c r="B166" s="10"/>
      <c r="K166" s="32"/>
      <c r="L166" s="69"/>
      <c r="M166" s="69"/>
      <c r="N166" s="69"/>
      <c r="O166" s="69"/>
      <c r="P166" s="69"/>
      <c r="Q166" s="69"/>
      <c r="R166" s="69"/>
      <c r="S166" s="69"/>
      <c r="T166" s="69"/>
      <c r="V166" s="10"/>
      <c r="W166" s="10"/>
      <c r="X166" s="10"/>
      <c r="Y166" s="10"/>
      <c r="Z166" s="10"/>
      <c r="AA166" s="10"/>
      <c r="AB166" s="10"/>
      <c r="AC166" s="10"/>
    </row>
    <row r="167" spans="1:29">
      <c r="A167" s="14" t="s">
        <v>21</v>
      </c>
      <c r="B167" s="10"/>
      <c r="K167" s="69"/>
      <c r="L167" s="69"/>
      <c r="M167" s="69"/>
      <c r="N167" s="69"/>
      <c r="O167" s="69"/>
      <c r="P167" s="69"/>
      <c r="Q167" s="69"/>
      <c r="R167" s="69"/>
      <c r="S167" s="69"/>
      <c r="T167" s="69"/>
      <c r="V167" s="10"/>
      <c r="W167" s="10"/>
      <c r="X167" s="10"/>
      <c r="Y167" s="10"/>
      <c r="Z167" s="10"/>
      <c r="AA167" s="10"/>
      <c r="AB167" s="10"/>
      <c r="AC167" s="10"/>
    </row>
    <row r="168" spans="1:29">
      <c r="A168" s="11" t="s">
        <v>560</v>
      </c>
      <c r="B168" s="10"/>
      <c r="C168" s="109" t="s">
        <v>644</v>
      </c>
      <c r="D168" s="95">
        <f t="shared" ref="D168:J168" si="333">((D127/C127)-1)</f>
        <v>-1.5000613804258101E-2</v>
      </c>
      <c r="E168" s="95">
        <f t="shared" si="333"/>
        <v>-6.2645958593005036E-3</v>
      </c>
      <c r="F168" s="95">
        <f t="shared" si="333"/>
        <v>-1.0048357721534895E-2</v>
      </c>
      <c r="G168" s="95">
        <f t="shared" si="333"/>
        <v>-7.8474909598426734E-2</v>
      </c>
      <c r="H168" s="95">
        <f t="shared" si="333"/>
        <v>-2.2649043095139709E-2</v>
      </c>
      <c r="I168" s="95">
        <f t="shared" si="333"/>
        <v>3.2894273438050403E-2</v>
      </c>
      <c r="J168" s="95">
        <f t="shared" si="333"/>
        <v>-7.8423349699945355E-3</v>
      </c>
      <c r="K168" s="112">
        <f t="shared" ref="K168:P168" si="334">K169+K178</f>
        <v>7.5744037390885977E-2</v>
      </c>
      <c r="L168" s="112">
        <f t="shared" si="334"/>
        <v>3.1755159414733836E-2</v>
      </c>
      <c r="M168" s="112">
        <f>M169+M178</f>
        <v>1.7773098835769163E-2</v>
      </c>
      <c r="N168" s="112">
        <f t="shared" si="334"/>
        <v>-3.8819592333434794E-2</v>
      </c>
      <c r="O168" s="112">
        <f t="shared" si="334"/>
        <v>-1.778818763056278E-2</v>
      </c>
      <c r="P168" s="112">
        <f t="shared" si="334"/>
        <v>2.1848414539829886E-2</v>
      </c>
      <c r="Q168" s="112">
        <f>Q169+Q178</f>
        <v>9.6104850142018083E-3</v>
      </c>
      <c r="R168" s="112">
        <f>R169+R178</f>
        <v>-4.8703849578118907E-3</v>
      </c>
      <c r="S168" s="112">
        <f t="shared" ref="S168:T168" si="335">S169+S178</f>
        <v>-4.7865352054692334E-3</v>
      </c>
      <c r="T168" s="112">
        <f t="shared" si="335"/>
        <v>-4.0449257456233179E-3</v>
      </c>
      <c r="U168" s="112">
        <f t="shared" ref="U168" si="336">U169+U178</f>
        <v>-4.454141644778753E-3</v>
      </c>
      <c r="V168" s="10"/>
      <c r="W168" s="10"/>
      <c r="X168" s="10"/>
      <c r="Y168" s="10"/>
      <c r="Z168" s="10"/>
      <c r="AA168" s="10"/>
      <c r="AB168" s="10"/>
      <c r="AC168" s="10"/>
    </row>
    <row r="169" spans="1:29">
      <c r="A169" s="11" t="s">
        <v>161</v>
      </c>
      <c r="B169" s="10"/>
      <c r="C169" s="19">
        <f t="shared" ref="C169:J169" si="337">C36</f>
        <v>4.0000000000000001E-3</v>
      </c>
      <c r="D169" s="19">
        <f t="shared" si="337"/>
        <v>-5.0999999999999997E-2</v>
      </c>
      <c r="E169" s="19">
        <f t="shared" si="337"/>
        <v>-7.0000000000000007E-2</v>
      </c>
      <c r="F169" s="19">
        <f t="shared" si="337"/>
        <v>-0.04</v>
      </c>
      <c r="G169" s="19">
        <f t="shared" si="337"/>
        <v>-0.11838208207470713</v>
      </c>
      <c r="H169" s="19">
        <f t="shared" si="337"/>
        <v>-3.0030152268958239E-2</v>
      </c>
      <c r="I169" s="19">
        <f t="shared" si="337"/>
        <v>0.02</v>
      </c>
      <c r="J169" s="19">
        <f t="shared" si="337"/>
        <v>-0.04</v>
      </c>
      <c r="K169" s="32">
        <f t="shared" ref="K169:R169" si="338">INDEX(K170:K172,MATCH($AA$150,$AC$150:$AC$152,0))</f>
        <v>4.7896859694612506E-2</v>
      </c>
      <c r="L169" s="32">
        <f t="shared" si="338"/>
        <v>2.1890636611345059E-2</v>
      </c>
      <c r="M169" s="32">
        <f t="shared" si="338"/>
        <v>0</v>
      </c>
      <c r="N169" s="32">
        <f t="shared" si="338"/>
        <v>-0.04</v>
      </c>
      <c r="O169" s="32">
        <f t="shared" si="338"/>
        <v>-0.02</v>
      </c>
      <c r="P169" s="32">
        <f t="shared" si="338"/>
        <v>0.03</v>
      </c>
      <c r="Q169" s="32">
        <f t="shared" si="338"/>
        <v>-1.202125311883347E-4</v>
      </c>
      <c r="R169" s="32">
        <f t="shared" si="338"/>
        <v>-4.0060432606804138E-3</v>
      </c>
      <c r="S169" s="32">
        <f t="shared" ref="S169:T169" si="339">INDEX(S170:S172,MATCH($AA$150,$AC$150:$AC$152,0))</f>
        <v>-3.647679074000364E-3</v>
      </c>
      <c r="T169" s="32">
        <f t="shared" si="339"/>
        <v>-3.302695135328289E-3</v>
      </c>
      <c r="U169" s="32">
        <f t="shared" ref="U169" si="340">INDEX(U170:U172,MATCH($AA$150,$AC$150:$AC$152,0))</f>
        <v>-2.9751988000538713E-3</v>
      </c>
      <c r="V169" s="10"/>
      <c r="W169" s="10"/>
      <c r="X169" s="10"/>
      <c r="Y169" s="10"/>
      <c r="Z169" s="10"/>
      <c r="AA169" s="10"/>
      <c r="AB169" s="10"/>
      <c r="AC169" s="10"/>
    </row>
    <row r="170" spans="1:29" hidden="1" outlineLevel="1">
      <c r="A170" s="103" t="s">
        <v>321</v>
      </c>
      <c r="B170" s="10"/>
      <c r="C170" s="72"/>
      <c r="D170" s="72"/>
      <c r="E170" s="72"/>
      <c r="F170" s="72"/>
      <c r="G170" s="72"/>
      <c r="H170" s="19"/>
      <c r="I170" s="19"/>
      <c r="J170" s="19"/>
      <c r="K170" s="32">
        <f t="shared" ref="K170:P170" si="341">K75</f>
        <v>4.7896859694612506E-2</v>
      </c>
      <c r="L170" s="32">
        <f t="shared" si="341"/>
        <v>2.1890636611345059E-2</v>
      </c>
      <c r="M170" s="32">
        <f>M75</f>
        <v>0</v>
      </c>
      <c r="N170" s="32">
        <f t="shared" si="341"/>
        <v>-0.04</v>
      </c>
      <c r="O170" s="32">
        <f t="shared" si="341"/>
        <v>-0.02</v>
      </c>
      <c r="P170" s="32">
        <f t="shared" si="341"/>
        <v>0.03</v>
      </c>
      <c r="Q170" s="32">
        <f>Q75</f>
        <v>0.02</v>
      </c>
      <c r="R170" s="32">
        <f>R75</f>
        <v>0.02</v>
      </c>
      <c r="S170" s="32">
        <f t="shared" ref="S170:T170" si="342">S75</f>
        <v>0.02</v>
      </c>
      <c r="T170" s="32">
        <f t="shared" si="342"/>
        <v>0.02</v>
      </c>
      <c r="U170" s="32">
        <f t="shared" ref="U170" si="343">U75</f>
        <v>0.02</v>
      </c>
      <c r="V170" s="10"/>
      <c r="W170" s="10"/>
      <c r="X170" s="10"/>
      <c r="Y170" s="10"/>
      <c r="Z170" s="10"/>
      <c r="AA170" s="10"/>
      <c r="AB170" s="10"/>
      <c r="AC170" s="10"/>
    </row>
    <row r="171" spans="1:29" hidden="1" outlineLevel="1">
      <c r="A171" s="103" t="s">
        <v>384</v>
      </c>
      <c r="B171" s="10"/>
      <c r="C171" s="72"/>
      <c r="D171" s="72"/>
      <c r="E171" s="72"/>
      <c r="F171" s="72"/>
      <c r="G171" s="72"/>
      <c r="H171" s="19"/>
      <c r="I171" s="19"/>
      <c r="J171" s="19"/>
      <c r="K171" s="32">
        <f t="shared" ref="K171:P171" si="344">K36</f>
        <v>4.7896859694612506E-2</v>
      </c>
      <c r="L171" s="32">
        <f t="shared" si="344"/>
        <v>2.1890636611345059E-2</v>
      </c>
      <c r="M171" s="32">
        <f>M36</f>
        <v>0</v>
      </c>
      <c r="N171" s="32">
        <f t="shared" si="344"/>
        <v>-0.04</v>
      </c>
      <c r="O171" s="32">
        <f t="shared" si="344"/>
        <v>-0.02</v>
      </c>
      <c r="P171" s="32">
        <f t="shared" si="344"/>
        <v>0.03</v>
      </c>
      <c r="Q171" s="32">
        <f>Q36</f>
        <v>-1.202125311883347E-4</v>
      </c>
      <c r="R171" s="32">
        <f>R36</f>
        <v>-4.0060432606804138E-3</v>
      </c>
      <c r="S171" s="32">
        <f t="shared" ref="S171:T171" si="345">S36</f>
        <v>-3.647679074000364E-3</v>
      </c>
      <c r="T171" s="32">
        <f t="shared" si="345"/>
        <v>-3.302695135328289E-3</v>
      </c>
      <c r="U171" s="32">
        <f t="shared" ref="U171" si="346">U36</f>
        <v>-2.9751988000538713E-3</v>
      </c>
      <c r="V171" s="10"/>
      <c r="W171" s="10"/>
      <c r="X171" s="10"/>
      <c r="Y171" s="10"/>
      <c r="Z171" s="10"/>
      <c r="AA171" s="10"/>
      <c r="AB171" s="10"/>
      <c r="AC171" s="10"/>
    </row>
    <row r="172" spans="1:29" hidden="1" outlineLevel="1">
      <c r="A172" s="103" t="s">
        <v>322</v>
      </c>
      <c r="B172" s="10"/>
      <c r="C172" s="72"/>
      <c r="D172" s="72"/>
      <c r="E172" s="72"/>
      <c r="F172" s="72"/>
      <c r="G172" s="72"/>
      <c r="H172" s="19"/>
      <c r="I172" s="19"/>
      <c r="J172" s="19"/>
      <c r="K172" s="32">
        <f t="shared" ref="K172:P172" si="347">K116</f>
        <v>4.7896859694612506E-2</v>
      </c>
      <c r="L172" s="32">
        <f t="shared" si="347"/>
        <v>2.1890636611345059E-2</v>
      </c>
      <c r="M172" s="32">
        <f>M116</f>
        <v>0</v>
      </c>
      <c r="N172" s="32">
        <f t="shared" si="347"/>
        <v>-0.04</v>
      </c>
      <c r="O172" s="32">
        <f t="shared" si="347"/>
        <v>-0.02</v>
      </c>
      <c r="P172" s="32">
        <f t="shared" si="347"/>
        <v>0.03</v>
      </c>
      <c r="Q172" s="32">
        <f>Q116</f>
        <v>-0.02</v>
      </c>
      <c r="R172" s="32">
        <f>R116</f>
        <v>-0.02</v>
      </c>
      <c r="S172" s="32">
        <f t="shared" ref="S172:T172" si="348">S116</f>
        <v>-0.02</v>
      </c>
      <c r="T172" s="32">
        <f t="shared" si="348"/>
        <v>-0.02</v>
      </c>
      <c r="U172" s="32">
        <f t="shared" ref="U172" si="349">U116</f>
        <v>-0.02</v>
      </c>
      <c r="V172" s="10"/>
      <c r="W172" s="10"/>
      <c r="X172" s="10"/>
      <c r="Y172" s="10"/>
      <c r="Z172" s="10"/>
      <c r="AA172" s="10"/>
      <c r="AB172" s="10"/>
      <c r="AC172" s="10"/>
    </row>
    <row r="173" spans="1:29" collapsed="1">
      <c r="A173" s="11" t="s">
        <v>7</v>
      </c>
      <c r="B173" s="10"/>
      <c r="C173" s="109" t="s">
        <v>644</v>
      </c>
      <c r="D173" s="95">
        <f>((D132/C132)-1)</f>
        <v>-6.2650079527380109E-2</v>
      </c>
      <c r="E173" s="95">
        <f>((E132/D132)-1)</f>
        <v>7.4352098053051874E-2</v>
      </c>
      <c r="F173" s="95">
        <f>((F132/E132)-1)</f>
        <v>-1.8953068592057809E-2</v>
      </c>
      <c r="G173" s="95">
        <f>((G132/F132)-1)</f>
        <v>-0.10326586936522542</v>
      </c>
      <c r="H173" s="95">
        <f t="shared" ref="H173:O173" si="350">((H132/G132)-1)</f>
        <v>2.5647601949216892E-3</v>
      </c>
      <c r="I173" s="95">
        <f t="shared" si="350"/>
        <v>3.0698388334613469E-3</v>
      </c>
      <c r="J173" s="95">
        <f t="shared" si="350"/>
        <v>-2.1678143330782995E-2</v>
      </c>
      <c r="K173" s="112">
        <f>((K132/J132)-1)</f>
        <v>0.10245046923879042</v>
      </c>
      <c r="L173" s="112">
        <f t="shared" si="350"/>
        <v>-2.0099314258690049E-2</v>
      </c>
      <c r="M173" s="112">
        <f t="shared" si="350"/>
        <v>2.437258687258681E-2</v>
      </c>
      <c r="N173" s="112">
        <f t="shared" si="350"/>
        <v>-3.4864546525323892E-2</v>
      </c>
      <c r="O173" s="112">
        <f t="shared" si="350"/>
        <v>3.8320722479863401E-2</v>
      </c>
      <c r="P173" s="112">
        <f>((P132/O132)-1)</f>
        <v>9.3323930418429679E-2</v>
      </c>
      <c r="Q173" s="112">
        <f>((Q132/P132)-1)</f>
        <v>7.0054322826438309E-3</v>
      </c>
      <c r="R173" s="112">
        <f>((R132/Q132)-1)</f>
        <v>-7.1545445831544541E-5</v>
      </c>
      <c r="S173" s="112">
        <f t="shared" ref="S173:U173" si="351">((S132/R132)-1)</f>
        <v>-3.8593144957499437E-4</v>
      </c>
      <c r="T173" s="112">
        <f t="shared" si="351"/>
        <v>3.3957000964490724E-4</v>
      </c>
      <c r="U173" s="112">
        <f t="shared" si="351"/>
        <v>-4.2630944644328483E-4</v>
      </c>
      <c r="V173" s="10"/>
      <c r="W173" s="10"/>
      <c r="X173" s="10"/>
      <c r="Y173" s="10"/>
      <c r="Z173" s="10"/>
      <c r="AA173" s="10"/>
      <c r="AB173" s="10"/>
      <c r="AC173" s="10"/>
    </row>
    <row r="174" spans="1:29">
      <c r="A174" s="11" t="s">
        <v>25</v>
      </c>
      <c r="B174" s="10"/>
      <c r="C174" s="109" t="s">
        <v>644</v>
      </c>
      <c r="D174" s="95">
        <f>((D134/C134)-1)</f>
        <v>-0.11907697140522511</v>
      </c>
      <c r="E174" s="95">
        <f>((E134/D134)-1)</f>
        <v>-0.29770006805143023</v>
      </c>
      <c r="F174" s="95">
        <f>((F134/E134)-1)</f>
        <v>9.7142857142857197E-2</v>
      </c>
      <c r="G174" s="95">
        <f>((G134/F134)-1)</f>
        <v>0.15178571428571419</v>
      </c>
      <c r="H174" s="95">
        <f t="shared" ref="H174:O174" si="352">((H134/G134)-1)</f>
        <v>0.17248062015503884</v>
      </c>
      <c r="I174" s="95">
        <f t="shared" si="352"/>
        <v>8.4297520661156922E-2</v>
      </c>
      <c r="J174" s="95">
        <f t="shared" si="352"/>
        <v>-0.26930894308943087</v>
      </c>
      <c r="K174" s="112">
        <f>((K134/J134)-1)</f>
        <v>0.35048678720445059</v>
      </c>
      <c r="L174" s="112">
        <f t="shared" si="352"/>
        <v>0.1065911431513904</v>
      </c>
      <c r="M174" s="112">
        <f t="shared" si="352"/>
        <v>-4.8859934853420217E-2</v>
      </c>
      <c r="N174" s="112">
        <f t="shared" si="352"/>
        <v>-0.18982387475538165</v>
      </c>
      <c r="O174" s="112">
        <f t="shared" si="352"/>
        <v>-0.15821256038647347</v>
      </c>
      <c r="P174" s="112">
        <f>((P134/O134)-1)</f>
        <v>1.5064562410330051E-2</v>
      </c>
      <c r="Q174" s="112">
        <f>((Q134/P134)-1)</f>
        <v>-2.4093912579432608E-2</v>
      </c>
      <c r="R174" s="112">
        <f>((R134/Q134)-1)</f>
        <v>-5.3445783716028372E-2</v>
      </c>
      <c r="S174" s="112">
        <f t="shared" ref="S174:U174" si="353">((S134/R134)-1)</f>
        <v>-4.4810487426157009E-2</v>
      </c>
      <c r="T174" s="112">
        <f t="shared" si="353"/>
        <v>-4.577701951463542E-2</v>
      </c>
      <c r="U174" s="112">
        <f t="shared" si="353"/>
        <v>-4.6674081618161667E-2</v>
      </c>
      <c r="V174" s="10"/>
      <c r="W174" s="10"/>
      <c r="X174" s="10"/>
      <c r="Y174" s="10"/>
      <c r="Z174" s="10"/>
      <c r="AA174" s="10"/>
      <c r="AB174" s="10"/>
      <c r="AC174" s="10"/>
    </row>
    <row r="175" spans="1:29">
      <c r="A175" s="11" t="s">
        <v>26</v>
      </c>
      <c r="B175" s="10"/>
      <c r="C175" s="109" t="s">
        <v>644</v>
      </c>
      <c r="D175" s="95">
        <f>((D144/C144)-1)</f>
        <v>6.2718312587844993E-2</v>
      </c>
      <c r="E175" s="95">
        <f>((E144/D144)-1)</f>
        <v>-0.21503377864507145</v>
      </c>
      <c r="F175" s="95">
        <f>((F144/E144)-1)</f>
        <v>0.16585017133774627</v>
      </c>
      <c r="G175" s="95">
        <f>((G144/F144)-1)</f>
        <v>0.19181837373335986</v>
      </c>
      <c r="H175" s="95">
        <f t="shared" ref="H175:O175" si="354">((H144/G144)-1)</f>
        <v>0.17221381409104164</v>
      </c>
      <c r="I175" s="95">
        <f t="shared" si="354"/>
        <v>0.19141767485581451</v>
      </c>
      <c r="J175" s="95">
        <f t="shared" si="354"/>
        <v>-0.16795017234608833</v>
      </c>
      <c r="K175" s="112">
        <f>((K144/J144)-1)</f>
        <v>0.48818953811032606</v>
      </c>
      <c r="L175" s="112">
        <f t="shared" si="354"/>
        <v>0.17972907252904968</v>
      </c>
      <c r="M175" s="112">
        <f t="shared" si="354"/>
        <v>2.8263651877133089E-2</v>
      </c>
      <c r="N175" s="112">
        <f t="shared" si="354"/>
        <v>-0.1401850005858003</v>
      </c>
      <c r="O175" s="112">
        <f t="shared" si="354"/>
        <v>-0.16610386920654563</v>
      </c>
      <c r="P175" s="112">
        <f>((P144/O144)-1)</f>
        <v>5.2812040844025132E-2</v>
      </c>
      <c r="Q175" s="112">
        <f>((Q144/P144)-1)</f>
        <v>0.19945577077025978</v>
      </c>
      <c r="R175" s="112">
        <f>((R144/Q144)-1)</f>
        <v>-2.2726713242420815E-2</v>
      </c>
      <c r="S175" s="112">
        <f t="shared" ref="S175:U175" si="355">((S144/R144)-1)</f>
        <v>-1.8412603056135013E-2</v>
      </c>
      <c r="T175" s="112">
        <f t="shared" si="355"/>
        <v>-2.0302860690677882E-2</v>
      </c>
      <c r="U175" s="112">
        <f t="shared" si="355"/>
        <v>-2.2048156763721627E-2</v>
      </c>
      <c r="V175" s="10"/>
      <c r="W175" s="10"/>
      <c r="X175" s="10"/>
      <c r="Y175" s="10"/>
      <c r="Z175" s="10"/>
      <c r="AA175" s="10"/>
      <c r="AB175" s="10"/>
      <c r="AC175" s="10"/>
    </row>
    <row r="176" spans="1:29">
      <c r="A176" s="11" t="s">
        <v>663</v>
      </c>
      <c r="B176" s="10"/>
      <c r="C176" s="109" t="s">
        <v>644</v>
      </c>
      <c r="D176" s="95">
        <f>((D150/C150)-1)</f>
        <v>-8.6727244976775197E-2</v>
      </c>
      <c r="E176" s="95">
        <f>((E150/D150)-1)</f>
        <v>-0.25934679029174568</v>
      </c>
      <c r="F176" s="95">
        <f>((F150/E150)-1)</f>
        <v>7.7492877492877588E-2</v>
      </c>
      <c r="G176" s="95">
        <f>((G150/F150)-1)</f>
        <v>0.11898466419883658</v>
      </c>
      <c r="H176" s="95">
        <f t="shared" ref="H176:O176" si="356">((H150/G150)-1)</f>
        <v>0.12854442344045358</v>
      </c>
      <c r="I176" s="95">
        <f t="shared" si="356"/>
        <v>5.9463986599664898E-2</v>
      </c>
      <c r="J176" s="95">
        <f t="shared" si="356"/>
        <v>-0.23162055335968379</v>
      </c>
      <c r="K176" s="112">
        <f>((K150/J150)-1)</f>
        <v>0.24742798353909468</v>
      </c>
      <c r="L176" s="112">
        <f t="shared" si="356"/>
        <v>8.0000000000000071E-2</v>
      </c>
      <c r="M176" s="112">
        <f t="shared" si="356"/>
        <v>-2.8636884306987409E-2</v>
      </c>
      <c r="N176" s="112">
        <f t="shared" si="356"/>
        <v>-0.14190251572327039</v>
      </c>
      <c r="O176" s="112">
        <f t="shared" si="356"/>
        <v>-0.11818598259276225</v>
      </c>
      <c r="P176" s="112">
        <f>((P150/O150)-1)</f>
        <v>1.298701298701288E-2</v>
      </c>
      <c r="Q176" s="112">
        <f>((Q150/P150)-1)</f>
        <v>-9.7912237435370253E-3</v>
      </c>
      <c r="R176" s="112">
        <f>((R150/Q150)-1)</f>
        <v>-3.0453905583297636E-2</v>
      </c>
      <c r="S176" s="112">
        <f t="shared" ref="S176:U176" si="357">((S150/R150)-1)</f>
        <v>-2.3274324251408518E-2</v>
      </c>
      <c r="T176" s="112">
        <f t="shared" si="357"/>
        <v>-2.305350004769946E-2</v>
      </c>
      <c r="U176" s="112">
        <f t="shared" si="357"/>
        <v>-2.2731169441567278E-2</v>
      </c>
      <c r="V176" s="10"/>
      <c r="W176" s="10"/>
      <c r="X176" s="10"/>
      <c r="Y176" s="10"/>
      <c r="Z176" s="10"/>
      <c r="AA176" s="10"/>
      <c r="AB176" s="10"/>
      <c r="AC176" s="10"/>
    </row>
    <row r="177" spans="1:29">
      <c r="A177" s="11" t="s">
        <v>163</v>
      </c>
      <c r="B177" s="10"/>
      <c r="C177" s="109" t="s">
        <v>644</v>
      </c>
      <c r="D177" s="19">
        <f t="shared" ref="D177:P177" si="358">D35-D36</f>
        <v>3.5999386195741896E-2</v>
      </c>
      <c r="E177" s="19">
        <f t="shared" si="358"/>
        <v>6.3735404140699503E-2</v>
      </c>
      <c r="F177" s="19">
        <f t="shared" si="358"/>
        <v>2.9951642278465106E-2</v>
      </c>
      <c r="G177" s="19">
        <f t="shared" si="358"/>
        <v>3.9907172476280395E-2</v>
      </c>
      <c r="H177" s="19">
        <f t="shared" si="358"/>
        <v>7.3811091738185293E-3</v>
      </c>
      <c r="I177" s="19">
        <f t="shared" si="358"/>
        <v>1.2894273438050403E-2</v>
      </c>
      <c r="J177" s="19">
        <f t="shared" si="358"/>
        <v>3.2157665030005465E-2</v>
      </c>
      <c r="K177" s="32">
        <f t="shared" si="358"/>
        <v>2.784717769627347E-2</v>
      </c>
      <c r="L177" s="32">
        <f t="shared" si="358"/>
        <v>9.8645228033887762E-3</v>
      </c>
      <c r="M177" s="32">
        <f>M35-M36</f>
        <v>1.7773098835769163E-2</v>
      </c>
      <c r="N177" s="32">
        <f t="shared" si="358"/>
        <v>1.1804076665652072E-3</v>
      </c>
      <c r="O177" s="32">
        <f t="shared" si="358"/>
        <v>2.2118123694372209E-3</v>
      </c>
      <c r="P177" s="32">
        <f t="shared" si="358"/>
        <v>-8.1515854601701132E-3</v>
      </c>
      <c r="Q177" s="32">
        <f>Q35-Q36</f>
        <v>9.7306975453901427E-3</v>
      </c>
      <c r="R177" s="32">
        <f>R35-R36</f>
        <v>-8.6434169713147692E-4</v>
      </c>
      <c r="S177" s="32">
        <f t="shared" ref="S177:T177" si="359">S35-S36</f>
        <v>-1.1388561314688694E-3</v>
      </c>
      <c r="T177" s="32">
        <f t="shared" si="359"/>
        <v>-7.422306102950289E-4</v>
      </c>
      <c r="U177" s="32">
        <f t="shared" ref="U177" si="360">U35-U36</f>
        <v>-1.4789428447248816E-3</v>
      </c>
      <c r="V177" s="10"/>
      <c r="W177" s="10"/>
      <c r="X177" s="10"/>
      <c r="Y177" s="10"/>
      <c r="Z177" s="10"/>
      <c r="AA177" s="10"/>
      <c r="AB177" s="10"/>
      <c r="AC177" s="10"/>
    </row>
    <row r="178" spans="1:29">
      <c r="A178" s="11" t="s">
        <v>166</v>
      </c>
      <c r="B178" s="10"/>
      <c r="C178" s="109" t="s">
        <v>644</v>
      </c>
      <c r="D178" s="19">
        <f t="shared" ref="D178:J178" si="361">D177</f>
        <v>3.5999386195741896E-2</v>
      </c>
      <c r="E178" s="19">
        <f t="shared" si="361"/>
        <v>6.3735404140699503E-2</v>
      </c>
      <c r="F178" s="19">
        <f t="shared" si="361"/>
        <v>2.9951642278465106E-2</v>
      </c>
      <c r="G178" s="19">
        <f t="shared" si="361"/>
        <v>3.9907172476280395E-2</v>
      </c>
      <c r="H178" s="19">
        <f t="shared" si="361"/>
        <v>7.3811091738185293E-3</v>
      </c>
      <c r="I178" s="19">
        <f t="shared" si="361"/>
        <v>1.2894273438050403E-2</v>
      </c>
      <c r="J178" s="19">
        <f t="shared" si="361"/>
        <v>3.2157665030005465E-2</v>
      </c>
      <c r="K178" s="32">
        <f t="shared" ref="K178:R178" si="362">INDEX(K179:K181,MATCH($AA$150,$AC$150:$AC$152,0))</f>
        <v>2.784717769627347E-2</v>
      </c>
      <c r="L178" s="32">
        <f t="shared" si="362"/>
        <v>9.8645228033887762E-3</v>
      </c>
      <c r="M178" s="32">
        <f t="shared" si="362"/>
        <v>1.7773098835769163E-2</v>
      </c>
      <c r="N178" s="32">
        <f t="shared" si="362"/>
        <v>1.1804076665652072E-3</v>
      </c>
      <c r="O178" s="32">
        <f t="shared" si="362"/>
        <v>2.2118123694372209E-3</v>
      </c>
      <c r="P178" s="32">
        <f t="shared" si="362"/>
        <v>-8.1515854601701132E-3</v>
      </c>
      <c r="Q178" s="32">
        <f t="shared" si="362"/>
        <v>9.7306975453901427E-3</v>
      </c>
      <c r="R178" s="32">
        <f t="shared" si="362"/>
        <v>-8.6434169713147692E-4</v>
      </c>
      <c r="S178" s="32">
        <f t="shared" ref="S178:T178" si="363">INDEX(S179:S181,MATCH($AA$150,$AC$150:$AC$152,0))</f>
        <v>-1.1388561314688694E-3</v>
      </c>
      <c r="T178" s="32">
        <f t="shared" si="363"/>
        <v>-7.422306102950289E-4</v>
      </c>
      <c r="U178" s="32">
        <f t="shared" ref="U178" si="364">INDEX(U179:U181,MATCH($AA$150,$AC$150:$AC$152,0))</f>
        <v>-1.4789428447248816E-3</v>
      </c>
      <c r="V178" s="10"/>
      <c r="W178" s="10"/>
      <c r="X178" s="10"/>
      <c r="Y178" s="10"/>
      <c r="Z178" s="10"/>
      <c r="AA178" s="10"/>
      <c r="AB178" s="10"/>
      <c r="AC178" s="10"/>
    </row>
    <row r="179" spans="1:29" hidden="1" outlineLevel="1">
      <c r="A179" s="103" t="s">
        <v>321</v>
      </c>
      <c r="B179" s="10"/>
      <c r="C179" s="109"/>
      <c r="D179" s="109"/>
      <c r="E179" s="109"/>
      <c r="F179" s="109"/>
      <c r="G179" s="109"/>
      <c r="H179" s="19"/>
      <c r="I179" s="19"/>
      <c r="J179" s="19"/>
      <c r="K179" s="32">
        <f t="shared" ref="K179:P179" si="365">K81</f>
        <v>2.784717769627347E-2</v>
      </c>
      <c r="L179" s="32">
        <f t="shared" si="365"/>
        <v>9.8645228033887762E-3</v>
      </c>
      <c r="M179" s="32">
        <f>M81</f>
        <v>1.7773098835769163E-2</v>
      </c>
      <c r="N179" s="32">
        <f t="shared" si="365"/>
        <v>1.1804076665652072E-3</v>
      </c>
      <c r="O179" s="32">
        <f t="shared" si="365"/>
        <v>2.2118123694372209E-3</v>
      </c>
      <c r="P179" s="32">
        <f t="shared" si="365"/>
        <v>-8.1515854601701132E-3</v>
      </c>
      <c r="Q179" s="32">
        <f>Q81</f>
        <v>1.4730697545390144E-2</v>
      </c>
      <c r="R179" s="32">
        <f>R81</f>
        <v>4.1356583028685232E-3</v>
      </c>
      <c r="S179" s="32">
        <f t="shared" ref="S179:T179" si="366">S81</f>
        <v>3.8611438685311307E-3</v>
      </c>
      <c r="T179" s="32">
        <f t="shared" si="366"/>
        <v>4.2577693897049712E-3</v>
      </c>
      <c r="U179" s="32">
        <f t="shared" ref="U179" si="367">U81</f>
        <v>3.5210571552751185E-3</v>
      </c>
      <c r="V179" s="10"/>
      <c r="W179" s="10"/>
      <c r="X179" s="10"/>
      <c r="Y179" s="10"/>
      <c r="Z179" s="10"/>
      <c r="AA179" s="10"/>
      <c r="AB179" s="10"/>
      <c r="AC179" s="10"/>
    </row>
    <row r="180" spans="1:29" hidden="1" outlineLevel="1">
      <c r="A180" s="103" t="s">
        <v>384</v>
      </c>
      <c r="B180" s="10"/>
      <c r="C180" s="109"/>
      <c r="D180" s="109"/>
      <c r="E180" s="109"/>
      <c r="F180" s="109"/>
      <c r="G180" s="109"/>
      <c r="H180" s="19"/>
      <c r="I180" s="19"/>
      <c r="J180" s="19"/>
      <c r="K180" s="32">
        <f t="shared" ref="K180:P181" si="368">K121</f>
        <v>2.784717769627347E-2</v>
      </c>
      <c r="L180" s="32">
        <f t="shared" si="368"/>
        <v>9.8645228033887762E-3</v>
      </c>
      <c r="M180" s="32">
        <f>M121</f>
        <v>1.7773098835769163E-2</v>
      </c>
      <c r="N180" s="32">
        <f t="shared" si="368"/>
        <v>1.1804076665652072E-3</v>
      </c>
      <c r="O180" s="32">
        <f t="shared" si="368"/>
        <v>2.2118123694372209E-3</v>
      </c>
      <c r="P180" s="32">
        <f t="shared" si="368"/>
        <v>-8.1515854601701132E-3</v>
      </c>
      <c r="Q180" s="32">
        <f>Q121</f>
        <v>9.7306975453901427E-3</v>
      </c>
      <c r="R180" s="32">
        <f>R121</f>
        <v>-8.6434169713147692E-4</v>
      </c>
      <c r="S180" s="32">
        <f t="shared" ref="S180:T180" si="369">S121</f>
        <v>-1.1388561314688694E-3</v>
      </c>
      <c r="T180" s="32">
        <f t="shared" si="369"/>
        <v>-7.422306102950289E-4</v>
      </c>
      <c r="U180" s="32">
        <f t="shared" ref="U180" si="370">U121</f>
        <v>-1.4789428447248816E-3</v>
      </c>
      <c r="V180" s="10"/>
      <c r="W180" s="10"/>
      <c r="X180" s="10"/>
      <c r="Y180" s="10"/>
      <c r="Z180" s="10"/>
      <c r="AA180" s="10"/>
      <c r="AB180" s="10"/>
      <c r="AC180" s="10"/>
    </row>
    <row r="181" spans="1:29" hidden="1" outlineLevel="1">
      <c r="A181" s="103" t="s">
        <v>322</v>
      </c>
      <c r="B181" s="10"/>
      <c r="C181" s="109"/>
      <c r="D181" s="109"/>
      <c r="E181" s="109"/>
      <c r="F181" s="109"/>
      <c r="G181" s="109"/>
      <c r="H181" s="19"/>
      <c r="I181" s="19"/>
      <c r="J181" s="19"/>
      <c r="K181" s="32">
        <f t="shared" si="368"/>
        <v>2.784717769627347E-2</v>
      </c>
      <c r="L181" s="32">
        <f t="shared" si="368"/>
        <v>-1.35477196611224E-4</v>
      </c>
      <c r="M181" s="32">
        <f>M122</f>
        <v>7.7730988357691631E-3</v>
      </c>
      <c r="N181" s="32">
        <f t="shared" si="368"/>
        <v>0</v>
      </c>
      <c r="O181" s="32">
        <f t="shared" si="368"/>
        <v>-0.01</v>
      </c>
      <c r="P181" s="32">
        <f t="shared" si="368"/>
        <v>-8.1515854601701132E-3</v>
      </c>
      <c r="Q181" s="32">
        <f>Q122</f>
        <v>4.7306975453901426E-3</v>
      </c>
      <c r="R181" s="32">
        <f>R122</f>
        <v>-5.864341697131477E-3</v>
      </c>
      <c r="S181" s="32">
        <f t="shared" ref="S181:T181" si="371">S122</f>
        <v>-6.1388561314688695E-3</v>
      </c>
      <c r="T181" s="32">
        <f t="shared" si="371"/>
        <v>-5.742230610295029E-3</v>
      </c>
      <c r="U181" s="32">
        <f t="shared" ref="U181" si="372">U122</f>
        <v>-6.4789428447248817E-3</v>
      </c>
      <c r="V181" s="10"/>
      <c r="W181" s="10"/>
      <c r="X181" s="10"/>
      <c r="Y181" s="10"/>
      <c r="Z181" s="10"/>
      <c r="AA181" s="10"/>
      <c r="AB181" s="10"/>
      <c r="AC181" s="10"/>
    </row>
    <row r="182" spans="1:29" collapsed="1"/>
    <row r="187" spans="1:29">
      <c r="K187" s="10"/>
      <c r="L187" s="10"/>
      <c r="M187" s="10"/>
      <c r="N187" s="10"/>
      <c r="O187" s="10"/>
      <c r="P187" s="10"/>
      <c r="Q187" s="10"/>
      <c r="R187" s="10"/>
      <c r="S187" s="10"/>
      <c r="T187" s="10"/>
      <c r="U187" s="24"/>
    </row>
    <row r="188" spans="1:29">
      <c r="K188" s="10"/>
      <c r="L188" s="10"/>
      <c r="M188" s="10"/>
      <c r="N188" s="10"/>
      <c r="O188" s="10"/>
      <c r="P188" s="10"/>
      <c r="Q188" s="10"/>
      <c r="R188" s="10"/>
      <c r="S188" s="10"/>
      <c r="T188" s="10"/>
      <c r="U188" s="24"/>
    </row>
    <row r="189" spans="1:29">
      <c r="K189" s="10"/>
      <c r="L189" s="10"/>
      <c r="M189" s="10"/>
      <c r="N189" s="10"/>
      <c r="O189" s="10"/>
      <c r="P189" s="10"/>
      <c r="Q189" s="10"/>
      <c r="R189" s="10"/>
      <c r="S189" s="10"/>
      <c r="T189" s="10"/>
      <c r="U189" s="24"/>
    </row>
    <row r="190" spans="1:29">
      <c r="K190" s="10"/>
      <c r="L190" s="10"/>
      <c r="M190" s="10"/>
      <c r="N190" s="10"/>
      <c r="O190" s="10"/>
      <c r="P190" s="10"/>
      <c r="Q190" s="10"/>
      <c r="R190" s="10"/>
      <c r="S190" s="10"/>
      <c r="T190" s="10"/>
      <c r="U190" s="24"/>
    </row>
    <row r="191" spans="1:29">
      <c r="K191" s="10"/>
      <c r="L191" s="10"/>
      <c r="M191" s="10"/>
      <c r="N191" s="10"/>
      <c r="O191" s="10"/>
      <c r="P191" s="10"/>
      <c r="Q191" s="10"/>
      <c r="R191" s="10"/>
      <c r="S191" s="10"/>
      <c r="T191" s="10"/>
      <c r="U191" s="24"/>
    </row>
    <row r="192" spans="1:29">
      <c r="K192" s="10"/>
      <c r="L192" s="10"/>
      <c r="M192" s="10"/>
      <c r="N192" s="10"/>
      <c r="O192" s="10"/>
      <c r="P192" s="10"/>
      <c r="Q192" s="10"/>
      <c r="R192" s="10"/>
      <c r="S192" s="10"/>
      <c r="T192" s="10"/>
      <c r="U192" s="24"/>
    </row>
    <row r="193" spans="11:21">
      <c r="K193" s="10"/>
      <c r="L193" s="10"/>
      <c r="M193" s="10"/>
      <c r="N193" s="10"/>
      <c r="O193" s="10"/>
      <c r="P193" s="10"/>
      <c r="Q193" s="10"/>
      <c r="R193" s="10"/>
      <c r="S193" s="10"/>
      <c r="T193" s="10"/>
      <c r="U193" s="24"/>
    </row>
    <row r="194" spans="11:21">
      <c r="K194" s="10"/>
      <c r="L194" s="10"/>
      <c r="M194" s="10"/>
      <c r="N194" s="10"/>
      <c r="O194" s="10"/>
      <c r="P194" s="10"/>
      <c r="Q194" s="10"/>
      <c r="R194" s="10"/>
      <c r="S194" s="10"/>
      <c r="T194" s="10"/>
      <c r="U194" s="24"/>
    </row>
    <row r="195" spans="11:21">
      <c r="K195" s="10"/>
      <c r="L195" s="10"/>
      <c r="M195" s="10"/>
      <c r="N195" s="10"/>
      <c r="O195" s="10"/>
      <c r="P195" s="10"/>
      <c r="Q195" s="10"/>
      <c r="R195" s="10"/>
      <c r="S195" s="10"/>
      <c r="T195" s="10"/>
      <c r="U195" s="24"/>
    </row>
    <row r="196" spans="11:21">
      <c r="K196" s="10"/>
      <c r="L196" s="10"/>
      <c r="M196" s="10"/>
      <c r="N196" s="10"/>
      <c r="O196" s="10"/>
      <c r="P196" s="10"/>
      <c r="Q196" s="10"/>
      <c r="R196" s="10"/>
      <c r="S196" s="10"/>
      <c r="T196" s="10"/>
      <c r="U196" s="24"/>
    </row>
    <row r="197" spans="11:21">
      <c r="K197" s="10"/>
      <c r="L197" s="10"/>
      <c r="M197" s="10"/>
      <c r="N197" s="10"/>
      <c r="O197" s="10"/>
      <c r="P197" s="10"/>
      <c r="Q197" s="10"/>
      <c r="R197" s="10"/>
      <c r="S197" s="10"/>
      <c r="T197" s="10"/>
      <c r="U197" s="24"/>
    </row>
    <row r="198" spans="11:21">
      <c r="K198" s="10"/>
      <c r="L198" s="10"/>
      <c r="M198" s="10"/>
      <c r="N198" s="10"/>
      <c r="O198" s="10"/>
      <c r="P198" s="10"/>
      <c r="Q198" s="10"/>
      <c r="R198" s="10"/>
      <c r="S198" s="10"/>
      <c r="T198" s="10"/>
      <c r="U198" s="24"/>
    </row>
    <row r="199" spans="11:21">
      <c r="K199" s="10"/>
      <c r="L199" s="10"/>
      <c r="M199" s="10"/>
      <c r="N199" s="10"/>
      <c r="O199" s="10"/>
      <c r="P199" s="10"/>
      <c r="Q199" s="10"/>
      <c r="R199" s="10"/>
      <c r="S199" s="10"/>
      <c r="T199" s="10"/>
      <c r="U199" s="24"/>
    </row>
    <row r="200" spans="11:21">
      <c r="K200" s="10"/>
      <c r="L200" s="10"/>
      <c r="M200" s="10"/>
      <c r="N200" s="10"/>
      <c r="O200" s="10"/>
      <c r="P200" s="10"/>
      <c r="Q200" s="10"/>
      <c r="R200" s="10"/>
      <c r="S200" s="10"/>
      <c r="T200" s="10"/>
      <c r="U200" s="24"/>
    </row>
    <row r="201" spans="11:21">
      <c r="K201" s="10"/>
      <c r="L201" s="10"/>
      <c r="M201" s="10"/>
      <c r="N201" s="10"/>
      <c r="O201" s="10"/>
      <c r="P201" s="10"/>
      <c r="Q201" s="10"/>
      <c r="R201" s="10"/>
      <c r="S201" s="10"/>
      <c r="T201" s="10"/>
      <c r="U201" s="24"/>
    </row>
    <row r="202" spans="11:21">
      <c r="K202" s="10"/>
      <c r="L202" s="10"/>
      <c r="M202" s="10"/>
      <c r="N202" s="10"/>
      <c r="O202" s="10"/>
      <c r="P202" s="10"/>
      <c r="Q202" s="10"/>
      <c r="R202" s="10"/>
      <c r="S202" s="10"/>
      <c r="T202" s="10"/>
      <c r="U202" s="24"/>
    </row>
    <row r="203" spans="11:21">
      <c r="K203" s="10"/>
      <c r="L203" s="10"/>
      <c r="M203" s="10"/>
      <c r="N203" s="10"/>
      <c r="O203" s="10"/>
      <c r="P203" s="10"/>
      <c r="Q203" s="10"/>
      <c r="R203" s="10"/>
      <c r="S203" s="10"/>
      <c r="T203" s="10"/>
      <c r="U203" s="24"/>
    </row>
    <row r="204" spans="11:21">
      <c r="K204" s="10"/>
      <c r="L204" s="10"/>
      <c r="M204" s="10"/>
      <c r="N204" s="10"/>
      <c r="O204" s="10"/>
      <c r="P204" s="10"/>
      <c r="Q204" s="10"/>
      <c r="R204" s="10"/>
      <c r="S204" s="10"/>
      <c r="T204" s="10"/>
      <c r="U204" s="24"/>
    </row>
    <row r="205" spans="11:21">
      <c r="K205" s="10"/>
      <c r="L205" s="10"/>
      <c r="M205" s="10"/>
      <c r="N205" s="10"/>
      <c r="O205" s="10"/>
      <c r="P205" s="10"/>
      <c r="Q205" s="10"/>
      <c r="R205" s="10"/>
      <c r="S205" s="10"/>
      <c r="T205" s="10"/>
      <c r="U205" s="24"/>
    </row>
  </sheetData>
  <phoneticPr fontId="4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EI98"/>
  <sheetViews>
    <sheetView showGridLines="0" zoomScale="85" zoomScaleNormal="85" zoomScaleSheetLayoutView="100" workbookViewId="0">
      <selection activeCell="A70" sqref="A70"/>
    </sheetView>
  </sheetViews>
  <sheetFormatPr defaultRowHeight="12.75" outlineLevelRow="1" outlineLevelCol="1"/>
  <cols>
    <col min="1" max="1" width="22.85546875" style="454" customWidth="1"/>
    <col min="2" max="2" width="2.140625" style="454" hidden="1" customWidth="1" outlineLevel="1"/>
    <col min="3" max="3" width="6" style="454" hidden="1" customWidth="1" outlineLevel="1"/>
    <col min="4" max="4" width="7.140625" style="454" hidden="1" customWidth="1" outlineLevel="1"/>
    <col min="5" max="6" width="6" style="454" hidden="1" customWidth="1" outlineLevel="1"/>
    <col min="7" max="7" width="2.140625" style="454" hidden="1" customWidth="1" outlineLevel="1"/>
    <col min="8" max="11" width="7.140625" style="454" hidden="1" customWidth="1" outlineLevel="1"/>
    <col min="12" max="12" width="2.140625" style="454" hidden="1" customWidth="1" outlineLevel="1"/>
    <col min="13" max="16" width="7.140625" style="454" hidden="1" customWidth="1" outlineLevel="1"/>
    <col min="17" max="17" width="2.140625" style="454" hidden="1" customWidth="1" outlineLevel="1"/>
    <col min="18" max="18" width="7.140625" style="454" hidden="1" customWidth="1" outlineLevel="1"/>
    <col min="19" max="19" width="7.28515625" style="454" hidden="1" customWidth="1" outlineLevel="1"/>
    <col min="20" max="21" width="7.140625" style="454" hidden="1" customWidth="1" outlineLevel="1"/>
    <col min="22" max="22" width="2.140625" style="454" hidden="1" customWidth="1" outlineLevel="1"/>
    <col min="23" max="23" width="7.140625" style="454" hidden="1" customWidth="1" outlineLevel="1" collapsed="1"/>
    <col min="24" max="26" width="6.28515625" style="454" hidden="1" customWidth="1" outlineLevel="1"/>
    <col min="27" max="27" width="2.140625" style="454" hidden="1" customWidth="1" outlineLevel="1" collapsed="1"/>
    <col min="28" max="28" width="6.28515625" style="454" hidden="1" customWidth="1" outlineLevel="1"/>
    <col min="29" max="29" width="6.5703125" style="454" hidden="1" customWidth="1" outlineLevel="1"/>
    <col min="30" max="31" width="6.7109375" style="454" hidden="1" customWidth="1" outlineLevel="1"/>
    <col min="32" max="32" width="2.140625" style="454" hidden="1" customWidth="1" outlineLevel="1"/>
    <col min="33" max="33" width="6.28515625" style="454" hidden="1" customWidth="1" outlineLevel="1"/>
    <col min="34" max="34" width="6.5703125" style="454" hidden="1" customWidth="1" outlineLevel="1"/>
    <col min="35" max="36" width="6.7109375" style="454" hidden="1" customWidth="1" outlineLevel="1"/>
    <col min="37" max="37" width="2.140625" style="454" hidden="1" customWidth="1" outlineLevel="1"/>
    <col min="38" max="39" width="6.5703125" style="454" hidden="1" customWidth="1" outlineLevel="1"/>
    <col min="40" max="41" width="6.7109375" style="454" hidden="1" customWidth="1" outlineLevel="1"/>
    <col min="42" max="42" width="2.140625" style="454" hidden="1" customWidth="1" outlineLevel="1"/>
    <col min="43" max="44" width="6.5703125" style="454" hidden="1" customWidth="1" outlineLevel="1"/>
    <col min="45" max="46" width="6.7109375" style="454" hidden="1" customWidth="1" outlineLevel="1"/>
    <col min="47" max="47" width="2.140625" style="454" hidden="1" customWidth="1" outlineLevel="1"/>
    <col min="48" max="51" width="7.7109375" style="454" hidden="1" customWidth="1" outlineLevel="1"/>
    <col min="52" max="52" width="2.140625" style="454" hidden="1" customWidth="1" outlineLevel="1"/>
    <col min="53" max="54" width="7.7109375" style="454" hidden="1" customWidth="1" outlineLevel="1"/>
    <col min="55" max="56" width="6.7109375" style="454" hidden="1" customWidth="1" outlineLevel="1"/>
    <col min="57" max="57" width="1.5703125" style="454" hidden="1" customWidth="1" outlineLevel="1"/>
    <col min="58" max="58" width="6.7109375" style="454" hidden="1" customWidth="1" outlineLevel="1" collapsed="1"/>
    <col min="59" max="61" width="6.7109375" style="454" hidden="1" customWidth="1" outlineLevel="1"/>
    <col min="62" max="62" width="1.5703125" style="454" hidden="1" customWidth="1" outlineLevel="1"/>
    <col min="63" max="66" width="6.7109375" style="454" hidden="1" customWidth="1" outlineLevel="1"/>
    <col min="67" max="67" width="1.5703125" style="454" hidden="1" customWidth="1" outlineLevel="1"/>
    <col min="68" max="68" width="7.28515625" style="454" hidden="1" customWidth="1" outlineLevel="1"/>
    <col min="69" max="70" width="6.7109375" style="454" hidden="1" customWidth="1" outlineLevel="1"/>
    <col min="71" max="71" width="8.140625" style="454" hidden="1" customWidth="1" outlineLevel="1"/>
    <col min="72" max="72" width="1.5703125" style="454" hidden="1" customWidth="1" outlineLevel="1"/>
    <col min="73" max="73" width="7" style="454" hidden="1" customWidth="1" outlineLevel="1"/>
    <col min="74" max="74" width="6.7109375" style="454" hidden="1" customWidth="1" outlineLevel="1"/>
    <col min="75" max="76" width="7.140625" style="454" hidden="1" customWidth="1" outlineLevel="1"/>
    <col min="77" max="77" width="1.5703125" style="454" hidden="1" customWidth="1" outlineLevel="1"/>
    <col min="78" max="79" width="8.42578125" style="454" hidden="1" customWidth="1" outlineLevel="1"/>
    <col min="80" max="81" width="8.140625" style="454" hidden="1" customWidth="1" outlineLevel="1"/>
    <col min="82" max="82" width="1.5703125" style="454" hidden="1" customWidth="1" outlineLevel="1"/>
    <col min="83" max="86" width="8.140625" style="454" hidden="1" customWidth="1" outlineLevel="1"/>
    <col min="87" max="87" width="1.5703125" style="454" customWidth="1" collapsed="1"/>
    <col min="88" max="88" width="7.5703125" style="454" customWidth="1"/>
    <col min="89" max="89" width="9.28515625" style="454" customWidth="1"/>
    <col min="90" max="90" width="8.7109375" style="454" customWidth="1"/>
    <col min="91" max="91" width="8.140625" style="454" customWidth="1"/>
    <col min="92" max="92" width="1.5703125" style="454" customWidth="1"/>
    <col min="93" max="93" width="7.42578125" style="454" customWidth="1"/>
    <col min="94" max="94" width="7.7109375" style="454" customWidth="1"/>
    <col min="95" max="96" width="8.140625" style="454" customWidth="1"/>
    <col min="97" max="97" width="1.5703125" style="454" customWidth="1"/>
    <col min="98" max="98" width="7.42578125" style="454" customWidth="1"/>
    <col min="99" max="99" width="7.7109375" style="454" customWidth="1"/>
    <col min="100" max="101" width="8.140625" style="454" customWidth="1"/>
    <col min="102" max="102" width="1.85546875" style="454" customWidth="1"/>
    <col min="103" max="103" width="8.140625" style="454" hidden="1" customWidth="1" outlineLevel="1"/>
    <col min="104" max="104" width="7.7109375" style="454" hidden="1" customWidth="1" outlineLevel="1"/>
    <col min="105" max="105" width="8" style="454" hidden="1" customWidth="1" outlineLevel="1"/>
    <col min="106" max="106" width="7.140625" style="454" hidden="1" customWidth="1" outlineLevel="1"/>
    <col min="107" max="109" width="7.28515625" style="454" hidden="1" customWidth="1" outlineLevel="1"/>
    <col min="110" max="111" width="8.42578125" style="454" hidden="1" customWidth="1" outlineLevel="1"/>
    <col min="112" max="112" width="8.42578125" style="454" hidden="1" customWidth="1" outlineLevel="1" collapsed="1"/>
    <col min="113" max="113" width="8.42578125" style="454" hidden="1" customWidth="1" outlineLevel="1"/>
    <col min="114" max="114" width="8.42578125" style="454" customWidth="1" collapsed="1"/>
    <col min="115" max="115" width="8.42578125" style="454" customWidth="1"/>
    <col min="116" max="116" width="8" style="454" customWidth="1"/>
    <col min="117" max="119" width="8.42578125" style="454" customWidth="1"/>
    <col min="120" max="121" width="8.28515625" style="454" customWidth="1"/>
    <col min="122" max="123" width="8.7109375" style="454" bestFit="1" customWidth="1"/>
    <col min="124" max="124" width="8.7109375" style="7" customWidth="1"/>
    <col min="125" max="125" width="8.42578125" style="454" hidden="1" customWidth="1" outlineLevel="1"/>
    <col min="126" max="126" width="8.42578125" style="24" hidden="1" customWidth="1" outlineLevel="1"/>
    <col min="127" max="127" width="8.42578125" style="454" customWidth="1" collapsed="1"/>
    <col min="128" max="132" width="9.140625" hidden="1" customWidth="1" outlineLevel="1"/>
    <col min="133" max="133" width="10.28515625" bestFit="1" customWidth="1" collapsed="1"/>
    <col min="134" max="16384" width="9.140625" style="454"/>
  </cols>
  <sheetData>
    <row r="1" spans="1:134">
      <c r="A1" s="639" t="s">
        <v>478</v>
      </c>
      <c r="B1" s="640"/>
      <c r="C1" s="640"/>
      <c r="D1" s="640"/>
      <c r="E1" s="640"/>
      <c r="F1" s="640"/>
      <c r="G1" s="640"/>
      <c r="H1" s="640"/>
      <c r="I1" s="640"/>
      <c r="J1" s="640"/>
      <c r="K1" s="640"/>
      <c r="L1" s="641"/>
      <c r="M1" s="640"/>
      <c r="N1" s="640"/>
      <c r="O1" s="640"/>
      <c r="P1" s="640"/>
      <c r="Q1" s="641"/>
      <c r="R1" s="640"/>
      <c r="S1" s="640"/>
      <c r="T1" s="640"/>
      <c r="U1" s="640"/>
      <c r="V1" s="641"/>
      <c r="W1" s="640"/>
      <c r="X1" s="640"/>
      <c r="Y1" s="640"/>
      <c r="Z1" s="640"/>
      <c r="AA1" s="641"/>
      <c r="AB1" s="640"/>
      <c r="AC1" s="640"/>
      <c r="AD1" s="640"/>
      <c r="AE1" s="640"/>
      <c r="AF1" s="641"/>
      <c r="AG1" s="640"/>
      <c r="AH1" s="640"/>
      <c r="AI1" s="640"/>
      <c r="AJ1" s="640"/>
      <c r="AK1" s="641"/>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c r="BT1" s="640"/>
      <c r="BU1" s="640"/>
      <c r="BV1" s="640"/>
      <c r="BW1" s="640"/>
      <c r="BX1" s="640"/>
      <c r="BY1" s="640"/>
      <c r="BZ1" s="640"/>
      <c r="CA1" s="640"/>
      <c r="CB1" s="640"/>
      <c r="CC1" s="640"/>
      <c r="CD1" s="640"/>
      <c r="CE1" s="640"/>
      <c r="CF1" s="640"/>
      <c r="CG1" s="640"/>
      <c r="CH1" s="640"/>
      <c r="CI1" s="640"/>
      <c r="CJ1" s="640"/>
      <c r="CK1" s="640"/>
      <c r="CL1" s="640"/>
      <c r="CM1" s="640"/>
      <c r="CN1" s="640"/>
      <c r="CO1" s="640"/>
      <c r="CP1" s="640"/>
      <c r="CQ1" s="640"/>
      <c r="CR1" s="449"/>
      <c r="CS1" s="640"/>
      <c r="CT1" s="640"/>
      <c r="CU1" s="640"/>
      <c r="CV1" s="640"/>
      <c r="CW1" s="1567"/>
      <c r="CX1" s="640"/>
      <c r="CY1" s="641"/>
      <c r="CZ1" s="640"/>
      <c r="DA1" s="640"/>
      <c r="DB1" s="641"/>
      <c r="DC1" s="641"/>
      <c r="DD1" s="641"/>
      <c r="DE1" s="641"/>
      <c r="DF1" s="641"/>
      <c r="DG1" s="641"/>
      <c r="DH1" s="641"/>
    </row>
    <row r="2" spans="1:134">
      <c r="A2" s="642" t="s">
        <v>823</v>
      </c>
      <c r="B2" s="643"/>
      <c r="C2" s="643"/>
      <c r="D2" s="643"/>
      <c r="E2" s="643"/>
      <c r="F2" s="643"/>
      <c r="G2" s="643"/>
      <c r="H2" s="643"/>
      <c r="I2" s="643"/>
      <c r="J2" s="643"/>
      <c r="K2" s="643"/>
      <c r="L2" s="644"/>
      <c r="M2" s="643"/>
      <c r="N2" s="643"/>
      <c r="O2" s="643"/>
      <c r="P2" s="643"/>
      <c r="Q2" s="644"/>
      <c r="R2" s="643"/>
      <c r="S2" s="643"/>
      <c r="T2" s="643"/>
      <c r="U2" s="643"/>
      <c r="V2" s="644"/>
      <c r="W2" s="643"/>
      <c r="X2" s="643"/>
      <c r="Y2" s="643"/>
      <c r="Z2" s="643"/>
      <c r="AA2" s="644"/>
      <c r="AB2" s="643"/>
      <c r="AC2" s="643"/>
      <c r="AD2" s="643"/>
      <c r="AE2" s="643"/>
      <c r="AF2" s="644"/>
      <c r="AG2" s="643"/>
      <c r="AH2" s="643"/>
      <c r="AI2" s="643"/>
      <c r="AJ2" s="643"/>
      <c r="AK2" s="644"/>
      <c r="AL2" s="643"/>
      <c r="AM2" s="643"/>
      <c r="AN2" s="643"/>
      <c r="AO2" s="643"/>
      <c r="AP2" s="643"/>
      <c r="AQ2" s="643"/>
      <c r="AR2" s="643"/>
      <c r="AS2" s="643"/>
      <c r="AT2" s="643"/>
      <c r="AU2" s="643"/>
      <c r="AV2" s="643"/>
      <c r="AW2" s="643"/>
      <c r="AX2" s="643"/>
      <c r="AY2" s="643"/>
      <c r="AZ2" s="643"/>
      <c r="BA2" s="643"/>
      <c r="BB2" s="643"/>
      <c r="BC2" s="643"/>
      <c r="BD2" s="643"/>
      <c r="BE2" s="643"/>
      <c r="BF2" s="643"/>
      <c r="BG2" s="643"/>
      <c r="BH2" s="643"/>
      <c r="BI2" s="643"/>
      <c r="BJ2" s="643"/>
      <c r="BK2" s="643"/>
      <c r="BL2" s="643"/>
      <c r="BM2" s="643"/>
      <c r="BN2" s="643"/>
      <c r="BO2" s="643"/>
      <c r="BP2" s="643"/>
      <c r="BQ2" s="643"/>
      <c r="BR2" s="643"/>
      <c r="BS2" s="643"/>
      <c r="BT2" s="643"/>
      <c r="BU2" s="643"/>
      <c r="BV2" s="643"/>
      <c r="BW2" s="643"/>
      <c r="BX2" s="643"/>
      <c r="BY2" s="643"/>
      <c r="BZ2" s="643"/>
      <c r="CA2" s="643"/>
      <c r="CB2" s="643"/>
      <c r="CC2" s="643"/>
      <c r="CD2" s="643"/>
      <c r="CE2" s="643"/>
      <c r="CF2" s="643"/>
      <c r="CG2" s="643"/>
      <c r="CH2" s="643"/>
      <c r="CI2" s="643"/>
      <c r="CJ2" s="643"/>
      <c r="CK2" s="643"/>
      <c r="CL2" s="643"/>
      <c r="CM2" s="643"/>
      <c r="CN2" s="643"/>
      <c r="CO2" s="643"/>
      <c r="CP2" s="645"/>
      <c r="CQ2" s="645"/>
      <c r="CR2" s="645"/>
      <c r="CS2" s="643"/>
      <c r="CT2" s="643"/>
      <c r="CU2" s="1568"/>
      <c r="CV2" s="1568"/>
      <c r="CW2" s="1568"/>
      <c r="CX2" s="643"/>
      <c r="CY2" s="644"/>
      <c r="CZ2" s="643"/>
      <c r="DA2" s="643"/>
      <c r="DB2" s="644"/>
      <c r="DC2" s="644"/>
      <c r="DD2" s="644"/>
      <c r="DE2" s="644"/>
      <c r="DF2" s="644"/>
      <c r="DG2" s="644"/>
      <c r="DH2" s="644"/>
      <c r="DI2" s="644"/>
      <c r="DJ2" s="644"/>
      <c r="DK2" s="644"/>
      <c r="DL2" s="644"/>
      <c r="DM2" s="644"/>
      <c r="DN2" s="644"/>
      <c r="DO2" s="644"/>
      <c r="DP2" s="644"/>
      <c r="DQ2" s="644"/>
      <c r="DR2" s="644"/>
      <c r="DS2" s="644"/>
      <c r="DT2" s="644"/>
      <c r="DU2" s="644"/>
      <c r="DV2" s="1760"/>
      <c r="DW2" s="646"/>
    </row>
    <row r="3" spans="1:134">
      <c r="A3" s="641" t="s">
        <v>0</v>
      </c>
      <c r="B3" s="640"/>
      <c r="C3" s="640"/>
      <c r="D3" s="640"/>
      <c r="E3" s="640"/>
      <c r="F3" s="640"/>
      <c r="G3" s="640"/>
      <c r="H3" s="640"/>
      <c r="I3" s="640"/>
      <c r="J3" s="640"/>
      <c r="K3" s="640"/>
      <c r="L3" s="641"/>
      <c r="M3" s="640"/>
      <c r="N3" s="640"/>
      <c r="O3" s="640"/>
      <c r="P3" s="640"/>
      <c r="Q3" s="641"/>
      <c r="R3" s="640"/>
      <c r="S3" s="640"/>
      <c r="T3" s="640"/>
      <c r="U3" s="640"/>
      <c r="V3" s="641"/>
      <c r="W3" s="640"/>
      <c r="X3" s="640"/>
      <c r="Y3" s="640"/>
      <c r="Z3" s="640"/>
      <c r="AA3" s="641"/>
      <c r="AB3" s="640"/>
      <c r="AC3" s="640"/>
      <c r="AD3" s="640"/>
      <c r="AE3" s="640"/>
      <c r="AF3" s="641"/>
      <c r="AG3" s="640"/>
      <c r="AH3" s="640"/>
      <c r="AI3" s="640"/>
      <c r="AJ3" s="640"/>
      <c r="AK3" s="641"/>
      <c r="AL3" s="640"/>
      <c r="AM3" s="640"/>
      <c r="AN3" s="640"/>
      <c r="AO3" s="640"/>
      <c r="AP3" s="640"/>
      <c r="AQ3" s="640"/>
      <c r="AR3" s="640"/>
      <c r="AS3" s="640"/>
      <c r="AT3" s="640"/>
      <c r="AU3" s="640"/>
      <c r="AV3" s="640"/>
      <c r="AW3" s="640"/>
      <c r="AX3" s="640"/>
      <c r="AY3" s="640"/>
      <c r="AZ3" s="640"/>
      <c r="BA3" s="640"/>
      <c r="BB3" s="640"/>
      <c r="BC3" s="640"/>
      <c r="BD3" s="640"/>
      <c r="BE3" s="640"/>
      <c r="BF3" s="640"/>
      <c r="BG3" s="640"/>
      <c r="BH3" s="640"/>
      <c r="BI3" s="640"/>
      <c r="BJ3" s="640"/>
      <c r="BK3" s="640"/>
      <c r="BL3" s="640"/>
      <c r="BM3" s="640"/>
      <c r="BN3" s="640"/>
      <c r="BO3" s="640"/>
      <c r="BP3" s="640"/>
      <c r="BQ3" s="640"/>
      <c r="BR3" s="640"/>
      <c r="BS3" s="640"/>
      <c r="BT3" s="640"/>
      <c r="BU3" s="640"/>
      <c r="BV3" s="640"/>
      <c r="BW3" s="640"/>
      <c r="BX3" s="640"/>
      <c r="BY3" s="640"/>
      <c r="BZ3" s="640"/>
      <c r="CA3" s="640"/>
      <c r="CB3" s="640"/>
      <c r="CC3" s="640"/>
      <c r="CD3" s="640"/>
      <c r="CE3" s="640"/>
      <c r="CF3" s="640"/>
      <c r="CG3" s="640"/>
      <c r="CH3" s="640"/>
      <c r="CI3" s="640"/>
      <c r="CJ3" s="640"/>
      <c r="CK3" s="647"/>
      <c r="CL3" s="648"/>
      <c r="CM3" s="648"/>
      <c r="CN3" s="640"/>
      <c r="CO3" s="640"/>
      <c r="CP3" s="449"/>
      <c r="CQ3" s="449"/>
      <c r="CR3" s="449"/>
      <c r="CS3" s="640"/>
      <c r="CT3" s="640"/>
      <c r="CU3" s="1567"/>
      <c r="CV3" s="1567"/>
      <c r="CW3" s="1567"/>
      <c r="CX3" s="640"/>
      <c r="CY3" s="641"/>
      <c r="CZ3" s="640"/>
      <c r="DA3" s="640"/>
      <c r="DB3" s="641"/>
      <c r="DC3" s="641"/>
      <c r="DD3" s="641"/>
      <c r="DE3" s="641"/>
      <c r="DF3" s="641"/>
      <c r="DG3" s="641"/>
      <c r="DH3" s="641"/>
      <c r="DM3" s="649"/>
      <c r="DP3" s="650"/>
    </row>
    <row r="4" spans="1:134">
      <c r="A4" s="641"/>
      <c r="B4" s="640"/>
      <c r="C4" s="640"/>
      <c r="D4" s="640"/>
      <c r="E4" s="640"/>
      <c r="F4" s="640"/>
      <c r="G4" s="640"/>
      <c r="H4" s="640"/>
      <c r="I4" s="640"/>
      <c r="J4" s="640"/>
      <c r="K4" s="640"/>
      <c r="L4" s="641"/>
      <c r="M4" s="640"/>
      <c r="N4" s="640"/>
      <c r="O4" s="640"/>
      <c r="P4" s="640"/>
      <c r="Q4" s="641"/>
      <c r="R4" s="640"/>
      <c r="S4" s="640"/>
      <c r="T4" s="640"/>
      <c r="U4" s="640"/>
      <c r="V4" s="641"/>
      <c r="W4" s="640"/>
      <c r="X4" s="640"/>
      <c r="Y4" s="640"/>
      <c r="Z4" s="640"/>
      <c r="AA4" s="641"/>
      <c r="AB4" s="640"/>
      <c r="AC4" s="640"/>
      <c r="AD4" s="640"/>
      <c r="AE4" s="640"/>
      <c r="AF4" s="641"/>
      <c r="AG4" s="640"/>
      <c r="AH4" s="640"/>
      <c r="AI4" s="640"/>
      <c r="AJ4" s="640"/>
      <c r="AK4" s="641"/>
      <c r="AL4" s="640"/>
      <c r="AM4" s="640"/>
      <c r="AN4" s="640"/>
      <c r="AO4" s="640"/>
      <c r="AP4" s="640"/>
      <c r="AQ4" s="640"/>
      <c r="AR4" s="640"/>
      <c r="AS4" s="640"/>
      <c r="AT4" s="640"/>
      <c r="AU4" s="640"/>
      <c r="AV4" s="640"/>
      <c r="AW4" s="640"/>
      <c r="AX4" s="640"/>
      <c r="AY4" s="640"/>
      <c r="AZ4" s="640"/>
      <c r="BA4" s="640"/>
      <c r="BB4" s="640"/>
      <c r="BC4" s="640"/>
      <c r="BD4" s="640"/>
      <c r="BE4" s="640"/>
      <c r="BF4" s="640"/>
      <c r="BG4" s="640"/>
      <c r="BH4" s="640"/>
      <c r="BI4" s="640"/>
      <c r="BJ4" s="640"/>
      <c r="BK4" s="640"/>
      <c r="BL4" s="640"/>
      <c r="BM4" s="640"/>
      <c r="BN4" s="640"/>
      <c r="BO4" s="640"/>
      <c r="BP4" s="640"/>
      <c r="BQ4" s="640"/>
      <c r="BR4" s="640"/>
      <c r="BS4" s="640"/>
      <c r="BT4" s="640"/>
      <c r="BU4" s="640"/>
      <c r="BV4" s="640"/>
      <c r="BW4" s="640"/>
      <c r="BX4" s="640"/>
      <c r="BY4" s="640"/>
      <c r="BZ4" s="640"/>
      <c r="CA4" s="449"/>
      <c r="CB4" s="647"/>
      <c r="CC4" s="640"/>
      <c r="CD4" s="640"/>
      <c r="CE4" s="640"/>
      <c r="CF4" s="640"/>
      <c r="CG4" s="640"/>
      <c r="CH4" s="640"/>
      <c r="CI4" s="640"/>
      <c r="CJ4" s="651"/>
      <c r="CK4" s="652"/>
      <c r="CL4" s="652"/>
      <c r="CM4" s="652"/>
      <c r="CN4" s="640"/>
      <c r="CO4" s="652"/>
      <c r="CP4" s="449"/>
      <c r="CQ4" s="449"/>
      <c r="CR4" s="449"/>
      <c r="CS4" s="640"/>
      <c r="CT4" s="652"/>
      <c r="CU4" s="1567"/>
      <c r="CV4" s="1567"/>
      <c r="CW4" s="1567"/>
      <c r="CX4" s="640"/>
      <c r="CY4" s="641"/>
      <c r="CZ4" s="640"/>
      <c r="DA4" s="640"/>
      <c r="DB4" s="641"/>
      <c r="DC4" s="641"/>
      <c r="DD4" s="641"/>
      <c r="DE4" s="641"/>
      <c r="DF4" s="641" t="s">
        <v>590</v>
      </c>
      <c r="DG4" s="641"/>
      <c r="DH4" s="641"/>
      <c r="DJ4" s="653"/>
      <c r="DK4" s="653"/>
      <c r="DL4" s="653"/>
      <c r="DM4" s="653"/>
      <c r="DN4" s="653"/>
      <c r="DO4" s="653"/>
      <c r="DQ4" s="449"/>
      <c r="DR4" s="449"/>
      <c r="DS4" s="1034"/>
      <c r="DT4" s="788"/>
      <c r="DU4" s="1034"/>
      <c r="DV4" s="69"/>
      <c r="DW4" s="449"/>
    </row>
    <row r="5" spans="1:134">
      <c r="A5" s="654"/>
      <c r="B5" s="655"/>
      <c r="C5" s="656" t="s">
        <v>1</v>
      </c>
      <c r="D5" s="656"/>
      <c r="E5" s="656"/>
      <c r="F5" s="656"/>
      <c r="G5" s="656"/>
      <c r="H5" s="656"/>
      <c r="I5" s="656"/>
      <c r="J5" s="656"/>
      <c r="K5" s="656"/>
      <c r="L5" s="657"/>
      <c r="M5" s="656"/>
      <c r="N5" s="656"/>
      <c r="O5" s="656"/>
      <c r="P5" s="656"/>
      <c r="Q5" s="657" t="s">
        <v>1</v>
      </c>
      <c r="R5" s="656"/>
      <c r="S5" s="656"/>
      <c r="T5" s="656"/>
      <c r="U5" s="656"/>
      <c r="V5" s="657" t="s">
        <v>1</v>
      </c>
      <c r="W5" s="656"/>
      <c r="X5" s="656"/>
      <c r="Y5" s="656"/>
      <c r="Z5" s="656"/>
      <c r="AG5" s="658" t="s">
        <v>1</v>
      </c>
      <c r="AH5" s="658"/>
      <c r="AI5" s="658"/>
      <c r="AJ5" s="658"/>
      <c r="AK5" s="658"/>
      <c r="AL5" s="658"/>
      <c r="AM5" s="658"/>
      <c r="AN5" s="658"/>
      <c r="AO5" s="658"/>
      <c r="AP5" s="658"/>
      <c r="AQ5" s="2137" t="s">
        <v>1</v>
      </c>
      <c r="AR5" s="2137"/>
      <c r="AS5" s="2137"/>
      <c r="AT5" s="2137"/>
      <c r="AU5" s="2137"/>
      <c r="AV5" s="2137"/>
      <c r="AW5" s="2137"/>
      <c r="AX5" s="2137"/>
      <c r="AY5" s="2137"/>
      <c r="AZ5" s="2137"/>
      <c r="BA5" s="2137"/>
      <c r="BB5" s="2137"/>
      <c r="BC5" s="2137"/>
      <c r="BD5" s="2137"/>
      <c r="BE5" s="2137"/>
      <c r="BF5" s="2137"/>
      <c r="BG5" s="2137"/>
      <c r="BH5" s="2137"/>
      <c r="BI5" s="2137"/>
      <c r="BJ5" s="658"/>
      <c r="BK5" s="658"/>
      <c r="BL5" s="658"/>
      <c r="BM5" s="658"/>
      <c r="BN5" s="658"/>
      <c r="BO5" s="658"/>
      <c r="BP5" s="658"/>
      <c r="BQ5" s="658"/>
      <c r="BR5" s="658"/>
      <c r="BS5" s="658"/>
      <c r="BT5" s="658"/>
      <c r="BU5" s="658"/>
      <c r="BV5" s="658"/>
      <c r="BW5" s="658"/>
      <c r="BX5" s="658"/>
      <c r="BY5" s="658"/>
      <c r="BZ5" s="658"/>
      <c r="CA5" s="659"/>
      <c r="CB5" s="660"/>
      <c r="CC5" s="658"/>
      <c r="CD5" s="658"/>
      <c r="CE5" s="658"/>
      <c r="CF5" s="658"/>
      <c r="CG5" s="658"/>
      <c r="CH5" s="658"/>
      <c r="CI5" s="658"/>
      <c r="CJ5" s="658"/>
      <c r="CK5" s="449"/>
      <c r="CL5" s="650"/>
      <c r="CM5" s="660"/>
      <c r="CN5" s="658"/>
      <c r="CO5" s="449"/>
      <c r="CP5" s="449"/>
      <c r="CQ5" s="449"/>
      <c r="CR5" s="449"/>
      <c r="CS5" s="658"/>
      <c r="CT5" s="1567"/>
      <c r="CU5" s="1567"/>
      <c r="CV5" s="1567"/>
      <c r="CW5" s="1567"/>
      <c r="CX5" s="658"/>
      <c r="CY5" s="661"/>
      <c r="CZ5" s="655"/>
      <c r="DA5" s="655" t="s">
        <v>2</v>
      </c>
      <c r="DB5" s="662"/>
      <c r="DC5" s="655"/>
      <c r="DD5" s="655"/>
      <c r="DE5" s="655"/>
      <c r="DF5" s="655"/>
      <c r="DG5" s="655"/>
      <c r="DH5" s="655"/>
      <c r="DI5" s="454" t="s">
        <v>95</v>
      </c>
      <c r="DJ5" s="449"/>
      <c r="DK5" s="449"/>
      <c r="DL5" s="653"/>
      <c r="DM5" s="653"/>
      <c r="DN5" s="653"/>
      <c r="DO5" s="653"/>
      <c r="DP5" s="653"/>
      <c r="DQ5" s="2122"/>
      <c r="DR5" s="663"/>
      <c r="DS5" s="663"/>
      <c r="DT5" s="663"/>
      <c r="DU5" s="663"/>
      <c r="DV5" s="1761"/>
      <c r="DW5" s="663"/>
    </row>
    <row r="6" spans="1:134">
      <c r="A6" s="1022"/>
      <c r="B6" s="656"/>
      <c r="C6" s="656"/>
      <c r="D6" s="656"/>
      <c r="E6" s="656"/>
      <c r="F6" s="656"/>
      <c r="G6" s="656"/>
      <c r="H6" s="656"/>
      <c r="I6" s="656"/>
      <c r="J6" s="656"/>
      <c r="K6" s="656"/>
      <c r="L6" s="657"/>
      <c r="M6" s="656"/>
      <c r="N6" s="656"/>
      <c r="O6" s="656"/>
      <c r="P6" s="656"/>
      <c r="Q6" s="657"/>
      <c r="R6" s="656"/>
      <c r="S6" s="656"/>
      <c r="T6" s="656"/>
      <c r="U6" s="656"/>
      <c r="V6" s="657"/>
      <c r="W6" s="656"/>
      <c r="X6" s="656"/>
      <c r="Y6" s="656"/>
      <c r="Z6" s="656"/>
      <c r="AA6" s="1023"/>
      <c r="AB6" s="1023"/>
      <c r="AC6" s="1023"/>
      <c r="AD6" s="1023"/>
      <c r="AE6" s="1023"/>
      <c r="AF6" s="1023"/>
      <c r="AG6" s="657"/>
      <c r="AH6" s="657"/>
      <c r="AI6" s="657"/>
      <c r="AJ6" s="657"/>
      <c r="AK6" s="657"/>
      <c r="AL6" s="657"/>
      <c r="AM6" s="657"/>
      <c r="AN6" s="657"/>
      <c r="AO6" s="657"/>
      <c r="AP6" s="657"/>
      <c r="AQ6" s="657"/>
      <c r="AR6" s="657"/>
      <c r="AS6" s="657"/>
      <c r="AT6" s="657"/>
      <c r="AU6" s="657"/>
      <c r="AV6" s="657"/>
      <c r="AW6" s="657"/>
      <c r="AX6" s="657"/>
      <c r="AY6" s="657"/>
      <c r="AZ6" s="657"/>
      <c r="BA6" s="657"/>
      <c r="BB6" s="657"/>
      <c r="BC6" s="657"/>
      <c r="BD6" s="657"/>
      <c r="BE6" s="657"/>
      <c r="BF6" s="657"/>
      <c r="BG6" s="657"/>
      <c r="BH6" s="657"/>
      <c r="BI6" s="657"/>
      <c r="BJ6" s="657"/>
      <c r="BK6" s="657"/>
      <c r="BL6" s="657"/>
      <c r="BM6" s="657"/>
      <c r="BN6" s="657"/>
      <c r="BO6" s="657"/>
      <c r="BP6" s="1017"/>
      <c r="BQ6" s="1017"/>
      <c r="BR6" s="1017"/>
      <c r="BS6" s="1017"/>
      <c r="BT6" s="657"/>
      <c r="BU6" s="1017"/>
      <c r="BV6" s="1017"/>
      <c r="BW6" s="1017"/>
      <c r="BX6" s="1017"/>
      <c r="BY6" s="657"/>
      <c r="BZ6" s="2138"/>
      <c r="CA6" s="2138"/>
      <c r="CB6" s="2138"/>
      <c r="CC6" s="2138"/>
      <c r="CD6" s="1035"/>
      <c r="CE6" s="1035"/>
      <c r="CF6" s="1035"/>
      <c r="CG6" s="1035"/>
      <c r="CH6" s="1035"/>
      <c r="CI6" s="1017"/>
      <c r="CJ6" s="1017"/>
      <c r="CK6" s="1017"/>
      <c r="CL6" s="1017"/>
      <c r="CM6" s="1017"/>
      <c r="CN6" s="1017"/>
      <c r="CO6" s="1017"/>
      <c r="CP6" s="1017"/>
      <c r="CQ6" s="1017"/>
      <c r="CR6" s="1017"/>
      <c r="CS6" s="1568"/>
      <c r="CT6" s="1568"/>
      <c r="CU6" s="1568"/>
      <c r="CV6" s="1568"/>
      <c r="CW6" s="1568"/>
      <c r="CX6" s="657"/>
      <c r="CY6" s="1024"/>
      <c r="CZ6" s="656"/>
      <c r="DA6" s="656"/>
      <c r="DB6" s="1025"/>
      <c r="DC6" s="656"/>
      <c r="DD6" s="656"/>
      <c r="DE6" s="656"/>
      <c r="DF6" s="656"/>
      <c r="DG6" s="656"/>
      <c r="DH6" s="656"/>
      <c r="DI6" s="1023"/>
      <c r="DJ6" s="1023"/>
      <c r="DK6" s="1023"/>
      <c r="DL6" s="1023"/>
      <c r="DM6" s="1023"/>
      <c r="DN6" s="1023"/>
      <c r="DO6" s="1026"/>
      <c r="DP6" s="1023"/>
      <c r="DQ6" s="1023"/>
      <c r="DR6" s="1023"/>
      <c r="DS6" s="1023"/>
      <c r="DU6" s="1023"/>
      <c r="DV6" s="1762"/>
    </row>
    <row r="7" spans="1:134">
      <c r="A7" s="664"/>
      <c r="B7" s="665" t="s">
        <v>3</v>
      </c>
      <c r="C7" s="666">
        <v>1999</v>
      </c>
      <c r="D7" s="667"/>
      <c r="E7" s="667"/>
      <c r="F7" s="667"/>
      <c r="G7" s="668"/>
      <c r="H7" s="669">
        <v>2000</v>
      </c>
      <c r="I7" s="670"/>
      <c r="J7" s="670"/>
      <c r="K7" s="670"/>
      <c r="L7" s="664"/>
      <c r="M7" s="669" t="str">
        <f>+DA7</f>
        <v>2001A</v>
      </c>
      <c r="N7" s="670"/>
      <c r="O7" s="670"/>
      <c r="P7" s="670"/>
      <c r="Q7" s="664"/>
      <c r="R7" s="669" t="str">
        <f>DB7</f>
        <v>2002A</v>
      </c>
      <c r="S7" s="670"/>
      <c r="T7" s="670"/>
      <c r="U7" s="670"/>
      <c r="V7" s="664"/>
      <c r="W7" s="669" t="s">
        <v>350</v>
      </c>
      <c r="X7" s="670"/>
      <c r="Y7" s="670"/>
      <c r="Z7" s="670"/>
      <c r="AA7" s="664"/>
      <c r="AB7" s="669" t="str">
        <f>DD7</f>
        <v>2004A</v>
      </c>
      <c r="AC7" s="670"/>
      <c r="AD7" s="670"/>
      <c r="AE7" s="670"/>
      <c r="AF7" s="664"/>
      <c r="AG7" s="669" t="str">
        <f>DE7</f>
        <v>2005A</v>
      </c>
      <c r="AH7" s="670"/>
      <c r="AI7" s="670"/>
      <c r="AJ7" s="670"/>
      <c r="AK7" s="664"/>
      <c r="AL7" s="669" t="str">
        <f>+DF7</f>
        <v>2006A</v>
      </c>
      <c r="AM7" s="671"/>
      <c r="AN7" s="671"/>
      <c r="AO7" s="671"/>
      <c r="AP7" s="672" t="s">
        <v>95</v>
      </c>
      <c r="AQ7" s="669" t="str">
        <f>+DG7</f>
        <v>2007A</v>
      </c>
      <c r="AR7" s="671"/>
      <c r="AS7" s="671"/>
      <c r="AT7" s="671"/>
      <c r="AV7" s="2137" t="str">
        <f>+DH7</f>
        <v>2008A</v>
      </c>
      <c r="AW7" s="2137"/>
      <c r="AX7" s="2137"/>
      <c r="AY7" s="2137"/>
      <c r="BA7" s="2137" t="s">
        <v>320</v>
      </c>
      <c r="BB7" s="2137"/>
      <c r="BC7" s="2137"/>
      <c r="BD7" s="2137"/>
      <c r="BE7" s="673"/>
      <c r="BF7" s="2137" t="s">
        <v>468</v>
      </c>
      <c r="BG7" s="2137"/>
      <c r="BH7" s="2137"/>
      <c r="BI7" s="2137"/>
      <c r="BJ7" s="673"/>
      <c r="BK7" s="2137" t="s">
        <v>29</v>
      </c>
      <c r="BL7" s="2137"/>
      <c r="BM7" s="2137"/>
      <c r="BN7" s="2137"/>
      <c r="BO7" s="673"/>
      <c r="BP7" s="2137" t="s">
        <v>126</v>
      </c>
      <c r="BQ7" s="2137"/>
      <c r="BR7" s="2137"/>
      <c r="BS7" s="2137"/>
      <c r="BT7" s="673"/>
      <c r="BU7" s="2137">
        <v>2013</v>
      </c>
      <c r="BV7" s="2137"/>
      <c r="BW7" s="2137"/>
      <c r="BX7" s="2137"/>
      <c r="BY7" s="673"/>
      <c r="BZ7" s="2136" t="s">
        <v>677</v>
      </c>
      <c r="CA7" s="2136"/>
      <c r="CB7" s="2136"/>
      <c r="CC7" s="2136"/>
      <c r="CD7" s="775"/>
      <c r="CE7" s="2136" t="s">
        <v>712</v>
      </c>
      <c r="CF7" s="2136"/>
      <c r="CG7" s="2136"/>
      <c r="CH7" s="2136"/>
      <c r="CI7" s="775"/>
      <c r="CJ7" s="2136" t="s">
        <v>755</v>
      </c>
      <c r="CK7" s="2136"/>
      <c r="CL7" s="2136"/>
      <c r="CM7" s="2136"/>
      <c r="CN7" s="775"/>
      <c r="CO7" s="2136" t="s">
        <v>756</v>
      </c>
      <c r="CP7" s="2136"/>
      <c r="CQ7" s="2136"/>
      <c r="CR7" s="2136"/>
      <c r="CS7" s="775"/>
      <c r="CT7" s="2134" t="s">
        <v>391</v>
      </c>
      <c r="CU7" s="2134"/>
      <c r="CV7" s="2134"/>
      <c r="CW7" s="2135"/>
      <c r="CX7" s="673"/>
      <c r="CY7" s="1019">
        <v>1999</v>
      </c>
      <c r="CZ7" s="1019">
        <v>2000</v>
      </c>
      <c r="DA7" s="1020" t="s">
        <v>351</v>
      </c>
      <c r="DB7" s="1021" t="s">
        <v>352</v>
      </c>
      <c r="DC7" s="1019" t="s">
        <v>350</v>
      </c>
      <c r="DD7" s="1019" t="s">
        <v>513</v>
      </c>
      <c r="DE7" s="1019" t="s">
        <v>318</v>
      </c>
      <c r="DF7" s="1021" t="s">
        <v>397</v>
      </c>
      <c r="DG7" s="1019" t="s">
        <v>260</v>
      </c>
      <c r="DH7" s="1021" t="s">
        <v>378</v>
      </c>
      <c r="DI7" s="1019" t="s">
        <v>320</v>
      </c>
      <c r="DJ7" s="1019" t="s">
        <v>468</v>
      </c>
      <c r="DK7" s="1019" t="s">
        <v>29</v>
      </c>
      <c r="DL7" s="1385" t="s">
        <v>126</v>
      </c>
      <c r="DM7" s="1382" t="s">
        <v>371</v>
      </c>
      <c r="DN7" s="1382" t="s">
        <v>677</v>
      </c>
      <c r="DO7" s="1382" t="s">
        <v>712</v>
      </c>
      <c r="DP7" s="1382" t="s">
        <v>755</v>
      </c>
      <c r="DQ7" s="1382" t="s">
        <v>756</v>
      </c>
      <c r="DR7" s="1383" t="s">
        <v>391</v>
      </c>
      <c r="DS7" s="1754" t="s">
        <v>670</v>
      </c>
      <c r="DT7" s="2119" t="s">
        <v>749</v>
      </c>
      <c r="DU7" s="1754" t="s">
        <v>750</v>
      </c>
      <c r="DV7" s="1763" t="s">
        <v>792</v>
      </c>
      <c r="DW7" s="449"/>
    </row>
    <row r="8" spans="1:134" ht="12.75" customHeight="1">
      <c r="A8" s="674" t="s">
        <v>4</v>
      </c>
      <c r="B8" s="675"/>
      <c r="C8" s="676" t="s">
        <v>510</v>
      </c>
      <c r="D8" s="676" t="s">
        <v>511</v>
      </c>
      <c r="E8" s="676" t="s">
        <v>512</v>
      </c>
      <c r="F8" s="676" t="s">
        <v>514</v>
      </c>
      <c r="G8" s="675"/>
      <c r="H8" s="677" t="str">
        <f>C8</f>
        <v>Apr</v>
      </c>
      <c r="I8" s="677" t="str">
        <f>D8</f>
        <v>Jul</v>
      </c>
      <c r="J8" s="677" t="str">
        <f>E8</f>
        <v>Oct</v>
      </c>
      <c r="K8" s="677" t="str">
        <f>F8</f>
        <v>Jan</v>
      </c>
      <c r="L8" s="678"/>
      <c r="M8" s="677" t="str">
        <f>+H8</f>
        <v>Apr</v>
      </c>
      <c r="N8" s="677" t="str">
        <f>+I8</f>
        <v>Jul</v>
      </c>
      <c r="O8" s="677" t="str">
        <f>+J8</f>
        <v>Oct</v>
      </c>
      <c r="P8" s="677" t="str">
        <f>+K8</f>
        <v>Jan</v>
      </c>
      <c r="Q8" s="678"/>
      <c r="R8" s="677" t="str">
        <f>+M8</f>
        <v>Apr</v>
      </c>
      <c r="S8" s="677" t="str">
        <f>+N8</f>
        <v>Jul</v>
      </c>
      <c r="T8" s="677" t="str">
        <f>+O8</f>
        <v>Oct</v>
      </c>
      <c r="U8" s="677" t="str">
        <f>+P8</f>
        <v>Jan</v>
      </c>
      <c r="V8" s="678"/>
      <c r="W8" s="677" t="str">
        <f>+R8</f>
        <v>Apr</v>
      </c>
      <c r="X8" s="677" t="str">
        <f>+S8</f>
        <v>Jul</v>
      </c>
      <c r="Y8" s="677" t="str">
        <f>+T8</f>
        <v>Oct</v>
      </c>
      <c r="Z8" s="677" t="str">
        <f>+U8</f>
        <v>Jan</v>
      </c>
      <c r="AA8" s="678"/>
      <c r="AB8" s="677" t="str">
        <f>+W8</f>
        <v>Apr</v>
      </c>
      <c r="AC8" s="677" t="str">
        <f>+X8</f>
        <v>Jul</v>
      </c>
      <c r="AD8" s="677" t="str">
        <f>+Y8</f>
        <v>Oct</v>
      </c>
      <c r="AE8" s="677" t="str">
        <f>+Z8</f>
        <v>Jan</v>
      </c>
      <c r="AF8" s="678"/>
      <c r="AG8" s="677" t="s">
        <v>510</v>
      </c>
      <c r="AH8" s="677" t="s">
        <v>258</v>
      </c>
      <c r="AI8" s="677" t="s">
        <v>353</v>
      </c>
      <c r="AJ8" s="677" t="s">
        <v>259</v>
      </c>
      <c r="AK8" s="678"/>
      <c r="AL8" s="677" t="s">
        <v>510</v>
      </c>
      <c r="AM8" s="677" t="s">
        <v>511</v>
      </c>
      <c r="AN8" s="677" t="s">
        <v>512</v>
      </c>
      <c r="AO8" s="677" t="s">
        <v>514</v>
      </c>
      <c r="AP8" s="676"/>
      <c r="AQ8" s="677" t="s">
        <v>510</v>
      </c>
      <c r="AR8" s="677" t="s">
        <v>511</v>
      </c>
      <c r="AS8" s="677" t="s">
        <v>512</v>
      </c>
      <c r="AT8" s="677" t="s">
        <v>514</v>
      </c>
      <c r="AU8" s="676"/>
      <c r="AV8" s="677" t="s">
        <v>510</v>
      </c>
      <c r="AW8" s="677" t="s">
        <v>511</v>
      </c>
      <c r="AX8" s="677" t="s">
        <v>512</v>
      </c>
      <c r="AY8" s="677" t="s">
        <v>514</v>
      </c>
      <c r="AZ8" s="676"/>
      <c r="BA8" s="677" t="s">
        <v>510</v>
      </c>
      <c r="BB8" s="677" t="s">
        <v>511</v>
      </c>
      <c r="BC8" s="677" t="s">
        <v>512</v>
      </c>
      <c r="BD8" s="677" t="s">
        <v>514</v>
      </c>
      <c r="BE8" s="676"/>
      <c r="BF8" s="677" t="s">
        <v>510</v>
      </c>
      <c r="BG8" s="677" t="s">
        <v>511</v>
      </c>
      <c r="BH8" s="677" t="s">
        <v>512</v>
      </c>
      <c r="BI8" s="677" t="s">
        <v>514</v>
      </c>
      <c r="BJ8" s="676"/>
      <c r="BK8" s="677" t="s">
        <v>510</v>
      </c>
      <c r="BL8" s="677" t="s">
        <v>511</v>
      </c>
      <c r="BM8" s="677" t="s">
        <v>512</v>
      </c>
      <c r="BN8" s="677" t="s">
        <v>514</v>
      </c>
      <c r="BO8" s="679"/>
      <c r="BP8" s="680" t="s">
        <v>510</v>
      </c>
      <c r="BQ8" s="680" t="s">
        <v>511</v>
      </c>
      <c r="BR8" s="680" t="s">
        <v>512</v>
      </c>
      <c r="BS8" s="680" t="s">
        <v>514</v>
      </c>
      <c r="BT8" s="680"/>
      <c r="BU8" s="680" t="s">
        <v>510</v>
      </c>
      <c r="BV8" s="680" t="s">
        <v>511</v>
      </c>
      <c r="BW8" s="680" t="s">
        <v>512</v>
      </c>
      <c r="BX8" s="680" t="s">
        <v>514</v>
      </c>
      <c r="BY8" s="680"/>
      <c r="BZ8" s="680" t="s">
        <v>510</v>
      </c>
      <c r="CA8" s="680" t="s">
        <v>511</v>
      </c>
      <c r="CB8" s="680" t="s">
        <v>512</v>
      </c>
      <c r="CC8" s="680" t="s">
        <v>514</v>
      </c>
      <c r="CD8" s="680"/>
      <c r="CE8" s="680" t="s">
        <v>510</v>
      </c>
      <c r="CF8" s="680" t="s">
        <v>511</v>
      </c>
      <c r="CG8" s="680" t="s">
        <v>512</v>
      </c>
      <c r="CH8" s="680" t="s">
        <v>514</v>
      </c>
      <c r="CI8" s="680"/>
      <c r="CJ8" s="680" t="s">
        <v>510</v>
      </c>
      <c r="CK8" s="680" t="s">
        <v>511</v>
      </c>
      <c r="CL8" s="680" t="s">
        <v>512</v>
      </c>
      <c r="CM8" s="680" t="s">
        <v>514</v>
      </c>
      <c r="CN8" s="680"/>
      <c r="CO8" s="680" t="s">
        <v>510</v>
      </c>
      <c r="CP8" s="680" t="s">
        <v>511</v>
      </c>
      <c r="CQ8" s="680" t="s">
        <v>512</v>
      </c>
      <c r="CR8" s="680" t="s">
        <v>514</v>
      </c>
      <c r="CS8" s="680"/>
      <c r="CT8" s="1619" t="s">
        <v>510</v>
      </c>
      <c r="CU8" s="1619" t="s">
        <v>511</v>
      </c>
      <c r="CV8" s="1619" t="s">
        <v>512</v>
      </c>
      <c r="CW8" s="1386" t="s">
        <v>514</v>
      </c>
      <c r="CX8" s="679"/>
      <c r="CY8" s="680" t="s">
        <v>514</v>
      </c>
      <c r="CZ8" s="680" t="s">
        <v>514</v>
      </c>
      <c r="DA8" s="681" t="str">
        <f>CZ8</f>
        <v>Jan</v>
      </c>
      <c r="DB8" s="682" t="str">
        <f>DA8</f>
        <v>Jan</v>
      </c>
      <c r="DC8" s="680" t="str">
        <f>DB8</f>
        <v>Jan</v>
      </c>
      <c r="DD8" s="680" t="str">
        <f t="shared" ref="DD8:DI8" si="0">+DC8</f>
        <v>Jan</v>
      </c>
      <c r="DE8" s="680" t="str">
        <f t="shared" si="0"/>
        <v>Jan</v>
      </c>
      <c r="DF8" s="682" t="str">
        <f t="shared" si="0"/>
        <v>Jan</v>
      </c>
      <c r="DG8" s="680" t="str">
        <f t="shared" si="0"/>
        <v>Jan</v>
      </c>
      <c r="DH8" s="682" t="str">
        <f t="shared" si="0"/>
        <v>Jan</v>
      </c>
      <c r="DI8" s="680" t="str">
        <f t="shared" si="0"/>
        <v>Jan</v>
      </c>
      <c r="DJ8" s="680" t="str">
        <f t="shared" ref="DJ8:DQ8" si="1">+DI8</f>
        <v>Jan</v>
      </c>
      <c r="DK8" s="680" t="str">
        <f t="shared" si="1"/>
        <v>Jan</v>
      </c>
      <c r="DL8" s="680" t="str">
        <f t="shared" si="1"/>
        <v>Jan</v>
      </c>
      <c r="DM8" s="680" t="str">
        <f t="shared" si="1"/>
        <v>Jan</v>
      </c>
      <c r="DN8" s="680" t="str">
        <f t="shared" si="1"/>
        <v>Jan</v>
      </c>
      <c r="DO8" s="680" t="str">
        <f t="shared" si="1"/>
        <v>Jan</v>
      </c>
      <c r="DP8" s="680" t="str">
        <f t="shared" si="1"/>
        <v>Jan</v>
      </c>
      <c r="DQ8" s="680" t="str">
        <f t="shared" si="1"/>
        <v>Jan</v>
      </c>
      <c r="DR8" s="680" t="str">
        <f>+DQ8</f>
        <v>Jan</v>
      </c>
      <c r="DS8" s="680" t="str">
        <f>+DR8</f>
        <v>Jan</v>
      </c>
      <c r="DT8" s="681" t="str">
        <f>+DS8</f>
        <v>Jan</v>
      </c>
      <c r="DU8" s="680" t="str">
        <f>+DT8</f>
        <v>Jan</v>
      </c>
      <c r="DV8" s="1764" t="str">
        <f>+DU8</f>
        <v>Jan</v>
      </c>
      <c r="DW8" s="680"/>
    </row>
    <row r="9" spans="1:134" ht="5.45" customHeight="1">
      <c r="A9" s="641"/>
      <c r="B9" s="683"/>
      <c r="C9" s="683"/>
      <c r="D9" s="683"/>
      <c r="E9" s="683"/>
      <c r="F9" s="683"/>
      <c r="G9" s="683"/>
      <c r="H9" s="683"/>
      <c r="I9" s="683"/>
      <c r="J9" s="683"/>
      <c r="K9" s="683"/>
      <c r="L9" s="684"/>
      <c r="M9" s="683"/>
      <c r="N9" s="683"/>
      <c r="O9" s="683"/>
      <c r="P9" s="683"/>
      <c r="Q9" s="684"/>
      <c r="R9" s="683"/>
      <c r="S9" s="683"/>
      <c r="T9" s="683"/>
      <c r="U9" s="683"/>
      <c r="V9" s="684"/>
      <c r="W9" s="683"/>
      <c r="X9" s="683"/>
      <c r="Y9" s="683"/>
      <c r="Z9" s="683"/>
      <c r="AA9" s="684"/>
      <c r="AB9" s="683"/>
      <c r="AC9" s="683"/>
      <c r="AD9" s="683"/>
      <c r="AE9" s="683"/>
      <c r="AF9" s="684"/>
      <c r="AG9" s="683"/>
      <c r="AH9" s="683"/>
      <c r="AI9" s="683"/>
      <c r="AJ9" s="683"/>
      <c r="AK9" s="684"/>
      <c r="AL9" s="683"/>
      <c r="AM9" s="683"/>
      <c r="AN9" s="683"/>
      <c r="AO9" s="683"/>
      <c r="AP9" s="683"/>
      <c r="AQ9" s="683"/>
      <c r="AR9" s="683"/>
      <c r="AS9" s="683"/>
      <c r="AT9" s="683"/>
      <c r="AU9" s="683"/>
      <c r="AV9" s="683"/>
      <c r="AW9" s="683"/>
      <c r="AX9" s="683"/>
      <c r="AY9" s="683"/>
      <c r="AZ9" s="683"/>
      <c r="BA9" s="683"/>
      <c r="BB9" s="683"/>
      <c r="BC9" s="683"/>
      <c r="BD9" s="683"/>
      <c r="BE9" s="683"/>
      <c r="BF9" s="683"/>
      <c r="BG9" s="683"/>
      <c r="BH9" s="683"/>
      <c r="BI9" s="683"/>
      <c r="BJ9" s="683"/>
      <c r="BK9" s="685"/>
      <c r="BL9" s="685"/>
      <c r="BM9" s="685"/>
      <c r="BN9" s="685"/>
      <c r="BO9" s="685"/>
      <c r="BP9" s="685"/>
      <c r="BQ9" s="685"/>
      <c r="BR9" s="685"/>
      <c r="BS9" s="685"/>
      <c r="BT9" s="685"/>
      <c r="BU9" s="685"/>
      <c r="BV9" s="685"/>
      <c r="BW9" s="685"/>
      <c r="BX9" s="685"/>
      <c r="BY9" s="685"/>
      <c r="BZ9" s="685"/>
      <c r="CA9" s="685"/>
      <c r="CB9" s="685"/>
      <c r="CC9" s="685"/>
      <c r="CD9" s="685"/>
      <c r="CE9" s="685"/>
      <c r="CF9" s="685"/>
      <c r="CG9" s="685"/>
      <c r="CH9" s="685"/>
      <c r="CI9" s="685"/>
      <c r="CJ9" s="685"/>
      <c r="CK9" s="685"/>
      <c r="CL9" s="685"/>
      <c r="CM9" s="685"/>
      <c r="CN9" s="685"/>
      <c r="CO9" s="685"/>
      <c r="CP9" s="685"/>
      <c r="CQ9" s="685"/>
      <c r="CR9" s="685"/>
      <c r="CS9" s="685"/>
      <c r="CT9" s="685"/>
      <c r="CU9" s="685"/>
      <c r="CV9" s="685"/>
      <c r="CW9" s="1387"/>
      <c r="CX9" s="685"/>
      <c r="CY9" s="686"/>
      <c r="CZ9" s="646"/>
      <c r="DA9" s="687"/>
      <c r="DB9" s="688"/>
      <c r="DC9" s="646"/>
      <c r="DD9" s="646"/>
      <c r="DE9" s="646"/>
      <c r="DF9" s="688"/>
      <c r="DG9" s="646"/>
      <c r="DH9" s="688"/>
      <c r="DI9" s="646"/>
      <c r="DJ9" s="646"/>
      <c r="DK9" s="786"/>
      <c r="DL9" s="786"/>
      <c r="DM9" s="646"/>
      <c r="DN9" s="646"/>
      <c r="DO9" s="646"/>
      <c r="DP9" s="646"/>
      <c r="DQ9" s="7"/>
      <c r="DR9" s="7"/>
      <c r="DS9" s="7"/>
      <c r="DT9" s="2120"/>
      <c r="DU9" s="7"/>
      <c r="DV9" s="1765"/>
      <c r="DW9" s="7"/>
    </row>
    <row r="10" spans="1:134" ht="12.75" customHeight="1">
      <c r="A10" s="689" t="s">
        <v>653</v>
      </c>
      <c r="B10" s="690"/>
      <c r="C10" s="690">
        <f>'qtrP&amp;L'!$AP10</f>
        <v>2277.7339999999999</v>
      </c>
      <c r="D10" s="690">
        <f>'qtrP&amp;L'!$AP11</f>
        <v>2453.3389999999999</v>
      </c>
      <c r="E10" s="690">
        <f>'qtrP&amp;L'!$AP12</f>
        <v>3045.386</v>
      </c>
      <c r="F10" s="690">
        <f>'qtrP&amp;L'!$AP13</f>
        <v>3858.9389999999999</v>
      </c>
      <c r="G10" s="690"/>
      <c r="H10" s="690">
        <f>'qtrP&amp;L'!$AT10</f>
        <v>2731.99</v>
      </c>
      <c r="I10" s="690">
        <f>'qtrP&amp;L'!$AT11</f>
        <v>2947.7139999999999</v>
      </c>
      <c r="J10" s="690">
        <f>'qtrP&amp;L'!$AT12</f>
        <v>3414.6680000000001</v>
      </c>
      <c r="K10" s="690">
        <f>'qtrP&amp;L'!$AT13</f>
        <v>4579.0879999999997</v>
      </c>
      <c r="L10" s="690"/>
      <c r="M10" s="690">
        <f>'qtrP&amp;L'!$AX10</f>
        <v>3179.6559999999999</v>
      </c>
      <c r="N10" s="690">
        <f>'qtrP&amp;L'!$AX11</f>
        <v>3245.2190000000001</v>
      </c>
      <c r="O10" s="690">
        <f>'qtrP&amp;L'!$AX12</f>
        <v>3333.373</v>
      </c>
      <c r="P10" s="690">
        <f>'qtrP&amp;L'!$AX13</f>
        <v>4089.625</v>
      </c>
      <c r="Q10" s="690"/>
      <c r="R10" s="690">
        <f>'qtrP&amp;L'!$BB10</f>
        <v>2890.84</v>
      </c>
      <c r="S10" s="690">
        <f>'qtrP&amp;L'!$BB11</f>
        <v>3268.3090000000002</v>
      </c>
      <c r="T10" s="690">
        <f>'qtrP&amp;L'!$BB12</f>
        <v>3644.9560000000001</v>
      </c>
      <c r="U10" s="690">
        <f>'qtrP&amp;L'!$BB13</f>
        <v>4650.6040000000003</v>
      </c>
      <c r="V10" s="690"/>
      <c r="W10" s="690">
        <f>'qtrP&amp;L'!$BF10</f>
        <v>3352.7710000000002</v>
      </c>
      <c r="X10" s="690">
        <f>'qtrP&amp;L'!$BF11</f>
        <v>3685.299</v>
      </c>
      <c r="Y10" s="690">
        <f>'qtrP&amp;L'!$BF12</f>
        <v>3929.4560000000001</v>
      </c>
      <c r="Z10" s="690">
        <f>'qtrP&amp;L'!$BF13</f>
        <v>4886.2640000000001</v>
      </c>
      <c r="AA10" s="690"/>
      <c r="AB10" s="690">
        <f>'qtrP&amp;L'!$BJ10</f>
        <v>3667.5650000000001</v>
      </c>
      <c r="AC10" s="690">
        <f>'qtrP&amp;L'!$BJ11</f>
        <v>3720.7890000000002</v>
      </c>
      <c r="AD10" s="690">
        <f>'qtrP&amp;L'!$BJ12</f>
        <v>3980.15</v>
      </c>
      <c r="AE10" s="690">
        <f>'qtrP&amp;L'!$BJ13</f>
        <v>4898.8969999999999</v>
      </c>
      <c r="AF10" s="690"/>
      <c r="AG10" s="690">
        <f>'qtrP&amp;L'!$BN10</f>
        <v>3626.2930000000001</v>
      </c>
      <c r="AH10" s="690">
        <f>'qtrP&amp;L'!$BN11</f>
        <v>3716.2979999999998</v>
      </c>
      <c r="AI10" s="690">
        <f>'qtrP&amp;L'!$BN12</f>
        <v>3859.9059999999999</v>
      </c>
      <c r="AJ10" s="690">
        <f>'qtrP&amp;L'!$BN13</f>
        <v>4820.8829999999998</v>
      </c>
      <c r="AK10" s="690"/>
      <c r="AL10" s="690">
        <f>'qtrP&amp;L'!$BR10</f>
        <v>3439</v>
      </c>
      <c r="AM10" s="690">
        <f>'qtrP&amp;L'!$BR11</f>
        <v>3714</v>
      </c>
      <c r="AN10" s="690">
        <f>'qtrP&amp;L'!$BR12</f>
        <v>3851</v>
      </c>
      <c r="AO10" s="690">
        <f>'qtrP&amp;L'!$BR13</f>
        <v>4919</v>
      </c>
      <c r="AP10" s="690"/>
      <c r="AQ10" s="690">
        <f>'qtrP&amp;L'!$BV10</f>
        <v>3549</v>
      </c>
      <c r="AR10" s="690">
        <f>'qtrP&amp;L'!$BV11</f>
        <v>3685</v>
      </c>
      <c r="AS10" s="690">
        <f>'qtrP&amp;L'!$BV12</f>
        <v>3854</v>
      </c>
      <c r="AT10" s="690">
        <f>'qtrP&amp;L'!$BV13</f>
        <v>4675</v>
      </c>
      <c r="AU10" s="690"/>
      <c r="AV10" s="690">
        <f>'qtrP&amp;L'!BZ10</f>
        <v>3384</v>
      </c>
      <c r="AW10" s="690">
        <f>'qtrP&amp;L'!BZ11</f>
        <v>3499</v>
      </c>
      <c r="AX10" s="690">
        <f>'qtrP&amp;L'!BZ12</f>
        <v>3561</v>
      </c>
      <c r="AY10" s="690">
        <f>'qtrP&amp;L'!BZ13</f>
        <v>4082</v>
      </c>
      <c r="AZ10" s="690"/>
      <c r="BA10" s="690">
        <f>'qtrP&amp;L'!$CD$10</f>
        <v>3127</v>
      </c>
      <c r="BB10" s="690">
        <f>'qtrP&amp;L'!$CD$11</f>
        <v>3245</v>
      </c>
      <c r="BC10" s="690">
        <f>'qtrP&amp;L'!$CD$12</f>
        <v>3589</v>
      </c>
      <c r="BD10" s="690">
        <f>'qtrP&amp;L'!$CD$13</f>
        <v>4236</v>
      </c>
      <c r="BE10" s="690"/>
      <c r="BF10" s="690">
        <f>'qtrP&amp;L'!$CH$10</f>
        <v>3329</v>
      </c>
      <c r="BG10" s="690">
        <f>'qtrP&amp;L'!$CH$11</f>
        <v>3317</v>
      </c>
      <c r="BH10" s="690">
        <f>'qtrP&amp;L'!$CH$12</f>
        <v>3654</v>
      </c>
      <c r="BI10" s="690">
        <f>'qtrP&amp;L'!$CH$13</f>
        <v>4364</v>
      </c>
      <c r="BJ10" s="690"/>
      <c r="BK10" s="691">
        <f>'qtrP&amp;L'!$CL$10</f>
        <v>3295</v>
      </c>
      <c r="BL10" s="691">
        <f>'qtrP&amp;L'!$CL$11</f>
        <v>3386</v>
      </c>
      <c r="BM10" s="691">
        <f>'qtrP&amp;L'!$CL$12</f>
        <v>3585</v>
      </c>
      <c r="BN10" s="691">
        <f>'qtrP&amp;L'!$CL$13</f>
        <v>4283</v>
      </c>
      <c r="BO10" s="691"/>
      <c r="BP10" s="691">
        <f>'qtrP&amp;L'!$CP$10</f>
        <v>3487</v>
      </c>
      <c r="BQ10" s="691">
        <f>'qtrP&amp;L'!$CP$11</f>
        <v>3575</v>
      </c>
      <c r="BR10" s="691">
        <f>'qtrP&amp;L'!$CP$12</f>
        <v>3864</v>
      </c>
      <c r="BS10" s="691">
        <f>'qtrP&amp;L'!$CP$13</f>
        <v>4725</v>
      </c>
      <c r="BT10" s="691"/>
      <c r="BU10" s="691">
        <f>'qtrP&amp;L'!CT10</f>
        <v>3729</v>
      </c>
      <c r="BV10" s="691">
        <f>'qtrP&amp;L'!CT11</f>
        <v>3868</v>
      </c>
      <c r="BW10" s="691">
        <f>'qtrP&amp;L'!CT12</f>
        <v>3976</v>
      </c>
      <c r="BX10" s="691">
        <f>'qtrP&amp;L'!CT13</f>
        <v>4575</v>
      </c>
      <c r="BY10" s="691"/>
      <c r="BZ10" s="691">
        <f>'qtrP&amp;L'!CX10</f>
        <v>3774</v>
      </c>
      <c r="CA10" s="691">
        <f>'qtrP&amp;L'!CX11</f>
        <v>3981</v>
      </c>
      <c r="CB10" s="691">
        <f>'qtrP&amp;L'!CX12</f>
        <v>3972</v>
      </c>
      <c r="CC10" s="691">
        <f>'qtrP&amp;L'!CX13</f>
        <v>4708</v>
      </c>
      <c r="CD10" s="691"/>
      <c r="CE10" s="691">
        <f>'qtrP&amp;L'!DB10</f>
        <v>3657</v>
      </c>
      <c r="CF10" s="691">
        <f>'qtrP&amp;L'!DB11</f>
        <v>3898</v>
      </c>
      <c r="CG10" s="691">
        <f>'qtrP&amp;L'!DB12</f>
        <v>3857</v>
      </c>
      <c r="CH10" s="691">
        <f>'qtrP&amp;L'!DB13</f>
        <v>4385</v>
      </c>
      <c r="CI10" s="691"/>
      <c r="CJ10" s="691">
        <f t="array" ref="CJ10:CM10">TRANSPOSE('qtrP&amp;L'!DF10:DF13)</f>
        <v>3438</v>
      </c>
      <c r="CK10" s="691">
        <v>3851</v>
      </c>
      <c r="CL10" s="691">
        <v>3798</v>
      </c>
      <c r="CM10" s="691">
        <v>4429</v>
      </c>
      <c r="CN10" s="691"/>
      <c r="CO10" s="691">
        <f t="array" ref="CO10:CR10">TRANSPOSE('qtrP&amp;L'!DJ10:DJ13)</f>
        <v>3440</v>
      </c>
      <c r="CP10" s="691">
        <v>3799</v>
      </c>
      <c r="CQ10" s="691">
        <v>3838</v>
      </c>
      <c r="CR10" s="691">
        <v>4778</v>
      </c>
      <c r="CS10" s="691"/>
      <c r="CT10" s="1967">
        <f t="array" ref="CT10:CW10">TRANSPOSE('qtrP&amp;L'!DN10:DN13)</f>
        <v>3517.4869516677682</v>
      </c>
      <c r="CU10" s="1967">
        <v>3904.5936492187793</v>
      </c>
      <c r="CV10" s="1967">
        <v>3903.8777607026191</v>
      </c>
      <c r="CW10" s="1766">
        <v>4681.4158783110033</v>
      </c>
      <c r="CX10" s="691"/>
      <c r="CY10" s="691">
        <f>'yrP&amp;L'!K7</f>
        <v>11635.398000000001</v>
      </c>
      <c r="CZ10" s="691">
        <f>'yrP&amp;L'!L7</f>
        <v>13673.46</v>
      </c>
      <c r="DA10" s="692">
        <f>'yrP&amp;L'!M7</f>
        <v>13847.873</v>
      </c>
      <c r="DB10" s="693">
        <f>'yrP&amp;L'!N7</f>
        <v>14454.708999999999</v>
      </c>
      <c r="DC10" s="691">
        <f>'yrP&amp;L'!O7</f>
        <v>15853.79</v>
      </c>
      <c r="DD10" s="691">
        <f>'yrP&amp;L'!P7</f>
        <v>16267.401000000002</v>
      </c>
      <c r="DE10" s="691">
        <f>'yrP&amp;L'!Q7</f>
        <v>16023.38</v>
      </c>
      <c r="DF10" s="693">
        <f>'yrP&amp;L'!R7</f>
        <v>15923</v>
      </c>
      <c r="DG10" s="691">
        <f>'yrP&amp;L'!S7</f>
        <v>15763</v>
      </c>
      <c r="DH10" s="693">
        <f>'yrP&amp;L'!T7</f>
        <v>14526</v>
      </c>
      <c r="DI10" s="691">
        <f>'yrP&amp;L'!U7</f>
        <v>14197</v>
      </c>
      <c r="DJ10" s="691">
        <f>'yrP&amp;L'!V7</f>
        <v>14664</v>
      </c>
      <c r="DK10" s="691">
        <f>'yrP&amp;L'!W7</f>
        <v>14549</v>
      </c>
      <c r="DL10" s="691">
        <f>'yrP&amp;L'!X7</f>
        <v>15651</v>
      </c>
      <c r="DM10" s="691">
        <f>'yrP&amp;L'!Y7</f>
        <v>16148</v>
      </c>
      <c r="DN10" s="691">
        <f>'yrP&amp;L'!Z7</f>
        <v>16435</v>
      </c>
      <c r="DO10" s="691">
        <f>'yrP&amp;L'!AA7</f>
        <v>15797</v>
      </c>
      <c r="DP10" s="691">
        <f>'yrP&amp;L'!AB7</f>
        <v>15516</v>
      </c>
      <c r="DQ10" s="691">
        <f>'yrP&amp;L'!AC7</f>
        <v>15855</v>
      </c>
      <c r="DR10" s="1967">
        <f>'yrP&amp;L'!AD7</f>
        <v>16007.374239900169</v>
      </c>
      <c r="DS10" s="691">
        <f>'yrP&amp;L'!AE7</f>
        <v>15929.412165188094</v>
      </c>
      <c r="DT10" s="692">
        <f>'yrP&amp;L'!AF7</f>
        <v>15853.165473056992</v>
      </c>
      <c r="DU10" s="691">
        <f>'yrP&amp;L'!AG7</f>
        <v>15789.040595885397</v>
      </c>
      <c r="DV10" s="1766">
        <f>'yrP&amp;L'!AH7</f>
        <v>15718.713972636162</v>
      </c>
      <c r="DW10" s="691"/>
    </row>
    <row r="11" spans="1:134" ht="5.45" customHeight="1">
      <c r="A11" s="641"/>
      <c r="B11" s="694"/>
      <c r="C11" s="690"/>
      <c r="D11" s="690"/>
      <c r="E11" s="690"/>
      <c r="F11" s="690"/>
      <c r="G11" s="694"/>
      <c r="H11" s="690"/>
      <c r="I11" s="690"/>
      <c r="J11" s="690"/>
      <c r="K11" s="690"/>
      <c r="L11" s="694"/>
      <c r="M11" s="690"/>
      <c r="N11" s="690"/>
      <c r="O11" s="690"/>
      <c r="P11" s="690"/>
      <c r="Q11" s="694"/>
      <c r="R11" s="690"/>
      <c r="S11" s="690"/>
      <c r="T11" s="690"/>
      <c r="U11" s="690"/>
      <c r="V11" s="694"/>
      <c r="W11" s="690"/>
      <c r="X11" s="690"/>
      <c r="Y11" s="690"/>
      <c r="Z11" s="690"/>
      <c r="AA11" s="694"/>
      <c r="AB11" s="690"/>
      <c r="AC11" s="690"/>
      <c r="AD11" s="690"/>
      <c r="AE11" s="690"/>
      <c r="AF11" s="694"/>
      <c r="AG11" s="690"/>
      <c r="AH11" s="690"/>
      <c r="AI11" s="690"/>
      <c r="AJ11" s="690"/>
      <c r="AK11" s="694"/>
      <c r="AL11" s="690"/>
      <c r="AM11" s="690"/>
      <c r="AN11" s="690"/>
      <c r="AO11" s="690"/>
      <c r="AP11" s="690"/>
      <c r="AQ11" s="690"/>
      <c r="AR11" s="690"/>
      <c r="AS11" s="690"/>
      <c r="AT11" s="690"/>
      <c r="AU11" s="690"/>
      <c r="AV11" s="690"/>
      <c r="AW11" s="690"/>
      <c r="AX11" s="690"/>
      <c r="AY11" s="690"/>
      <c r="AZ11" s="690"/>
      <c r="BA11" s="690"/>
      <c r="BB11" s="690"/>
      <c r="BC11" s="690"/>
      <c r="BD11" s="690"/>
      <c r="BE11" s="690"/>
      <c r="BF11" s="690"/>
      <c r="BG11" s="690"/>
      <c r="BH11" s="690"/>
      <c r="BI11" s="690"/>
      <c r="BJ11" s="690"/>
      <c r="BK11" s="691"/>
      <c r="BL11" s="691"/>
      <c r="BM11" s="691"/>
      <c r="BN11" s="691"/>
      <c r="BO11" s="691"/>
      <c r="BP11" s="691"/>
      <c r="BQ11" s="691"/>
      <c r="BR11" s="691"/>
      <c r="BS11" s="691"/>
      <c r="BT11" s="691"/>
      <c r="BU11" s="691"/>
      <c r="BV11" s="691"/>
      <c r="BW11" s="691"/>
      <c r="BX11" s="691"/>
      <c r="BY11" s="691"/>
      <c r="BZ11" s="691"/>
      <c r="CA11" s="691"/>
      <c r="CB11" s="691"/>
      <c r="CC11" s="691"/>
      <c r="CD11" s="691"/>
      <c r="CE11" s="691"/>
      <c r="CF11" s="691"/>
      <c r="CG11" s="691"/>
      <c r="CH11" s="691"/>
      <c r="CI11" s="691"/>
      <c r="CJ11" s="691"/>
      <c r="CK11" s="691"/>
      <c r="CL11" s="691"/>
      <c r="CM11" s="691"/>
      <c r="CN11" s="691"/>
      <c r="CO11" s="691"/>
      <c r="CP11" s="691"/>
      <c r="CQ11" s="691"/>
      <c r="CR11" s="691"/>
      <c r="CS11" s="691"/>
      <c r="CT11" s="1967"/>
      <c r="CU11" s="1967"/>
      <c r="CV11" s="1967"/>
      <c r="CW11" s="1766"/>
      <c r="CX11" s="691"/>
      <c r="CY11" s="691"/>
      <c r="CZ11" s="691"/>
      <c r="DA11" s="692"/>
      <c r="DB11" s="693"/>
      <c r="DC11" s="691"/>
      <c r="DD11" s="691"/>
      <c r="DE11" s="691"/>
      <c r="DF11" s="693"/>
      <c r="DG11" s="691"/>
      <c r="DH11" s="693"/>
      <c r="DI11" s="691"/>
      <c r="DJ11" s="691"/>
      <c r="DK11" s="691"/>
      <c r="DL11" s="691"/>
      <c r="DM11" s="691"/>
      <c r="DN11" s="691"/>
      <c r="DO11" s="691"/>
      <c r="DP11" s="691"/>
      <c r="DQ11" s="7"/>
      <c r="DR11" s="7"/>
      <c r="DS11" s="7"/>
      <c r="DT11" s="2120"/>
      <c r="DU11" s="7"/>
      <c r="DV11" s="1765"/>
      <c r="DW11" s="7"/>
    </row>
    <row r="12" spans="1:134" ht="12.75" customHeight="1">
      <c r="A12" s="689" t="s">
        <v>5</v>
      </c>
      <c r="B12" s="690"/>
      <c r="C12" s="690">
        <f>'qtrP&amp;L'!$AP20</f>
        <v>1334.155</v>
      </c>
      <c r="D12" s="690">
        <f>'qtrP&amp;L'!$AP21</f>
        <v>1443.5450000000001</v>
      </c>
      <c r="E12" s="690">
        <f>'qtrP&amp;L'!$AP22</f>
        <v>1741.098</v>
      </c>
      <c r="F12" s="690">
        <f>'qtrP&amp;L'!$AP23</f>
        <v>2256.4630000000002</v>
      </c>
      <c r="G12" s="690"/>
      <c r="H12" s="690">
        <f>'qtrP&amp;L'!$AT20</f>
        <v>1601.905</v>
      </c>
      <c r="I12" s="690">
        <f>'qtrP&amp;L'!$AT21</f>
        <v>1837.0640000000001</v>
      </c>
      <c r="J12" s="690">
        <f>'qtrP&amp;L'!$AT22</f>
        <v>2157.4609999999998</v>
      </c>
      <c r="K12" s="690">
        <f>'qtrP&amp;L'!$AT23</f>
        <v>3003.0120000000002</v>
      </c>
      <c r="L12" s="690"/>
      <c r="M12" s="690">
        <f>'qtrP&amp;L'!$AX20</f>
        <v>2054.482</v>
      </c>
      <c r="N12" s="690">
        <f>'qtrP&amp;L'!$AX21</f>
        <v>2204.1370000000002</v>
      </c>
      <c r="O12" s="690">
        <f>'qtrP&amp;L'!$AX22</f>
        <v>2382.7339999999999</v>
      </c>
      <c r="P12" s="690">
        <f>'qtrP&amp;L'!$AX23</f>
        <v>3063.0360000000001</v>
      </c>
      <c r="Q12" s="690"/>
      <c r="R12" s="690">
        <f>'qtrP&amp;L'!$BB20</f>
        <v>2011.7619999999999</v>
      </c>
      <c r="S12" s="690">
        <f>'qtrP&amp;L'!$BB21</f>
        <v>2177.7739999999999</v>
      </c>
      <c r="T12" s="690">
        <f>'qtrP&amp;L'!$BB22</f>
        <v>2329.3470000000002</v>
      </c>
      <c r="U12" s="690">
        <f>'qtrP&amp;L'!$BB23</f>
        <v>3022.6750000000002</v>
      </c>
      <c r="V12" s="690"/>
      <c r="W12" s="690">
        <f>'qtrP&amp;L'!$BF20</f>
        <v>2074.77</v>
      </c>
      <c r="X12" s="690">
        <f>'qtrP&amp;L'!$BF21</f>
        <v>2359.299</v>
      </c>
      <c r="Y12" s="690">
        <f>'qtrP&amp;L'!$BF22</f>
        <v>2402.4560000000001</v>
      </c>
      <c r="Z12" s="690">
        <f>'qtrP&amp;L'!$BF23</f>
        <v>3048.2640000000001</v>
      </c>
      <c r="AA12" s="690"/>
      <c r="AB12" s="690">
        <f>'qtrP&amp;L'!$BJ20</f>
        <v>2087.5650000000001</v>
      </c>
      <c r="AC12" s="690">
        <f>'qtrP&amp;L'!$BJ21</f>
        <v>2288.7890000000002</v>
      </c>
      <c r="AD12" s="690">
        <f>'qtrP&amp;L'!$BJ22</f>
        <v>2414</v>
      </c>
      <c r="AE12" s="690">
        <f>'qtrP&amp;L'!$BJ23</f>
        <v>3096</v>
      </c>
      <c r="AF12" s="690"/>
      <c r="AG12" s="690">
        <f>'qtrP&amp;L'!$BN20</f>
        <v>2145.2779999999998</v>
      </c>
      <c r="AH12" s="690">
        <f>'qtrP&amp;L'!$BN21</f>
        <v>2331.6970000000001</v>
      </c>
      <c r="AI12" s="690">
        <f>'qtrP&amp;L'!$BN22</f>
        <v>2496.873</v>
      </c>
      <c r="AJ12" s="690">
        <f>'qtrP&amp;L'!$BN23</f>
        <v>3179.9859999999999</v>
      </c>
      <c r="AK12" s="690"/>
      <c r="AL12" s="690">
        <f>'qtrP&amp;L'!$BR20</f>
        <v>2054</v>
      </c>
      <c r="AM12" s="690">
        <f>'qtrP&amp;L'!$BR21</f>
        <v>2489</v>
      </c>
      <c r="AN12" s="690">
        <f>'qtrP&amp;L'!$BR22</f>
        <v>2409</v>
      </c>
      <c r="AO12" s="690">
        <f>'qtrP&amp;L'!$BR23</f>
        <v>3314</v>
      </c>
      <c r="AP12" s="690"/>
      <c r="AQ12" s="690">
        <f>'qtrP&amp;L'!$BV20</f>
        <v>2194</v>
      </c>
      <c r="AR12" s="690">
        <f>'qtrP&amp;L'!$BV21</f>
        <v>2421</v>
      </c>
      <c r="AS12" s="690">
        <f>'qtrP&amp;L'!$BV22</f>
        <v>2407</v>
      </c>
      <c r="AT12" s="690">
        <f>'qtrP&amp;L'!$BV23</f>
        <v>3049</v>
      </c>
      <c r="AU12" s="690"/>
      <c r="AV12" s="690">
        <f>'qtrP&amp;L'!BZ20</f>
        <v>2042</v>
      </c>
      <c r="AW12" s="690">
        <f>'qtrP&amp;L'!BZ21</f>
        <v>2161</v>
      </c>
      <c r="AX12" s="690">
        <f>'qtrP&amp;L'!BZ22</f>
        <v>2183</v>
      </c>
      <c r="AY12" s="690">
        <f>'qtrP&amp;L'!BZ23</f>
        <v>2693</v>
      </c>
      <c r="AZ12" s="690"/>
      <c r="BA12" s="690">
        <f>'qtrP&amp;L'!$CD$20</f>
        <v>1888</v>
      </c>
      <c r="BB12" s="690">
        <f>'qtrP&amp;L'!$CD$21</f>
        <v>1957</v>
      </c>
      <c r="BC12" s="690">
        <f>'qtrP&amp;L'!$CD$22</f>
        <v>2065</v>
      </c>
      <c r="BD12" s="690">
        <f>'qtrP&amp;L'!$CD$23</f>
        <v>2563</v>
      </c>
      <c r="BE12" s="690"/>
      <c r="BF12" s="690">
        <f>'qtrP&amp;L'!$CH$20</f>
        <v>1928</v>
      </c>
      <c r="BG12" s="690">
        <f>'qtrP&amp;L'!$CH$21</f>
        <v>2003</v>
      </c>
      <c r="BH12" s="690">
        <f>'qtrP&amp;L'!$CH$22</f>
        <v>2149</v>
      </c>
      <c r="BI12" s="690">
        <f>'qtrP&amp;L'!$CH$23</f>
        <v>2695</v>
      </c>
      <c r="BJ12" s="690"/>
      <c r="BK12" s="691">
        <f>'qtrP&amp;L'!$CL$20</f>
        <v>1991</v>
      </c>
      <c r="BL12" s="691">
        <f>'qtrP&amp;L'!$CL$21</f>
        <v>2135</v>
      </c>
      <c r="BM12" s="691">
        <f>'qtrP&amp;L'!$CL$22</f>
        <v>2271</v>
      </c>
      <c r="BN12" s="691">
        <f>'qtrP&amp;L'!$CL$23</f>
        <v>2878</v>
      </c>
      <c r="BO12" s="691"/>
      <c r="BP12" s="691">
        <f>'qtrP&amp;L'!$CP$20</f>
        <v>2112</v>
      </c>
      <c r="BQ12" s="691">
        <f>'qtrP&amp;L'!$CP$21</f>
        <v>2148</v>
      </c>
      <c r="BR12" s="691">
        <f>'qtrP&amp;L'!$CP$22</f>
        <v>2271</v>
      </c>
      <c r="BS12" s="691">
        <f>'qtrP&amp;L'!$CP$23</f>
        <v>2949</v>
      </c>
      <c r="BT12" s="691"/>
      <c r="BU12" s="691">
        <f>'qtrP&amp;L'!CT20</f>
        <v>2185</v>
      </c>
      <c r="BV12" s="691">
        <f>'qtrP&amp;L'!CT21</f>
        <v>2301</v>
      </c>
      <c r="BW12" s="691">
        <f>'qtrP&amp;L'!CT22</f>
        <v>2387</v>
      </c>
      <c r="BX12" s="691">
        <f>'qtrP&amp;L'!CT23</f>
        <v>2982</v>
      </c>
      <c r="BY12" s="691"/>
      <c r="BZ12" s="691">
        <f>'qtrP&amp;L'!CX20</f>
        <v>2308</v>
      </c>
      <c r="CA12" s="691">
        <f>'qtrP&amp;L'!CX21</f>
        <v>2412</v>
      </c>
      <c r="CB12" s="691">
        <f>'qtrP&amp;L'!CX22</f>
        <v>2376</v>
      </c>
      <c r="CC12" s="691">
        <f>'qtrP&amp;L'!CX23</f>
        <v>3050</v>
      </c>
      <c r="CD12" s="691"/>
      <c r="CE12" s="691">
        <f>'qtrP&amp;L'!DB20</f>
        <v>2266</v>
      </c>
      <c r="CF12" s="691">
        <f>'qtrP&amp;L'!DB21</f>
        <v>2428</v>
      </c>
      <c r="CG12" s="691">
        <f>'qtrP&amp;L'!DB22</f>
        <v>2411</v>
      </c>
      <c r="CH12" s="691">
        <f>'qtrP&amp;L'!DB23</f>
        <v>2939</v>
      </c>
      <c r="CI12" s="691"/>
      <c r="CJ12" s="691">
        <f t="array" ref="CJ12:CM12">TRANSPOSE('qtrP&amp;L'!DF20:DF23)</f>
        <v>2229</v>
      </c>
      <c r="CK12" s="691">
        <v>2399</v>
      </c>
      <c r="CL12" s="691">
        <v>2312</v>
      </c>
      <c r="CM12" s="691">
        <v>2928</v>
      </c>
      <c r="CN12" s="691"/>
      <c r="CO12" s="691">
        <f t="array" ref="CO12:CR12">TRANSPOSE('qtrP&amp;L'!DJ20:DJ23)</f>
        <v>2137</v>
      </c>
      <c r="CP12" s="691">
        <v>2320</v>
      </c>
      <c r="CQ12" s="691">
        <v>2313</v>
      </c>
      <c r="CR12" s="691">
        <v>3019</v>
      </c>
      <c r="CS12" s="691"/>
      <c r="CT12" s="1967">
        <f t="array" ref="CT12:CW12">TRANSPOSE('qtrP&amp;L'!DN20:DN23)</f>
        <v>2198.4293447923551</v>
      </c>
      <c r="CU12" s="1967">
        <v>2401.325094269549</v>
      </c>
      <c r="CV12" s="1967">
        <v>2365.7499229857876</v>
      </c>
      <c r="CW12" s="1766">
        <v>2977.380498605798</v>
      </c>
      <c r="CX12" s="691"/>
      <c r="CY12" s="691">
        <f>'yrP&amp;L'!K12+'yrP&amp;L'!K30</f>
        <v>6775.2610000000004</v>
      </c>
      <c r="CZ12" s="691">
        <f>'yrP&amp;L'!L12+'yrP&amp;L'!L30</f>
        <v>8599.4420000000009</v>
      </c>
      <c r="DA12" s="692">
        <f>'yrP&amp;L'!M12+'yrP&amp;L'!M30</f>
        <v>9704.389000000001</v>
      </c>
      <c r="DB12" s="693">
        <f>'yrP&amp;L'!N12+'yrP&amp;L'!N30</f>
        <v>9541.5580000000009</v>
      </c>
      <c r="DC12" s="691">
        <f>'yrP&amp;L'!O12+'yrP&amp;L'!O30</f>
        <v>9884.7890000000007</v>
      </c>
      <c r="DD12" s="691">
        <f>'yrP&amp;L'!P12+'yrP&amp;L'!P30</f>
        <v>9886.3539999999994</v>
      </c>
      <c r="DE12" s="691">
        <f>'yrP&amp;L'!Q12+'yrP&amp;L'!Q30</f>
        <v>10153.833999999999</v>
      </c>
      <c r="DF12" s="693">
        <f>'yrP&amp;L'!R12+'yrP&amp;L'!R30</f>
        <v>10266</v>
      </c>
      <c r="DG12" s="691">
        <f>'yrP&amp;L'!S12+'yrP&amp;L'!S30</f>
        <v>10071</v>
      </c>
      <c r="DH12" s="693">
        <f>'yrP&amp;L'!T12+'yrP&amp;L'!T30</f>
        <v>9079</v>
      </c>
      <c r="DI12" s="691">
        <f>'yrP&amp;L'!U12+'yrP&amp;L'!U30</f>
        <v>8473</v>
      </c>
      <c r="DJ12" s="691">
        <f>'yrP&amp;L'!V12+'yrP&amp;L'!V30</f>
        <v>8775</v>
      </c>
      <c r="DK12" s="691">
        <f>'yrP&amp;L'!W12+'yrP&amp;L'!W30</f>
        <v>9275</v>
      </c>
      <c r="DL12" s="691">
        <f>'yrP&amp;L'!X12+'yrP&amp;L'!X30</f>
        <v>9480</v>
      </c>
      <c r="DM12" s="691">
        <f>'yrP&amp;L'!Y12+'yrP&amp;L'!Y30</f>
        <v>9855</v>
      </c>
      <c r="DN12" s="691">
        <f>'yrP&amp;L'!Z12+'yrP&amp;L'!Z30</f>
        <v>10146</v>
      </c>
      <c r="DO12" s="691">
        <f>'yrP&amp;L'!AA12+'yrP&amp;L'!AA30</f>
        <v>10044</v>
      </c>
      <c r="DP12" s="691">
        <f>'yrP&amp;L'!AB12+'yrP&amp;L'!AB30</f>
        <v>9868</v>
      </c>
      <c r="DQ12" s="691">
        <f>'yrP&amp;L'!AC12+'yrP&amp;L'!AC30</f>
        <v>9789</v>
      </c>
      <c r="DR12" s="691">
        <f>'yrP&amp;L'!AD12+'yrP&amp;L'!AD30</f>
        <v>9942.8848606534903</v>
      </c>
      <c r="DS12" s="691">
        <f>'yrP&amp;L'!AE12+'yrP&amp;L'!AE30</f>
        <v>9939.061537853433</v>
      </c>
      <c r="DT12" s="692">
        <f>'yrP&amp;L'!AF12+'yrP&amp;L'!AF30</f>
        <v>9923.1942008392871</v>
      </c>
      <c r="DU12" s="691">
        <f>'yrP&amp;L'!AG12+'yrP&amp;L'!AG30</f>
        <v>9914.633698329264</v>
      </c>
      <c r="DV12" s="1766">
        <f>'yrP&amp;L'!AH12+'yrP&amp;L'!AH30</f>
        <v>9901.9099434260806</v>
      </c>
      <c r="DW12" s="691"/>
    </row>
    <row r="13" spans="1:134" ht="5.45" customHeight="1">
      <c r="A13" s="641"/>
      <c r="B13" s="690"/>
      <c r="C13" s="690"/>
      <c r="D13" s="690"/>
      <c r="E13" s="690"/>
      <c r="F13" s="690"/>
      <c r="G13" s="690"/>
      <c r="H13" s="690"/>
      <c r="I13" s="690"/>
      <c r="J13" s="690"/>
      <c r="K13" s="690"/>
      <c r="L13" s="690"/>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1"/>
      <c r="BL13" s="691"/>
      <c r="BM13" s="691"/>
      <c r="BN13" s="691"/>
      <c r="BO13" s="691"/>
      <c r="BP13" s="691"/>
      <c r="BQ13" s="691"/>
      <c r="BR13" s="691"/>
      <c r="BS13" s="691"/>
      <c r="BT13" s="691"/>
      <c r="BU13" s="691"/>
      <c r="BV13" s="691"/>
      <c r="BW13" s="691"/>
      <c r="BX13" s="691"/>
      <c r="BY13" s="691"/>
      <c r="BZ13" s="691"/>
      <c r="CA13" s="691"/>
      <c r="CB13" s="691"/>
      <c r="CC13" s="691"/>
      <c r="CD13" s="691"/>
      <c r="CE13" s="691"/>
      <c r="CF13" s="691"/>
      <c r="CG13" s="691"/>
      <c r="CH13" s="691"/>
      <c r="CI13" s="691"/>
      <c r="CJ13" s="691"/>
      <c r="CK13" s="691"/>
      <c r="CL13" s="691"/>
      <c r="CM13" s="691"/>
      <c r="CN13" s="691"/>
      <c r="CO13" s="691"/>
      <c r="CP13" s="691"/>
      <c r="CQ13" s="691"/>
      <c r="CR13" s="691"/>
      <c r="CS13" s="691"/>
      <c r="CT13" s="1967"/>
      <c r="CU13" s="1967"/>
      <c r="CV13" s="1967"/>
      <c r="CW13" s="1766"/>
      <c r="CX13" s="691"/>
      <c r="CY13" s="691"/>
      <c r="CZ13" s="691"/>
      <c r="DA13" s="692"/>
      <c r="DB13" s="693"/>
      <c r="DC13" s="691"/>
      <c r="DD13" s="691"/>
      <c r="DE13" s="691"/>
      <c r="DF13" s="693"/>
      <c r="DG13" s="691"/>
      <c r="DH13" s="693"/>
      <c r="DI13" s="691"/>
      <c r="DJ13" s="691"/>
      <c r="DK13" s="691"/>
      <c r="DL13" s="691"/>
      <c r="DM13" s="691"/>
      <c r="DN13" s="691"/>
      <c r="DO13" s="691"/>
      <c r="DP13" s="691"/>
      <c r="DQ13" s="7"/>
      <c r="DR13" s="7"/>
      <c r="DS13" s="7"/>
      <c r="DT13" s="2120"/>
      <c r="DU13" s="7"/>
      <c r="DV13" s="1765"/>
      <c r="DW13" s="7"/>
    </row>
    <row r="14" spans="1:134" ht="12.75" customHeight="1">
      <c r="A14" s="689" t="s">
        <v>6</v>
      </c>
      <c r="B14" s="690"/>
      <c r="C14" s="690">
        <f>C10-C12</f>
        <v>943.57899999999995</v>
      </c>
      <c r="D14" s="690">
        <f>D10-D12</f>
        <v>1009.7939999999999</v>
      </c>
      <c r="E14" s="690">
        <f>E10-E12</f>
        <v>1304.288</v>
      </c>
      <c r="F14" s="690">
        <f>F10-F12</f>
        <v>1602.4759999999997</v>
      </c>
      <c r="G14" s="690"/>
      <c r="H14" s="690">
        <f>H10-H12</f>
        <v>1130.0849999999998</v>
      </c>
      <c r="I14" s="690">
        <f>I10-I12</f>
        <v>1110.6499999999999</v>
      </c>
      <c r="J14" s="690">
        <f>J10-J12</f>
        <v>1257.2070000000003</v>
      </c>
      <c r="K14" s="690">
        <f>K10-K12</f>
        <v>1576.0759999999996</v>
      </c>
      <c r="L14" s="690"/>
      <c r="M14" s="690">
        <f>M10-M12</f>
        <v>1125.174</v>
      </c>
      <c r="N14" s="690">
        <f>N10-N12</f>
        <v>1041.0819999999999</v>
      </c>
      <c r="O14" s="690">
        <f>O10-O12</f>
        <v>950.63900000000012</v>
      </c>
      <c r="P14" s="690">
        <f>P10-P12</f>
        <v>1026.5889999999999</v>
      </c>
      <c r="Q14" s="690"/>
      <c r="R14" s="690">
        <f>R10-R12</f>
        <v>879.0780000000002</v>
      </c>
      <c r="S14" s="690">
        <f>S10-S12</f>
        <v>1090.5350000000003</v>
      </c>
      <c r="T14" s="690">
        <f>T10-T12</f>
        <v>1315.6089999999999</v>
      </c>
      <c r="U14" s="690">
        <f>U10-U12</f>
        <v>1627.9290000000001</v>
      </c>
      <c r="V14" s="690"/>
      <c r="W14" s="690">
        <f>W10-W12</f>
        <v>1278.0010000000002</v>
      </c>
      <c r="X14" s="690">
        <f>X10-X12</f>
        <v>1326</v>
      </c>
      <c r="Y14" s="690">
        <f>Y10-Y12</f>
        <v>1527</v>
      </c>
      <c r="Z14" s="690">
        <f>Z10-Z12</f>
        <v>1838</v>
      </c>
      <c r="AA14" s="690"/>
      <c r="AB14" s="690">
        <f>AB10-AB12</f>
        <v>1580</v>
      </c>
      <c r="AC14" s="690">
        <f>AC10-AC12</f>
        <v>1432</v>
      </c>
      <c r="AD14" s="690">
        <f>AD10-AD12</f>
        <v>1566.15</v>
      </c>
      <c r="AE14" s="690">
        <f>AE10-AE12</f>
        <v>1802.8969999999999</v>
      </c>
      <c r="AF14" s="690"/>
      <c r="AG14" s="690">
        <f>AG10-AG12</f>
        <v>1481.0150000000003</v>
      </c>
      <c r="AH14" s="690">
        <f>AH10-AH12</f>
        <v>1384.6009999999997</v>
      </c>
      <c r="AI14" s="690">
        <f>AI10-AI12</f>
        <v>1363.0329999999999</v>
      </c>
      <c r="AJ14" s="690">
        <f>AJ10-AJ12</f>
        <v>1640.8969999999999</v>
      </c>
      <c r="AK14" s="690"/>
      <c r="AL14" s="690">
        <f>AL10-AL12</f>
        <v>1385</v>
      </c>
      <c r="AM14" s="690">
        <f>AM10-AM12</f>
        <v>1225</v>
      </c>
      <c r="AN14" s="690">
        <f>AN10-AN12</f>
        <v>1442</v>
      </c>
      <c r="AO14" s="690">
        <f>AO10-AO12</f>
        <v>1605</v>
      </c>
      <c r="AP14" s="690"/>
      <c r="AQ14" s="690">
        <f>AQ10-AQ12</f>
        <v>1355</v>
      </c>
      <c r="AR14" s="690">
        <f>AR10-AR12</f>
        <v>1264</v>
      </c>
      <c r="AS14" s="690">
        <f>AS10-AS12</f>
        <v>1447</v>
      </c>
      <c r="AT14" s="690">
        <f>AT10-AT12</f>
        <v>1626</v>
      </c>
      <c r="AU14" s="690"/>
      <c r="AV14" s="690">
        <f>AV10-AV12</f>
        <v>1342</v>
      </c>
      <c r="AW14" s="690">
        <f>AW10-AW12</f>
        <v>1338</v>
      </c>
      <c r="AX14" s="690">
        <f>AX10-AX12</f>
        <v>1378</v>
      </c>
      <c r="AY14" s="690">
        <f>AY10-AY12</f>
        <v>1389</v>
      </c>
      <c r="AZ14" s="690"/>
      <c r="BA14" s="690">
        <f>BA10-BA12</f>
        <v>1239</v>
      </c>
      <c r="BB14" s="690">
        <f>BB10-BB12</f>
        <v>1288</v>
      </c>
      <c r="BC14" s="690">
        <f>BC10-BC12</f>
        <v>1524</v>
      </c>
      <c r="BD14" s="690">
        <f>BD10-BD12</f>
        <v>1673</v>
      </c>
      <c r="BE14" s="690"/>
      <c r="BF14" s="690">
        <f>BF10-BF12</f>
        <v>1401</v>
      </c>
      <c r="BG14" s="690">
        <f>BG10-BG12</f>
        <v>1314</v>
      </c>
      <c r="BH14" s="690">
        <f>BH10-BH12</f>
        <v>1505</v>
      </c>
      <c r="BI14" s="690">
        <f>BI10-BI12</f>
        <v>1669</v>
      </c>
      <c r="BJ14" s="690"/>
      <c r="BK14" s="691">
        <f>BK10-BK12</f>
        <v>1304</v>
      </c>
      <c r="BL14" s="691">
        <f>BL10-BL12</f>
        <v>1251</v>
      </c>
      <c r="BM14" s="691">
        <f>BM10-BM12</f>
        <v>1314</v>
      </c>
      <c r="BN14" s="691">
        <f>BN10-BN12</f>
        <v>1405</v>
      </c>
      <c r="BO14" s="691"/>
      <c r="BP14" s="691">
        <f>BP10-BP12</f>
        <v>1375</v>
      </c>
      <c r="BQ14" s="691">
        <f>BQ10-BQ12</f>
        <v>1427</v>
      </c>
      <c r="BR14" s="691">
        <f>BR10-BR12</f>
        <v>1593</v>
      </c>
      <c r="BS14" s="691">
        <f>BS10-BS12</f>
        <v>1776</v>
      </c>
      <c r="BT14" s="691"/>
      <c r="BU14" s="691">
        <f>BU10-BU12</f>
        <v>1544</v>
      </c>
      <c r="BV14" s="691">
        <f>BV10-BV12</f>
        <v>1567</v>
      </c>
      <c r="BW14" s="691">
        <f>BW10-BW12</f>
        <v>1589</v>
      </c>
      <c r="BX14" s="691">
        <f>BX10-BX12</f>
        <v>1593</v>
      </c>
      <c r="BY14" s="691"/>
      <c r="BZ14" s="691">
        <f>BZ10-BZ12</f>
        <v>1466</v>
      </c>
      <c r="CA14" s="691">
        <f>CA10-CA12</f>
        <v>1569</v>
      </c>
      <c r="CB14" s="691">
        <f>CB10-CB12</f>
        <v>1596</v>
      </c>
      <c r="CC14" s="691">
        <f>CC10-CC12</f>
        <v>1658</v>
      </c>
      <c r="CD14" s="691"/>
      <c r="CE14" s="691">
        <f>CE10-CE12</f>
        <v>1391</v>
      </c>
      <c r="CF14" s="691">
        <f>CF10-CF12</f>
        <v>1470</v>
      </c>
      <c r="CG14" s="691">
        <f>CG10-CG12</f>
        <v>1446</v>
      </c>
      <c r="CH14" s="691">
        <f>CH10-CH12</f>
        <v>1446</v>
      </c>
      <c r="CI14" s="691"/>
      <c r="CJ14" s="691">
        <f>CJ10-CJ12</f>
        <v>1209</v>
      </c>
      <c r="CK14" s="691">
        <f>CK10-CK12</f>
        <v>1452</v>
      </c>
      <c r="CL14" s="691">
        <f>CL10-CL12</f>
        <v>1486</v>
      </c>
      <c r="CM14" s="691">
        <f>CM10-CM12</f>
        <v>1501</v>
      </c>
      <c r="CN14" s="691"/>
      <c r="CO14" s="691">
        <f>CO10-CO12</f>
        <v>1303</v>
      </c>
      <c r="CP14" s="691">
        <f>CP10-CP12</f>
        <v>1479</v>
      </c>
      <c r="CQ14" s="691">
        <f>CQ10-CQ12</f>
        <v>1525</v>
      </c>
      <c r="CR14" s="691">
        <f>CR10-CR12</f>
        <v>1759</v>
      </c>
      <c r="CS14" s="691"/>
      <c r="CT14" s="1967">
        <f>CT10-CT12</f>
        <v>1319.0576068754131</v>
      </c>
      <c r="CU14" s="1967">
        <f>CU10-CU12</f>
        <v>1503.2685549492303</v>
      </c>
      <c r="CV14" s="1967">
        <f>CV10-CV12</f>
        <v>1538.1278377168314</v>
      </c>
      <c r="CW14" s="1766">
        <f>CW10-CW12</f>
        <v>1704.0353797052053</v>
      </c>
      <c r="CX14" s="691"/>
      <c r="CY14" s="691">
        <f>CY10-CY12</f>
        <v>4860.1370000000006</v>
      </c>
      <c r="CZ14" s="691">
        <f t="shared" ref="CZ14:DG14" si="2">CZ10-CZ12</f>
        <v>5074.0179999999982</v>
      </c>
      <c r="DA14" s="692">
        <f t="shared" si="2"/>
        <v>4143.4839999999986</v>
      </c>
      <c r="DB14" s="693">
        <f t="shared" si="2"/>
        <v>4913.150999999998</v>
      </c>
      <c r="DC14" s="691">
        <f t="shared" si="2"/>
        <v>5969.0010000000002</v>
      </c>
      <c r="DD14" s="691">
        <f t="shared" si="2"/>
        <v>6381.0470000000023</v>
      </c>
      <c r="DE14" s="691">
        <f t="shared" si="2"/>
        <v>5869.5460000000003</v>
      </c>
      <c r="DF14" s="693">
        <f t="shared" si="2"/>
        <v>5657</v>
      </c>
      <c r="DG14" s="691">
        <f t="shared" si="2"/>
        <v>5692</v>
      </c>
      <c r="DH14" s="693">
        <f t="shared" ref="DH14:DQ14" si="3">DH10-DH12</f>
        <v>5447</v>
      </c>
      <c r="DI14" s="691">
        <f t="shared" si="3"/>
        <v>5724</v>
      </c>
      <c r="DJ14" s="691">
        <f t="shared" si="3"/>
        <v>5889</v>
      </c>
      <c r="DK14" s="691">
        <f t="shared" si="3"/>
        <v>5274</v>
      </c>
      <c r="DL14" s="691">
        <f t="shared" si="3"/>
        <v>6171</v>
      </c>
      <c r="DM14" s="691">
        <f t="shared" si="3"/>
        <v>6293</v>
      </c>
      <c r="DN14" s="691">
        <f t="shared" si="3"/>
        <v>6289</v>
      </c>
      <c r="DO14" s="691">
        <f t="shared" si="3"/>
        <v>5753</v>
      </c>
      <c r="DP14" s="691">
        <f t="shared" si="3"/>
        <v>5648</v>
      </c>
      <c r="DQ14" s="691">
        <f t="shared" si="3"/>
        <v>6066</v>
      </c>
      <c r="DR14" s="691">
        <f>DR10-DR12</f>
        <v>6064.4893792466792</v>
      </c>
      <c r="DS14" s="691">
        <f>DS10-DS12</f>
        <v>5990.3506273346611</v>
      </c>
      <c r="DT14" s="692">
        <f>DT10-DT12</f>
        <v>5929.9712722177046</v>
      </c>
      <c r="DU14" s="691">
        <f>DU10-DU12</f>
        <v>5874.4068975561331</v>
      </c>
      <c r="DV14" s="1766">
        <f>DV10-DV12</f>
        <v>5816.8040292100814</v>
      </c>
      <c r="DW14" s="691"/>
      <c r="ED14" s="449"/>
    </row>
    <row r="15" spans="1:134" ht="12.75" customHeight="1">
      <c r="A15" s="695" t="s">
        <v>7</v>
      </c>
      <c r="B15" s="696"/>
      <c r="C15" s="695">
        <f>'qtrP&amp;L'!$AP30</f>
        <v>615.149</v>
      </c>
      <c r="D15" s="695">
        <f>'qtrP&amp;L'!$AP31</f>
        <v>693.29700000000003</v>
      </c>
      <c r="E15" s="695">
        <f>'qtrP&amp;L'!$AP32</f>
        <v>797.64200000000005</v>
      </c>
      <c r="F15" s="695">
        <f>'qtrP&amp;L'!$AP33</f>
        <v>937.34400000000005</v>
      </c>
      <c r="G15" s="695"/>
      <c r="H15" s="695">
        <f>'qtrP&amp;L'!$AT30</f>
        <v>750.303</v>
      </c>
      <c r="I15" s="695">
        <f>'qtrP&amp;L'!$AT31</f>
        <v>809.29399999999998</v>
      </c>
      <c r="J15" s="695">
        <f>'qtrP&amp;L'!$AT32</f>
        <v>943.26199999999994</v>
      </c>
      <c r="K15" s="695">
        <f>'qtrP&amp;L'!$AT33</f>
        <v>1126.3979999999999</v>
      </c>
      <c r="L15" s="695"/>
      <c r="M15" s="695">
        <f>'qtrP&amp;L'!$AX30</f>
        <v>920.41200000000003</v>
      </c>
      <c r="N15" s="695">
        <f>'qtrP&amp;L'!$AX31</f>
        <v>872.77200000000005</v>
      </c>
      <c r="O15" s="695">
        <f>'qtrP&amp;L'!$AX32</f>
        <v>946.88199999999995</v>
      </c>
      <c r="P15" s="695">
        <f>'qtrP&amp;L'!$AX33</f>
        <v>1065.902</v>
      </c>
      <c r="Q15" s="695"/>
      <c r="R15" s="695">
        <f>'qtrP&amp;L'!$BB30</f>
        <v>766.41700000000003</v>
      </c>
      <c r="S15" s="695">
        <f>'qtrP&amp;L'!$BB31</f>
        <v>922.08</v>
      </c>
      <c r="T15" s="695">
        <f>'qtrP&amp;L'!$BB32</f>
        <v>1009.393</v>
      </c>
      <c r="U15" s="695">
        <f>'qtrP&amp;L'!$BB33</f>
        <v>1202.6320000000001</v>
      </c>
      <c r="V15" s="695"/>
      <c r="W15" s="695">
        <f>'qtrP&amp;L'!$BF30</f>
        <v>888.7</v>
      </c>
      <c r="X15" s="695">
        <f>'qtrP&amp;L'!$BF31</f>
        <v>929.95</v>
      </c>
      <c r="Y15" s="695">
        <f>'qtrP&amp;L'!$BF32</f>
        <v>1053.78</v>
      </c>
      <c r="Z15" s="695">
        <f>'qtrP&amp;L'!$BF33</f>
        <v>1217.0999999999999</v>
      </c>
      <c r="AA15" s="695"/>
      <c r="AB15" s="695">
        <f>'qtrP&amp;L'!$BJ30</f>
        <v>1028.5999999999999</v>
      </c>
      <c r="AC15" s="695">
        <f>'qtrP&amp;L'!$BJ31</f>
        <v>1081.5999999999999</v>
      </c>
      <c r="AD15" s="695">
        <f>'qtrP&amp;L'!$BJ32</f>
        <v>1109</v>
      </c>
      <c r="AE15" s="695">
        <f>'qtrP&amp;L'!$BJ33</f>
        <v>1188</v>
      </c>
      <c r="AF15" s="695"/>
      <c r="AG15" s="695">
        <f>'qtrP&amp;L'!$BN30</f>
        <v>1015.771</v>
      </c>
      <c r="AH15" s="695">
        <f>'qtrP&amp;L'!$BN31</f>
        <v>956.601</v>
      </c>
      <c r="AI15" s="695">
        <f>'qtrP&amp;L'!$BN32</f>
        <v>1023.079</v>
      </c>
      <c r="AJ15" s="695">
        <f>'qtrP&amp;L'!$BN33</f>
        <v>1129.826</v>
      </c>
      <c r="AK15" s="695"/>
      <c r="AL15" s="695">
        <f>'qtrP&amp;L'!$BR30</f>
        <v>1002</v>
      </c>
      <c r="AM15" s="695">
        <f>'qtrP&amp;L'!$BR31</f>
        <v>1031</v>
      </c>
      <c r="AN15" s="695">
        <f>'qtrP&amp;L'!$BR32</f>
        <v>1161</v>
      </c>
      <c r="AO15" s="695">
        <f>'qtrP&amp;L'!$BR33</f>
        <v>1238</v>
      </c>
      <c r="AP15" s="695"/>
      <c r="AQ15" s="695">
        <f>'qtrP&amp;L'!$BV30</f>
        <v>1051</v>
      </c>
      <c r="AR15" s="695">
        <f>'qtrP&amp;L'!$BV31</f>
        <v>1010</v>
      </c>
      <c r="AS15" s="695">
        <f>'qtrP&amp;L'!$BV32+'qtrP&amp;L'!BV71</f>
        <v>1079</v>
      </c>
      <c r="AT15" s="695">
        <f>'qtrP&amp;L'!$BV33</f>
        <v>1208</v>
      </c>
      <c r="AU15" s="695"/>
      <c r="AV15" s="695">
        <f>'qtrP&amp;L'!BZ30</f>
        <v>959</v>
      </c>
      <c r="AW15" s="695">
        <f>'qtrP&amp;L'!BZ31</f>
        <v>965</v>
      </c>
      <c r="AX15" s="695">
        <f>'qtrP&amp;L'!BZ32</f>
        <v>984</v>
      </c>
      <c r="AY15" s="695">
        <f>'qtrP&amp;L'!BZ33</f>
        <v>991</v>
      </c>
      <c r="AZ15" s="695"/>
      <c r="BA15" s="695">
        <f>'qtrP&amp;L'!$CD$30</f>
        <v>886</v>
      </c>
      <c r="BB15" s="695">
        <f>'qtrP&amp;L'!$CD$31</f>
        <v>913</v>
      </c>
      <c r="BC15" s="695">
        <f>'qtrP&amp;L'!$CD$32</f>
        <v>1024</v>
      </c>
      <c r="BD15" s="695">
        <f>'qtrP&amp;L'!$CD$33</f>
        <v>1086</v>
      </c>
      <c r="BE15" s="695"/>
      <c r="BF15" s="695">
        <f>'qtrP&amp;L'!$CH$30</f>
        <v>927</v>
      </c>
      <c r="BG15" s="695">
        <f>'qtrP&amp;L'!$CH$31</f>
        <v>917</v>
      </c>
      <c r="BH15" s="695">
        <f>'qtrP&amp;L'!$CH$32</f>
        <v>1001</v>
      </c>
      <c r="BI15" s="695">
        <f>'qtrP&amp;L'!$CH$33</f>
        <v>1076</v>
      </c>
      <c r="BJ15" s="695"/>
      <c r="BK15" s="691">
        <f>'qtrP&amp;L'!$CL$30</f>
        <v>918</v>
      </c>
      <c r="BL15" s="691">
        <f>'qtrP&amp;L'!$CL$31</f>
        <v>917</v>
      </c>
      <c r="BM15" s="691">
        <f>'qtrP&amp;L'!$CL$32</f>
        <v>968</v>
      </c>
      <c r="BN15" s="691">
        <f>'qtrP&amp;L'!$CL$33</f>
        <v>1033</v>
      </c>
      <c r="BO15" s="697"/>
      <c r="BP15" s="691">
        <f>'qtrP&amp;L'!$CP$30</f>
        <v>980</v>
      </c>
      <c r="BQ15" s="691">
        <f>'qtrP&amp;L'!$CP$31</f>
        <v>1002</v>
      </c>
      <c r="BR15" s="691">
        <f>'qtrP&amp;L'!$CP$32</f>
        <v>1073</v>
      </c>
      <c r="BS15" s="691">
        <f>'qtrP&amp;L'!$CP$33</f>
        <v>1174</v>
      </c>
      <c r="BT15" s="691"/>
      <c r="BU15" s="691">
        <f>'qtrP&amp;L'!CT30</f>
        <v>1014</v>
      </c>
      <c r="BV15" s="691">
        <f>'qtrP&amp;L'!CT31</f>
        <v>1046</v>
      </c>
      <c r="BW15" s="691">
        <f>'qtrP&amp;L'!CT32</f>
        <v>1013</v>
      </c>
      <c r="BX15" s="691">
        <f>'qtrP&amp;L'!CT33</f>
        <v>1071</v>
      </c>
      <c r="BY15" s="691"/>
      <c r="BZ15" s="691">
        <f>'qtrP&amp;L'!CX30</f>
        <v>1023</v>
      </c>
      <c r="CA15" s="691">
        <f>'qtrP&amp;L'!CX31</f>
        <v>1041</v>
      </c>
      <c r="CB15" s="691">
        <f>'qtrP&amp;L'!CX32</f>
        <v>1042</v>
      </c>
      <c r="CC15" s="691">
        <f>'qtrP&amp;L'!CX33</f>
        <v>1139</v>
      </c>
      <c r="CD15" s="691"/>
      <c r="CE15" s="691">
        <f>'qtrP&amp;L'!DB30</f>
        <v>994</v>
      </c>
      <c r="CF15" s="691">
        <f>'qtrP&amp;L'!DB31</f>
        <v>1018</v>
      </c>
      <c r="CG15" s="691">
        <f>'qtrP&amp;L'!DB32</f>
        <v>1019</v>
      </c>
      <c r="CH15" s="691">
        <f>'qtrP&amp;L'!DB33</f>
        <v>1066</v>
      </c>
      <c r="CI15" s="691"/>
      <c r="CJ15" s="691">
        <f t="array" ref="CJ15:CM15">TRANSPOSE('qtrP&amp;L'!DF30:DF33)</f>
        <v>987</v>
      </c>
      <c r="CK15" s="691">
        <v>1023</v>
      </c>
      <c r="CL15" s="691">
        <v>1068</v>
      </c>
      <c r="CM15" s="691">
        <v>1176</v>
      </c>
      <c r="CN15" s="691"/>
      <c r="CO15" s="691">
        <f t="array" ref="CO15:CR15">TRANSPOSE('qtrP&amp;L'!DJ30:DJ33)</f>
        <v>1049</v>
      </c>
      <c r="CP15" s="691">
        <v>1092</v>
      </c>
      <c r="CQ15" s="691">
        <v>1147</v>
      </c>
      <c r="CR15" s="691">
        <v>1363</v>
      </c>
      <c r="CS15" s="691"/>
      <c r="CT15" s="1967">
        <f t="array" ref="CT15:CW15">TRANSPOSE('qtrP&amp;L'!DN30:DN33)</f>
        <v>1055.2460855003303</v>
      </c>
      <c r="CU15" s="1967">
        <v>1132.3321582734459</v>
      </c>
      <c r="CV15" s="1967">
        <v>1171.1633282107857</v>
      </c>
      <c r="CW15" s="1766">
        <v>1324.8406935620139</v>
      </c>
      <c r="CX15" s="691"/>
      <c r="CY15" s="697">
        <f>'yrP&amp;L'!K21</f>
        <v>3043.4319999999998</v>
      </c>
      <c r="CZ15" s="697">
        <f>'yrP&amp;L'!L21</f>
        <v>3629.2569999999996</v>
      </c>
      <c r="DA15" s="698">
        <f>'yrP&amp;L'!M21</f>
        <v>3805.9680000000003</v>
      </c>
      <c r="DB15" s="699">
        <f>'yrP&amp;L'!N21</f>
        <v>3900.5220000000004</v>
      </c>
      <c r="DC15" s="697">
        <f>'yrP&amp;L'!O21</f>
        <v>4089</v>
      </c>
      <c r="DD15" s="697">
        <f>'yrP&amp;L'!P21</f>
        <v>4401</v>
      </c>
      <c r="DE15" s="697">
        <f>'yrP&amp;L'!Q21</f>
        <v>4125.277</v>
      </c>
      <c r="DF15" s="699">
        <f>'yrP&amp;L'!R21</f>
        <v>4432</v>
      </c>
      <c r="DG15" s="697">
        <f>'yrP&amp;L'!S21</f>
        <v>4348</v>
      </c>
      <c r="DH15" s="699">
        <f>'yrP&amp;L'!T21</f>
        <v>3899</v>
      </c>
      <c r="DI15" s="697">
        <f>'yrP&amp;L'!U21</f>
        <v>3909</v>
      </c>
      <c r="DJ15" s="697">
        <f>'yrP&amp;L'!V21</f>
        <v>3921</v>
      </c>
      <c r="DK15" s="697">
        <f>'yrP&amp;L'!W21</f>
        <v>3836</v>
      </c>
      <c r="DL15" s="697">
        <f>'yrP&amp;L'!X21</f>
        <v>4229</v>
      </c>
      <c r="DM15" s="697">
        <f>'yrP&amp;L'!Y21</f>
        <v>4144</v>
      </c>
      <c r="DN15" s="697">
        <f>'yrP&amp;L'!Z21</f>
        <v>4245</v>
      </c>
      <c r="DO15" s="697">
        <f>'yrP&amp;L'!AA21</f>
        <v>4097</v>
      </c>
      <c r="DP15" s="697">
        <f>'yrP&amp;L'!AB21</f>
        <v>4254</v>
      </c>
      <c r="DQ15" s="697">
        <f>'yrP&amp;L'!AC21</f>
        <v>4651</v>
      </c>
      <c r="DR15" s="697">
        <f>'yrP&amp;L'!AD21</f>
        <v>4683.5822655465763</v>
      </c>
      <c r="DS15" s="697">
        <f>'yrP&amp;L'!AE21</f>
        <v>4683.247176565299</v>
      </c>
      <c r="DT15" s="698">
        <f>'yrP&amp;L'!AF21</f>
        <v>4681.4397641937294</v>
      </c>
      <c r="DU15" s="697">
        <f>'yrP&amp;L'!AG21</f>
        <v>4683.0294407396086</v>
      </c>
      <c r="DV15" s="1767">
        <f>'yrP&amp;L'!AH21</f>
        <v>4681.0330210510492</v>
      </c>
      <c r="DW15" s="697"/>
      <c r="ED15" s="649"/>
    </row>
    <row r="16" spans="1:134" ht="12.75" hidden="1" customHeight="1" outlineLevel="1">
      <c r="A16" s="695" t="s">
        <v>377</v>
      </c>
      <c r="B16" s="696"/>
      <c r="C16" s="695"/>
      <c r="D16" s="695"/>
      <c r="E16" s="695"/>
      <c r="F16" s="695"/>
      <c r="G16" s="695"/>
      <c r="H16" s="695"/>
      <c r="I16" s="695"/>
      <c r="J16" s="695"/>
      <c r="K16" s="695"/>
      <c r="L16" s="695"/>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700">
        <f>+'qtrP&amp;L'!$BR40</f>
        <v>13</v>
      </c>
      <c r="AM16" s="700">
        <f>+'qtrP&amp;L'!$BR40</f>
        <v>13</v>
      </c>
      <c r="AN16" s="700">
        <f>+'qtrP&amp;L'!$BR40</f>
        <v>13</v>
      </c>
      <c r="AO16" s="700">
        <f>+'qtrP&amp;L'!$BR40</f>
        <v>13</v>
      </c>
      <c r="AP16" s="700"/>
      <c r="AQ16" s="700">
        <f>+'qtrP&amp;L'!$BV40</f>
        <v>13</v>
      </c>
      <c r="AR16" s="700">
        <f>+'qtrP&amp;L'!$BV40</f>
        <v>13</v>
      </c>
      <c r="AS16" s="700">
        <f>+'qtrP&amp;L'!$BV40</f>
        <v>13</v>
      </c>
      <c r="AT16" s="700">
        <f>+'qtrP&amp;L'!$BV40</f>
        <v>13</v>
      </c>
      <c r="AU16" s="700"/>
      <c r="AV16" s="700">
        <f>'qtrP&amp;L'!BZ40</f>
        <v>13</v>
      </c>
      <c r="AW16" s="700">
        <f>'qtrP&amp;L'!BZ40</f>
        <v>13</v>
      </c>
      <c r="AX16" s="700">
        <f>'qtrP&amp;L'!BZ40</f>
        <v>13</v>
      </c>
      <c r="AY16" s="700">
        <f>'qtrP&amp;L'!BZ40</f>
        <v>13</v>
      </c>
      <c r="AZ16" s="700"/>
      <c r="BA16" s="700">
        <f>'qtrP&amp;L'!CD40</f>
        <v>13</v>
      </c>
      <c r="BB16" s="700">
        <f>'qtrP&amp;L'!CD40</f>
        <v>13</v>
      </c>
      <c r="BC16" s="700">
        <f>'qtrP&amp;L'!CD40</f>
        <v>13</v>
      </c>
      <c r="BD16" s="700">
        <f>'qtrP&amp;L'!CD40</f>
        <v>13</v>
      </c>
      <c r="BE16" s="700"/>
      <c r="BF16" s="700">
        <f>'qtrP&amp;L'!CI40</f>
        <v>0.39050765995794534</v>
      </c>
      <c r="BG16" s="700">
        <f>'qtrP&amp;L'!CI40</f>
        <v>0.39050765995794534</v>
      </c>
      <c r="BH16" s="700">
        <f>'qtrP&amp;L'!CI40</f>
        <v>0.39050765995794534</v>
      </c>
      <c r="BI16" s="700">
        <f>'qtrP&amp;L'!CI40</f>
        <v>0.39050765995794534</v>
      </c>
      <c r="BJ16" s="700"/>
      <c r="BK16" s="701"/>
      <c r="BL16" s="701"/>
      <c r="BM16" s="701"/>
      <c r="BN16" s="701"/>
      <c r="BO16" s="701"/>
      <c r="BP16" s="701"/>
      <c r="BQ16" s="701"/>
      <c r="BR16" s="701"/>
      <c r="BS16" s="701"/>
      <c r="BT16" s="701"/>
      <c r="BU16" s="701"/>
      <c r="BV16" s="701"/>
      <c r="BW16" s="701"/>
      <c r="BX16" s="701"/>
      <c r="BY16" s="701"/>
      <c r="BZ16" s="701"/>
      <c r="CA16" s="701"/>
      <c r="CB16" s="701"/>
      <c r="CC16" s="701"/>
      <c r="CD16" s="701"/>
      <c r="CE16" s="701"/>
      <c r="CF16" s="701"/>
      <c r="CG16" s="701"/>
      <c r="CH16" s="701"/>
      <c r="CI16" s="701"/>
      <c r="CJ16" s="701"/>
      <c r="CK16" s="701"/>
      <c r="CL16" s="701"/>
      <c r="CM16" s="701"/>
      <c r="CN16" s="701"/>
      <c r="CO16" s="701"/>
      <c r="CP16" s="701"/>
      <c r="CQ16" s="701"/>
      <c r="CR16" s="701"/>
      <c r="CS16" s="701"/>
      <c r="CT16" s="1968"/>
      <c r="CU16" s="1968"/>
      <c r="CV16" s="1968"/>
      <c r="CW16" s="1969"/>
      <c r="CX16" s="701"/>
      <c r="CY16" s="697"/>
      <c r="CZ16" s="697"/>
      <c r="DA16" s="698"/>
      <c r="DB16" s="699"/>
      <c r="DC16" s="697"/>
      <c r="DD16" s="697"/>
      <c r="DE16" s="697"/>
      <c r="DF16" s="702">
        <f>+'yrP&amp;L'!R27</f>
        <v>46.900000000000006</v>
      </c>
      <c r="DG16" s="703">
        <f>+'yrP&amp;L'!S27</f>
        <v>46.900000000000006</v>
      </c>
      <c r="DH16" s="704">
        <f>+'yrP&amp;L'!T27</f>
        <v>47.838000000000008</v>
      </c>
      <c r="DI16" s="703">
        <f>+'yrP&amp;L'!U27</f>
        <v>48.794760000000011</v>
      </c>
      <c r="DJ16" s="703">
        <f>+'yrP&amp;L'!V27</f>
        <v>49.770655200000014</v>
      </c>
      <c r="DK16" s="703">
        <f>+'yrP&amp;L'!W27</f>
        <v>50.766068304000015</v>
      </c>
      <c r="DL16" s="703">
        <f>+'yrP&amp;L'!X27</f>
        <v>51.781389670080017</v>
      </c>
      <c r="DM16" s="703">
        <f>+'yrP&amp;L'!Y27</f>
        <v>52.817017463481619</v>
      </c>
      <c r="DN16" s="703">
        <f>+'yrP&amp;L'!Z27</f>
        <v>53.873357812751252</v>
      </c>
      <c r="DO16" s="703">
        <f>+'yrP&amp;L'!AA27</f>
        <v>54.950824969006277</v>
      </c>
      <c r="DP16" s="703">
        <f>+'yrP&amp;L'!AB27</f>
        <v>0</v>
      </c>
      <c r="DQ16" s="703">
        <f>+'yrP&amp;L'!AC27</f>
        <v>0</v>
      </c>
      <c r="DR16" s="703">
        <f>+'yrP&amp;L'!AD27</f>
        <v>0</v>
      </c>
      <c r="DS16" s="703">
        <f>+'yrP&amp;L'!AE27</f>
        <v>0</v>
      </c>
      <c r="DT16" s="705">
        <f>+'yrP&amp;L'!AF27</f>
        <v>0</v>
      </c>
      <c r="DU16" s="703">
        <f>+'yrP&amp;L'!AG27</f>
        <v>0</v>
      </c>
      <c r="DV16" s="1768">
        <f>+'yrP&amp;L'!AH27</f>
        <v>0</v>
      </c>
      <c r="DW16" s="703"/>
    </row>
    <row r="17" spans="1:134" s="707" customFormat="1" ht="12.75" customHeight="1" collapsed="1">
      <c r="A17" s="706" t="s">
        <v>263</v>
      </c>
      <c r="B17" s="706"/>
      <c r="C17" s="706"/>
      <c r="D17" s="706"/>
      <c r="E17" s="706"/>
      <c r="F17" s="706"/>
      <c r="G17" s="706"/>
      <c r="H17" s="706"/>
      <c r="I17" s="706"/>
      <c r="J17" s="706"/>
      <c r="K17" s="706"/>
      <c r="L17" s="706"/>
      <c r="M17" s="706">
        <f>'qtrP&amp;L'!$AX50</f>
        <v>196.148</v>
      </c>
      <c r="N17" s="706">
        <f>'qtrP&amp;L'!$AX51</f>
        <v>186.23499999999999</v>
      </c>
      <c r="O17" s="706">
        <f>'qtrP&amp;L'!$AX52</f>
        <v>207.24299999999999</v>
      </c>
      <c r="P17" s="706">
        <f>'qtrP&amp;L'!$AX53</f>
        <v>220.86</v>
      </c>
      <c r="Q17" s="706"/>
      <c r="R17" s="706">
        <f>'qtrP&amp;L'!$BB50</f>
        <v>187.88399999999999</v>
      </c>
      <c r="S17" s="706">
        <f>'qtrP&amp;L'!$BB51</f>
        <v>162.965</v>
      </c>
      <c r="T17" s="706">
        <f>'qtrP&amp;L'!$BB52</f>
        <v>230.74200000000002</v>
      </c>
      <c r="U17" s="706">
        <f>'qtrP&amp;L'!$BB53</f>
        <v>111.32299999999998</v>
      </c>
      <c r="V17" s="706"/>
      <c r="W17" s="706">
        <f>'qtrP&amp;L'!$BF$50</f>
        <v>173.65199999999999</v>
      </c>
      <c r="X17" s="706">
        <f>'qtrP&amp;L'!$BF$51</f>
        <v>175.18100000000001</v>
      </c>
      <c r="Y17" s="706">
        <f>'qtrP&amp;L'!$BF$52</f>
        <v>159.84399999999999</v>
      </c>
      <c r="Z17" s="706">
        <f>'qtrP&amp;L'!$BF$53</f>
        <v>166.488</v>
      </c>
      <c r="AA17" s="706"/>
      <c r="AB17" s="706">
        <f>'qtrP&amp;L'!$BJ$50</f>
        <v>155.292</v>
      </c>
      <c r="AC17" s="706">
        <f>'qtrP&amp;L'!$BJ$51</f>
        <v>149.059</v>
      </c>
      <c r="AD17" s="706">
        <f>'qtrP&amp;L'!$BJ$52</f>
        <v>153.06899999999999</v>
      </c>
      <c r="AE17" s="706">
        <f>'qtrP&amp;L'!$BJ$53</f>
        <v>157.08099999999999</v>
      </c>
      <c r="AF17" s="706"/>
      <c r="AG17" s="706">
        <f>'qtrP&amp;L'!$BN$50</f>
        <v>145.56</v>
      </c>
      <c r="AH17" s="706">
        <f>'qtrP&amp;L'!$BN$51</f>
        <v>127.27500000000001</v>
      </c>
      <c r="AI17" s="706">
        <f>'qtrP&amp;L'!$BN$52</f>
        <v>150.97999999999999</v>
      </c>
      <c r="AJ17" s="706">
        <f>'qtrP&amp;L'!$BN$53</f>
        <v>201.447</v>
      </c>
      <c r="AK17" s="706"/>
      <c r="AL17" s="706">
        <f>'qtrP&amp;L'!$BR$50</f>
        <v>135.33600000000001</v>
      </c>
      <c r="AM17" s="706">
        <f>'qtrP&amp;L'!$BR$51</f>
        <v>139.517</v>
      </c>
      <c r="AN17" s="706">
        <f>'qtrP&amp;L'!$BR$52</f>
        <v>128.83500000000001</v>
      </c>
      <c r="AO17" s="706">
        <f>'qtrP&amp;L'!$BR$53</f>
        <v>126.31200000000001</v>
      </c>
      <c r="AP17" s="706"/>
      <c r="AQ17" s="706">
        <f>'qtrP&amp;L'!$BV$50</f>
        <v>134</v>
      </c>
      <c r="AR17" s="706">
        <f>'qtrP&amp;L'!$BV$51</f>
        <v>133</v>
      </c>
      <c r="AS17" s="706">
        <f>'qtrP&amp;L'!$BV$52</f>
        <v>140</v>
      </c>
      <c r="AT17" s="706">
        <f>'qtrP&amp;L'!$BV$53</f>
        <v>140</v>
      </c>
      <c r="AU17" s="706"/>
      <c r="AV17" s="706">
        <f>'qtrP&amp;L'!BZ50</f>
        <v>139</v>
      </c>
      <c r="AW17" s="706">
        <f>'qtrP&amp;L'!BZ51</f>
        <v>142</v>
      </c>
      <c r="AX17" s="706">
        <f>'qtrP&amp;L'!BZ52</f>
        <v>141</v>
      </c>
      <c r="AY17" s="706">
        <f>'qtrP&amp;L'!BZ53</f>
        <v>146</v>
      </c>
      <c r="AZ17" s="706"/>
      <c r="BA17" s="706">
        <f>'qtrP&amp;L'!CD50</f>
        <v>143</v>
      </c>
      <c r="BB17" s="706">
        <f>'qtrP&amp;L'!CD51</f>
        <v>141</v>
      </c>
      <c r="BC17" s="706">
        <f>'qtrP&amp;L'!CD52</f>
        <v>147</v>
      </c>
      <c r="BD17" s="706">
        <f>'qtrP&amp;L'!CD53</f>
        <v>142</v>
      </c>
      <c r="BE17" s="706"/>
      <c r="BF17" s="706">
        <f>'qtrP&amp;L'!CH50</f>
        <v>147</v>
      </c>
      <c r="BG17" s="706">
        <f>'qtrP&amp;L'!CH51</f>
        <v>142</v>
      </c>
      <c r="BH17" s="706">
        <f>'qtrP&amp;L'!CH52</f>
        <v>140</v>
      </c>
      <c r="BI17" s="706">
        <f>'qtrP&amp;L'!CH53</f>
        <v>133</v>
      </c>
      <c r="BJ17" s="706"/>
      <c r="BK17" s="703">
        <f>+'qtrP&amp;L'!$CL$50</f>
        <v>129</v>
      </c>
      <c r="BL17" s="703">
        <f>+'qtrP&amp;L'!$CL$51</f>
        <v>126</v>
      </c>
      <c r="BM17" s="703">
        <f>+'qtrP&amp;L'!$CL$52</f>
        <v>127</v>
      </c>
      <c r="BN17" s="703">
        <f>+'qtrP&amp;L'!$CL$53</f>
        <v>124</v>
      </c>
      <c r="BO17" s="703"/>
      <c r="BP17" s="703">
        <f>+'qtrP&amp;L'!$CP$50</f>
        <v>123</v>
      </c>
      <c r="BQ17" s="703">
        <f>+'qtrP&amp;L'!$CP$51</f>
        <v>120</v>
      </c>
      <c r="BR17" s="703">
        <f>+'qtrP&amp;L'!$CP$52</f>
        <v>120</v>
      </c>
      <c r="BS17" s="703">
        <f>+'qtrP&amp;L'!$CP$53</f>
        <v>120</v>
      </c>
      <c r="BT17" s="703"/>
      <c r="BU17" s="703">
        <f>'qtrP&amp;L'!CT50</f>
        <v>134</v>
      </c>
      <c r="BV17" s="703">
        <f>'qtrP&amp;L'!CT51</f>
        <v>133</v>
      </c>
      <c r="BW17" s="703">
        <f>'qtrP&amp;L'!CT52</f>
        <v>131</v>
      </c>
      <c r="BX17" s="703">
        <f>'qtrP&amp;L'!CT53</f>
        <v>72</v>
      </c>
      <c r="BY17" s="703"/>
      <c r="BZ17" s="703">
        <f>'qtrP&amp;L'!CX50</f>
        <v>130</v>
      </c>
      <c r="CA17" s="703">
        <f>'qtrP&amp;L'!CX51</f>
        <v>110</v>
      </c>
      <c r="CB17" s="703">
        <f>'qtrP&amp;L'!CX52</f>
        <v>172</v>
      </c>
      <c r="CC17" s="703">
        <f>'qtrP&amp;L'!CX53</f>
        <v>88</v>
      </c>
      <c r="CD17" s="703"/>
      <c r="CE17" s="703">
        <f>'qtrP&amp;L'!DB50</f>
        <v>133</v>
      </c>
      <c r="CF17" s="703">
        <f>'qtrP&amp;L'!DB51</f>
        <v>130</v>
      </c>
      <c r="CG17" s="703">
        <f>'qtrP&amp;L'!DB52</f>
        <v>127</v>
      </c>
      <c r="CH17" s="703">
        <f>'qtrP&amp;L'!DB53</f>
        <v>137</v>
      </c>
      <c r="CI17" s="703"/>
      <c r="CJ17" s="703">
        <f t="array" ref="CJ17:CM17">TRANSPOSE('qtrP&amp;L'!DF50:DF53)</f>
        <v>132</v>
      </c>
      <c r="CK17" s="703">
        <v>140</v>
      </c>
      <c r="CL17" s="703">
        <v>130</v>
      </c>
      <c r="CM17" s="703">
        <v>129</v>
      </c>
      <c r="CN17" s="703"/>
      <c r="CO17" s="703">
        <f t="array" ref="CO17:CR17">TRANSPOSE('qtrP&amp;L'!DJ50:DJ53)</f>
        <v>130</v>
      </c>
      <c r="CP17" s="703">
        <v>135</v>
      </c>
      <c r="CQ17" s="703">
        <v>135</v>
      </c>
      <c r="CR17" s="703">
        <v>135</v>
      </c>
      <c r="CS17" s="703"/>
      <c r="CT17" s="118">
        <f t="array" ref="CT17:CW17">TRANSPOSE('qtrP&amp;L'!DN50:DN53)</f>
        <v>130</v>
      </c>
      <c r="CU17" s="118">
        <v>135</v>
      </c>
      <c r="CV17" s="118">
        <v>135</v>
      </c>
      <c r="CW17" s="1768">
        <v>135</v>
      </c>
      <c r="CX17" s="703"/>
      <c r="CY17" s="703">
        <f>'qtrP&amp;L'!$AT54</f>
        <v>590.36500000000001</v>
      </c>
      <c r="CZ17" s="703">
        <f>'qtrP&amp;L'!$AT54</f>
        <v>590.36500000000001</v>
      </c>
      <c r="DA17" s="705">
        <f>'qtrP&amp;L'!$AX54</f>
        <v>810.48599999999999</v>
      </c>
      <c r="DB17" s="704">
        <f>'qtrP&amp;L'!$BB54</f>
        <v>692.91399999999999</v>
      </c>
      <c r="DC17" s="703">
        <f>'yrP&amp;L'!O30</f>
        <v>675.16499999999996</v>
      </c>
      <c r="DD17" s="703">
        <f>'yrP&amp;L'!P30</f>
        <v>614.50099999999998</v>
      </c>
      <c r="DE17" s="703">
        <f>'yrP&amp;L'!Q30</f>
        <v>625.26099999999997</v>
      </c>
      <c r="DF17" s="704">
        <f>'yrP&amp;L'!R30</f>
        <v>530</v>
      </c>
      <c r="DG17" s="703">
        <f>'yrP&amp;L'!S30</f>
        <v>547</v>
      </c>
      <c r="DH17" s="704">
        <f>'yrP&amp;L'!T30</f>
        <v>568</v>
      </c>
      <c r="DI17" s="703">
        <f>'yrP&amp;L'!U30</f>
        <v>573</v>
      </c>
      <c r="DJ17" s="703">
        <f>'yrP&amp;L'!V30</f>
        <v>562</v>
      </c>
      <c r="DK17" s="703">
        <f>'yrP&amp;L'!W30</f>
        <v>506</v>
      </c>
      <c r="DL17" s="703">
        <f>'yrP&amp;L'!X30</f>
        <v>483</v>
      </c>
      <c r="DM17" s="703">
        <f>'yrP&amp;L'!Y30</f>
        <v>470</v>
      </c>
      <c r="DN17" s="703">
        <f>'yrP&amp;L'!Z30</f>
        <v>500</v>
      </c>
      <c r="DO17" s="703">
        <f>'yrP&amp;L'!AA30</f>
        <v>527</v>
      </c>
      <c r="DP17" s="703">
        <f>'yrP&amp;L'!AB30</f>
        <v>531</v>
      </c>
      <c r="DQ17" s="703">
        <f>'yrP&amp;L'!AC30</f>
        <v>535</v>
      </c>
      <c r="DR17" s="703">
        <f>'yrP&amp;L'!AD30</f>
        <v>550</v>
      </c>
      <c r="DS17" s="703">
        <f>'yrP&amp;L'!AE30</f>
        <v>565</v>
      </c>
      <c r="DT17" s="705">
        <f>'yrP&amp;L'!AF30</f>
        <v>580</v>
      </c>
      <c r="DU17" s="703">
        <f>'yrP&amp;L'!AG30</f>
        <v>595</v>
      </c>
      <c r="DV17" s="1768">
        <f>'yrP&amp;L'!AH30</f>
        <v>610</v>
      </c>
      <c r="DW17" s="703"/>
      <c r="DX17"/>
      <c r="DY17"/>
      <c r="DZ17"/>
      <c r="EA17"/>
      <c r="EB17"/>
      <c r="EC17"/>
    </row>
    <row r="18" spans="1:134" s="707" customFormat="1" ht="7.5" customHeight="1">
      <c r="A18" s="706"/>
      <c r="B18" s="706"/>
      <c r="C18" s="706"/>
      <c r="D18" s="706"/>
      <c r="E18" s="706"/>
      <c r="F18" s="706"/>
      <c r="G18" s="706"/>
      <c r="H18" s="706"/>
      <c r="I18" s="706"/>
      <c r="J18" s="706"/>
      <c r="K18" s="706"/>
      <c r="L18" s="706"/>
      <c r="M18" s="706"/>
      <c r="N18" s="706"/>
      <c r="O18" s="706"/>
      <c r="P18" s="706"/>
      <c r="Q18" s="706"/>
      <c r="R18" s="706"/>
      <c r="S18" s="706"/>
      <c r="T18" s="706"/>
      <c r="U18" s="706"/>
      <c r="V18" s="706"/>
      <c r="W18" s="706"/>
      <c r="X18" s="706"/>
      <c r="Y18" s="706"/>
      <c r="Z18" s="706"/>
      <c r="AA18" s="706"/>
      <c r="AB18" s="706"/>
      <c r="AC18" s="706"/>
      <c r="AD18" s="706"/>
      <c r="AE18" s="706"/>
      <c r="AF18" s="706"/>
      <c r="AG18" s="706"/>
      <c r="AH18" s="706"/>
      <c r="AI18" s="706"/>
      <c r="AJ18" s="706"/>
      <c r="AK18" s="706"/>
      <c r="AL18" s="706"/>
      <c r="AM18" s="706"/>
      <c r="AN18" s="706"/>
      <c r="AO18" s="706"/>
      <c r="AP18" s="706"/>
      <c r="AQ18" s="706"/>
      <c r="AR18" s="706"/>
      <c r="AS18" s="706"/>
      <c r="AT18" s="706"/>
      <c r="AU18" s="706"/>
      <c r="AV18" s="706"/>
      <c r="AW18" s="706"/>
      <c r="AX18" s="706"/>
      <c r="AY18" s="706"/>
      <c r="AZ18" s="706"/>
      <c r="BA18" s="706"/>
      <c r="BB18" s="706"/>
      <c r="BC18" s="706"/>
      <c r="BD18" s="706"/>
      <c r="BE18" s="706"/>
      <c r="BF18" s="706"/>
      <c r="BG18" s="706"/>
      <c r="BH18" s="706"/>
      <c r="BI18" s="706"/>
      <c r="BJ18" s="706"/>
      <c r="BK18" s="703"/>
      <c r="BL18" s="703"/>
      <c r="BM18" s="703"/>
      <c r="BN18" s="703"/>
      <c r="BO18" s="703"/>
      <c r="BP18" s="703"/>
      <c r="BQ18" s="703"/>
      <c r="BR18" s="703"/>
      <c r="BS18" s="703"/>
      <c r="BT18" s="703"/>
      <c r="BU18" s="703"/>
      <c r="BV18" s="703"/>
      <c r="BW18" s="703"/>
      <c r="BX18" s="703"/>
      <c r="BY18" s="703"/>
      <c r="BZ18" s="703"/>
      <c r="CA18" s="703"/>
      <c r="CB18" s="703"/>
      <c r="CC18" s="703"/>
      <c r="CD18" s="703"/>
      <c r="CE18" s="703"/>
      <c r="CF18" s="703"/>
      <c r="CG18" s="703"/>
      <c r="CH18" s="703"/>
      <c r="CI18" s="703"/>
      <c r="CJ18" s="703"/>
      <c r="CK18" s="703"/>
      <c r="CL18" s="703"/>
      <c r="CM18" s="703"/>
      <c r="CN18" s="703"/>
      <c r="CO18" s="703"/>
      <c r="CP18" s="703"/>
      <c r="CQ18" s="703"/>
      <c r="CR18" s="703"/>
      <c r="CS18" s="703"/>
      <c r="CT18" s="118"/>
      <c r="CU18" s="118"/>
      <c r="CV18" s="118"/>
      <c r="CW18" s="1768"/>
      <c r="CX18" s="703"/>
      <c r="CY18" s="703"/>
      <c r="CZ18" s="703"/>
      <c r="DA18" s="705"/>
      <c r="DB18" s="704"/>
      <c r="DC18" s="703"/>
      <c r="DD18" s="703"/>
      <c r="DE18" s="703"/>
      <c r="DF18" s="704"/>
      <c r="DG18" s="703"/>
      <c r="DH18" s="704"/>
      <c r="DI18" s="703"/>
      <c r="DJ18" s="703"/>
      <c r="DK18" s="703"/>
      <c r="DL18" s="703"/>
      <c r="DM18" s="703"/>
      <c r="DN18" s="703"/>
      <c r="DO18" s="703"/>
      <c r="DP18" s="703"/>
      <c r="DQ18" s="703"/>
      <c r="DR18" s="703"/>
      <c r="DS18" s="703"/>
      <c r="DT18" s="705"/>
      <c r="DU18" s="703"/>
      <c r="DV18" s="1768"/>
      <c r="DW18" s="703"/>
      <c r="DX18"/>
      <c r="DY18"/>
      <c r="DZ18"/>
      <c r="EA18"/>
      <c r="EB18"/>
      <c r="EC18"/>
    </row>
    <row r="19" spans="1:134" ht="12.75" customHeight="1">
      <c r="A19" s="689" t="s">
        <v>8</v>
      </c>
      <c r="B19" s="690"/>
      <c r="C19" s="690">
        <f>C14-C15</f>
        <v>328.42999999999995</v>
      </c>
      <c r="D19" s="690">
        <f>D14-D15</f>
        <v>316.49699999999984</v>
      </c>
      <c r="E19" s="690">
        <f>E14-E15</f>
        <v>506.64599999999996</v>
      </c>
      <c r="F19" s="690">
        <f>F14-F15</f>
        <v>665.13199999999961</v>
      </c>
      <c r="G19" s="690"/>
      <c r="H19" s="690">
        <f>H14-H15</f>
        <v>379.78199999999981</v>
      </c>
      <c r="I19" s="690">
        <f>I14-I15</f>
        <v>301.35599999999988</v>
      </c>
      <c r="J19" s="690">
        <f>J14-J15</f>
        <v>313.94500000000039</v>
      </c>
      <c r="K19" s="690">
        <f>K14-K15</f>
        <v>449.67799999999966</v>
      </c>
      <c r="L19" s="690"/>
      <c r="M19" s="690">
        <f>M14-M15</f>
        <v>204.76199999999994</v>
      </c>
      <c r="N19" s="690">
        <f>N14-N15</f>
        <v>168.30999999999983</v>
      </c>
      <c r="O19" s="690">
        <f>O14-O15</f>
        <v>3.7570000000001755</v>
      </c>
      <c r="P19" s="690">
        <f>P14-P15</f>
        <v>-39.313000000000102</v>
      </c>
      <c r="Q19" s="690"/>
      <c r="R19" s="690">
        <f>R14-R15</f>
        <v>112.66100000000017</v>
      </c>
      <c r="S19" s="690">
        <f>S14-S15</f>
        <v>168.45500000000027</v>
      </c>
      <c r="T19" s="690">
        <f>T14-T15</f>
        <v>306.21599999999989</v>
      </c>
      <c r="U19" s="690">
        <f>U14-U15</f>
        <v>425.29700000000003</v>
      </c>
      <c r="V19" s="690"/>
      <c r="W19" s="690">
        <f>W14-W15</f>
        <v>389.30100000000016</v>
      </c>
      <c r="X19" s="690">
        <f>X14-X15</f>
        <v>396.04999999999995</v>
      </c>
      <c r="Y19" s="690">
        <f>Y14-Y15</f>
        <v>473.22</v>
      </c>
      <c r="Z19" s="690">
        <f>Z14-Z15</f>
        <v>620.90000000000009</v>
      </c>
      <c r="AA19" s="690"/>
      <c r="AB19" s="690">
        <f>AB14-AB15</f>
        <v>551.40000000000009</v>
      </c>
      <c r="AC19" s="690">
        <f>AC14-AC15</f>
        <v>350.40000000000009</v>
      </c>
      <c r="AD19" s="690">
        <f>AD14-AD15</f>
        <v>457.15000000000009</v>
      </c>
      <c r="AE19" s="690">
        <f>AE14-AE15</f>
        <v>614.89699999999993</v>
      </c>
      <c r="AF19" s="690"/>
      <c r="AG19" s="690">
        <f>AG14-AG15</f>
        <v>465.24400000000037</v>
      </c>
      <c r="AH19" s="690">
        <f>AH14-AH15</f>
        <v>427.99999999999966</v>
      </c>
      <c r="AI19" s="690">
        <f>AI14-AI15</f>
        <v>339.95399999999995</v>
      </c>
      <c r="AJ19" s="690">
        <f>AJ14-AJ15</f>
        <v>511.07099999999991</v>
      </c>
      <c r="AK19" s="690"/>
      <c r="AL19" s="690">
        <f>AL14-AL15</f>
        <v>383</v>
      </c>
      <c r="AM19" s="690">
        <f>AM14-AM15</f>
        <v>194</v>
      </c>
      <c r="AN19" s="690">
        <f>AN14-AN15</f>
        <v>281</v>
      </c>
      <c r="AO19" s="690">
        <f>AO14-AO15</f>
        <v>367</v>
      </c>
      <c r="AP19" s="690"/>
      <c r="AQ19" s="690">
        <f>AQ14-AQ15</f>
        <v>304</v>
      </c>
      <c r="AR19" s="690">
        <f>AR14-AR15</f>
        <v>254</v>
      </c>
      <c r="AS19" s="690">
        <f>AS14-AS15</f>
        <v>368</v>
      </c>
      <c r="AT19" s="690">
        <f>AT14-AT15</f>
        <v>418</v>
      </c>
      <c r="AU19" s="690"/>
      <c r="AV19" s="690">
        <f>AV14-AV15</f>
        <v>383</v>
      </c>
      <c r="AW19" s="690">
        <f>AW14-AW15</f>
        <v>373</v>
      </c>
      <c r="AX19" s="690">
        <f>AX14-AX15</f>
        <v>394</v>
      </c>
      <c r="AY19" s="690">
        <f>AY14-AY15</f>
        <v>398</v>
      </c>
      <c r="AZ19" s="690"/>
      <c r="BA19" s="690">
        <f>BA14-BA15</f>
        <v>353</v>
      </c>
      <c r="BB19" s="690">
        <f>BB14-BB15</f>
        <v>375</v>
      </c>
      <c r="BC19" s="690">
        <f>BC14-BC15</f>
        <v>500</v>
      </c>
      <c r="BD19" s="690">
        <f>BD14-BD15</f>
        <v>587</v>
      </c>
      <c r="BE19" s="690"/>
      <c r="BF19" s="690">
        <f>BF14-BF15</f>
        <v>474</v>
      </c>
      <c r="BG19" s="690">
        <f>BG14-BG15</f>
        <v>397</v>
      </c>
      <c r="BH19" s="690">
        <f>BH14-BH15</f>
        <v>504</v>
      </c>
      <c r="BI19" s="690">
        <f>BI14-BI15</f>
        <v>593</v>
      </c>
      <c r="BJ19" s="690"/>
      <c r="BK19" s="691">
        <f>BK14-BK15</f>
        <v>386</v>
      </c>
      <c r="BL19" s="691">
        <f>BL14-BL15</f>
        <v>334</v>
      </c>
      <c r="BM19" s="691">
        <f>BM14-BM15</f>
        <v>346</v>
      </c>
      <c r="BN19" s="691">
        <f>BN14-BN15</f>
        <v>372</v>
      </c>
      <c r="BO19" s="691"/>
      <c r="BP19" s="691">
        <f>BP14-BP15</f>
        <v>395</v>
      </c>
      <c r="BQ19" s="691">
        <f>BQ14-BQ15</f>
        <v>425</v>
      </c>
      <c r="BR19" s="691">
        <f>BR14-BR15</f>
        <v>520</v>
      </c>
      <c r="BS19" s="691">
        <f>BS14-BS15</f>
        <v>602</v>
      </c>
      <c r="BT19" s="691"/>
      <c r="BU19" s="691">
        <f>BU14-BU15</f>
        <v>530</v>
      </c>
      <c r="BV19" s="691">
        <f>BV14-BV15</f>
        <v>521</v>
      </c>
      <c r="BW19" s="691">
        <f>BW14-BW15</f>
        <v>576</v>
      </c>
      <c r="BX19" s="691">
        <f>BX14-BX15</f>
        <v>522</v>
      </c>
      <c r="BY19" s="691"/>
      <c r="BZ19" s="691">
        <f>BZ14-BZ15</f>
        <v>443</v>
      </c>
      <c r="CA19" s="691">
        <f>CA14-CA15</f>
        <v>528</v>
      </c>
      <c r="CB19" s="691">
        <f>CB14-CB15</f>
        <v>554</v>
      </c>
      <c r="CC19" s="691">
        <f>CC14-CC15</f>
        <v>519</v>
      </c>
      <c r="CD19" s="691"/>
      <c r="CE19" s="691">
        <f>CE14-CE15</f>
        <v>397</v>
      </c>
      <c r="CF19" s="691">
        <f>CF14-CF15</f>
        <v>452</v>
      </c>
      <c r="CG19" s="691">
        <f>CG14-CG15</f>
        <v>427</v>
      </c>
      <c r="CH19" s="691">
        <f>CH14-CH15</f>
        <v>380</v>
      </c>
      <c r="CI19" s="691"/>
      <c r="CJ19" s="691">
        <f>CJ14-CJ15</f>
        <v>222</v>
      </c>
      <c r="CK19" s="691">
        <f>CK14-CK15</f>
        <v>429</v>
      </c>
      <c r="CL19" s="691">
        <f>CL14-CL15</f>
        <v>418</v>
      </c>
      <c r="CM19" s="691">
        <f>CM14-CM15</f>
        <v>325</v>
      </c>
      <c r="CN19" s="691"/>
      <c r="CO19" s="691">
        <f>CO14-CO15</f>
        <v>254</v>
      </c>
      <c r="CP19" s="691">
        <f>CP14-CP15</f>
        <v>387</v>
      </c>
      <c r="CQ19" s="691">
        <f>CQ14-CQ15</f>
        <v>378</v>
      </c>
      <c r="CR19" s="691">
        <f>CR14-CR15</f>
        <v>396</v>
      </c>
      <c r="CS19" s="691"/>
      <c r="CT19" s="1967">
        <f>CT14-CT15</f>
        <v>263.81152137508275</v>
      </c>
      <c r="CU19" s="1967">
        <f>CU14-CU15</f>
        <v>370.93639667578441</v>
      </c>
      <c r="CV19" s="1967">
        <f>CV14-CV15</f>
        <v>366.96450950604572</v>
      </c>
      <c r="CW19" s="1766">
        <f>CW14-CW15</f>
        <v>379.19468614319135</v>
      </c>
      <c r="CX19" s="691"/>
      <c r="CY19" s="691">
        <f>CY14-CY15</f>
        <v>1816.7050000000008</v>
      </c>
      <c r="CZ19" s="691">
        <f t="shared" ref="CZ19:DE19" si="4">CZ14-CZ15</f>
        <v>1444.7609999999986</v>
      </c>
      <c r="DA19" s="692">
        <f t="shared" si="4"/>
        <v>337.51599999999826</v>
      </c>
      <c r="DB19" s="693">
        <f t="shared" si="4"/>
        <v>1012.6289999999976</v>
      </c>
      <c r="DC19" s="691">
        <f t="shared" si="4"/>
        <v>1880.0010000000002</v>
      </c>
      <c r="DD19" s="691">
        <f t="shared" si="4"/>
        <v>1980.0470000000023</v>
      </c>
      <c r="DE19" s="691">
        <f t="shared" si="4"/>
        <v>1744.2690000000002</v>
      </c>
      <c r="DF19" s="693">
        <f t="shared" ref="DF19:DK19" si="5">DF14-DF15</f>
        <v>1225</v>
      </c>
      <c r="DG19" s="691">
        <f t="shared" si="5"/>
        <v>1344</v>
      </c>
      <c r="DH19" s="693">
        <f t="shared" si="5"/>
        <v>1548</v>
      </c>
      <c r="DI19" s="691">
        <f t="shared" si="5"/>
        <v>1815</v>
      </c>
      <c r="DJ19" s="691">
        <f t="shared" si="5"/>
        <v>1968</v>
      </c>
      <c r="DK19" s="691">
        <f t="shared" si="5"/>
        <v>1438</v>
      </c>
      <c r="DL19" s="691">
        <f t="shared" ref="DL19:DQ19" si="6">DL14-DL15</f>
        <v>1942</v>
      </c>
      <c r="DM19" s="691">
        <f t="shared" si="6"/>
        <v>2149</v>
      </c>
      <c r="DN19" s="691">
        <f t="shared" si="6"/>
        <v>2044</v>
      </c>
      <c r="DO19" s="691">
        <f t="shared" si="6"/>
        <v>1656</v>
      </c>
      <c r="DP19" s="691">
        <f t="shared" si="6"/>
        <v>1394</v>
      </c>
      <c r="DQ19" s="691">
        <f t="shared" si="6"/>
        <v>1415</v>
      </c>
      <c r="DR19" s="691">
        <f>DR14-DR15</f>
        <v>1380.9071137001029</v>
      </c>
      <c r="DS19" s="691">
        <f>DS14-DS15</f>
        <v>1307.1034507693621</v>
      </c>
      <c r="DT19" s="692">
        <f>DT14-DT15</f>
        <v>1248.5315080239752</v>
      </c>
      <c r="DU19" s="691">
        <f>DU14-DU15</f>
        <v>1191.3774568165245</v>
      </c>
      <c r="DV19" s="1766">
        <f>DV14-DV15</f>
        <v>1135.7710081590321</v>
      </c>
      <c r="DW19" s="691"/>
    </row>
    <row r="20" spans="1:134" ht="5.45" customHeight="1">
      <c r="A20" s="641"/>
      <c r="B20" s="690"/>
      <c r="C20" s="690"/>
      <c r="D20" s="690"/>
      <c r="E20" s="690"/>
      <c r="F20" s="690"/>
      <c r="G20" s="690"/>
      <c r="H20" s="690"/>
      <c r="I20" s="690"/>
      <c r="J20" s="690"/>
      <c r="K20" s="690"/>
      <c r="L20" s="690"/>
      <c r="M20" s="690"/>
      <c r="N20" s="690"/>
      <c r="O20" s="690"/>
      <c r="P20" s="690"/>
      <c r="Q20" s="690"/>
      <c r="R20" s="690"/>
      <c r="S20" s="690"/>
      <c r="T20" s="690"/>
      <c r="U20" s="690"/>
      <c r="V20" s="690"/>
      <c r="W20" s="690"/>
      <c r="X20" s="690"/>
      <c r="Y20" s="690"/>
      <c r="Z20" s="690"/>
      <c r="AA20" s="690"/>
      <c r="AB20" s="690"/>
      <c r="AC20" s="690"/>
      <c r="AD20" s="690"/>
      <c r="AE20" s="690"/>
      <c r="AF20" s="690"/>
      <c r="AG20" s="690"/>
      <c r="AH20" s="690"/>
      <c r="AI20" s="690"/>
      <c r="AJ20" s="690"/>
      <c r="AK20" s="690"/>
      <c r="AL20" s="690"/>
      <c r="AM20" s="690"/>
      <c r="AN20" s="690"/>
      <c r="AO20" s="690"/>
      <c r="AP20" s="690"/>
      <c r="AQ20" s="690"/>
      <c r="AR20" s="690"/>
      <c r="AS20" s="690"/>
      <c r="AT20" s="690"/>
      <c r="AU20" s="690"/>
      <c r="AV20" s="690"/>
      <c r="AW20" s="690"/>
      <c r="AX20" s="690"/>
      <c r="AY20" s="690"/>
      <c r="AZ20" s="690"/>
      <c r="BA20" s="690"/>
      <c r="BB20" s="690"/>
      <c r="BC20" s="690"/>
      <c r="BD20" s="690"/>
      <c r="BE20" s="690"/>
      <c r="BF20" s="690"/>
      <c r="BG20" s="690"/>
      <c r="BH20" s="690"/>
      <c r="BI20" s="690"/>
      <c r="BJ20" s="690"/>
      <c r="BK20" s="691"/>
      <c r="BL20" s="691"/>
      <c r="BM20" s="691"/>
      <c r="BN20" s="691"/>
      <c r="BO20" s="691"/>
      <c r="BP20" s="691"/>
      <c r="BQ20" s="691"/>
      <c r="BR20" s="691"/>
      <c r="BS20" s="691"/>
      <c r="BT20" s="691"/>
      <c r="BU20" s="691"/>
      <c r="BV20" s="691"/>
      <c r="BW20" s="691"/>
      <c r="BX20" s="691"/>
      <c r="BY20" s="691"/>
      <c r="BZ20" s="691"/>
      <c r="CA20" s="691"/>
      <c r="CB20" s="691"/>
      <c r="CC20" s="691"/>
      <c r="CD20" s="691"/>
      <c r="CE20" s="691"/>
      <c r="CF20" s="691"/>
      <c r="CG20" s="691"/>
      <c r="CH20" s="691"/>
      <c r="CI20" s="691"/>
      <c r="CJ20" s="691"/>
      <c r="CK20" s="691"/>
      <c r="CL20" s="691"/>
      <c r="CM20" s="691"/>
      <c r="CN20" s="691"/>
      <c r="CO20" s="691"/>
      <c r="CP20" s="691"/>
      <c r="CQ20" s="691"/>
      <c r="CR20" s="691"/>
      <c r="CS20" s="691"/>
      <c r="CT20" s="1967"/>
      <c r="CU20" s="1967"/>
      <c r="CV20" s="1967"/>
      <c r="CW20" s="1766"/>
      <c r="CX20" s="691"/>
      <c r="CY20" s="691"/>
      <c r="CZ20" s="691"/>
      <c r="DA20" s="692"/>
      <c r="DB20" s="693"/>
      <c r="DC20" s="691"/>
      <c r="DD20" s="691"/>
      <c r="DE20" s="691"/>
      <c r="DF20" s="693"/>
      <c r="DG20" s="691"/>
      <c r="DH20" s="693"/>
      <c r="DI20" s="691"/>
      <c r="DJ20" s="691"/>
      <c r="DK20" s="691"/>
      <c r="DL20" s="691"/>
      <c r="DM20" s="691"/>
      <c r="DN20" s="691"/>
      <c r="DO20" s="691"/>
      <c r="DP20" s="691"/>
      <c r="DQ20" s="691"/>
      <c r="DR20" s="691"/>
      <c r="DS20" s="691"/>
      <c r="DT20" s="692"/>
      <c r="DU20" s="691"/>
      <c r="DV20" s="1766"/>
      <c r="DW20" s="691"/>
    </row>
    <row r="21" spans="1:134" ht="12.75" customHeight="1">
      <c r="A21" s="695" t="s">
        <v>117</v>
      </c>
      <c r="B21" s="695"/>
      <c r="C21" s="695">
        <f>'qtrP&amp;L'!$AP77</f>
        <v>4.6379999999999999</v>
      </c>
      <c r="D21" s="695">
        <f>'qtrP&amp;L'!$AP78</f>
        <v>3.1709999999999998</v>
      </c>
      <c r="E21" s="695">
        <f>'qtrP&amp;L'!$AP79</f>
        <v>10.557</v>
      </c>
      <c r="F21" s="695">
        <f>'qtrP&amp;L'!$AP80</f>
        <v>13.388999999999999</v>
      </c>
      <c r="G21" s="695"/>
      <c r="H21" s="695">
        <f>'qtrP&amp;L'!$AT77</f>
        <v>8.9529999999999994</v>
      </c>
      <c r="I21" s="695">
        <f>'qtrP&amp;L'!$AT78</f>
        <v>11.719000000000001</v>
      </c>
      <c r="J21" s="695">
        <f>'qtrP&amp;L'!$AT79</f>
        <v>20.483000000000001</v>
      </c>
      <c r="K21" s="695">
        <f>'qtrP&amp;L'!$AT80</f>
        <v>21.721</v>
      </c>
      <c r="L21" s="695"/>
      <c r="M21" s="695">
        <f>'qtrP&amp;L'!$AX77</f>
        <v>22.902999999999999</v>
      </c>
      <c r="N21" s="695">
        <f>'qtrP&amp;L'!$AX78</f>
        <v>26.97</v>
      </c>
      <c r="O21" s="695">
        <f>'qtrP&amp;L'!$AX79</f>
        <v>18.34</v>
      </c>
      <c r="P21" s="695">
        <f>'qtrP&amp;L'!$AX80</f>
        <v>27.661999999999999</v>
      </c>
      <c r="Q21" s="695"/>
      <c r="R21" s="695">
        <f>'qtrP&amp;L'!$BB77</f>
        <v>40.744</v>
      </c>
      <c r="S21" s="695">
        <f>'qtrP&amp;L'!$BB78</f>
        <v>57.120999999999995</v>
      </c>
      <c r="T21" s="695">
        <f>'qtrP&amp;L'!$BB79</f>
        <v>57.904999999999994</v>
      </c>
      <c r="U21" s="695">
        <f>'qtrP&amp;L'!$BB80</f>
        <v>55.984000000000009</v>
      </c>
      <c r="V21" s="695"/>
      <c r="W21" s="695">
        <f>'qtrP&amp;L'!$BF77</f>
        <v>56.814</v>
      </c>
      <c r="X21" s="695">
        <f>'qtrP&amp;L'!$BF78</f>
        <v>52.599999999999994</v>
      </c>
      <c r="Y21" s="695">
        <f>'qtrP&amp;L'!$BF79</f>
        <v>43.324000000000005</v>
      </c>
      <c r="Z21" s="695">
        <f>'qtrP&amp;L'!$BF80</f>
        <v>42.886000000000003</v>
      </c>
      <c r="AA21" s="695"/>
      <c r="AB21" s="695">
        <f>'qtrP&amp;L'!$BJ77</f>
        <v>39.85</v>
      </c>
      <c r="AC21" s="695">
        <f>'qtrP&amp;L'!$BJ78</f>
        <v>31.184000000000001</v>
      </c>
      <c r="AD21" s="695">
        <f>'qtrP&amp;L'!$BJ79</f>
        <v>23</v>
      </c>
      <c r="AE21" s="695">
        <f>'qtrP&amp;L'!$BJ80</f>
        <v>14</v>
      </c>
      <c r="AF21" s="695"/>
      <c r="AG21" s="695">
        <f>'qtrP&amp;L'!$BN77</f>
        <v>-2.4159999999999999</v>
      </c>
      <c r="AH21" s="695">
        <f>'qtrP&amp;L'!$BN78</f>
        <v>-15.045</v>
      </c>
      <c r="AI21" s="695">
        <f>'qtrP&amp;L'!$BN79</f>
        <v>-11.222</v>
      </c>
      <c r="AJ21" s="695">
        <f>'qtrP&amp;L'!$BN80</f>
        <v>-19.29</v>
      </c>
      <c r="AK21" s="695"/>
      <c r="AL21" s="695">
        <f>'qtrP&amp;L'!$BR77</f>
        <v>-21.222000000000001</v>
      </c>
      <c r="AM21" s="695">
        <f>'qtrP&amp;L'!$BR78</f>
        <v>-21</v>
      </c>
      <c r="AN21" s="695">
        <f>'qtrP&amp;L'!$BR79</f>
        <v>-23.969000000000001</v>
      </c>
      <c r="AO21" s="695">
        <f>'qtrP&amp;L'!$BR80</f>
        <v>-24</v>
      </c>
      <c r="AP21" s="695"/>
      <c r="AQ21" s="695">
        <f>'qtrP&amp;L'!$BV77</f>
        <v>-23</v>
      </c>
      <c r="AR21" s="695">
        <f>'qtrP&amp;L'!$BV78</f>
        <v>-26</v>
      </c>
      <c r="AS21" s="695">
        <f>'qtrP&amp;L'!$BV79</f>
        <v>-27</v>
      </c>
      <c r="AT21" s="695">
        <f>'qtrP&amp;L'!$BV80</f>
        <v>-15</v>
      </c>
      <c r="AU21" s="695"/>
      <c r="AV21" s="695">
        <f>'qtrP&amp;L'!BZ77</f>
        <v>-25</v>
      </c>
      <c r="AW21" s="695">
        <f>'qtrP&amp;L'!BZ78</f>
        <v>-4</v>
      </c>
      <c r="AX21" s="695">
        <f>'qtrP&amp;L'!BZ79</f>
        <v>-4</v>
      </c>
      <c r="AY21" s="695">
        <f>'qtrP&amp;L'!BZ80</f>
        <v>-3</v>
      </c>
      <c r="AZ21" s="695"/>
      <c r="BA21" s="695">
        <f>'qtrP&amp;L'!$CD$77</f>
        <v>0</v>
      </c>
      <c r="BB21" s="695">
        <f>'qtrP&amp;L'!$CD$78</f>
        <v>-1</v>
      </c>
      <c r="BC21" s="695">
        <f>'qtrP&amp;L'!$CD$79</f>
        <v>0</v>
      </c>
      <c r="BD21" s="695">
        <f>'qtrP&amp;L'!$CD$80</f>
        <v>0</v>
      </c>
      <c r="BE21" s="695"/>
      <c r="BF21" s="695">
        <f>'qtrP&amp;L'!$CH$77</f>
        <v>-11</v>
      </c>
      <c r="BG21" s="695">
        <f>'qtrP&amp;L'!$CH$78</f>
        <v>-1</v>
      </c>
      <c r="BH21" s="695">
        <f>'qtrP&amp;L'!$CH$79</f>
        <v>2</v>
      </c>
      <c r="BI21" s="695">
        <f>'qtrP&amp;L'!$CH$80</f>
        <v>-4</v>
      </c>
      <c r="BJ21" s="695"/>
      <c r="BK21" s="697">
        <f>'qtrP&amp;L'!$CL$77</f>
        <v>5</v>
      </c>
      <c r="BL21" s="697">
        <f>'qtrP&amp;L'!$CL$78</f>
        <v>21</v>
      </c>
      <c r="BM21" s="697">
        <f>'qtrP&amp;L'!$CL$79</f>
        <v>21</v>
      </c>
      <c r="BN21" s="697">
        <f>'qtrP&amp;L'!$CL$80</f>
        <v>22</v>
      </c>
      <c r="BO21" s="697"/>
      <c r="BP21" s="697">
        <f>'qtrP&amp;L'!$CP$77</f>
        <v>22</v>
      </c>
      <c r="BQ21" s="697">
        <f>'qtrP&amp;L'!$CP$78</f>
        <v>20</v>
      </c>
      <c r="BR21" s="697">
        <f>'qtrP&amp;L'!$CP$79</f>
        <v>21</v>
      </c>
      <c r="BS21" s="697">
        <f>'qtrP&amp;L'!$CP$80</f>
        <v>18</v>
      </c>
      <c r="BT21" s="697"/>
      <c r="BU21" s="697">
        <f>'qtrP&amp;L'!CT77</f>
        <v>0</v>
      </c>
      <c r="BV21" s="697">
        <f>'qtrP&amp;L'!CT78</f>
        <v>18</v>
      </c>
      <c r="BW21" s="697">
        <f>'qtrP&amp;L'!CT79</f>
        <v>20</v>
      </c>
      <c r="BX21" s="697">
        <f>'qtrP&amp;L'!CT80</f>
        <v>18</v>
      </c>
      <c r="BY21" s="697"/>
      <c r="BZ21" s="697">
        <f>'qtrP&amp;L'!CX77</f>
        <v>17</v>
      </c>
      <c r="CA21" s="697">
        <f>'qtrP&amp;L'!CX78</f>
        <v>18</v>
      </c>
      <c r="CB21" s="697">
        <f>'qtrP&amp;L'!CX79</f>
        <v>18</v>
      </c>
      <c r="CC21" s="697">
        <f>'qtrP&amp;L'!CX80</f>
        <v>17</v>
      </c>
      <c r="CD21" s="697"/>
      <c r="CE21" s="697">
        <f>'qtrP&amp;L'!DB77</f>
        <v>4</v>
      </c>
      <c r="CF21" s="697">
        <f>'qtrP&amp;L'!DB78</f>
        <v>16</v>
      </c>
      <c r="CG21" s="697">
        <f>'qtrP&amp;L'!DB79</f>
        <v>18</v>
      </c>
      <c r="CH21" s="697">
        <f>'qtrP&amp;L'!DB80</f>
        <v>15</v>
      </c>
      <c r="CI21" s="697"/>
      <c r="CJ21" s="697">
        <f t="array" ref="CJ21:CM21">TRANSPOSE('qtrP&amp;L'!DF77:DF80)</f>
        <v>18</v>
      </c>
      <c r="CK21" s="697">
        <v>16</v>
      </c>
      <c r="CL21" s="697">
        <v>17</v>
      </c>
      <c r="CM21" s="697">
        <v>16</v>
      </c>
      <c r="CN21" s="697"/>
      <c r="CO21" s="697">
        <f t="array" ref="CO21:CR21">TRANSPOSE('qtrP&amp;L'!DJ77:DJ80)</f>
        <v>16</v>
      </c>
      <c r="CP21" s="697">
        <v>12</v>
      </c>
      <c r="CQ21" s="697">
        <v>14</v>
      </c>
      <c r="CR21" s="697">
        <v>13</v>
      </c>
      <c r="CS21" s="697"/>
      <c r="CT21" s="1970">
        <f t="array" ref="CT21:CW21">TRANSPOSE('qtrP&amp;L'!DN77:DN80)</f>
        <v>13</v>
      </c>
      <c r="CU21" s="1970">
        <v>13</v>
      </c>
      <c r="CV21" s="1970">
        <v>14</v>
      </c>
      <c r="CW21" s="1767">
        <v>13</v>
      </c>
      <c r="CX21" s="697"/>
      <c r="CY21" s="697">
        <f>'yrP&amp;L'!K36</f>
        <v>31.754999999999999</v>
      </c>
      <c r="CZ21" s="697">
        <f>'yrP&amp;L'!L36</f>
        <v>62.876000000000005</v>
      </c>
      <c r="DA21" s="698">
        <f>'yrP&amp;L'!M36</f>
        <v>95.875</v>
      </c>
      <c r="DB21" s="699">
        <f>'yrP&amp;L'!N36</f>
        <v>211.75399999999999</v>
      </c>
      <c r="DC21" s="697">
        <f>'yrP&amp;L'!O36</f>
        <v>195.624</v>
      </c>
      <c r="DD21" s="697">
        <f>'yrP&amp;L'!P36</f>
        <v>108.03400000000001</v>
      </c>
      <c r="DE21" s="697">
        <f>'yrP&amp;L'!Q36</f>
        <v>-47.972999999999999</v>
      </c>
      <c r="DF21" s="699">
        <f>'yrP&amp;L'!R36</f>
        <v>-90.191000000000003</v>
      </c>
      <c r="DG21" s="697">
        <f>'yrP&amp;L'!S36</f>
        <v>-91</v>
      </c>
      <c r="DH21" s="699">
        <f>'yrP&amp;L'!T36</f>
        <v>-36</v>
      </c>
      <c r="DI21" s="697">
        <f>'yrP&amp;L'!U36</f>
        <v>-1</v>
      </c>
      <c r="DJ21" s="697">
        <f>'yrP&amp;L'!V36</f>
        <v>-14</v>
      </c>
      <c r="DK21" s="697">
        <f>'yrP&amp;L'!W36</f>
        <v>69</v>
      </c>
      <c r="DL21" s="697">
        <f>'yrP&amp;L'!X36</f>
        <v>81</v>
      </c>
      <c r="DM21" s="697">
        <f>'yrP&amp;L'!Y36</f>
        <v>56</v>
      </c>
      <c r="DN21" s="697">
        <f>'yrP&amp;L'!Z36</f>
        <v>70</v>
      </c>
      <c r="DO21" s="697">
        <f>'yrP&amp;L'!AA36</f>
        <v>53</v>
      </c>
      <c r="DP21" s="697">
        <f>'yrP&amp;L'!AB36</f>
        <v>67</v>
      </c>
      <c r="DQ21" s="697">
        <f>'yrP&amp;L'!AC36</f>
        <v>55</v>
      </c>
      <c r="DR21" s="697">
        <f>'yrP&amp;L'!AD36</f>
        <v>53</v>
      </c>
      <c r="DS21" s="697">
        <f>'yrP&amp;L'!AE36</f>
        <v>53</v>
      </c>
      <c r="DT21" s="698">
        <f>'yrP&amp;L'!AF36</f>
        <v>53</v>
      </c>
      <c r="DU21" s="697">
        <f>'yrP&amp;L'!AG36</f>
        <v>53</v>
      </c>
      <c r="DV21" s="1767">
        <f>'yrP&amp;L'!AH36</f>
        <v>53</v>
      </c>
      <c r="DW21" s="697"/>
    </row>
    <row r="22" spans="1:134" ht="12.75" customHeight="1">
      <c r="A22" s="695" t="s">
        <v>9</v>
      </c>
      <c r="B22" s="690"/>
      <c r="C22" s="690">
        <f>C19-C21</f>
        <v>323.79199999999997</v>
      </c>
      <c r="D22" s="690">
        <f>D19-D21</f>
        <v>313.32599999999985</v>
      </c>
      <c r="E22" s="690">
        <f>E19-E21</f>
        <v>496.08899999999994</v>
      </c>
      <c r="F22" s="690">
        <f>F19-F21</f>
        <v>651.7429999999996</v>
      </c>
      <c r="G22" s="690"/>
      <c r="H22" s="690">
        <f>H19-H21</f>
        <v>370.82899999999984</v>
      </c>
      <c r="I22" s="690">
        <f>I19-I21</f>
        <v>289.63699999999989</v>
      </c>
      <c r="J22" s="690">
        <f>J19-J21</f>
        <v>293.46200000000039</v>
      </c>
      <c r="K22" s="690">
        <f>K19-K21</f>
        <v>427.95699999999965</v>
      </c>
      <c r="L22" s="690"/>
      <c r="M22" s="690">
        <f>M19-M21</f>
        <v>181.85899999999995</v>
      </c>
      <c r="N22" s="690">
        <f>N19-N21</f>
        <v>141.33999999999983</v>
      </c>
      <c r="O22" s="690">
        <f>O19-O21</f>
        <v>-14.582999999999824</v>
      </c>
      <c r="P22" s="690">
        <f>P19-P21</f>
        <v>-66.975000000000108</v>
      </c>
      <c r="Q22" s="690"/>
      <c r="R22" s="690">
        <f>R19-R21</f>
        <v>71.917000000000172</v>
      </c>
      <c r="S22" s="690">
        <f>S19-S21</f>
        <v>111.33400000000027</v>
      </c>
      <c r="T22" s="690">
        <f>T19-T21</f>
        <v>248.31099999999989</v>
      </c>
      <c r="U22" s="690">
        <f>U19-U21</f>
        <v>369.31299999999999</v>
      </c>
      <c r="V22" s="690"/>
      <c r="W22" s="690">
        <f>W19-W21</f>
        <v>332.48700000000014</v>
      </c>
      <c r="X22" s="690">
        <f>X19-X21</f>
        <v>343.44999999999993</v>
      </c>
      <c r="Y22" s="690">
        <f>Y19-Y21</f>
        <v>429.89600000000002</v>
      </c>
      <c r="Z22" s="690">
        <f>Z19-Z21</f>
        <v>578.01400000000012</v>
      </c>
      <c r="AA22" s="690"/>
      <c r="AB22" s="690">
        <f>AB19-AB21</f>
        <v>511.55000000000007</v>
      </c>
      <c r="AC22" s="690">
        <f>AC19-AC21</f>
        <v>319.21600000000007</v>
      </c>
      <c r="AD22" s="690">
        <f>AD19-AD21</f>
        <v>434.15000000000009</v>
      </c>
      <c r="AE22" s="690">
        <f>AE19-AE21</f>
        <v>600.89699999999993</v>
      </c>
      <c r="AF22" s="690"/>
      <c r="AG22" s="690">
        <f>AG19-AG21</f>
        <v>467.66000000000037</v>
      </c>
      <c r="AH22" s="690">
        <f>AH19-AH21</f>
        <v>443.04499999999967</v>
      </c>
      <c r="AI22" s="690">
        <f>AI19-AI21</f>
        <v>351.17599999999993</v>
      </c>
      <c r="AJ22" s="690">
        <f>AJ19-AJ21</f>
        <v>530.36099999999988</v>
      </c>
      <c r="AK22" s="690"/>
      <c r="AL22" s="690">
        <f>AL19-AL21</f>
        <v>404.22199999999998</v>
      </c>
      <c r="AM22" s="690">
        <f>AM19-AM21</f>
        <v>215</v>
      </c>
      <c r="AN22" s="690">
        <f>AN19-AN21</f>
        <v>304.96899999999999</v>
      </c>
      <c r="AO22" s="690">
        <f>AO19-AO21</f>
        <v>391</v>
      </c>
      <c r="AP22" s="690"/>
      <c r="AQ22" s="690">
        <f>AQ19-AQ21</f>
        <v>327</v>
      </c>
      <c r="AR22" s="690">
        <f>AR19-AR21</f>
        <v>280</v>
      </c>
      <c r="AS22" s="690">
        <f>AS19-AS21</f>
        <v>395</v>
      </c>
      <c r="AT22" s="690">
        <f>AT19-AT21</f>
        <v>433</v>
      </c>
      <c r="AU22" s="690"/>
      <c r="AV22" s="690">
        <f>AV19-AV21</f>
        <v>408</v>
      </c>
      <c r="AW22" s="690">
        <f>AW19-AW21</f>
        <v>377</v>
      </c>
      <c r="AX22" s="690">
        <f>AX19-AX21</f>
        <v>398</v>
      </c>
      <c r="AY22" s="690">
        <f>AY19-AY21</f>
        <v>401</v>
      </c>
      <c r="AZ22" s="690"/>
      <c r="BA22" s="690">
        <f>BA19-BA21</f>
        <v>353</v>
      </c>
      <c r="BB22" s="690">
        <f>BB19-BB21</f>
        <v>376</v>
      </c>
      <c r="BC22" s="690">
        <f>BC19-BC21</f>
        <v>500</v>
      </c>
      <c r="BD22" s="690">
        <f>BD19-BD21</f>
        <v>587</v>
      </c>
      <c r="BE22" s="690"/>
      <c r="BF22" s="690">
        <f>BF19-BF21</f>
        <v>485</v>
      </c>
      <c r="BG22" s="690">
        <f>BG19-BG21</f>
        <v>398</v>
      </c>
      <c r="BH22" s="690">
        <f>BH19-BH21</f>
        <v>502</v>
      </c>
      <c r="BI22" s="690">
        <f>BI19-BI21</f>
        <v>597</v>
      </c>
      <c r="BJ22" s="690"/>
      <c r="BK22" s="691">
        <f>BK19-BK21</f>
        <v>381</v>
      </c>
      <c r="BL22" s="691">
        <f>BL19-BL21</f>
        <v>313</v>
      </c>
      <c r="BM22" s="691">
        <f>BM19-BM21</f>
        <v>325</v>
      </c>
      <c r="BN22" s="691">
        <f>BN19-BN21</f>
        <v>350</v>
      </c>
      <c r="BO22" s="691"/>
      <c r="BP22" s="691">
        <f>BP19-BP21</f>
        <v>373</v>
      </c>
      <c r="BQ22" s="691">
        <f>BQ19-BQ21</f>
        <v>405</v>
      </c>
      <c r="BR22" s="691">
        <f>BR19-BR21</f>
        <v>499</v>
      </c>
      <c r="BS22" s="691">
        <f>BS19-BS21</f>
        <v>584</v>
      </c>
      <c r="BT22" s="691"/>
      <c r="BU22" s="691">
        <f>BU19-BU21</f>
        <v>530</v>
      </c>
      <c r="BV22" s="691">
        <f>BV19-BV21</f>
        <v>503</v>
      </c>
      <c r="BW22" s="691">
        <f>BW19-BW21</f>
        <v>556</v>
      </c>
      <c r="BX22" s="691">
        <f>BX19-BX21</f>
        <v>504</v>
      </c>
      <c r="BY22" s="691"/>
      <c r="BZ22" s="691">
        <f>BZ19-BZ21</f>
        <v>426</v>
      </c>
      <c r="CA22" s="691">
        <f>CA19-CA21</f>
        <v>510</v>
      </c>
      <c r="CB22" s="691">
        <f>CB19-CB21</f>
        <v>536</v>
      </c>
      <c r="CC22" s="691">
        <f>CC19-CC21</f>
        <v>502</v>
      </c>
      <c r="CD22" s="691"/>
      <c r="CE22" s="691">
        <f>CE19-CE21</f>
        <v>393</v>
      </c>
      <c r="CF22" s="691">
        <f>CF19-CF21</f>
        <v>436</v>
      </c>
      <c r="CG22" s="691">
        <f>CG19-CG21</f>
        <v>409</v>
      </c>
      <c r="CH22" s="691">
        <f>CH19-CH21</f>
        <v>365</v>
      </c>
      <c r="CI22" s="691"/>
      <c r="CJ22" s="691">
        <f>CJ19-CJ21</f>
        <v>204</v>
      </c>
      <c r="CK22" s="691">
        <f>CK19-CK21</f>
        <v>413</v>
      </c>
      <c r="CL22" s="691">
        <f>CL19-CL21</f>
        <v>401</v>
      </c>
      <c r="CM22" s="691">
        <f>CM19-CM21</f>
        <v>309</v>
      </c>
      <c r="CN22" s="691"/>
      <c r="CO22" s="691">
        <f>CO19-CO21</f>
        <v>238</v>
      </c>
      <c r="CP22" s="691">
        <f>CP19-CP21</f>
        <v>375</v>
      </c>
      <c r="CQ22" s="691">
        <f>CQ19-CQ21</f>
        <v>364</v>
      </c>
      <c r="CR22" s="691">
        <f>CR19-CR21</f>
        <v>383</v>
      </c>
      <c r="CS22" s="691"/>
      <c r="CT22" s="1967">
        <f>CT19-CT21</f>
        <v>250.81152137508275</v>
      </c>
      <c r="CU22" s="1967">
        <f>CU19-CU21</f>
        <v>357.93639667578441</v>
      </c>
      <c r="CV22" s="1967">
        <f>CV19-CV21</f>
        <v>352.96450950604572</v>
      </c>
      <c r="CW22" s="1766">
        <f>CW19-CW21</f>
        <v>366.19468614319135</v>
      </c>
      <c r="CX22" s="691"/>
      <c r="CY22" s="691">
        <f t="shared" ref="CY22:DN22" si="7">CY19-CY21</f>
        <v>1784.9500000000007</v>
      </c>
      <c r="CZ22" s="691">
        <f t="shared" si="7"/>
        <v>1381.8849999999986</v>
      </c>
      <c r="DA22" s="692">
        <f t="shared" si="7"/>
        <v>241.64099999999826</v>
      </c>
      <c r="DB22" s="693">
        <f t="shared" si="7"/>
        <v>800.87499999999761</v>
      </c>
      <c r="DC22" s="691">
        <f t="shared" si="7"/>
        <v>1684.3770000000002</v>
      </c>
      <c r="DD22" s="691">
        <f t="shared" si="7"/>
        <v>1872.0130000000022</v>
      </c>
      <c r="DE22" s="691">
        <f>DE19-DE21</f>
        <v>1792.2420000000002</v>
      </c>
      <c r="DF22" s="693">
        <f t="shared" si="7"/>
        <v>1315.191</v>
      </c>
      <c r="DG22" s="691">
        <f t="shared" si="7"/>
        <v>1435</v>
      </c>
      <c r="DH22" s="693">
        <f t="shared" si="7"/>
        <v>1584</v>
      </c>
      <c r="DI22" s="691">
        <f t="shared" si="7"/>
        <v>1816</v>
      </c>
      <c r="DJ22" s="691">
        <f t="shared" si="7"/>
        <v>1982</v>
      </c>
      <c r="DK22" s="691">
        <f t="shared" si="7"/>
        <v>1369</v>
      </c>
      <c r="DL22" s="691">
        <f t="shared" si="7"/>
        <v>1861</v>
      </c>
      <c r="DM22" s="691">
        <f t="shared" si="7"/>
        <v>2093</v>
      </c>
      <c r="DN22" s="691">
        <f t="shared" si="7"/>
        <v>1974</v>
      </c>
      <c r="DO22" s="691">
        <f t="shared" ref="DO22:DU22" si="8">DO19-DO21</f>
        <v>1603</v>
      </c>
      <c r="DP22" s="691">
        <f t="shared" si="8"/>
        <v>1327</v>
      </c>
      <c r="DQ22" s="691">
        <f t="shared" si="8"/>
        <v>1360</v>
      </c>
      <c r="DR22" s="691">
        <f t="shared" si="8"/>
        <v>1327.9071137001029</v>
      </c>
      <c r="DS22" s="691">
        <f t="shared" si="8"/>
        <v>1254.1034507693621</v>
      </c>
      <c r="DT22" s="692">
        <f t="shared" si="8"/>
        <v>1195.5315080239752</v>
      </c>
      <c r="DU22" s="691">
        <f t="shared" si="8"/>
        <v>1138.3774568165245</v>
      </c>
      <c r="DV22" s="1766">
        <f t="shared" ref="DV22" si="9">DV19-DV21</f>
        <v>1082.7710081590321</v>
      </c>
      <c r="DW22" s="691"/>
    </row>
    <row r="23" spans="1:134" ht="5.45" customHeight="1">
      <c r="A23" s="695"/>
      <c r="B23" s="708"/>
      <c r="C23" s="708"/>
      <c r="D23" s="708"/>
      <c r="E23" s="708"/>
      <c r="F23" s="708"/>
      <c r="G23" s="708"/>
      <c r="H23" s="708"/>
      <c r="I23" s="708"/>
      <c r="J23" s="708"/>
      <c r="K23" s="708"/>
      <c r="L23" s="708"/>
      <c r="M23" s="708"/>
      <c r="N23" s="708"/>
      <c r="O23" s="708"/>
      <c r="P23" s="708"/>
      <c r="Q23" s="708"/>
      <c r="R23" s="708"/>
      <c r="S23" s="708"/>
      <c r="T23" s="708"/>
      <c r="U23" s="708"/>
      <c r="V23" s="708"/>
      <c r="W23" s="708"/>
      <c r="X23" s="708"/>
      <c r="Y23" s="708"/>
      <c r="Z23" s="708"/>
      <c r="AA23" s="708"/>
      <c r="AB23" s="708"/>
      <c r="AC23" s="708"/>
      <c r="AD23" s="708"/>
      <c r="AE23" s="708"/>
      <c r="AF23" s="708"/>
      <c r="AG23" s="708"/>
      <c r="AH23" s="708"/>
      <c r="AI23" s="708"/>
      <c r="AJ23" s="708"/>
      <c r="AK23" s="708"/>
      <c r="AL23" s="708"/>
      <c r="AM23" s="708"/>
      <c r="AN23" s="708"/>
      <c r="AO23" s="708"/>
      <c r="AP23" s="708"/>
      <c r="AQ23" s="708"/>
      <c r="AR23" s="708"/>
      <c r="AS23" s="708"/>
      <c r="AT23" s="708"/>
      <c r="AU23" s="708"/>
      <c r="AV23" s="708"/>
      <c r="AW23" s="708"/>
      <c r="AX23" s="708"/>
      <c r="AY23" s="708"/>
      <c r="AZ23" s="708"/>
      <c r="BA23" s="708"/>
      <c r="BB23" s="708"/>
      <c r="BC23" s="708"/>
      <c r="BD23" s="708"/>
      <c r="BE23" s="708"/>
      <c r="BF23" s="708"/>
      <c r="BG23" s="708"/>
      <c r="BH23" s="708"/>
      <c r="BI23" s="708"/>
      <c r="BJ23" s="708"/>
      <c r="BK23" s="709"/>
      <c r="BL23" s="709"/>
      <c r="BM23" s="709"/>
      <c r="BN23" s="709"/>
      <c r="BO23" s="709"/>
      <c r="BP23" s="709"/>
      <c r="BQ23" s="709"/>
      <c r="BR23" s="709"/>
      <c r="BS23" s="709"/>
      <c r="BT23" s="709"/>
      <c r="BU23" s="709"/>
      <c r="BV23" s="709"/>
      <c r="BW23" s="709"/>
      <c r="BX23" s="709"/>
      <c r="BY23" s="709"/>
      <c r="BZ23" s="709"/>
      <c r="CA23" s="709"/>
      <c r="CB23" s="709"/>
      <c r="CC23" s="709"/>
      <c r="CD23" s="709"/>
      <c r="CE23" s="709"/>
      <c r="CF23" s="709"/>
      <c r="CG23" s="709"/>
      <c r="CH23" s="709"/>
      <c r="CI23" s="709"/>
      <c r="CJ23" s="709"/>
      <c r="CK23" s="709"/>
      <c r="CL23" s="709"/>
      <c r="CM23" s="709"/>
      <c r="CN23" s="709"/>
      <c r="CO23" s="709"/>
      <c r="CP23" s="709"/>
      <c r="CQ23" s="709"/>
      <c r="CR23" s="709"/>
      <c r="CS23" s="709"/>
      <c r="CT23" s="1971"/>
      <c r="CU23" s="1971"/>
      <c r="CV23" s="1971"/>
      <c r="CW23" s="1769"/>
      <c r="CX23" s="709"/>
      <c r="CY23" s="709"/>
      <c r="CZ23" s="709"/>
      <c r="DA23" s="710"/>
      <c r="DB23" s="711"/>
      <c r="DC23" s="709"/>
      <c r="DD23" s="709"/>
      <c r="DE23" s="709"/>
      <c r="DF23" s="711"/>
      <c r="DG23" s="709"/>
      <c r="DH23" s="711"/>
      <c r="DI23" s="709"/>
      <c r="DJ23" s="709"/>
      <c r="DK23" s="709"/>
      <c r="DL23" s="709"/>
      <c r="DM23" s="709"/>
      <c r="DN23" s="709"/>
      <c r="DO23" s="709"/>
      <c r="DP23" s="709"/>
      <c r="DQ23" s="709"/>
      <c r="DR23" s="709"/>
      <c r="DS23" s="709"/>
      <c r="DT23" s="710"/>
      <c r="DU23" s="709"/>
      <c r="DV23" s="1769"/>
      <c r="DW23" s="709"/>
    </row>
    <row r="24" spans="1:134" ht="12.75" customHeight="1">
      <c r="A24" s="695" t="s">
        <v>10</v>
      </c>
      <c r="B24" s="695"/>
      <c r="C24" s="695">
        <f>'qtrP&amp;L'!$AP97</f>
        <v>121.422</v>
      </c>
      <c r="D24" s="695">
        <f>'qtrP&amp;L'!$AP98</f>
        <v>117.497</v>
      </c>
      <c r="E24" s="695">
        <f>'qtrP&amp;L'!$AP99</f>
        <v>181.072</v>
      </c>
      <c r="F24" s="695">
        <f>'qtrP&amp;L'!$AP100</f>
        <v>237.89400000000001</v>
      </c>
      <c r="G24" s="695"/>
      <c r="H24" s="695">
        <f>'qtrP&amp;L'!$AT$97</f>
        <v>135.35300000000001</v>
      </c>
      <c r="I24" s="695">
        <f>'qtrP&amp;L'!$AT98</f>
        <v>105.717</v>
      </c>
      <c r="J24" s="695">
        <f>'qtrP&amp;L'!$AT99</f>
        <v>107.114</v>
      </c>
      <c r="K24" s="695">
        <f>'qtrP&amp;L'!$AT100</f>
        <v>156.20400000000001</v>
      </c>
      <c r="L24" s="695"/>
      <c r="M24" s="695">
        <f>'qtrP&amp;L'!$AX$97</f>
        <v>66.379000000000005</v>
      </c>
      <c r="N24" s="695">
        <f>'qtrP&amp;L'!$AX98</f>
        <v>51.588999999999999</v>
      </c>
      <c r="O24" s="695">
        <f>'qtrP&amp;L'!$AX99</f>
        <v>164.25399999999999</v>
      </c>
      <c r="P24" s="695">
        <f>'qtrP&amp;L'!$AX100</f>
        <v>-32.817</v>
      </c>
      <c r="Q24" s="695"/>
      <c r="R24" s="695">
        <f>'qtrP&amp;L'!$BB$97</f>
        <v>35.238999999999997</v>
      </c>
      <c r="S24" s="695">
        <f>'qtrP&amp;L'!$BB98</f>
        <v>54.554000000000002</v>
      </c>
      <c r="T24" s="695">
        <f>'qtrP&amp;L'!$BB99</f>
        <v>113.041</v>
      </c>
      <c r="U24" s="695">
        <f>'qtrP&amp;L'!$BB100</f>
        <v>120.584</v>
      </c>
      <c r="V24" s="695"/>
      <c r="W24" s="695">
        <f>'qtrP&amp;L'!$BF$97</f>
        <v>129.44900000000001</v>
      </c>
      <c r="X24" s="695">
        <f>'qtrP&amp;L'!$BF98</f>
        <v>133.81899999999999</v>
      </c>
      <c r="Y24" s="695">
        <f>'qtrP&amp;L'!$BF99</f>
        <v>167.87100000000001</v>
      </c>
      <c r="Z24" s="695">
        <f>'qtrP&amp;L'!$BF100</f>
        <v>221.98599999999999</v>
      </c>
      <c r="AA24" s="695"/>
      <c r="AB24" s="695">
        <f>'qtrP&amp;L'!$BJ$97</f>
        <v>199.24799999999999</v>
      </c>
      <c r="AC24" s="695">
        <f>'qtrP&amp;L'!$BJ98</f>
        <v>124.224</v>
      </c>
      <c r="AD24" s="695">
        <f>'qtrP&amp;L'!$BJ99</f>
        <v>169</v>
      </c>
      <c r="AE24" s="695">
        <f>'qtrP&amp;L'!$BJ100</f>
        <v>223</v>
      </c>
      <c r="AF24" s="695"/>
      <c r="AG24" s="695">
        <f>'qtrP&amp;L'!$BN$97</f>
        <v>176.30799999999999</v>
      </c>
      <c r="AH24" s="695">
        <f>'qtrP&amp;L'!$BN98</f>
        <v>171.33699999999999</v>
      </c>
      <c r="AI24" s="695">
        <f>'qtrP&amp;L'!$BN99</f>
        <v>138.87200000000001</v>
      </c>
      <c r="AJ24" s="695">
        <f>'qtrP&amp;L'!$BN100</f>
        <v>193.10300000000001</v>
      </c>
      <c r="AK24" s="695"/>
      <c r="AL24" s="695">
        <f>'qtrP&amp;L'!$BR$97</f>
        <v>156</v>
      </c>
      <c r="AM24" s="695">
        <f>'qtrP&amp;L'!$BR98</f>
        <v>81</v>
      </c>
      <c r="AN24" s="695">
        <f>'qtrP&amp;L'!$BR99</f>
        <v>108</v>
      </c>
      <c r="AO24" s="695">
        <f>'qtrP&amp;L'!$BR100</f>
        <v>161</v>
      </c>
      <c r="AP24" s="695"/>
      <c r="AQ24" s="695">
        <f>'qtrP&amp;L'!$BV$97</f>
        <v>122</v>
      </c>
      <c r="AR24" s="695">
        <f>'qtrP&amp;L'!$BV98</f>
        <v>93</v>
      </c>
      <c r="AS24" s="695">
        <f>'qtrP&amp;L'!$BV99</f>
        <v>156</v>
      </c>
      <c r="AT24" s="695">
        <f>'qtrP&amp;L'!$BV100</f>
        <v>168</v>
      </c>
      <c r="AU24" s="695"/>
      <c r="AV24" s="695">
        <f>'qtrP&amp;L'!BZ97</f>
        <v>159</v>
      </c>
      <c r="AW24" s="695">
        <f>'qtrP&amp;L'!BZ98</f>
        <v>148</v>
      </c>
      <c r="AX24" s="695">
        <f>'qtrP&amp;L'!BZ99</f>
        <v>152</v>
      </c>
      <c r="AY24" s="695">
        <f>'qtrP&amp;L'!BZ100</f>
        <v>158</v>
      </c>
      <c r="AZ24" s="695"/>
      <c r="BA24" s="695">
        <f>'qtrP&amp;L'!$CD$97</f>
        <v>138</v>
      </c>
      <c r="BB24" s="695">
        <f>'qtrP&amp;L'!$CD$98</f>
        <v>148</v>
      </c>
      <c r="BC24" s="695">
        <f>'qtrP&amp;L'!$CD$99</f>
        <v>193</v>
      </c>
      <c r="BD24" s="695">
        <f>'qtrP&amp;L'!$CD$100</f>
        <v>235</v>
      </c>
      <c r="BE24" s="695"/>
      <c r="BF24" s="695">
        <f>'qtrP&amp;L'!$CH$97</f>
        <v>183</v>
      </c>
      <c r="BG24" s="695">
        <f>'qtrP&amp;L'!$CH$98</f>
        <v>164</v>
      </c>
      <c r="BH24" s="695">
        <f>'qtrP&amp;L'!$CH$99</f>
        <v>199</v>
      </c>
      <c r="BI24" s="695">
        <f>'qtrP&amp;L'!$CH$100</f>
        <v>232</v>
      </c>
      <c r="BJ24" s="695"/>
      <c r="BK24" s="695">
        <f>'qtrP&amp;L'!$CL$97</f>
        <v>148</v>
      </c>
      <c r="BL24" s="695">
        <f>'qtrP&amp;L'!$CL$98</f>
        <v>124</v>
      </c>
      <c r="BM24" s="695">
        <f>'qtrP&amp;L'!$CL$99</f>
        <v>132</v>
      </c>
      <c r="BN24" s="697">
        <f>'qtrP&amp;L'!$CL$100</f>
        <v>132</v>
      </c>
      <c r="BO24" s="697"/>
      <c r="BP24" s="695">
        <f>'qtrP&amp;L'!$CP$97</f>
        <v>140</v>
      </c>
      <c r="BQ24" s="695">
        <f>'qtrP&amp;L'!$CP$98</f>
        <v>162</v>
      </c>
      <c r="BR24" s="695">
        <f>'qtrP&amp;L'!$CP$99</f>
        <v>191</v>
      </c>
      <c r="BS24" s="697">
        <f>'qtrP&amp;L'!$CP$100</f>
        <v>233</v>
      </c>
      <c r="BT24" s="697"/>
      <c r="BU24" s="697">
        <f>'qtrP&amp;L'!CT97</f>
        <v>197</v>
      </c>
      <c r="BV24" s="697">
        <f>'qtrP&amp;L'!CT98</f>
        <v>200</v>
      </c>
      <c r="BW24" s="697">
        <f>'qtrP&amp;L'!CT99</f>
        <v>219</v>
      </c>
      <c r="BX24" s="697">
        <f>'qtrP&amp;L'!CT100</f>
        <v>197</v>
      </c>
      <c r="BY24" s="697"/>
      <c r="BZ24" s="697">
        <f>'qtrP&amp;L'!CX97</f>
        <v>166</v>
      </c>
      <c r="CA24" s="697">
        <f>'qtrP&amp;L'!CX98</f>
        <v>200</v>
      </c>
      <c r="CB24" s="697">
        <f>'qtrP&amp;L'!CX99</f>
        <v>185</v>
      </c>
      <c r="CC24" s="697">
        <f>'qtrP&amp;L'!CX100</f>
        <v>183</v>
      </c>
      <c r="CD24" s="697"/>
      <c r="CE24" s="697">
        <f>'qtrP&amp;L'!DB97</f>
        <v>146.78</v>
      </c>
      <c r="CF24" s="697">
        <f>'qtrP&amp;L'!DB98</f>
        <v>166.76</v>
      </c>
      <c r="CG24" s="697">
        <f>'qtrP&amp;L'!DB99</f>
        <v>152.44999999999999</v>
      </c>
      <c r="CH24" s="697">
        <f>'qtrP&amp;L'!DB100</f>
        <v>135.125</v>
      </c>
      <c r="CI24" s="697"/>
      <c r="CJ24" s="697">
        <f t="array" ref="CJ24:CM24">TRANSPOSE('qtrP&amp;L'!DF97:DF100)</f>
        <v>77</v>
      </c>
      <c r="CK24" s="697">
        <v>175</v>
      </c>
      <c r="CL24" s="697">
        <v>163</v>
      </c>
      <c r="CM24" s="697">
        <v>102.83</v>
      </c>
      <c r="CN24" s="697"/>
      <c r="CO24" s="697">
        <f t="array" ref="CO24:CR24">TRANSPOSE('qtrP&amp;L'!DJ97:DJ100)</f>
        <v>95</v>
      </c>
      <c r="CP24" s="697">
        <v>143.68</v>
      </c>
      <c r="CQ24" s="697">
        <v>135</v>
      </c>
      <c r="CR24" s="697">
        <v>144</v>
      </c>
      <c r="CS24" s="697"/>
      <c r="CT24" s="1970">
        <f t="array" ref="CT24:CW24">TRANSPOSE('qtrP&amp;L'!DN97:DN100)</f>
        <v>65.210995557521514</v>
      </c>
      <c r="CU24" s="1970">
        <v>93.063463135703955</v>
      </c>
      <c r="CV24" s="1970">
        <v>91.770772471571888</v>
      </c>
      <c r="CW24" s="1767">
        <v>95.210618397229752</v>
      </c>
      <c r="CX24" s="697"/>
      <c r="CY24" s="697">
        <f>'yrP&amp;L'!K42</f>
        <v>657.88499999999999</v>
      </c>
      <c r="CZ24" s="697">
        <f>'yrP&amp;L'!L42</f>
        <v>504.38799999999998</v>
      </c>
      <c r="DA24" s="698">
        <f>'yrP&amp;L'!M42</f>
        <v>249.40499999999997</v>
      </c>
      <c r="DB24" s="699">
        <f>'yrP&amp;L'!N42</f>
        <v>323.41800000000001</v>
      </c>
      <c r="DC24" s="697">
        <f>'yrP&amp;L'!O42</f>
        <v>653.125</v>
      </c>
      <c r="DD24" s="697">
        <f>'yrP&amp;L'!P42</f>
        <v>722</v>
      </c>
      <c r="DE24" s="697">
        <f>'yrP&amp;L'!Q42</f>
        <v>679.62</v>
      </c>
      <c r="DF24" s="699">
        <f>'yrP&amp;L'!R42</f>
        <v>506</v>
      </c>
      <c r="DG24" s="697">
        <f>'yrP&amp;L'!S42</f>
        <v>539</v>
      </c>
      <c r="DH24" s="699">
        <f>'yrP&amp;L'!T42</f>
        <v>617</v>
      </c>
      <c r="DI24" s="697">
        <f>'yrP&amp;L'!U42</f>
        <v>714</v>
      </c>
      <c r="DJ24" s="697">
        <f>'yrP&amp;L'!V42</f>
        <v>778</v>
      </c>
      <c r="DK24" s="697">
        <f>'yrP&amp;L'!W42</f>
        <v>536</v>
      </c>
      <c r="DL24" s="697">
        <f>'yrP&amp;L'!X42</f>
        <v>726</v>
      </c>
      <c r="DM24" s="697">
        <f>'yrP&amp;L'!Y42</f>
        <v>813</v>
      </c>
      <c r="DN24" s="697">
        <f>'yrP&amp;L'!Z42</f>
        <v>734</v>
      </c>
      <c r="DO24" s="697">
        <f>'yrP&amp;L'!AA42</f>
        <v>601.11500000000001</v>
      </c>
      <c r="DP24" s="697">
        <f>'yrP&amp;L'!AB42</f>
        <v>517.83000000000004</v>
      </c>
      <c r="DQ24" s="697">
        <f>'yrP&amp;L'!AC42</f>
        <v>517.68000000000006</v>
      </c>
      <c r="DR24" s="697">
        <f>'yrP&amp;L'!AD42</f>
        <v>345.25584956202715</v>
      </c>
      <c r="DS24" s="697">
        <f>'yrP&amp;L'!AE42</f>
        <v>326.06689720003453</v>
      </c>
      <c r="DT24" s="698">
        <f>'yrP&amp;L'!AF42</f>
        <v>310.8381920862339</v>
      </c>
      <c r="DU24" s="697">
        <f>'yrP&amp;L'!AG42</f>
        <v>295.97813877229669</v>
      </c>
      <c r="DV24" s="1767">
        <f>'yrP&amp;L'!AH42</f>
        <v>281.52046212134866</v>
      </c>
      <c r="DW24" s="697"/>
      <c r="ED24" s="712"/>
    </row>
    <row r="25" spans="1:134" ht="12.75" hidden="1" customHeight="1" outlineLevel="1">
      <c r="A25" s="641" t="s">
        <v>183</v>
      </c>
      <c r="B25" s="708"/>
      <c r="C25" s="708"/>
      <c r="D25" s="708"/>
      <c r="E25" s="708"/>
      <c r="F25" s="708"/>
      <c r="G25" s="708"/>
      <c r="H25" s="708"/>
      <c r="I25" s="708"/>
      <c r="J25" s="708"/>
      <c r="K25" s="708"/>
      <c r="L25" s="708"/>
      <c r="M25" s="708"/>
      <c r="N25" s="708"/>
      <c r="O25" s="708"/>
      <c r="P25" s="708"/>
      <c r="Q25" s="708"/>
      <c r="R25" s="708"/>
      <c r="S25" s="708"/>
      <c r="T25" s="708"/>
      <c r="U25" s="708"/>
      <c r="V25" s="708"/>
      <c r="W25" s="708"/>
      <c r="X25" s="708"/>
      <c r="Y25" s="708"/>
      <c r="Z25" s="708"/>
      <c r="AA25" s="708"/>
      <c r="AB25" s="708"/>
      <c r="AC25" s="708"/>
      <c r="AD25" s="708"/>
      <c r="AE25" s="708"/>
      <c r="AF25" s="708"/>
      <c r="AG25" s="708"/>
      <c r="AH25" s="708"/>
      <c r="AI25" s="708"/>
      <c r="AJ25" s="708"/>
      <c r="AK25" s="708"/>
      <c r="AL25" s="708"/>
      <c r="AM25" s="708"/>
      <c r="AN25" s="708"/>
      <c r="AO25" s="708"/>
      <c r="AP25" s="708"/>
      <c r="AQ25" s="695">
        <f>'qtrP&amp;L'!$BV$69*0.37</f>
        <v>18.5</v>
      </c>
      <c r="AR25" s="695">
        <f>'qtrP&amp;L'!$BV$70*0.4</f>
        <v>11.600000000000001</v>
      </c>
      <c r="AS25" s="695"/>
      <c r="AT25" s="708"/>
      <c r="AU25" s="708"/>
      <c r="AV25" s="708"/>
      <c r="AW25" s="708"/>
      <c r="AX25" s="708"/>
      <c r="AY25" s="708"/>
      <c r="AZ25" s="708"/>
      <c r="BA25" s="708"/>
      <c r="BB25" s="708"/>
      <c r="BC25" s="708"/>
      <c r="BD25" s="708"/>
      <c r="BE25" s="708"/>
      <c r="BF25" s="708"/>
      <c r="BG25" s="708"/>
      <c r="BH25" s="708"/>
      <c r="BI25" s="708"/>
      <c r="BJ25" s="708"/>
      <c r="BK25" s="709"/>
      <c r="BL25" s="709"/>
      <c r="BM25" s="709"/>
      <c r="BN25" s="709"/>
      <c r="BO25" s="709"/>
      <c r="BP25" s="709"/>
      <c r="BQ25" s="709"/>
      <c r="BR25" s="709"/>
      <c r="BS25" s="709"/>
      <c r="BT25" s="709"/>
      <c r="BU25" s="709"/>
      <c r="BV25" s="709"/>
      <c r="BW25" s="709"/>
      <c r="BX25" s="709"/>
      <c r="BY25" s="709"/>
      <c r="BZ25" s="709"/>
      <c r="CA25" s="709"/>
      <c r="CB25" s="709"/>
      <c r="CC25" s="709"/>
      <c r="CD25" s="709"/>
      <c r="CE25" s="709"/>
      <c r="CF25" s="709"/>
      <c r="CG25" s="709"/>
      <c r="CH25" s="709"/>
      <c r="CI25" s="709"/>
      <c r="CJ25" s="709"/>
      <c r="CK25" s="709"/>
      <c r="CL25" s="709"/>
      <c r="CM25" s="709"/>
      <c r="CN25" s="709"/>
      <c r="CO25" s="709"/>
      <c r="CP25" s="709"/>
      <c r="CQ25" s="709"/>
      <c r="CR25" s="709"/>
      <c r="CS25" s="709"/>
      <c r="CT25" s="1971"/>
      <c r="CU25" s="1971"/>
      <c r="CV25" s="1971"/>
      <c r="CW25" s="1769"/>
      <c r="CX25" s="709"/>
      <c r="CY25" s="709"/>
      <c r="CZ25" s="709"/>
      <c r="DA25" s="710"/>
      <c r="DB25" s="711"/>
      <c r="DC25" s="709"/>
      <c r="DD25" s="709"/>
      <c r="DE25" s="709"/>
      <c r="DF25" s="711"/>
      <c r="DG25" s="697">
        <f>SUM(AQ25:AT25)</f>
        <v>30.1</v>
      </c>
      <c r="DH25" s="711"/>
      <c r="DI25" s="709"/>
      <c r="DJ25" s="709"/>
      <c r="DK25" s="709"/>
      <c r="DL25" s="709"/>
      <c r="DM25" s="709"/>
      <c r="DN25" s="709"/>
      <c r="DO25" s="709"/>
      <c r="DP25" s="709"/>
      <c r="DQ25" s="709"/>
      <c r="DR25" s="709"/>
      <c r="DS25" s="709"/>
      <c r="DT25" s="710"/>
      <c r="DU25" s="709"/>
      <c r="DV25" s="1769"/>
      <c r="DW25" s="709"/>
    </row>
    <row r="26" spans="1:134" ht="12.75" hidden="1" customHeight="1" outlineLevel="1">
      <c r="A26" s="641" t="s">
        <v>486</v>
      </c>
      <c r="B26" s="708"/>
      <c r="C26" s="708"/>
      <c r="D26" s="708"/>
      <c r="E26" s="708"/>
      <c r="F26" s="708"/>
      <c r="G26" s="708"/>
      <c r="H26" s="708"/>
      <c r="I26" s="708"/>
      <c r="J26" s="708"/>
      <c r="K26" s="708"/>
      <c r="L26" s="708"/>
      <c r="M26" s="708"/>
      <c r="N26" s="708"/>
      <c r="O26" s="708"/>
      <c r="P26" s="708"/>
      <c r="Q26" s="708"/>
      <c r="R26" s="708"/>
      <c r="S26" s="708"/>
      <c r="T26" s="708"/>
      <c r="U26" s="708"/>
      <c r="V26" s="708"/>
      <c r="W26" s="708"/>
      <c r="X26" s="708"/>
      <c r="Y26" s="708"/>
      <c r="Z26" s="708"/>
      <c r="AA26" s="708"/>
      <c r="AB26" s="708"/>
      <c r="AC26" s="708"/>
      <c r="AD26" s="708"/>
      <c r="AE26" s="708"/>
      <c r="AF26" s="708"/>
      <c r="AG26" s="708"/>
      <c r="AH26" s="708"/>
      <c r="AI26" s="708"/>
      <c r="AJ26" s="708"/>
      <c r="AK26" s="708"/>
      <c r="AL26" s="708"/>
      <c r="AM26" s="708"/>
      <c r="AN26" s="708"/>
      <c r="AO26" s="708"/>
      <c r="AP26" s="708"/>
      <c r="AQ26" s="695">
        <f>+(0.03*818.682)</f>
        <v>24.560459999999999</v>
      </c>
      <c r="AR26" s="695"/>
      <c r="AS26" s="695"/>
      <c r="AT26" s="708"/>
      <c r="AU26" s="708"/>
      <c r="AV26" s="708"/>
      <c r="AW26" s="708"/>
      <c r="AX26" s="708"/>
      <c r="AY26" s="708"/>
      <c r="AZ26" s="708"/>
      <c r="BA26" s="708"/>
      <c r="BB26" s="708"/>
      <c r="BC26" s="708"/>
      <c r="BD26" s="708"/>
      <c r="BE26" s="708"/>
      <c r="BF26" s="708"/>
      <c r="BG26" s="708"/>
      <c r="BH26" s="708"/>
      <c r="BI26" s="708"/>
      <c r="BJ26" s="708"/>
      <c r="BK26" s="709"/>
      <c r="BL26" s="709"/>
      <c r="BM26" s="709"/>
      <c r="BN26" s="709"/>
      <c r="BO26" s="709"/>
      <c r="BP26" s="709"/>
      <c r="BQ26" s="709"/>
      <c r="BR26" s="709"/>
      <c r="BS26" s="709"/>
      <c r="BT26" s="709"/>
      <c r="BU26" s="709"/>
      <c r="BV26" s="709"/>
      <c r="BW26" s="709"/>
      <c r="BX26" s="709"/>
      <c r="BY26" s="709"/>
      <c r="BZ26" s="709"/>
      <c r="CA26" s="709"/>
      <c r="CB26" s="709"/>
      <c r="CC26" s="709"/>
      <c r="CD26" s="709"/>
      <c r="CE26" s="709"/>
      <c r="CF26" s="709"/>
      <c r="CG26" s="709"/>
      <c r="CH26" s="709"/>
      <c r="CI26" s="709"/>
      <c r="CJ26" s="709"/>
      <c r="CK26" s="709"/>
      <c r="CL26" s="709"/>
      <c r="CM26" s="709"/>
      <c r="CN26" s="709"/>
      <c r="CO26" s="709"/>
      <c r="CP26" s="709"/>
      <c r="CQ26" s="709"/>
      <c r="CR26" s="709"/>
      <c r="CS26" s="709"/>
      <c r="CT26" s="1971"/>
      <c r="CU26" s="1971"/>
      <c r="CV26" s="1971"/>
      <c r="CW26" s="1769"/>
      <c r="CX26" s="709"/>
      <c r="CY26" s="709"/>
      <c r="CZ26" s="709"/>
      <c r="DA26" s="710"/>
      <c r="DB26" s="711"/>
      <c r="DC26" s="709"/>
      <c r="DD26" s="709"/>
      <c r="DE26" s="709"/>
      <c r="DF26" s="711"/>
      <c r="DG26" s="697">
        <f>+(0.03*818.682)</f>
        <v>24.560459999999999</v>
      </c>
      <c r="DH26" s="711"/>
      <c r="DI26" s="709"/>
      <c r="DJ26" s="709"/>
      <c r="DK26" s="709"/>
      <c r="DL26" s="709"/>
      <c r="DM26" s="709"/>
      <c r="DN26" s="709"/>
      <c r="DO26" s="709"/>
      <c r="DP26" s="709"/>
      <c r="DQ26" s="709"/>
      <c r="DR26" s="709"/>
      <c r="DS26" s="709"/>
      <c r="DT26" s="710"/>
      <c r="DU26" s="709"/>
      <c r="DV26" s="1769"/>
      <c r="DW26" s="709"/>
    </row>
    <row r="27" spans="1:134" ht="12.75" customHeight="1" collapsed="1">
      <c r="A27" s="689" t="s">
        <v>12</v>
      </c>
      <c r="B27" s="690"/>
      <c r="C27" s="690">
        <f>C22-C24</f>
        <v>202.36999999999998</v>
      </c>
      <c r="D27" s="690">
        <f>D22-D24</f>
        <v>195.82899999999984</v>
      </c>
      <c r="E27" s="690">
        <f>E22-E24</f>
        <v>315.01699999999994</v>
      </c>
      <c r="F27" s="690">
        <f>F22-F24</f>
        <v>413.84899999999959</v>
      </c>
      <c r="G27" s="690"/>
      <c r="H27" s="690">
        <f>H22-H24</f>
        <v>235.47599999999983</v>
      </c>
      <c r="I27" s="690">
        <f>I22-I24</f>
        <v>183.9199999999999</v>
      </c>
      <c r="J27" s="690">
        <f>J22-J24</f>
        <v>186.34800000000038</v>
      </c>
      <c r="K27" s="690">
        <f>K22-K24</f>
        <v>271.75299999999964</v>
      </c>
      <c r="L27" s="690"/>
      <c r="M27" s="690">
        <f>M22-M24</f>
        <v>115.47999999999995</v>
      </c>
      <c r="N27" s="690">
        <f>N22-N24</f>
        <v>89.750999999999834</v>
      </c>
      <c r="O27" s="690">
        <f>O22-O24</f>
        <v>-178.83699999999982</v>
      </c>
      <c r="P27" s="690">
        <f>P22-P24</f>
        <v>-34.158000000000108</v>
      </c>
      <c r="Q27" s="690"/>
      <c r="R27" s="690">
        <f>R22-R24</f>
        <v>36.678000000000175</v>
      </c>
      <c r="S27" s="690">
        <f>S22-S24</f>
        <v>56.780000000000271</v>
      </c>
      <c r="T27" s="690">
        <f>T22-T24</f>
        <v>135.2699999999999</v>
      </c>
      <c r="U27" s="690">
        <f>U22-U24</f>
        <v>248.72899999999998</v>
      </c>
      <c r="V27" s="690"/>
      <c r="W27" s="690">
        <f>W22-W24</f>
        <v>203.03800000000012</v>
      </c>
      <c r="X27" s="690">
        <f>X22-X24</f>
        <v>209.63099999999994</v>
      </c>
      <c r="Y27" s="690">
        <f>Y22-Y24</f>
        <v>262.02499999999998</v>
      </c>
      <c r="Z27" s="690">
        <f>Z22-Z24</f>
        <v>356.02800000000013</v>
      </c>
      <c r="AA27" s="690"/>
      <c r="AB27" s="690">
        <f>AB22-AB24</f>
        <v>312.30200000000008</v>
      </c>
      <c r="AC27" s="690">
        <f>AC22-AC24</f>
        <v>194.99200000000008</v>
      </c>
      <c r="AD27" s="690">
        <f>AD22-AD24</f>
        <v>265.15000000000009</v>
      </c>
      <c r="AE27" s="690">
        <f>AE22-AE24</f>
        <v>377.89699999999993</v>
      </c>
      <c r="AF27" s="690"/>
      <c r="AG27" s="690">
        <f>AG22-AG24</f>
        <v>291.35200000000037</v>
      </c>
      <c r="AH27" s="690">
        <f>AH22-AH24</f>
        <v>271.70799999999969</v>
      </c>
      <c r="AI27" s="690">
        <f>AI22-AI24</f>
        <v>212.30399999999992</v>
      </c>
      <c r="AJ27" s="690">
        <f>AJ22-AJ24</f>
        <v>337.25799999999987</v>
      </c>
      <c r="AK27" s="690"/>
      <c r="AL27" s="690">
        <f>AL22-AL24</f>
        <v>248.22199999999998</v>
      </c>
      <c r="AM27" s="690">
        <f>AM22-AM24</f>
        <v>134</v>
      </c>
      <c r="AN27" s="690">
        <f>AN22-AN24</f>
        <v>196.96899999999999</v>
      </c>
      <c r="AO27" s="690">
        <f>AO22-AO24</f>
        <v>230</v>
      </c>
      <c r="AP27" s="690"/>
      <c r="AQ27" s="690">
        <f>AQ22-AQ24-AQ25+AQ26</f>
        <v>211.06046000000001</v>
      </c>
      <c r="AR27" s="690">
        <f>AR22-AR24-AR25</f>
        <v>175.4</v>
      </c>
      <c r="AS27" s="690">
        <f>AS22-AS24-AS25</f>
        <v>239</v>
      </c>
      <c r="AT27" s="690">
        <f>AT22-AT24+'qtrP&amp;L'!BV171</f>
        <v>265</v>
      </c>
      <c r="AU27" s="690"/>
      <c r="AV27" s="690">
        <f>AV22-AV24-AV25</f>
        <v>249</v>
      </c>
      <c r="AW27" s="690">
        <f>AW22-AW24-AW25</f>
        <v>229</v>
      </c>
      <c r="AX27" s="690">
        <f>AX22-AX24-AX25</f>
        <v>246</v>
      </c>
      <c r="AY27" s="690">
        <f>AY22-AY24-AY25</f>
        <v>243</v>
      </c>
      <c r="AZ27" s="690"/>
      <c r="BA27" s="690">
        <f>BA22-BA24-BA25</f>
        <v>215</v>
      </c>
      <c r="BB27" s="690">
        <f>BB22-BB24-BB25</f>
        <v>228</v>
      </c>
      <c r="BC27" s="690">
        <f>BC22-BC24-BC25</f>
        <v>307</v>
      </c>
      <c r="BD27" s="690">
        <f>BD22-BD24-BD25</f>
        <v>352</v>
      </c>
      <c r="BE27" s="690"/>
      <c r="BF27" s="690">
        <f>BF22-BF24-BF25</f>
        <v>302</v>
      </c>
      <c r="BG27" s="690">
        <f>BG22-BG24-BG25</f>
        <v>234</v>
      </c>
      <c r="BH27" s="690">
        <f>BH22-BH24-BH25</f>
        <v>303</v>
      </c>
      <c r="BI27" s="690">
        <f>BI22-BI24-BI25</f>
        <v>365</v>
      </c>
      <c r="BJ27" s="690"/>
      <c r="BK27" s="690">
        <f>BK22-BK24-BK25</f>
        <v>233</v>
      </c>
      <c r="BL27" s="690">
        <f>BL22-BL24-BL25</f>
        <v>189</v>
      </c>
      <c r="BM27" s="690">
        <f>BM22-BM24-BM25</f>
        <v>193</v>
      </c>
      <c r="BN27" s="691">
        <f>BN22-BN24-BN25</f>
        <v>218</v>
      </c>
      <c r="BO27" s="691"/>
      <c r="BP27" s="690">
        <f>BP22-BP24-BP25</f>
        <v>233</v>
      </c>
      <c r="BQ27" s="690">
        <f>BQ22-BQ24-BQ25</f>
        <v>243</v>
      </c>
      <c r="BR27" s="690">
        <f>BR22-BR24-BR25</f>
        <v>308</v>
      </c>
      <c r="BS27" s="691">
        <f>BS22-BS24-BS25</f>
        <v>351</v>
      </c>
      <c r="BT27" s="691"/>
      <c r="BU27" s="690">
        <f>BU22-BU24-BU25</f>
        <v>333</v>
      </c>
      <c r="BV27" s="690">
        <f>BV22-BV24-BV25</f>
        <v>303</v>
      </c>
      <c r="BW27" s="690">
        <f>BW22-BW24-BW25</f>
        <v>337</v>
      </c>
      <c r="BX27" s="691">
        <f>BX22-BX24-BX25</f>
        <v>307</v>
      </c>
      <c r="BY27" s="691"/>
      <c r="BZ27" s="690">
        <f>BZ22-BZ24-BZ25</f>
        <v>260</v>
      </c>
      <c r="CA27" s="690">
        <f>CA22-CA24-CA25</f>
        <v>310</v>
      </c>
      <c r="CB27" s="690">
        <f>CB22-CB24-CB25</f>
        <v>351</v>
      </c>
      <c r="CC27" s="691">
        <f>CC22-CC24-CC25</f>
        <v>319</v>
      </c>
      <c r="CD27" s="691"/>
      <c r="CE27" s="690">
        <f>CE22-CE24-CE25</f>
        <v>246.22</v>
      </c>
      <c r="CF27" s="690">
        <f>CF22-CF24-CF25</f>
        <v>269.24</v>
      </c>
      <c r="CG27" s="690">
        <f>CG22-CG24-CG25</f>
        <v>256.55</v>
      </c>
      <c r="CH27" s="691">
        <f>CH22-CH24-CH25</f>
        <v>229.875</v>
      </c>
      <c r="CI27" s="691"/>
      <c r="CJ27" s="690">
        <f>CJ22-CJ24-CJ25</f>
        <v>127</v>
      </c>
      <c r="CK27" s="690">
        <f>CK22-CK24-CK25</f>
        <v>238</v>
      </c>
      <c r="CL27" s="690">
        <f>CL22-CL24-CL25</f>
        <v>238</v>
      </c>
      <c r="CM27" s="691">
        <f>CM22-CM24-CM25</f>
        <v>206.17000000000002</v>
      </c>
      <c r="CN27" s="691"/>
      <c r="CO27" s="691">
        <f>CO22-CO24-CO25</f>
        <v>143</v>
      </c>
      <c r="CP27" s="691">
        <f>CP22-CP24-CP25</f>
        <v>231.32</v>
      </c>
      <c r="CQ27" s="691">
        <f>CQ22-CQ24-CQ25</f>
        <v>229</v>
      </c>
      <c r="CR27" s="691">
        <f>CR22-CR24-CR25</f>
        <v>239</v>
      </c>
      <c r="CS27" s="691"/>
      <c r="CT27" s="1967">
        <f>CT22-CT24-CT25</f>
        <v>185.60052581756122</v>
      </c>
      <c r="CU27" s="1967">
        <f>CU22-CU24-CU25</f>
        <v>264.87293354008045</v>
      </c>
      <c r="CV27" s="1967">
        <f>CV22-CV24-CV25</f>
        <v>261.19373703447383</v>
      </c>
      <c r="CW27" s="1766">
        <f>CW22-CW24-CW25</f>
        <v>270.98406774596162</v>
      </c>
      <c r="CX27" s="691"/>
      <c r="CY27" s="691">
        <f>CY22-CY24</f>
        <v>1127.0650000000007</v>
      </c>
      <c r="CZ27" s="691">
        <f t="shared" ref="CZ27:DF27" si="10">CZ22-CZ24</f>
        <v>877.49699999999871</v>
      </c>
      <c r="DA27" s="692">
        <f t="shared" si="10"/>
        <v>-7.7640000000017153</v>
      </c>
      <c r="DB27" s="693">
        <f t="shared" si="10"/>
        <v>477.45699999999761</v>
      </c>
      <c r="DC27" s="691">
        <f t="shared" si="10"/>
        <v>1031.2520000000002</v>
      </c>
      <c r="DD27" s="691">
        <f t="shared" si="10"/>
        <v>1150.0130000000022</v>
      </c>
      <c r="DE27" s="691">
        <f t="shared" si="10"/>
        <v>1112.6220000000003</v>
      </c>
      <c r="DF27" s="693">
        <f t="shared" si="10"/>
        <v>809.19100000000003</v>
      </c>
      <c r="DG27" s="691">
        <f>DG22-DG24-DG25+DG26</f>
        <v>890.46046000000001</v>
      </c>
      <c r="DH27" s="693">
        <f t="shared" ref="DH27:DN27" si="11">DH22-DH24</f>
        <v>967</v>
      </c>
      <c r="DI27" s="691">
        <f t="shared" si="11"/>
        <v>1102</v>
      </c>
      <c r="DJ27" s="691">
        <f t="shared" si="11"/>
        <v>1204</v>
      </c>
      <c r="DK27" s="691">
        <f t="shared" si="11"/>
        <v>833</v>
      </c>
      <c r="DL27" s="691">
        <f t="shared" si="11"/>
        <v>1135</v>
      </c>
      <c r="DM27" s="691">
        <f t="shared" si="11"/>
        <v>1280</v>
      </c>
      <c r="DN27" s="691">
        <f t="shared" si="11"/>
        <v>1240</v>
      </c>
      <c r="DO27" s="691">
        <f t="shared" ref="DO27:DU27" si="12">DO22-DO24</f>
        <v>1001.885</v>
      </c>
      <c r="DP27" s="691">
        <f t="shared" si="12"/>
        <v>809.17</v>
      </c>
      <c r="DQ27" s="691">
        <f t="shared" si="12"/>
        <v>842.31999999999994</v>
      </c>
      <c r="DR27" s="691">
        <f t="shared" si="12"/>
        <v>982.6512641380757</v>
      </c>
      <c r="DS27" s="691">
        <f t="shared" si="12"/>
        <v>928.03655356932757</v>
      </c>
      <c r="DT27" s="692">
        <f t="shared" si="12"/>
        <v>884.69331593774132</v>
      </c>
      <c r="DU27" s="691">
        <f t="shared" si="12"/>
        <v>842.39931804422781</v>
      </c>
      <c r="DV27" s="1766">
        <f t="shared" ref="DV27" si="13">DV22-DV24</f>
        <v>801.25054603768353</v>
      </c>
      <c r="DW27" s="691"/>
    </row>
    <row r="28" spans="1:134" ht="5.45" customHeight="1">
      <c r="A28" s="641"/>
      <c r="B28" s="713"/>
      <c r="C28" s="713"/>
      <c r="D28" s="713"/>
      <c r="E28" s="713"/>
      <c r="F28" s="713"/>
      <c r="G28" s="713"/>
      <c r="H28" s="713"/>
      <c r="I28" s="713"/>
      <c r="J28" s="713"/>
      <c r="K28" s="713"/>
      <c r="L28" s="713"/>
      <c r="M28" s="713"/>
      <c r="N28" s="713"/>
      <c r="O28" s="713"/>
      <c r="P28" s="713"/>
      <c r="Q28" s="713"/>
      <c r="R28" s="713"/>
      <c r="S28" s="713"/>
      <c r="T28" s="713"/>
      <c r="U28" s="713"/>
      <c r="V28" s="713"/>
      <c r="W28" s="713"/>
      <c r="X28" s="713"/>
      <c r="Y28" s="713"/>
      <c r="Z28" s="713"/>
      <c r="AA28" s="713"/>
      <c r="AB28" s="713"/>
      <c r="AC28" s="713"/>
      <c r="AD28" s="713"/>
      <c r="AE28" s="713"/>
      <c r="AF28" s="713"/>
      <c r="AG28" s="713"/>
      <c r="AH28" s="713"/>
      <c r="AI28" s="713"/>
      <c r="AJ28" s="713"/>
      <c r="AK28" s="714"/>
      <c r="AL28" s="713"/>
      <c r="AM28" s="713"/>
      <c r="AN28" s="713"/>
      <c r="AO28" s="715"/>
      <c r="AP28" s="713"/>
      <c r="AQ28" s="713"/>
      <c r="AR28" s="713"/>
      <c r="AS28" s="716"/>
      <c r="AT28" s="713"/>
      <c r="AU28" s="713"/>
      <c r="AV28" s="713"/>
      <c r="AW28" s="713"/>
      <c r="AX28" s="713"/>
      <c r="AY28" s="713"/>
      <c r="AZ28" s="713"/>
      <c r="BA28" s="713"/>
      <c r="BB28" s="713"/>
      <c r="BC28" s="713"/>
      <c r="BD28" s="713"/>
      <c r="BE28" s="713"/>
      <c r="BF28" s="713"/>
      <c r="BG28" s="713"/>
      <c r="BH28" s="713"/>
      <c r="BI28" s="713"/>
      <c r="BJ28" s="713"/>
      <c r="BK28" s="714"/>
      <c r="BL28" s="714"/>
      <c r="BM28" s="714"/>
      <c r="BN28" s="714"/>
      <c r="BO28" s="714"/>
      <c r="BP28" s="714"/>
      <c r="BQ28" s="714"/>
      <c r="BR28" s="714"/>
      <c r="BS28" s="714"/>
      <c r="BT28" s="714"/>
      <c r="BU28" s="714"/>
      <c r="BV28" s="714"/>
      <c r="BW28" s="714"/>
      <c r="BX28" s="714"/>
      <c r="BY28" s="714"/>
      <c r="BZ28" s="714"/>
      <c r="CA28" s="714"/>
      <c r="CB28" s="714"/>
      <c r="CC28" s="714"/>
      <c r="CD28" s="714"/>
      <c r="CE28" s="714"/>
      <c r="CF28" s="714"/>
      <c r="CG28" s="714"/>
      <c r="CH28" s="714"/>
      <c r="CI28" s="714"/>
      <c r="CJ28" s="714"/>
      <c r="CK28" s="714"/>
      <c r="CL28" s="714"/>
      <c r="CM28" s="714"/>
      <c r="CN28" s="714"/>
      <c r="CO28" s="714"/>
      <c r="CP28" s="714"/>
      <c r="CQ28" s="714"/>
      <c r="CR28" s="714"/>
      <c r="CS28" s="714"/>
      <c r="CT28" s="1972"/>
      <c r="CU28" s="1972"/>
      <c r="CV28" s="1972"/>
      <c r="CW28" s="1770"/>
      <c r="CX28" s="714"/>
      <c r="CY28" s="714"/>
      <c r="CZ28" s="714"/>
      <c r="DA28" s="717"/>
      <c r="DB28" s="718"/>
      <c r="DC28" s="714"/>
      <c r="DD28" s="714"/>
      <c r="DE28" s="714"/>
      <c r="DF28" s="718"/>
      <c r="DG28" s="719"/>
      <c r="DH28" s="718"/>
      <c r="DI28" s="714"/>
      <c r="DJ28" s="714"/>
      <c r="DK28" s="714"/>
      <c r="DL28" s="714"/>
      <c r="DM28" s="714"/>
      <c r="DN28" s="714"/>
      <c r="DO28" s="714"/>
      <c r="DP28" s="714"/>
      <c r="DQ28" s="714"/>
      <c r="DR28" s="714"/>
      <c r="DS28" s="714"/>
      <c r="DT28" s="717"/>
      <c r="DU28" s="714"/>
      <c r="DV28" s="1770"/>
      <c r="DW28" s="714"/>
      <c r="ED28" s="7"/>
    </row>
    <row r="29" spans="1:134" s="7" customFormat="1" ht="12.75" customHeight="1">
      <c r="A29" s="778" t="s">
        <v>13</v>
      </c>
      <c r="B29" s="720"/>
      <c r="C29" s="721">
        <f>C27/C30</f>
        <v>0.22484462848135237</v>
      </c>
      <c r="D29" s="721">
        <f>D27/D30</f>
        <v>0.21783199164396511</v>
      </c>
      <c r="E29" s="721">
        <f>E27/E30</f>
        <v>0.35342551818921258</v>
      </c>
      <c r="F29" s="721">
        <f>F27/F30</f>
        <v>0.46577784851180404</v>
      </c>
      <c r="G29" s="721"/>
      <c r="H29" s="721">
        <f>H27/H30</f>
        <v>0.26516965381617225</v>
      </c>
      <c r="I29" s="721">
        <f>I27/I30</f>
        <v>0.20897156205748374</v>
      </c>
      <c r="J29" s="721">
        <f>J27/J30</f>
        <v>0.21380709611694676</v>
      </c>
      <c r="K29" s="721">
        <f>K27/K30</f>
        <v>0.31117068748650317</v>
      </c>
      <c r="L29" s="721"/>
      <c r="M29" s="721">
        <f>M27/M30</f>
        <v>0.13184559861989117</v>
      </c>
      <c r="N29" s="721">
        <f>N27/N30</f>
        <v>0.10156702008872311</v>
      </c>
      <c r="O29" s="722">
        <f>O27/O30</f>
        <v>-0.20736646738504508</v>
      </c>
      <c r="P29" s="721">
        <f>P27/P30</f>
        <v>-3.9507211942188057E-2</v>
      </c>
      <c r="Q29" s="721"/>
      <c r="R29" s="721">
        <f>R27/R30</f>
        <v>4.1965094940186624E-2</v>
      </c>
      <c r="S29" s="721">
        <f>S27/S30</f>
        <v>6.4772253842495062E-2</v>
      </c>
      <c r="T29" s="721">
        <f>T27/T30</f>
        <v>0.13971810441374904</v>
      </c>
      <c r="U29" s="721">
        <f>(U27+10.5)/U30</f>
        <v>0.26538310795102488</v>
      </c>
      <c r="V29" s="721"/>
      <c r="W29" s="721">
        <f>(W27+12.1)/W30</f>
        <v>0.21961635925851361</v>
      </c>
      <c r="X29" s="721">
        <f>(X27+12.1)/X30</f>
        <v>0.22453452892220693</v>
      </c>
      <c r="Y29" s="721">
        <f>(Y27+12.1)/Y30</f>
        <v>0.27688825031929321</v>
      </c>
      <c r="Z29" s="721">
        <f>(Z27+12.1)/Z30</f>
        <v>0.37006925266503471</v>
      </c>
      <c r="AA29" s="721"/>
      <c r="AB29" s="721">
        <f>(AB27+12.37)/AB30</f>
        <v>0.3258690336216063</v>
      </c>
      <c r="AC29" s="721">
        <f>(AC27+12.1)/AC30</f>
        <v>0.20652549025395894</v>
      </c>
      <c r="AD29" s="721">
        <f>(AD27+12.1)/AD30</f>
        <v>0.27791134813636237</v>
      </c>
      <c r="AE29" s="721">
        <f>(AE27+12.37)/AE30</f>
        <v>0.40318612278795046</v>
      </c>
      <c r="AF29" s="721"/>
      <c r="AG29" s="721">
        <f>(AG27)/AG30</f>
        <v>0.30608638647198899</v>
      </c>
      <c r="AH29" s="721">
        <f>(AH27)/AH30</f>
        <v>0.30016681580662585</v>
      </c>
      <c r="AI29" s="721">
        <f>(AI27)/AI30</f>
        <v>0.2407855608507973</v>
      </c>
      <c r="AJ29" s="721">
        <f>(AJ27)/AJ30</f>
        <v>0.38744356497064786</v>
      </c>
      <c r="AK29" s="721"/>
      <c r="AL29" s="721">
        <f>(AL27)/AL30</f>
        <v>0.28840185852830486</v>
      </c>
      <c r="AM29" s="721">
        <f>(AM27)/AM30</f>
        <v>0.15915604537610117</v>
      </c>
      <c r="AN29" s="721">
        <f>(AN27)/AN30</f>
        <v>0.23661787406824558</v>
      </c>
      <c r="AO29" s="721">
        <f>(AO27)/AO30</f>
        <v>0.28132491804882825</v>
      </c>
      <c r="AP29" s="721"/>
      <c r="AQ29" s="721">
        <f>(AQ27)/AQ30</f>
        <v>0.25780517954468279</v>
      </c>
      <c r="AR29" s="721">
        <f>(AR27)/AR30</f>
        <v>0.21474965259285109</v>
      </c>
      <c r="AS29" s="721">
        <f>(AS27)/AS30</f>
        <v>0.30214917825537296</v>
      </c>
      <c r="AT29" s="721">
        <f>(AT27)/AT30</f>
        <v>0.35380507343124168</v>
      </c>
      <c r="AU29" s="721"/>
      <c r="AV29" s="721">
        <f>(AV27)/AV30</f>
        <v>0.33831521739130432</v>
      </c>
      <c r="AW29" s="721">
        <f>(AW27)/AW30</f>
        <v>0.31849791376912379</v>
      </c>
      <c r="AX29" s="721">
        <f>(AX27)/AX30</f>
        <v>0.3455056179775281</v>
      </c>
      <c r="AY29" s="721">
        <f>(AY27)/AY30</f>
        <v>0.34419263456090654</v>
      </c>
      <c r="AZ29" s="721"/>
      <c r="BA29" s="721">
        <f>(BA27)/BA30</f>
        <v>0.3084648493543759</v>
      </c>
      <c r="BB29" s="721">
        <f>(BB27)/BB30</f>
        <v>0.31710709318497915</v>
      </c>
      <c r="BC29" s="721">
        <f>(BC27)/BC30</f>
        <v>0.43607954545454547</v>
      </c>
      <c r="BD29" s="721">
        <f>(BD27)/BD30</f>
        <v>0.50793650793650791</v>
      </c>
      <c r="BE29" s="721"/>
      <c r="BF29" s="721">
        <f>(BF27)/BF30</f>
        <v>0.44674556213017752</v>
      </c>
      <c r="BG29" s="721">
        <f>(BG27)/BG30</f>
        <v>0.35944700460829493</v>
      </c>
      <c r="BH29" s="721">
        <f>(BH27)/BH30</f>
        <v>0.48402555910543132</v>
      </c>
      <c r="BI29" s="721">
        <f>(BI27)/BI30</f>
        <v>0.59640522875816993</v>
      </c>
      <c r="BJ29" s="721"/>
      <c r="BK29" s="721">
        <f>(BK27)/BK30</f>
        <v>0.39625850340136054</v>
      </c>
      <c r="BL29" s="721">
        <f>(BL27)/BL30</f>
        <v>0.34678899082568809</v>
      </c>
      <c r="BM29" s="721">
        <f>(BM27)/BM30</f>
        <v>0.38217821782178218</v>
      </c>
      <c r="BN29" s="721">
        <f>(BN27)/BN30</f>
        <v>0.44308943089430897</v>
      </c>
      <c r="BO29" s="721"/>
      <c r="BP29" s="721">
        <f>(BP27)/BP30</f>
        <v>0.47165991902834009</v>
      </c>
      <c r="BQ29" s="721">
        <f>(BQ27)/BQ30</f>
        <v>0.49490835030549896</v>
      </c>
      <c r="BR29" s="721">
        <f>(BR27)/BR30</f>
        <v>0.63114754098360659</v>
      </c>
      <c r="BS29" s="721">
        <f>(BS27)/BS30</f>
        <v>0.73277661795407101</v>
      </c>
      <c r="BT29" s="721"/>
      <c r="BU29" s="721">
        <f>(BU27)/BU30</f>
        <v>0.70700636942675155</v>
      </c>
      <c r="BV29" s="721">
        <f>(BV27)/BV30</f>
        <v>0.64059196617336156</v>
      </c>
      <c r="BW29" s="721">
        <f>(BW27)/BW30</f>
        <v>0.72008547008547008</v>
      </c>
      <c r="BX29" s="721">
        <f>(BX27)/BX30</f>
        <v>0.67621145374449343</v>
      </c>
      <c r="BY29" s="721"/>
      <c r="BZ29" s="721">
        <f>(BZ27)/BZ30</f>
        <v>0.57649667405764971</v>
      </c>
      <c r="CA29" s="721">
        <f>(CA27)/CA30</f>
        <v>0.69977426636568851</v>
      </c>
      <c r="CB29" s="721">
        <f>(CB27)/CB30</f>
        <v>0.80320366132723109</v>
      </c>
      <c r="CC29" s="721">
        <f>(CC27)/CC30</f>
        <v>0.74532710280373837</v>
      </c>
      <c r="CD29" s="721"/>
      <c r="CE29" s="721">
        <f>(CE27)/CE30</f>
        <v>0.58070754716981132</v>
      </c>
      <c r="CF29" s="721">
        <f>(CF27)/CF30</f>
        <v>0.6441148325358852</v>
      </c>
      <c r="CG29" s="721">
        <f>(CG27)/CG30</f>
        <v>0.62879901960784312</v>
      </c>
      <c r="CH29" s="721">
        <f>(CH27)/CH30</f>
        <v>0.57182835820895528</v>
      </c>
      <c r="CI29" s="721"/>
      <c r="CJ29" s="721">
        <f>(CJ27)/CJ30</f>
        <v>0.31829573934837091</v>
      </c>
      <c r="CK29" s="721">
        <f>(CK27)/CK30</f>
        <v>0.59649122807017541</v>
      </c>
      <c r="CL29" s="721">
        <f>(CL27)/CL30</f>
        <v>0.59499999999999997</v>
      </c>
      <c r="CM29" s="721">
        <f>(CM27)/CM30</f>
        <v>0.51413965087281799</v>
      </c>
      <c r="CN29" s="721"/>
      <c r="CO29" s="721">
        <f>(CO27)/CO30</f>
        <v>0.35749999999999998</v>
      </c>
      <c r="CP29" s="721">
        <f>(CP27)/CP30</f>
        <v>0.58414141414141407</v>
      </c>
      <c r="CQ29" s="721">
        <f>(CQ27)/CQ30</f>
        <v>0.58269720101781175</v>
      </c>
      <c r="CR29" s="721">
        <f>(CR27)/CR30</f>
        <v>0.6081424936386769</v>
      </c>
      <c r="CS29" s="721"/>
      <c r="CT29" s="2088">
        <f>(CT27)/CT30</f>
        <v>0.476305883193057</v>
      </c>
      <c r="CU29" s="2088">
        <f>(CU27)/CU30</f>
        <v>0.68560724816241703</v>
      </c>
      <c r="CV29" s="2088">
        <f>(CV27)/CV30</f>
        <v>0.68196798181324747</v>
      </c>
      <c r="CW29" s="2089">
        <f>(CW27)/CW30</f>
        <v>0.71374205727645712</v>
      </c>
      <c r="CX29" s="721"/>
      <c r="CY29" s="721">
        <f>CY27/CY30</f>
        <v>1.2522335879791255</v>
      </c>
      <c r="CZ29" s="721">
        <f>CZ27/CZ30</f>
        <v>0.99913261130186537</v>
      </c>
      <c r="DA29" s="721">
        <f>DA27/DA30</f>
        <v>-8.9168924741840003E-3</v>
      </c>
      <c r="DB29" s="721">
        <f>(DB27)/DB30</f>
        <v>0.54165510729180943</v>
      </c>
      <c r="DC29" s="721">
        <f>(DC27+12.1*4)/DC30</f>
        <v>1.0925683429503594</v>
      </c>
      <c r="DD29" s="723">
        <f>(DD27+12.1*4)/DD30</f>
        <v>1.2091478142953163</v>
      </c>
      <c r="DE29" s="723">
        <f t="shared" ref="DE29:DJ29" si="14">(DE27)/DE30</f>
        <v>1.2330872231814931</v>
      </c>
      <c r="DF29" s="723">
        <f t="shared" si="14"/>
        <v>0.96793181818181817</v>
      </c>
      <c r="DG29" s="723">
        <f t="shared" si="14"/>
        <v>1.1214867254408061</v>
      </c>
      <c r="DH29" s="723">
        <f t="shared" si="14"/>
        <v>1.344923504867872</v>
      </c>
      <c r="DI29" s="723">
        <f t="shared" si="14"/>
        <v>1.5765379113018598</v>
      </c>
      <c r="DJ29" s="723">
        <f t="shared" si="14"/>
        <v>1.8783151326053042</v>
      </c>
      <c r="DK29" s="723">
        <f t="shared" ref="DK29:DQ29" si="15">(DK27)/DK30</f>
        <v>1.5628517823639776</v>
      </c>
      <c r="DL29" s="723">
        <f t="shared" si="15"/>
        <v>2.3258196721311477</v>
      </c>
      <c r="DM29" s="723">
        <f t="shared" si="15"/>
        <v>2.7438370846730975</v>
      </c>
      <c r="DN29" s="723">
        <f>(DN27)/DN30</f>
        <v>2.8213879408418658</v>
      </c>
      <c r="DO29" s="723">
        <f t="shared" si="15"/>
        <v>2.425871670702179</v>
      </c>
      <c r="DP29" s="723">
        <f t="shared" si="15"/>
        <v>2.0229249999999999</v>
      </c>
      <c r="DQ29" s="723">
        <f t="shared" si="15"/>
        <v>2.1297597977243994</v>
      </c>
      <c r="DR29" s="723">
        <f>(DR27)/DR30</f>
        <v>2.554552679735032</v>
      </c>
      <c r="DS29" s="723">
        <f>(DS27)/DS30</f>
        <v>2.4964960935200362</v>
      </c>
      <c r="DT29" s="2121">
        <f>(DT27)/DT30</f>
        <v>2.45052910191886</v>
      </c>
      <c r="DU29" s="723">
        <f>(DU27)/DU30</f>
        <v>2.4007763509441493</v>
      </c>
      <c r="DV29" s="1771">
        <f>(DV27)/DV30</f>
        <v>2.3478436576038972</v>
      </c>
      <c r="DW29" s="1029"/>
      <c r="DX29"/>
      <c r="DY29"/>
      <c r="DZ29"/>
      <c r="EA29"/>
      <c r="EB29"/>
      <c r="EC29"/>
      <c r="ED29" s="776"/>
    </row>
    <row r="30" spans="1:134" ht="12.75" customHeight="1">
      <c r="A30" s="724" t="s">
        <v>14</v>
      </c>
      <c r="B30" s="725"/>
      <c r="C30" s="725">
        <f>'qtrP&amp;L'!$AP145</f>
        <v>900.04373850000002</v>
      </c>
      <c r="D30" s="725">
        <f>'qtrP&amp;L'!$AP146</f>
        <v>898.99099999999999</v>
      </c>
      <c r="E30" s="725">
        <f>'qtrP&amp;L'!$AP147</f>
        <v>891.32500000000005</v>
      </c>
      <c r="F30" s="725">
        <f>'qtrP&amp;L'!$AP148</f>
        <v>888.51155400000005</v>
      </c>
      <c r="G30" s="725"/>
      <c r="H30" s="725">
        <f>'qtrP&amp;L'!$AT145</f>
        <v>888.02016600000002</v>
      </c>
      <c r="I30" s="725">
        <f>'qtrP&amp;L'!$AT146</f>
        <v>880.11975500000005</v>
      </c>
      <c r="J30" s="725">
        <f>'qtrP&amp;L'!$AT147</f>
        <v>871.57069799999999</v>
      </c>
      <c r="K30" s="725">
        <f>'qtrP&amp;L'!$AT148</f>
        <v>873.32454800000005</v>
      </c>
      <c r="L30" s="725"/>
      <c r="M30" s="725">
        <f>'qtrP&amp;L'!$AX145</f>
        <v>875.87300000000005</v>
      </c>
      <c r="N30" s="725">
        <f>'qtrP&amp;L'!$AX146</f>
        <v>883.662826</v>
      </c>
      <c r="O30" s="725">
        <f>'qtrP&amp;L'!$AX147</f>
        <v>862.42005400000005</v>
      </c>
      <c r="P30" s="725">
        <f>'qtrP&amp;L'!$AX148</f>
        <v>864.60163399999999</v>
      </c>
      <c r="Q30" s="725"/>
      <c r="R30" s="725">
        <f>'qtrP&amp;L'!$BB145</f>
        <v>874.01208199999996</v>
      </c>
      <c r="S30" s="725">
        <f>'qtrP&amp;L'!$BB146</f>
        <v>876.609916</v>
      </c>
      <c r="T30" s="725">
        <f>'qtrP&amp;L'!$BB147</f>
        <v>968.16372200000001</v>
      </c>
      <c r="U30" s="725">
        <f>'qtrP&amp;L'!$BB148</f>
        <v>976.81047599999999</v>
      </c>
      <c r="V30" s="725"/>
      <c r="W30" s="725">
        <f>'qtrP&amp;L'!BF180</f>
        <v>979.60826199999997</v>
      </c>
      <c r="X30" s="725">
        <f>'qtrP&amp;L'!$BF146</f>
        <v>987.51404100000002</v>
      </c>
      <c r="Y30" s="725">
        <f>'qtrP&amp;L'!$BF147</f>
        <v>990.02034100000003</v>
      </c>
      <c r="Z30" s="725">
        <f>'qtrP&amp;L'!$BF148</f>
        <v>994.75435300000004</v>
      </c>
      <c r="AA30" s="725"/>
      <c r="AB30" s="725">
        <f>'qtrP&amp;L'!$BJ145</f>
        <v>996.32664199999999</v>
      </c>
      <c r="AC30" s="725">
        <f>'qtrP&amp;L'!$BJ146</f>
        <v>1002.74305</v>
      </c>
      <c r="AD30" s="725">
        <f>'qtrP&amp;L'!$BJ147</f>
        <v>997.62029099999995</v>
      </c>
      <c r="AE30" s="725">
        <f>'qtrP&amp;L'!$BJ148</f>
        <v>967.95742199999995</v>
      </c>
      <c r="AF30" s="725"/>
      <c r="AG30" s="725">
        <f>'qtrP&amp;L'!$BN145</f>
        <v>951.86199999999997</v>
      </c>
      <c r="AH30" s="725">
        <f>'qtrP&amp;L'!$BN146</f>
        <v>905.19</v>
      </c>
      <c r="AI30" s="725">
        <f>'qtrP&amp;L'!$BN147</f>
        <v>881.71400000000006</v>
      </c>
      <c r="AJ30" s="725">
        <f>'qtrP&amp;L'!$BN148</f>
        <v>870.47</v>
      </c>
      <c r="AK30" s="725"/>
      <c r="AL30" s="725">
        <f>'qtrP&amp;L'!$BR145</f>
        <v>860.68100000000004</v>
      </c>
      <c r="AM30" s="725">
        <f>'qtrP&amp;L'!$BR146</f>
        <v>841.94100000000003</v>
      </c>
      <c r="AN30" s="725">
        <f>'qtrP&amp;L'!$BR147</f>
        <v>832.43499999999995</v>
      </c>
      <c r="AO30" s="725">
        <f>'qtrP&amp;L'!$BR148</f>
        <v>817.56</v>
      </c>
      <c r="AP30" s="725"/>
      <c r="AQ30" s="725">
        <f>'qtrP&amp;L'!$BV145</f>
        <v>818.68200000000002</v>
      </c>
      <c r="AR30" s="725">
        <f>'qtrP&amp;L'!$BV146</f>
        <v>816.76499999999999</v>
      </c>
      <c r="AS30" s="725">
        <f>'qtrP&amp;L'!$BV147</f>
        <v>791</v>
      </c>
      <c r="AT30" s="725">
        <f>'qtrP&amp;L'!$BV148</f>
        <v>749</v>
      </c>
      <c r="AU30" s="725"/>
      <c r="AV30" s="725">
        <f>'qtrP&amp;L'!BZ145</f>
        <v>736</v>
      </c>
      <c r="AW30" s="725">
        <f>'qtrP&amp;L'!BZ146</f>
        <v>719</v>
      </c>
      <c r="AX30" s="725">
        <f>'qtrP&amp;L'!BZ147</f>
        <v>712</v>
      </c>
      <c r="AY30" s="725">
        <f>'qtrP&amp;L'!BZ148</f>
        <v>706</v>
      </c>
      <c r="AZ30" s="725"/>
      <c r="BA30" s="725">
        <f>'qtrP&amp;L'!$CD$145</f>
        <v>697</v>
      </c>
      <c r="BB30" s="725">
        <f>'qtrP&amp;L'!$CD$146</f>
        <v>719</v>
      </c>
      <c r="BC30" s="725">
        <f>'qtrP&amp;L'!$CD$147</f>
        <v>704</v>
      </c>
      <c r="BD30" s="725">
        <f>'qtrP&amp;L'!$CD$148</f>
        <v>693</v>
      </c>
      <c r="BE30" s="725"/>
      <c r="BF30" s="725">
        <f>'qtrP&amp;L'!$CH$145</f>
        <v>676</v>
      </c>
      <c r="BG30" s="725">
        <f>'qtrP&amp;L'!$CH$146</f>
        <v>651</v>
      </c>
      <c r="BH30" s="725">
        <f>'qtrP&amp;L'!$CH$147</f>
        <v>626</v>
      </c>
      <c r="BI30" s="725">
        <f>'qtrP&amp;L'!$CH$148</f>
        <v>612</v>
      </c>
      <c r="BJ30" s="725"/>
      <c r="BK30" s="725">
        <f>'qtrP&amp;L'!$CL$145</f>
        <v>588</v>
      </c>
      <c r="BL30" s="725">
        <f>'qtrP&amp;L'!$CL$146</f>
        <v>545</v>
      </c>
      <c r="BM30" s="725">
        <f>'qtrP&amp;L'!$CL$147</f>
        <v>505</v>
      </c>
      <c r="BN30" s="726">
        <f>'qtrP&amp;L'!$CL$148</f>
        <v>492</v>
      </c>
      <c r="BO30" s="726"/>
      <c r="BP30" s="725">
        <f>'qtrP&amp;L'!$CP$145</f>
        <v>494</v>
      </c>
      <c r="BQ30" s="725">
        <f>'qtrP&amp;L'!$CP$146</f>
        <v>491</v>
      </c>
      <c r="BR30" s="725">
        <f>'qtrP&amp;L'!$CP$147</f>
        <v>488</v>
      </c>
      <c r="BS30" s="726">
        <f>'qtrP&amp;L'!$CP$148</f>
        <v>479</v>
      </c>
      <c r="BT30" s="726"/>
      <c r="BU30" s="726">
        <f>'qtrP&amp;L'!CT145</f>
        <v>471</v>
      </c>
      <c r="BV30" s="726">
        <f>'qtrP&amp;L'!CT146</f>
        <v>473</v>
      </c>
      <c r="BW30" s="726">
        <f>'qtrP&amp;L'!CT147</f>
        <v>468</v>
      </c>
      <c r="BX30" s="726">
        <f>'qtrP&amp;L'!CT148</f>
        <v>454</v>
      </c>
      <c r="BY30" s="726"/>
      <c r="BZ30" s="726">
        <f>'qtrP&amp;L'!CX145</f>
        <v>451</v>
      </c>
      <c r="CA30" s="726">
        <f>'qtrP&amp;L'!CX146</f>
        <v>443</v>
      </c>
      <c r="CB30" s="726">
        <f>'qtrP&amp;L'!CX147</f>
        <v>437</v>
      </c>
      <c r="CC30" s="726">
        <f>'qtrP&amp;L'!CX148</f>
        <v>428</v>
      </c>
      <c r="CD30" s="726"/>
      <c r="CE30" s="726">
        <f>'qtrP&amp;L'!DB145</f>
        <v>424</v>
      </c>
      <c r="CF30" s="726">
        <f>'qtrP&amp;L'!DB146</f>
        <v>418</v>
      </c>
      <c r="CG30" s="726">
        <f>'qtrP&amp;L'!DB147</f>
        <v>408</v>
      </c>
      <c r="CH30" s="726">
        <f>'qtrP&amp;L'!DB148</f>
        <v>402</v>
      </c>
      <c r="CI30" s="726"/>
      <c r="CJ30" s="726">
        <f t="array" ref="CJ30:CM30">TRANSPOSE('qtrP&amp;L'!DF145:DF148)</f>
        <v>399</v>
      </c>
      <c r="CK30" s="726">
        <v>399</v>
      </c>
      <c r="CL30" s="726">
        <v>400</v>
      </c>
      <c r="CM30" s="726">
        <v>401</v>
      </c>
      <c r="CN30" s="726"/>
      <c r="CO30" s="726">
        <f t="array" ref="CO30:CR30">TRANSPOSE('qtrP&amp;L'!DJ145:DJ148)</f>
        <v>400</v>
      </c>
      <c r="CP30" s="726">
        <v>396</v>
      </c>
      <c r="CQ30" s="726">
        <v>393</v>
      </c>
      <c r="CR30" s="726">
        <v>393</v>
      </c>
      <c r="CS30" s="726"/>
      <c r="CT30" s="1973">
        <f t="array" ref="CT30:CW30">TRANSPOSE('qtrP&amp;L'!DN145:DN148)</f>
        <v>389.66666666666669</v>
      </c>
      <c r="CU30" s="1973">
        <v>386.33333333333337</v>
      </c>
      <c r="CV30" s="1973">
        <v>383.00000000000006</v>
      </c>
      <c r="CW30" s="1772">
        <v>379.66666666666674</v>
      </c>
      <c r="CX30" s="726"/>
      <c r="CY30" s="726">
        <f>'yrP&amp;L'!K54</f>
        <v>900.04373850000002</v>
      </c>
      <c r="CZ30" s="726">
        <f>'yrP&amp;L'!L54</f>
        <v>878.25879175</v>
      </c>
      <c r="DA30" s="727">
        <f>'yrP&amp;L'!M54</f>
        <v>870.70692200000008</v>
      </c>
      <c r="DB30" s="728">
        <f>'qtrP&amp;L'!BB149</f>
        <v>881.47788800000001</v>
      </c>
      <c r="DC30" s="726">
        <f>'yrP&amp;L'!O55</f>
        <v>988.178</v>
      </c>
      <c r="DD30" s="726">
        <f>'yrP&amp;L'!P55</f>
        <v>991.12199999999996</v>
      </c>
      <c r="DE30" s="726">
        <f>'yrP&amp;L'!Q55</f>
        <v>902.30600000000004</v>
      </c>
      <c r="DF30" s="728">
        <f>'yrP&amp;L'!R54</f>
        <v>836</v>
      </c>
      <c r="DG30" s="726">
        <f>'yrP&amp;L'!S55</f>
        <v>794</v>
      </c>
      <c r="DH30" s="728">
        <f>'yrP&amp;L'!T55</f>
        <v>719</v>
      </c>
      <c r="DI30" s="726">
        <f>'yrP&amp;L'!U55</f>
        <v>699</v>
      </c>
      <c r="DJ30" s="726">
        <f>'yrP&amp;L'!V55</f>
        <v>641</v>
      </c>
      <c r="DK30" s="726">
        <f>'yrP&amp;L'!W54</f>
        <v>533</v>
      </c>
      <c r="DL30" s="726">
        <f>'yrP&amp;L'!X54</f>
        <v>488</v>
      </c>
      <c r="DM30" s="726">
        <f>'yrP&amp;L'!Y54</f>
        <v>466.5</v>
      </c>
      <c r="DN30" s="726">
        <f>'yrP&amp;L'!Z54</f>
        <v>439.5</v>
      </c>
      <c r="DO30" s="726">
        <f>'yrP&amp;L'!AA54</f>
        <v>413</v>
      </c>
      <c r="DP30" s="726">
        <f>'yrP&amp;L'!AB54</f>
        <v>400</v>
      </c>
      <c r="DQ30" s="726">
        <f>'yrP&amp;L'!AC54</f>
        <v>395.5</v>
      </c>
      <c r="DR30" s="726">
        <f>'yrP&amp;L'!AD54</f>
        <v>384.66666666666669</v>
      </c>
      <c r="DS30" s="726">
        <f>'yrP&amp;L'!AE54</f>
        <v>371.73563218390808</v>
      </c>
      <c r="DT30" s="727">
        <f>'yrP&amp;L'!AF54</f>
        <v>361.02134646962236</v>
      </c>
      <c r="DU30" s="726">
        <f>'yrP&amp;L'!AG54</f>
        <v>350.8862113344872</v>
      </c>
      <c r="DV30" s="1772">
        <f>'yrP&amp;L'!AH54</f>
        <v>341.27082671910256</v>
      </c>
      <c r="DW30" s="726"/>
    </row>
    <row r="31" spans="1:134" ht="12.75" hidden="1" customHeight="1" outlineLevel="1">
      <c r="A31" s="729" t="s">
        <v>82</v>
      </c>
      <c r="B31" s="729"/>
      <c r="C31" s="729"/>
      <c r="D31" s="729"/>
      <c r="E31" s="729"/>
      <c r="F31" s="729"/>
      <c r="G31" s="729"/>
      <c r="H31" s="729">
        <f>'qtrP&amp;L'!AT209</f>
        <v>850.32600000000002</v>
      </c>
      <c r="I31" s="725">
        <f>'qtrP&amp;L'!$AT210</f>
        <v>849.64099999999996</v>
      </c>
      <c r="J31" s="725">
        <f>'qtrP&amp;L'!$AT211</f>
        <v>848.75400000000002</v>
      </c>
      <c r="K31" s="725">
        <f>'qtrP&amp;L'!$AT212</f>
        <v>850.46799999999996</v>
      </c>
      <c r="L31" s="729"/>
      <c r="M31" s="729">
        <f>'qtrP&amp;L'!AX209</f>
        <v>854.33299999999997</v>
      </c>
      <c r="N31" s="725">
        <f>'qtrP&amp;L'!$AT210</f>
        <v>849.64099999999996</v>
      </c>
      <c r="O31" s="725">
        <f>'qtrP&amp;L'!$AT211</f>
        <v>848.75400000000002</v>
      </c>
      <c r="P31" s="725">
        <f>'qtrP&amp;L'!$AT212</f>
        <v>850.46799999999996</v>
      </c>
      <c r="Q31" s="729"/>
      <c r="R31" s="729">
        <f>'qtrP&amp;L'!BB209</f>
        <v>866.68600000000004</v>
      </c>
      <c r="S31" s="725">
        <f>'qtrP&amp;L'!$BB210</f>
        <v>869.51900000000001</v>
      </c>
      <c r="T31" s="725">
        <f>'qtrP&amp;L'!$BB211</f>
        <v>879.27599999999995</v>
      </c>
      <c r="U31" s="725">
        <f>'qtrP&amp;L'!$BB212</f>
        <v>886.702</v>
      </c>
      <c r="V31" s="729"/>
      <c r="W31" s="729">
        <f>'qtrP&amp;L'!BF209</f>
        <v>888.81399999999996</v>
      </c>
      <c r="X31" s="725">
        <f>'qtrP&amp;L'!$BF210</f>
        <v>891.702</v>
      </c>
      <c r="Y31" s="725">
        <f>'qtrP&amp;L'!$BF211</f>
        <v>893.71</v>
      </c>
      <c r="Z31" s="725">
        <f>'qtrP&amp;L'!$BF212</f>
        <v>896.01199999999994</v>
      </c>
      <c r="AA31" s="729"/>
      <c r="AB31" s="729">
        <f>'qtrP&amp;L'!BJ209</f>
        <v>898.08199999999999</v>
      </c>
      <c r="AC31" s="725">
        <f>'qtrP&amp;L'!$BJ210</f>
        <v>901.99598600000002</v>
      </c>
      <c r="AD31" s="725">
        <f>'qtrP&amp;L'!$BJ211</f>
        <v>890.24859749999996</v>
      </c>
      <c r="AE31" s="725">
        <f>'qtrP&amp;L'!$BJ212</f>
        <v>867.63381300000003</v>
      </c>
      <c r="AF31" s="729"/>
      <c r="AG31" s="729">
        <f>'qtrP&amp;L'!BN209</f>
        <v>880.31724250000002</v>
      </c>
      <c r="AH31" s="725">
        <f>'qtrP&amp;L'!$BN210</f>
        <v>890.05722149999997</v>
      </c>
      <c r="AI31" s="725">
        <f>'qtrP&amp;L'!$BN211</f>
        <v>873.81758549999995</v>
      </c>
      <c r="AJ31" s="725">
        <f>'qtrP&amp;L'!$BN212</f>
        <v>861.61889150000002</v>
      </c>
      <c r="AK31" s="729"/>
      <c r="AL31" s="729">
        <f>'qtrP&amp;L'!BR209</f>
        <v>852.73900000000003</v>
      </c>
      <c r="AM31" s="725">
        <f>'qtrP&amp;L'!$BR210</f>
        <v>835.06</v>
      </c>
      <c r="AN31" s="725">
        <f>'qtrP&amp;L'!$BR211</f>
        <v>825</v>
      </c>
      <c r="AO31" s="725">
        <f>'qtrP&amp;L'!$BR212</f>
        <v>813</v>
      </c>
      <c r="AP31" s="729"/>
      <c r="AQ31" s="729">
        <f>'qtrP&amp;L'!BV209</f>
        <v>815</v>
      </c>
      <c r="AR31" s="725">
        <f>'qtrP&amp;L'!$BV210</f>
        <v>813.73699999999997</v>
      </c>
      <c r="AS31" s="725">
        <f>'qtrP&amp;L'!$BV211</f>
        <v>788</v>
      </c>
      <c r="AT31" s="725">
        <f>'qtrP&amp;L'!$BV212</f>
        <v>745</v>
      </c>
      <c r="AU31" s="729"/>
      <c r="AV31" s="729">
        <f>'qtrP&amp;L'!BZ209</f>
        <v>733</v>
      </c>
      <c r="AW31" s="725">
        <f>'qtrP&amp;L'!$BZ210</f>
        <v>717</v>
      </c>
      <c r="AX31" s="725">
        <f>'qtrP&amp;L'!$BZ211</f>
        <v>709</v>
      </c>
      <c r="AY31" s="725">
        <f>'qtrP&amp;L'!$BZ212</f>
        <v>701.10065699999996</v>
      </c>
      <c r="AZ31" s="729"/>
      <c r="BA31" s="729">
        <f>'qtrP&amp;L'!$CD209</f>
        <v>695</v>
      </c>
      <c r="BB31" s="725">
        <f>'qtrP&amp;L'!$CD210</f>
        <v>697</v>
      </c>
      <c r="BC31" s="725">
        <f>'qtrP&amp;L'!$CD211</f>
        <v>698</v>
      </c>
      <c r="BD31" s="725">
        <f>'qtrP&amp;L'!$CD212</f>
        <v>686</v>
      </c>
      <c r="BE31" s="729"/>
      <c r="BF31" s="729">
        <f>'qtrP&amp;L'!$CH209</f>
        <v>668</v>
      </c>
      <c r="BG31" s="725">
        <f>'qtrP&amp;L'!$CH210</f>
        <v>646</v>
      </c>
      <c r="BH31" s="725">
        <f>'qtrP&amp;L'!$CH211</f>
        <v>622</v>
      </c>
      <c r="BI31" s="725">
        <f>'qtrP&amp;L'!$CH212</f>
        <v>606</v>
      </c>
      <c r="BJ31" s="729"/>
      <c r="BK31" s="729">
        <f>'qtrP&amp;L'!$CL209</f>
        <v>583</v>
      </c>
      <c r="BL31" s="726">
        <f>'qtrP&amp;L'!$CL210</f>
        <v>542</v>
      </c>
      <c r="BM31" s="726">
        <f>'qtrP&amp;L'!$CL211</f>
        <v>503</v>
      </c>
      <c r="BN31" s="726">
        <f>'qtrP&amp;L'!$CL212</f>
        <v>488</v>
      </c>
      <c r="BO31" s="730"/>
      <c r="BP31" s="729">
        <f>'qtrP&amp;L'!$CP209</f>
        <v>489</v>
      </c>
      <c r="BQ31" s="726">
        <f>'qtrP&amp;L'!$CP210</f>
        <v>486</v>
      </c>
      <c r="BR31" s="726">
        <f>'qtrP&amp;L'!$CP211</f>
        <v>481</v>
      </c>
      <c r="BS31" s="726">
        <f>'qtrP&amp;L'!$CP212</f>
        <v>472</v>
      </c>
      <c r="BT31" s="726"/>
      <c r="BU31" s="726">
        <f>'qtrP&amp;L'!CT209</f>
        <v>464</v>
      </c>
      <c r="BV31" s="726">
        <f>'qtrP&amp;L'!CT210</f>
        <v>468</v>
      </c>
      <c r="BW31" s="726">
        <f>'qtrP&amp;L'!CT211</f>
        <v>463</v>
      </c>
      <c r="BX31" s="726">
        <f>'qtrP&amp;L'!CT212</f>
        <v>449</v>
      </c>
      <c r="BY31" s="726"/>
      <c r="BZ31" s="726">
        <f>'qtrP&amp;L'!CX209</f>
        <v>445</v>
      </c>
      <c r="CA31" s="726">
        <f>'qtrP&amp;L'!CX210</f>
        <v>439</v>
      </c>
      <c r="CB31" s="726">
        <f>'qtrP&amp;L'!CX211</f>
        <v>432</v>
      </c>
      <c r="CC31" s="726">
        <f>'qtrP&amp;L'!CX212</f>
        <v>423</v>
      </c>
      <c r="CD31" s="726"/>
      <c r="CE31" s="726">
        <f>'qtrP&amp;L'!DB209</f>
        <v>421</v>
      </c>
      <c r="CF31" s="726">
        <f>'qtrP&amp;L'!DB210</f>
        <v>414</v>
      </c>
      <c r="CG31" s="726">
        <f>'qtrP&amp;L'!DB211</f>
        <v>406</v>
      </c>
      <c r="CH31" s="726">
        <f>'qtrP&amp;L'!DB212</f>
        <v>400</v>
      </c>
      <c r="CI31" s="726"/>
      <c r="CJ31" s="726">
        <f t="array" ref="CJ31:CM31">TRANSPOSE('qtrP&amp;L'!DF209:DF212)</f>
        <v>398</v>
      </c>
      <c r="CK31" s="726">
        <v>398</v>
      </c>
      <c r="CL31" s="726">
        <v>399</v>
      </c>
      <c r="CM31" s="726">
        <v>399</v>
      </c>
      <c r="CN31" s="726"/>
      <c r="CO31" s="726">
        <f t="array" ref="CO31:CR31">TRANSPOSE('qtrP&amp;L'!DJ209:DJ212)</f>
        <v>399</v>
      </c>
      <c r="CP31" s="726">
        <v>395</v>
      </c>
      <c r="CQ31" s="726">
        <v>391</v>
      </c>
      <c r="CR31" s="726">
        <v>389</v>
      </c>
      <c r="CS31" s="726"/>
      <c r="CT31" s="1973">
        <f t="array" ref="CT31:CW31">TRANSPOSE('qtrP&amp;L'!DN209:DN212)</f>
        <v>385.66666666666669</v>
      </c>
      <c r="CU31" s="1973">
        <v>382.33333333333337</v>
      </c>
      <c r="CV31" s="1973">
        <v>379.00000000000006</v>
      </c>
      <c r="CW31" s="1973">
        <v>375.66666666666674</v>
      </c>
      <c r="CX31" s="726"/>
      <c r="CY31" s="730">
        <f>'qtrP&amp;L'!AP213</f>
        <v>855.86026912499995</v>
      </c>
      <c r="CZ31" s="730">
        <f>'qtrP&amp;L'!AT213</f>
        <v>849.79724999999996</v>
      </c>
      <c r="DA31" s="730">
        <f>'qtrP&amp;L'!AX213</f>
        <v>860.25649999999996</v>
      </c>
      <c r="DB31" s="731">
        <f>'qtrP&amp;L'!BB213</f>
        <v>875.54575</v>
      </c>
      <c r="DC31" s="730">
        <f>'qtrP&amp;L'!BF213</f>
        <v>892.55950000000007</v>
      </c>
      <c r="DD31" s="730">
        <f>'qtrP&amp;L'!BJ213</f>
        <v>889.49009912500003</v>
      </c>
      <c r="DE31" s="730">
        <f>'qtrP&amp;L'!BN213</f>
        <v>876.45273524999993</v>
      </c>
      <c r="DF31" s="731">
        <f>'qtrP&amp;L'!BR213</f>
        <v>831</v>
      </c>
      <c r="DG31" s="730">
        <f>'qtrP&amp;L'!BV213</f>
        <v>791</v>
      </c>
      <c r="DH31" s="731">
        <f>'qtrP&amp;L'!BZ213</f>
        <v>716</v>
      </c>
      <c r="DI31" s="730">
        <f>'qtrP&amp;L'!CD213</f>
        <v>694</v>
      </c>
      <c r="DJ31" s="730">
        <f>'qtrP&amp;L'!CH213</f>
        <v>636</v>
      </c>
      <c r="DK31" s="730">
        <f>'yrP&amp;L'!W88</f>
        <v>529</v>
      </c>
      <c r="DL31" s="730">
        <f>'yrP&amp;L'!X88</f>
        <v>482</v>
      </c>
      <c r="DM31" s="730">
        <f>'yrP&amp;L'!Y88</f>
        <v>461</v>
      </c>
      <c r="DN31" s="730">
        <f>'yrP&amp;L'!Z88</f>
        <v>434</v>
      </c>
      <c r="DO31" s="730">
        <f>'yrP&amp;L'!AA88</f>
        <v>407.5</v>
      </c>
      <c r="DP31" s="730">
        <f>'yrP&amp;L'!AB88</f>
        <v>399</v>
      </c>
      <c r="DQ31" s="730">
        <f>'yrP&amp;L'!AC88</f>
        <v>394.5</v>
      </c>
      <c r="DR31" s="730">
        <f>'yrP&amp;L'!AD88</f>
        <v>383.66666666666669</v>
      </c>
      <c r="DS31" s="730">
        <f>'yrP&amp;L'!AE88</f>
        <v>370.73563218390808</v>
      </c>
      <c r="DT31" s="732">
        <f>'yrP&amp;L'!AF88</f>
        <v>360.02134646962236</v>
      </c>
      <c r="DU31" s="730">
        <f>'yrP&amp;L'!AG88</f>
        <v>349.8862113344872</v>
      </c>
      <c r="DV31" s="1773">
        <f>'yrP&amp;L'!AH88</f>
        <v>340.27082671910256</v>
      </c>
      <c r="DW31" s="730"/>
      <c r="ED31" s="649"/>
    </row>
    <row r="32" spans="1:134" ht="12.75" hidden="1" customHeight="1" outlineLevel="1">
      <c r="A32" s="641" t="s">
        <v>195</v>
      </c>
      <c r="B32" s="641"/>
      <c r="C32" s="641"/>
      <c r="D32" s="641"/>
      <c r="E32" s="641"/>
      <c r="F32" s="733"/>
      <c r="G32" s="641"/>
      <c r="H32" s="729">
        <f>'qtrP&amp;L'!$AT198</f>
        <v>850.08421899999996</v>
      </c>
      <c r="I32" s="725">
        <f>'qtrP&amp;L'!$AT199</f>
        <v>849.45170900000005</v>
      </c>
      <c r="J32" s="725">
        <f>'qtrP&amp;L'!$AT200</f>
        <v>849.69514600000002</v>
      </c>
      <c r="K32" s="725">
        <f>'qtrP&amp;L'!$AT201</f>
        <v>854.42940199999998</v>
      </c>
      <c r="L32" s="641"/>
      <c r="M32" s="729">
        <f>'qtrP&amp;L'!$AX198</f>
        <v>859.49304199999995</v>
      </c>
      <c r="N32" s="725">
        <f>'qtrP&amp;L'!$AX199</f>
        <v>862.43522900000005</v>
      </c>
      <c r="O32" s="725">
        <f>'qtrP&amp;L'!$AX200</f>
        <v>864.84794099999999</v>
      </c>
      <c r="P32" s="725">
        <f>'qtrP&amp;L'!$AX201</f>
        <v>866.75924999999995</v>
      </c>
      <c r="Q32" s="641"/>
      <c r="R32" s="729">
        <f>'qtrP&amp;L'!$BB198</f>
        <v>869.81928200000004</v>
      </c>
      <c r="S32" s="725">
        <f>'qtrP&amp;L'!$BB199</f>
        <v>870.460193</v>
      </c>
      <c r="T32" s="725">
        <f>'qtrP&amp;L'!$BB200</f>
        <v>883.89985799999999</v>
      </c>
      <c r="U32" s="725">
        <f>'qtrP&amp;L'!$BB201</f>
        <v>889.16448800000001</v>
      </c>
      <c r="V32" s="641"/>
      <c r="W32" s="729">
        <f>'qtrP&amp;L'!$BF198</f>
        <v>890.60138500000005</v>
      </c>
      <c r="X32" s="725">
        <f>'qtrP&amp;L'!$BF199</f>
        <v>893.44320800000003</v>
      </c>
      <c r="Y32" s="725">
        <f>'qtrP&amp;L'!$BF200</f>
        <v>895.83414300000004</v>
      </c>
      <c r="Z32" s="725">
        <f>'qtrP&amp;L'!$BF201</f>
        <v>898.09523300000001</v>
      </c>
      <c r="AA32" s="641"/>
      <c r="AB32" s="729">
        <f>'qtrP&amp;L'!$BJ198</f>
        <v>900.23315200000002</v>
      </c>
      <c r="AC32" s="725">
        <f>'qtrP&amp;L'!$BJ199</f>
        <v>903.75882000000001</v>
      </c>
      <c r="AD32" s="725">
        <f>'qtrP&amp;L'!$BJ200</f>
        <v>876.73837500000002</v>
      </c>
      <c r="AE32" s="725">
        <f>'qtrP&amp;L'!$BJ201</f>
        <v>858.52925100000004</v>
      </c>
      <c r="AF32" s="641"/>
      <c r="AG32" s="729">
        <f>'qtrP&amp;L'!$BN198</f>
        <v>902.105234</v>
      </c>
      <c r="AH32" s="725">
        <f>'qtrP&amp;L'!$BN199</f>
        <v>878.00920900000006</v>
      </c>
      <c r="AI32" s="725">
        <f>'qtrP&amp;L'!$BN200</f>
        <v>869.62596199999996</v>
      </c>
      <c r="AJ32" s="725">
        <f>'qtrP&amp;L'!$BN201</f>
        <v>853.61182099999996</v>
      </c>
      <c r="AK32" s="641"/>
      <c r="AL32" s="729">
        <f>'qtrP&amp;L'!$BR198</f>
        <v>833.36313700000005</v>
      </c>
      <c r="AM32" s="725">
        <f>'qtrP&amp;L'!$BR199</f>
        <v>828.50412700000004</v>
      </c>
      <c r="AN32" s="725">
        <f>'qtrP&amp;L'!$BR200</f>
        <v>810.62275699999998</v>
      </c>
      <c r="AO32" s="725">
        <f>'qtrP&amp;L'!$BR201</f>
        <v>815.64673700000003</v>
      </c>
      <c r="AP32" s="733"/>
      <c r="AQ32" s="729">
        <f>'qtrP&amp;L'!$BV198</f>
        <v>815.92547100000002</v>
      </c>
      <c r="AR32" s="725">
        <f>'qtrP&amp;L'!$BV199</f>
        <v>798.22433699999999</v>
      </c>
      <c r="AS32" s="725">
        <f>'qtrP&amp;L'!$BV200</f>
        <v>751.20374300000003</v>
      </c>
      <c r="AT32" s="725">
        <f>'qtrP&amp;L'!$BV201</f>
        <v>735.07122100000004</v>
      </c>
      <c r="AU32" s="733"/>
      <c r="AV32" s="729">
        <f>'qtrP&amp;L'!$BZ198</f>
        <v>723.95657800000004</v>
      </c>
      <c r="AW32" s="725">
        <f>'qtrP&amp;L'!$BZ199</f>
        <v>711.417598</v>
      </c>
      <c r="AX32" s="725">
        <f>'qtrP&amp;L'!$BZ200</f>
        <v>706.48307499999999</v>
      </c>
      <c r="AY32" s="725">
        <f>'qtrP&amp;L'!$BZ201</f>
        <v>695.71823900000004</v>
      </c>
      <c r="AZ32" s="733"/>
      <c r="BA32" s="729">
        <f>'qtrP&amp;L'!$CD198</f>
        <v>696.81928200000004</v>
      </c>
      <c r="BB32" s="725">
        <f>'qtrP&amp;L'!$CD199</f>
        <v>697.84136699999999</v>
      </c>
      <c r="BC32" s="725">
        <f>'qtrP&amp;L'!$CD200</f>
        <v>689.99289899999997</v>
      </c>
      <c r="BD32" s="725">
        <f>'qtrP&amp;L'!$CD201</f>
        <v>667.42010400000004</v>
      </c>
      <c r="BE32" s="733"/>
      <c r="BF32" s="729">
        <f>'qtrP&amp;L'!$CH198</f>
        <v>650.59314700000004</v>
      </c>
      <c r="BG32" s="725">
        <f>'qtrP&amp;L'!$CH199</f>
        <v>618.88300100000004</v>
      </c>
      <c r="BH32" s="725">
        <f>'qtrP&amp;L'!$CH200</f>
        <v>614.36039300000004</v>
      </c>
      <c r="BI32" s="725">
        <f>'qtrP&amp;L'!$CH201</f>
        <v>584.49203199999999</v>
      </c>
      <c r="BJ32" s="733"/>
      <c r="BK32" s="729">
        <f>'qtrP&amp;L'!$CL198</f>
        <v>550.42633799999999</v>
      </c>
      <c r="BL32" s="729">
        <f>'qtrP&amp;L'!$CL199</f>
        <v>510.20663100000002</v>
      </c>
      <c r="BM32" s="729">
        <f>'qtrP&amp;L'!$CL200</f>
        <v>488.30523599999998</v>
      </c>
      <c r="BN32" s="726">
        <f>'qtrP&amp;L'!$CL201</f>
        <v>487.72442599999999</v>
      </c>
      <c r="BO32" s="734"/>
      <c r="BP32" s="729">
        <f>'qtrP&amp;L'!$CP198</f>
        <v>489.21761500000002</v>
      </c>
      <c r="BQ32" s="729">
        <f>'qtrP&amp;L'!$CP199</f>
        <v>480.93517000000003</v>
      </c>
      <c r="BR32" s="729">
        <f>'qtrP&amp;L'!$CP200</f>
        <v>479.419352</v>
      </c>
      <c r="BS32" s="726">
        <f>'qtrP&amp;L'!$CP201</f>
        <v>470.419352</v>
      </c>
      <c r="BT32" s="726"/>
      <c r="BU32" s="726">
        <f>'qtrP&amp;L'!CT198</f>
        <v>467.69985100000002</v>
      </c>
      <c r="BV32" s="726">
        <f>'qtrP&amp;L'!CT199</f>
        <v>467.5027</v>
      </c>
      <c r="BW32" s="726">
        <f>'qtrP&amp;L'!CT200</f>
        <v>448.97480100000001</v>
      </c>
      <c r="BX32" s="726">
        <f>'qtrP&amp;L'!CT201</f>
        <v>446</v>
      </c>
      <c r="BY32" s="726"/>
      <c r="BZ32" s="726">
        <f>'qtrP&amp;L'!CX198</f>
        <v>440.72397899999999</v>
      </c>
      <c r="CA32" s="726">
        <f>'qtrP&amp;L'!CX199</f>
        <v>434.86557399999998</v>
      </c>
      <c r="CB32" s="726">
        <f>'qtrP&amp;L'!CX200</f>
        <v>423.576007</v>
      </c>
      <c r="CC32" s="726">
        <f>'qtrP&amp;L'!CX201</f>
        <v>421</v>
      </c>
      <c r="CD32" s="726"/>
      <c r="CE32" s="726">
        <f>'qtrP&amp;L'!DB198</f>
        <v>419</v>
      </c>
      <c r="CF32" s="726">
        <f>'qtrP&amp;L'!DB199</f>
        <v>409</v>
      </c>
      <c r="CG32" s="726">
        <f>'qtrP&amp;L'!DB200</f>
        <v>402.75</v>
      </c>
      <c r="CH32" s="726">
        <f>'qtrP&amp;L'!DB201</f>
        <v>397</v>
      </c>
      <c r="CI32" s="726"/>
      <c r="CJ32" s="726">
        <f t="array" ref="CJ32:CM32">TRANSPOSE('qtrP&amp;L'!DF198:DF201)</f>
        <v>397.96433500000001</v>
      </c>
      <c r="CK32" s="726">
        <v>398.47705100000002</v>
      </c>
      <c r="CL32" s="726">
        <v>398.88136700000001</v>
      </c>
      <c r="CM32" s="726">
        <v>399.84348499999999</v>
      </c>
      <c r="CN32" s="726"/>
      <c r="CO32" s="726">
        <f t="array" ref="CO32:CR32">TRANSPOSE('qtrP&amp;L'!DJ198:DJ201)</f>
        <v>395.75903099999999</v>
      </c>
      <c r="CP32" s="726">
        <v>392.15875999999997</v>
      </c>
      <c r="CQ32" s="726">
        <v>388.85707300000001</v>
      </c>
      <c r="CR32" s="726">
        <v>389.31883900000003</v>
      </c>
      <c r="CS32" s="726"/>
      <c r="CT32" s="1973">
        <f t="array" ref="CT32:CW32">TRANSPOSE('qtrP&amp;L'!DN198:DN201)</f>
        <v>385.98550566666671</v>
      </c>
      <c r="CU32" s="1973">
        <v>382.6521723333334</v>
      </c>
      <c r="CV32" s="1973">
        <v>379.31883900000008</v>
      </c>
      <c r="CW32" s="1973">
        <v>375.98550566666677</v>
      </c>
      <c r="CX32" s="726"/>
      <c r="CY32" s="730">
        <f>'yrP&amp;L'!K87</f>
        <v>851.57768899999996</v>
      </c>
      <c r="CZ32" s="730">
        <f>'yrP&amp;L'!L87</f>
        <v>854.42940199999998</v>
      </c>
      <c r="DA32" s="732">
        <f>'yrP&amp;L'!M87</f>
        <v>866.75924999999995</v>
      </c>
      <c r="DB32" s="731">
        <f>'yrP&amp;L'!N87</f>
        <v>889.16448800000001</v>
      </c>
      <c r="DC32" s="730">
        <f>'yrP&amp;L'!O87</f>
        <v>898.09523300000001</v>
      </c>
      <c r="DD32" s="730">
        <f>'yrP&amp;L'!P87</f>
        <v>858.52925100000004</v>
      </c>
      <c r="DE32" s="730">
        <f>'yrP&amp;L'!Q87</f>
        <v>853.61182099999996</v>
      </c>
      <c r="DF32" s="731">
        <f>'yrP&amp;L'!R87</f>
        <v>815.64673700000003</v>
      </c>
      <c r="DG32" s="730">
        <f>'yrP&amp;L'!S87</f>
        <v>735.07122100000004</v>
      </c>
      <c r="DH32" s="731">
        <f>'yrP&amp;L'!T87</f>
        <v>695.71823900000004</v>
      </c>
      <c r="DI32" s="730">
        <f>'yrP&amp;L'!U87</f>
        <v>667.42010400000004</v>
      </c>
      <c r="DJ32" s="730">
        <f>'yrP&amp;L'!V87</f>
        <v>584.49203199999999</v>
      </c>
      <c r="DK32" s="730">
        <f>'yrP&amp;L'!W87</f>
        <v>487.72442599999999</v>
      </c>
      <c r="DL32" s="730">
        <f>'yrP&amp;L'!X87</f>
        <v>470.419352</v>
      </c>
      <c r="DM32" s="730">
        <f>'yrP&amp;L'!Y87</f>
        <v>446</v>
      </c>
      <c r="DN32" s="730">
        <f>'yrP&amp;L'!Z87</f>
        <v>419.8785249457701</v>
      </c>
      <c r="DO32" s="730">
        <f>'yrP&amp;L'!AA87</f>
        <v>394.24078091106293</v>
      </c>
      <c r="DP32" s="730">
        <f>'yrP&amp;L'!AB87</f>
        <v>399.84348499999999</v>
      </c>
      <c r="DQ32" s="730">
        <f>'yrP&amp;L'!AC87</f>
        <v>395.33397201127821</v>
      </c>
      <c r="DR32" s="730">
        <f>'yrP&amp;L'!AD87</f>
        <v>384.47773703842944</v>
      </c>
      <c r="DS32" s="730">
        <f>'yrP&amp;L'!AE87</f>
        <v>371.51936638118286</v>
      </c>
      <c r="DT32" s="732">
        <f>'yrP&amp;L'!AF87</f>
        <v>360.78243069374997</v>
      </c>
      <c r="DU32" s="730">
        <f>'yrP&amp;L'!AG87</f>
        <v>350.62586990834052</v>
      </c>
      <c r="DV32" s="1773">
        <f>'yrP&amp;L'!AH87</f>
        <v>340.99015839397765</v>
      </c>
      <c r="DW32" s="730"/>
    </row>
    <row r="33" spans="1:139" ht="12.75" customHeight="1" collapsed="1">
      <c r="A33" s="689" t="s">
        <v>15</v>
      </c>
      <c r="B33" s="691"/>
      <c r="C33" s="690">
        <f>C19+C17</f>
        <v>328.42999999999995</v>
      </c>
      <c r="D33" s="690">
        <f>D19+D17</f>
        <v>316.49699999999984</v>
      </c>
      <c r="E33" s="690">
        <f>E19+E17</f>
        <v>506.64599999999996</v>
      </c>
      <c r="F33" s="690">
        <f>F19+F17</f>
        <v>665.13199999999961</v>
      </c>
      <c r="G33" s="735"/>
      <c r="H33" s="690">
        <f>H19+H17</f>
        <v>379.78199999999981</v>
      </c>
      <c r="I33" s="690">
        <f>I19+I17</f>
        <v>301.35599999999988</v>
      </c>
      <c r="J33" s="690">
        <f>J19+J17</f>
        <v>313.94500000000039</v>
      </c>
      <c r="K33" s="690">
        <f>K19+K17</f>
        <v>449.67799999999966</v>
      </c>
      <c r="L33" s="690"/>
      <c r="M33" s="690">
        <f>M19+M17</f>
        <v>400.90999999999997</v>
      </c>
      <c r="N33" s="690">
        <f>N19+N17</f>
        <v>354.54499999999985</v>
      </c>
      <c r="O33" s="690">
        <f>O19+O17</f>
        <v>211.00000000000017</v>
      </c>
      <c r="P33" s="690">
        <f>P19+P17</f>
        <v>181.54699999999991</v>
      </c>
      <c r="Q33" s="690"/>
      <c r="R33" s="690">
        <f>R19+R17</f>
        <v>300.54500000000019</v>
      </c>
      <c r="S33" s="690">
        <f>S19+S17</f>
        <v>331.4200000000003</v>
      </c>
      <c r="T33" s="690">
        <f>T19+T17</f>
        <v>536.95799999999986</v>
      </c>
      <c r="U33" s="690">
        <f>U19+U17</f>
        <v>536.62</v>
      </c>
      <c r="V33" s="690"/>
      <c r="W33" s="690">
        <f>W19+W17</f>
        <v>562.9530000000002</v>
      </c>
      <c r="X33" s="690">
        <f>X19+X17</f>
        <v>571.23099999999999</v>
      </c>
      <c r="Y33" s="690">
        <f>Y19+Y17</f>
        <v>633.06400000000008</v>
      </c>
      <c r="Z33" s="690">
        <f>Z19+Z17</f>
        <v>787.38800000000015</v>
      </c>
      <c r="AA33" s="690"/>
      <c r="AB33" s="690">
        <f>AB19+AB17</f>
        <v>706.69200000000012</v>
      </c>
      <c r="AC33" s="690">
        <f>AC19+AC17</f>
        <v>499.45900000000006</v>
      </c>
      <c r="AD33" s="690">
        <f>AD19+AD17</f>
        <v>610.21900000000005</v>
      </c>
      <c r="AE33" s="690">
        <f>AE19+AE17</f>
        <v>771.97799999999995</v>
      </c>
      <c r="AF33" s="690"/>
      <c r="AG33" s="690">
        <f>AG19+AG17</f>
        <v>610.80400000000031</v>
      </c>
      <c r="AH33" s="690">
        <f>AH19+AH17</f>
        <v>555.27499999999964</v>
      </c>
      <c r="AI33" s="690">
        <f>AI19+AI17</f>
        <v>490.93399999999997</v>
      </c>
      <c r="AJ33" s="690">
        <f>AJ19+AJ17</f>
        <v>712.51799999999992</v>
      </c>
      <c r="AK33" s="690"/>
      <c r="AL33" s="690">
        <f>AL19+AL17</f>
        <v>518.33600000000001</v>
      </c>
      <c r="AM33" s="690">
        <f>AM19+AM17</f>
        <v>333.517</v>
      </c>
      <c r="AN33" s="690">
        <f>AN19+AN17</f>
        <v>409.83500000000004</v>
      </c>
      <c r="AO33" s="690">
        <f>AO19+AO17</f>
        <v>493.31200000000001</v>
      </c>
      <c r="AP33" s="690"/>
      <c r="AQ33" s="690">
        <f>AQ19+AQ17</f>
        <v>438</v>
      </c>
      <c r="AR33" s="690">
        <f>AR19+AR17</f>
        <v>387</v>
      </c>
      <c r="AS33" s="690">
        <f>AS19+AS17</f>
        <v>508</v>
      </c>
      <c r="AT33" s="690">
        <f>AT19+AT17</f>
        <v>558</v>
      </c>
      <c r="AU33" s="690"/>
      <c r="AV33" s="690">
        <f>AV19+AV17</f>
        <v>522</v>
      </c>
      <c r="AW33" s="690">
        <f>AW19+AW17</f>
        <v>515</v>
      </c>
      <c r="AX33" s="690">
        <f>AX19+AX17</f>
        <v>535</v>
      </c>
      <c r="AY33" s="690">
        <f>AY19+AY17</f>
        <v>544</v>
      </c>
      <c r="AZ33" s="690"/>
      <c r="BA33" s="690">
        <f>BA19+BA17</f>
        <v>496</v>
      </c>
      <c r="BB33" s="690">
        <f>BB19+BB17</f>
        <v>516</v>
      </c>
      <c r="BC33" s="690">
        <f>BC19+BC17</f>
        <v>647</v>
      </c>
      <c r="BD33" s="690">
        <f>BD19+BD17</f>
        <v>729</v>
      </c>
      <c r="BE33" s="690"/>
      <c r="BF33" s="690">
        <f>BF19+BF17</f>
        <v>621</v>
      </c>
      <c r="BG33" s="690">
        <f>BG19+BG17</f>
        <v>539</v>
      </c>
      <c r="BH33" s="690">
        <f>BH19+BH17</f>
        <v>644</v>
      </c>
      <c r="BI33" s="690">
        <f>BI19+BI17</f>
        <v>726</v>
      </c>
      <c r="BJ33" s="690"/>
      <c r="BK33" s="690">
        <f>BK19+BK17</f>
        <v>515</v>
      </c>
      <c r="BL33" s="691">
        <f>BL19+BL17</f>
        <v>460</v>
      </c>
      <c r="BM33" s="691">
        <f>BM19+BM17</f>
        <v>473</v>
      </c>
      <c r="BN33" s="691">
        <f>BN19+BN17</f>
        <v>496</v>
      </c>
      <c r="BO33" s="691"/>
      <c r="BP33" s="690">
        <f>BP19+BP17</f>
        <v>518</v>
      </c>
      <c r="BQ33" s="691">
        <f>BQ19+BQ17</f>
        <v>545</v>
      </c>
      <c r="BR33" s="691">
        <f>BR19+BR17</f>
        <v>640</v>
      </c>
      <c r="BS33" s="691">
        <f>BS19+BS17</f>
        <v>722</v>
      </c>
      <c r="BT33" s="691"/>
      <c r="BU33" s="690">
        <f>BU19+BU17</f>
        <v>664</v>
      </c>
      <c r="BV33" s="691">
        <f>BV19+BV17</f>
        <v>654</v>
      </c>
      <c r="BW33" s="691">
        <f>BW19+BW17</f>
        <v>707</v>
      </c>
      <c r="BX33" s="691">
        <f>BX19+BX17</f>
        <v>594</v>
      </c>
      <c r="BY33" s="691"/>
      <c r="BZ33" s="690">
        <f>BZ19+BZ17</f>
        <v>573</v>
      </c>
      <c r="CA33" s="691">
        <f>CA19+CA17</f>
        <v>638</v>
      </c>
      <c r="CB33" s="691">
        <f>CB19+CB17</f>
        <v>726</v>
      </c>
      <c r="CC33" s="691">
        <f>CC19+CC17</f>
        <v>607</v>
      </c>
      <c r="CD33" s="691"/>
      <c r="CE33" s="690">
        <f>CE19+CE17</f>
        <v>530</v>
      </c>
      <c r="CF33" s="691">
        <f>CF19+CF17</f>
        <v>582</v>
      </c>
      <c r="CG33" s="691">
        <f>CG19+CG17</f>
        <v>554</v>
      </c>
      <c r="CH33" s="691">
        <f>CH19+CH17</f>
        <v>517</v>
      </c>
      <c r="CI33" s="691"/>
      <c r="CJ33" s="690">
        <f>CJ19+CJ17</f>
        <v>354</v>
      </c>
      <c r="CK33" s="691">
        <f>CK19+CK17</f>
        <v>569</v>
      </c>
      <c r="CL33" s="691">
        <f>CL19+CL17</f>
        <v>548</v>
      </c>
      <c r="CM33" s="691">
        <f>CM19+CM17</f>
        <v>454</v>
      </c>
      <c r="CN33" s="691"/>
      <c r="CO33" s="691">
        <f>CO19+CO17</f>
        <v>384</v>
      </c>
      <c r="CP33" s="691">
        <f>CP19+CP17</f>
        <v>522</v>
      </c>
      <c r="CQ33" s="691">
        <f>CQ19+CQ17</f>
        <v>513</v>
      </c>
      <c r="CR33" s="691">
        <f>CR19+CR17</f>
        <v>531</v>
      </c>
      <c r="CS33" s="691"/>
      <c r="CT33" s="1967">
        <f>CT19+CT17</f>
        <v>393.81152137508275</v>
      </c>
      <c r="CU33" s="1967">
        <f>CU19+CU17</f>
        <v>505.93639667578441</v>
      </c>
      <c r="CV33" s="1967">
        <f>CV19+CV17</f>
        <v>501.96450950604572</v>
      </c>
      <c r="CW33" s="1766">
        <f>CW19+CW17</f>
        <v>514.19468614319135</v>
      </c>
      <c r="CX33" s="691"/>
      <c r="CY33" s="691">
        <f>CY19+CY17</f>
        <v>2407.0700000000006</v>
      </c>
      <c r="CZ33" s="691">
        <f t="shared" ref="CZ33:DE33" si="16">CZ19+CZ17</f>
        <v>2035.1259999999986</v>
      </c>
      <c r="DA33" s="692">
        <f t="shared" si="16"/>
        <v>1148.0019999999981</v>
      </c>
      <c r="DB33" s="693">
        <f t="shared" si="16"/>
        <v>1705.5429999999976</v>
      </c>
      <c r="DC33" s="691">
        <f t="shared" si="16"/>
        <v>2555.1660000000002</v>
      </c>
      <c r="DD33" s="691">
        <f t="shared" si="16"/>
        <v>2594.5480000000025</v>
      </c>
      <c r="DE33" s="691">
        <f t="shared" si="16"/>
        <v>2369.5300000000002</v>
      </c>
      <c r="DF33" s="693">
        <f t="shared" ref="DF33:DK33" si="17">DF19+DF17</f>
        <v>1755</v>
      </c>
      <c r="DG33" s="691">
        <f t="shared" si="17"/>
        <v>1891</v>
      </c>
      <c r="DH33" s="693">
        <f t="shared" si="17"/>
        <v>2116</v>
      </c>
      <c r="DI33" s="691">
        <f t="shared" si="17"/>
        <v>2388</v>
      </c>
      <c r="DJ33" s="691">
        <f t="shared" si="17"/>
        <v>2530</v>
      </c>
      <c r="DK33" s="691">
        <f t="shared" si="17"/>
        <v>1944</v>
      </c>
      <c r="DL33" s="691">
        <f t="shared" ref="DL33:DQ33" si="18">DL19+DL17</f>
        <v>2425</v>
      </c>
      <c r="DM33" s="691">
        <f t="shared" si="18"/>
        <v>2619</v>
      </c>
      <c r="DN33" s="691">
        <f t="shared" si="18"/>
        <v>2544</v>
      </c>
      <c r="DO33" s="691">
        <f t="shared" si="18"/>
        <v>2183</v>
      </c>
      <c r="DP33" s="691">
        <f t="shared" si="18"/>
        <v>1925</v>
      </c>
      <c r="DQ33" s="691">
        <f t="shared" si="18"/>
        <v>1950</v>
      </c>
      <c r="DR33" s="691">
        <f>DR19+DR17</f>
        <v>1930.9071137001029</v>
      </c>
      <c r="DS33" s="691">
        <f>DS19+DS17</f>
        <v>1872.1034507693621</v>
      </c>
      <c r="DT33" s="692">
        <f>DT19+DT17</f>
        <v>1828.5315080239752</v>
      </c>
      <c r="DU33" s="691">
        <f>DU19+DU17</f>
        <v>1786.3774568165245</v>
      </c>
      <c r="DV33" s="1766">
        <f>DV19+DV17</f>
        <v>1745.7710081590321</v>
      </c>
      <c r="DW33" s="691"/>
    </row>
    <row r="34" spans="1:139" ht="5.45" customHeight="1">
      <c r="A34" s="641"/>
      <c r="B34" s="641"/>
      <c r="C34" s="641"/>
      <c r="D34" s="641"/>
      <c r="E34" s="641"/>
      <c r="F34" s="641"/>
      <c r="G34" s="641"/>
      <c r="H34" s="641"/>
      <c r="I34" s="641"/>
      <c r="J34" s="641"/>
      <c r="K34" s="641"/>
      <c r="L34" s="641"/>
      <c r="M34" s="641"/>
      <c r="N34" s="641"/>
      <c r="O34" s="641"/>
      <c r="P34" s="641"/>
      <c r="Q34" s="641"/>
      <c r="R34" s="641"/>
      <c r="S34" s="641"/>
      <c r="T34" s="641"/>
      <c r="U34" s="641"/>
      <c r="V34" s="641"/>
      <c r="W34" s="641"/>
      <c r="X34" s="641"/>
      <c r="Y34" s="641"/>
      <c r="Z34" s="641"/>
      <c r="AA34" s="641"/>
      <c r="AB34" s="641"/>
      <c r="AC34" s="641"/>
      <c r="AD34" s="641"/>
      <c r="AE34" s="641"/>
      <c r="AF34" s="641"/>
      <c r="AG34" s="641"/>
      <c r="AH34" s="641"/>
      <c r="AI34" s="641"/>
      <c r="AJ34" s="641"/>
      <c r="AK34" s="641"/>
      <c r="AL34" s="641"/>
      <c r="AM34" s="641"/>
      <c r="AN34" s="641"/>
      <c r="AO34" s="641"/>
      <c r="AP34" s="641"/>
      <c r="AQ34" s="641"/>
      <c r="AR34" s="641"/>
      <c r="AS34" s="641"/>
      <c r="AT34" s="641"/>
      <c r="AU34" s="641"/>
      <c r="AV34" s="641"/>
      <c r="AW34" s="641"/>
      <c r="AX34" s="641"/>
      <c r="AY34" s="641"/>
      <c r="AZ34" s="641"/>
      <c r="BA34" s="641"/>
      <c r="BB34" s="641"/>
      <c r="BC34" s="641"/>
      <c r="BD34" s="641"/>
      <c r="BE34" s="641"/>
      <c r="BF34" s="641"/>
      <c r="BG34" s="641"/>
      <c r="BH34" s="641"/>
      <c r="BI34" s="641"/>
      <c r="BJ34" s="641"/>
      <c r="BK34" s="646"/>
      <c r="BL34" s="646"/>
      <c r="BM34" s="737"/>
      <c r="BN34" s="646"/>
      <c r="BO34" s="646"/>
      <c r="BP34" s="646"/>
      <c r="BQ34" s="646"/>
      <c r="BR34" s="737"/>
      <c r="BS34" s="646"/>
      <c r="BT34" s="646"/>
      <c r="BU34" s="646"/>
      <c r="BV34" s="646"/>
      <c r="BW34" s="646"/>
      <c r="BX34" s="646"/>
      <c r="BY34" s="646"/>
      <c r="BZ34" s="646"/>
      <c r="CA34" s="646"/>
      <c r="CB34" s="646"/>
      <c r="CC34" s="646"/>
      <c r="CD34" s="786"/>
      <c r="CE34" s="646"/>
      <c r="CF34" s="646"/>
      <c r="CG34" s="646"/>
      <c r="CH34" s="646"/>
      <c r="CI34" s="646"/>
      <c r="CJ34" s="646"/>
      <c r="CK34" s="646"/>
      <c r="CL34" s="646"/>
      <c r="CM34" s="646"/>
      <c r="CN34" s="646"/>
      <c r="CO34" s="786"/>
      <c r="CP34" s="786"/>
      <c r="CQ34" s="786"/>
      <c r="CR34" s="786"/>
      <c r="CS34" s="786"/>
      <c r="CT34" s="1974"/>
      <c r="CU34" s="1974"/>
      <c r="CV34" s="1974"/>
      <c r="CW34" s="1975"/>
      <c r="CX34" s="646"/>
      <c r="CY34" s="646"/>
      <c r="CZ34" s="646"/>
      <c r="DA34" s="687"/>
      <c r="DB34" s="688"/>
      <c r="DC34" s="646"/>
      <c r="DD34" s="646"/>
      <c r="DE34" s="646"/>
      <c r="DF34" s="688"/>
      <c r="DG34" s="646"/>
      <c r="DH34" s="688"/>
      <c r="DI34" s="646"/>
      <c r="DJ34" s="646"/>
      <c r="DK34" s="786"/>
      <c r="DL34" s="786"/>
      <c r="DM34" s="646"/>
      <c r="DN34" s="646"/>
      <c r="DO34" s="646"/>
      <c r="DP34" s="646"/>
      <c r="DQ34" s="7"/>
      <c r="DR34" s="7"/>
      <c r="DS34" s="7"/>
      <c r="DT34" s="2120"/>
      <c r="DU34" s="7"/>
      <c r="DV34" s="1765"/>
      <c r="DW34" s="7"/>
    </row>
    <row r="35" spans="1:139" ht="12.75" customHeight="1">
      <c r="A35" s="674" t="s">
        <v>16</v>
      </c>
      <c r="B35" s="641"/>
      <c r="C35" s="641"/>
      <c r="D35" s="641"/>
      <c r="E35" s="641"/>
      <c r="F35" s="641"/>
      <c r="G35" s="641"/>
      <c r="H35" s="641"/>
      <c r="I35" s="641"/>
      <c r="J35" s="641"/>
      <c r="K35" s="641"/>
      <c r="L35" s="641"/>
      <c r="M35" s="641"/>
      <c r="N35" s="641"/>
      <c r="O35" s="641"/>
      <c r="P35" s="641"/>
      <c r="Q35" s="641"/>
      <c r="R35" s="641"/>
      <c r="S35" s="641"/>
      <c r="T35" s="641"/>
      <c r="U35" s="641"/>
      <c r="V35" s="641"/>
      <c r="W35" s="641"/>
      <c r="X35" s="641"/>
      <c r="Y35" s="641"/>
      <c r="Z35" s="641"/>
      <c r="AA35" s="641"/>
      <c r="AB35" s="641"/>
      <c r="AC35" s="641"/>
      <c r="AD35" s="641"/>
      <c r="AE35" s="641"/>
      <c r="AF35" s="641"/>
      <c r="AG35" s="641"/>
      <c r="AH35" s="641"/>
      <c r="AI35" s="641"/>
      <c r="AJ35" s="641"/>
      <c r="AK35" s="641"/>
      <c r="AL35" s="641"/>
      <c r="AM35" s="641"/>
      <c r="AN35" s="641"/>
      <c r="AO35" s="733"/>
      <c r="AP35" s="641"/>
      <c r="AQ35" s="641"/>
      <c r="AR35" s="641"/>
      <c r="AS35" s="641"/>
      <c r="AT35" s="733"/>
      <c r="AU35" s="733"/>
      <c r="AV35" s="733"/>
      <c r="AW35" s="733"/>
      <c r="AX35" s="733"/>
      <c r="AY35" s="733"/>
      <c r="AZ35" s="733"/>
      <c r="BA35" s="733"/>
      <c r="BB35" s="733"/>
      <c r="BC35" s="733"/>
      <c r="BD35" s="733"/>
      <c r="BE35" s="733"/>
      <c r="BF35" s="733"/>
      <c r="BG35" s="733"/>
      <c r="BH35" s="733"/>
      <c r="BI35" s="733"/>
      <c r="BJ35" s="733"/>
      <c r="BK35" s="734"/>
      <c r="BL35" s="734"/>
      <c r="BM35" s="734"/>
      <c r="BN35" s="734"/>
      <c r="BO35" s="734"/>
      <c r="BP35" s="734"/>
      <c r="BQ35" s="734"/>
      <c r="BR35" s="734"/>
      <c r="BS35" s="734"/>
      <c r="BT35" s="734"/>
      <c r="BU35" s="734"/>
      <c r="BV35" s="738"/>
      <c r="BW35" s="738"/>
      <c r="BX35" s="734"/>
      <c r="BY35" s="734"/>
      <c r="BZ35" s="734"/>
      <c r="CA35" s="739"/>
      <c r="CB35" s="734"/>
      <c r="CC35" s="734"/>
      <c r="CD35" s="734"/>
      <c r="CE35" s="449"/>
      <c r="CF35" s="449"/>
      <c r="CG35" s="449"/>
      <c r="CH35" s="449"/>
      <c r="CI35" s="734"/>
      <c r="CJ35" s="449"/>
      <c r="CK35" s="653"/>
      <c r="CL35" s="449"/>
      <c r="CM35" s="1430"/>
      <c r="CN35" s="734"/>
      <c r="CO35" s="788"/>
      <c r="CP35" s="1388"/>
      <c r="CQ35" s="1564"/>
      <c r="CR35" s="788"/>
      <c r="CS35" s="734"/>
      <c r="CT35" s="1976"/>
      <c r="CU35" s="1977"/>
      <c r="CV35" s="1978"/>
      <c r="CW35" s="1779"/>
      <c r="CX35" s="740"/>
      <c r="CY35" s="646"/>
      <c r="CZ35" s="646"/>
      <c r="DA35" s="687"/>
      <c r="DB35" s="688"/>
      <c r="DC35" s="734">
        <f>DC14/DC67</f>
        <v>0.49395422135217826</v>
      </c>
      <c r="DD35" s="734">
        <f>DD14/DD67</f>
        <v>0.52211996907758229</v>
      </c>
      <c r="DE35" s="734">
        <f>DE14/DE67</f>
        <v>0.47450325107256736</v>
      </c>
      <c r="DF35" s="734">
        <f>DF14/DF67</f>
        <v>0.45532305912596399</v>
      </c>
      <c r="DG35" s="734">
        <f>DG14/DG67</f>
        <v>0.45521626262626264</v>
      </c>
      <c r="DH35" s="741"/>
      <c r="DI35" s="734"/>
      <c r="DJ35" s="734"/>
      <c r="DK35" s="734"/>
      <c r="DL35" s="734"/>
      <c r="DM35" s="734"/>
      <c r="DN35" s="734"/>
      <c r="DO35" s="734"/>
      <c r="DP35" s="734"/>
      <c r="DQ35" s="7"/>
      <c r="DR35" s="7"/>
      <c r="DS35" s="7"/>
      <c r="DT35" s="2120"/>
      <c r="DU35" s="7"/>
      <c r="DV35" s="1765"/>
      <c r="DW35" s="7"/>
    </row>
    <row r="36" spans="1:139" ht="12.75" customHeight="1">
      <c r="A36" s="724" t="s">
        <v>17</v>
      </c>
      <c r="B36" s="742"/>
      <c r="C36" s="742">
        <f>C14/C10</f>
        <v>0.41426215703853037</v>
      </c>
      <c r="D36" s="742">
        <f>D14/D10</f>
        <v>0.41159986451118247</v>
      </c>
      <c r="E36" s="742">
        <f>E14/E10</f>
        <v>0.42828331121243746</v>
      </c>
      <c r="F36" s="742">
        <f>F14/F10</f>
        <v>0.41526336643310496</v>
      </c>
      <c r="G36" s="742"/>
      <c r="H36" s="743">
        <f>H14/H10</f>
        <v>0.41364902506963785</v>
      </c>
      <c r="I36" s="743">
        <f>I14/I10</f>
        <v>0.37678350070597078</v>
      </c>
      <c r="J36" s="743">
        <f>J14/J10</f>
        <v>0.3681783997741509</v>
      </c>
      <c r="K36" s="743">
        <f>K14/K10</f>
        <v>0.34418993476430232</v>
      </c>
      <c r="L36" s="743"/>
      <c r="M36" s="743">
        <f>M14/M10</f>
        <v>0.3538665817937538</v>
      </c>
      <c r="N36" s="743">
        <f>N14/N10</f>
        <v>0.32080485169105688</v>
      </c>
      <c r="O36" s="743">
        <f>O14/O10</f>
        <v>0.28518830625915553</v>
      </c>
      <c r="P36" s="743">
        <f>P14/P10</f>
        <v>0.2510227710364642</v>
      </c>
      <c r="Q36" s="743"/>
      <c r="R36" s="743">
        <f>R14/R10</f>
        <v>0.30409085248578271</v>
      </c>
      <c r="S36" s="743">
        <f>S14/S10</f>
        <v>0.33366949085903452</v>
      </c>
      <c r="T36" s="743">
        <f>T14/T10</f>
        <v>0.36093961079365566</v>
      </c>
      <c r="U36" s="743">
        <f>U14/U10</f>
        <v>0.35004678962130509</v>
      </c>
      <c r="V36" s="742"/>
      <c r="W36" s="743">
        <f>W14/W10</f>
        <v>0.38117753941441279</v>
      </c>
      <c r="X36" s="743">
        <f>X14/X10</f>
        <v>0.35980798301576072</v>
      </c>
      <c r="Y36" s="743">
        <f>Y14/Y10</f>
        <v>0.38860340973407004</v>
      </c>
      <c r="Z36" s="743">
        <f>Z14/Z10</f>
        <v>0.37615650730292099</v>
      </c>
      <c r="AA36" s="742"/>
      <c r="AB36" s="743">
        <f>AB14/AB10</f>
        <v>0.4308035440408009</v>
      </c>
      <c r="AC36" s="743">
        <f>AC14/AC10</f>
        <v>0.38486460801727801</v>
      </c>
      <c r="AD36" s="743">
        <f>AD14/AD10</f>
        <v>0.39349019509314975</v>
      </c>
      <c r="AE36" s="743">
        <f>AE14/AE10</f>
        <v>0.36802100554471751</v>
      </c>
      <c r="AF36" s="742"/>
      <c r="AG36" s="743">
        <f>AG14/AG10</f>
        <v>0.40841018638041665</v>
      </c>
      <c r="AH36" s="743">
        <f>AH14/AH10</f>
        <v>0.37257534245100898</v>
      </c>
      <c r="AI36" s="743">
        <f>AI14/AI10</f>
        <v>0.35312595695335586</v>
      </c>
      <c r="AJ36" s="743">
        <f>AJ14/AJ10</f>
        <v>0.34037270765542327</v>
      </c>
      <c r="AK36" s="742"/>
      <c r="AL36" s="743">
        <f>AL14/AL10</f>
        <v>0.40273335271881361</v>
      </c>
      <c r="AM36" s="743">
        <f>AM14/AM10</f>
        <v>0.32983306408185242</v>
      </c>
      <c r="AN36" s="743">
        <f>AN14/AN10</f>
        <v>0.37444819527395484</v>
      </c>
      <c r="AO36" s="743">
        <f>AO14/AO10</f>
        <v>0.32628583045334419</v>
      </c>
      <c r="AP36" s="743"/>
      <c r="AQ36" s="743">
        <f>AQ14/AQ10</f>
        <v>0.38179768948999721</v>
      </c>
      <c r="AR36" s="743">
        <f>AR14/AR10</f>
        <v>0.34301221166892809</v>
      </c>
      <c r="AS36" s="743">
        <f>AS14/AS10</f>
        <v>0.37545407368967304</v>
      </c>
      <c r="AT36" s="743">
        <f>AT14/AT10</f>
        <v>0.34780748663101602</v>
      </c>
      <c r="AU36" s="743"/>
      <c r="AV36" s="743">
        <f>AV14/AV10</f>
        <v>0.39657210401891252</v>
      </c>
      <c r="AW36" s="743">
        <f>AW14/AW10</f>
        <v>0.38239496999142614</v>
      </c>
      <c r="AX36" s="743">
        <f>AX14/AX10</f>
        <v>0.38696995226060094</v>
      </c>
      <c r="AY36" s="743">
        <f>AY14/AY10</f>
        <v>0.34027437530622245</v>
      </c>
      <c r="AZ36" s="743"/>
      <c r="BA36" s="743">
        <f>BA14/BA10</f>
        <v>0.39622641509433965</v>
      </c>
      <c r="BB36" s="743">
        <f>BB14/BB10</f>
        <v>0.39691833590138675</v>
      </c>
      <c r="BC36" s="743">
        <f>BC14/BC10</f>
        <v>0.42463081638339373</v>
      </c>
      <c r="BD36" s="743">
        <f>BD14/BD10</f>
        <v>0.39494806421152029</v>
      </c>
      <c r="BE36" s="743"/>
      <c r="BF36" s="743">
        <f>BF14/BF10</f>
        <v>0.42084710123160107</v>
      </c>
      <c r="BG36" s="743">
        <f>BG14/BG10</f>
        <v>0.39614109134760328</v>
      </c>
      <c r="BH36" s="743">
        <f>BH14/BH10</f>
        <v>0.4118773946360153</v>
      </c>
      <c r="BI36" s="743">
        <f>BI14/BI10</f>
        <v>0.38244729605866179</v>
      </c>
      <c r="BJ36" s="743"/>
      <c r="BK36" s="744">
        <f>BK14/BK10</f>
        <v>0.39575113808801216</v>
      </c>
      <c r="BL36" s="744">
        <f>BL14/BL10</f>
        <v>0.36946249261665681</v>
      </c>
      <c r="BM36" s="744">
        <f>BM14/BM10</f>
        <v>0.36652719665271966</v>
      </c>
      <c r="BN36" s="744">
        <f>BN14/BN10</f>
        <v>0.32804109269203829</v>
      </c>
      <c r="BO36" s="744"/>
      <c r="BP36" s="744">
        <f>BP14/BP10</f>
        <v>0.39432176656151419</v>
      </c>
      <c r="BQ36" s="744">
        <f>BQ14/BQ10</f>
        <v>0.39916083916083916</v>
      </c>
      <c r="BR36" s="744">
        <f>BR14/BR10</f>
        <v>0.41226708074534163</v>
      </c>
      <c r="BS36" s="744">
        <f>BS14/BS10</f>
        <v>0.37587301587301586</v>
      </c>
      <c r="BT36" s="744"/>
      <c r="BU36" s="744">
        <f>BU14/BU10</f>
        <v>0.41405202467149371</v>
      </c>
      <c r="BV36" s="744">
        <f>BV14/BV10</f>
        <v>0.40511892450879006</v>
      </c>
      <c r="BW36" s="744">
        <f>BW14/BW10</f>
        <v>0.39964788732394368</v>
      </c>
      <c r="BX36" s="744">
        <f>BX14/BX10</f>
        <v>0.34819672131147539</v>
      </c>
      <c r="BY36" s="744"/>
      <c r="BZ36" s="744">
        <f>BZ14/BZ10</f>
        <v>0.38844727080021196</v>
      </c>
      <c r="CA36" s="744">
        <f>CA14/CA10</f>
        <v>0.39412207987942727</v>
      </c>
      <c r="CB36" s="744">
        <f>CB14/CB10</f>
        <v>0.40181268882175225</v>
      </c>
      <c r="CC36" s="744">
        <f>CC14/CC10</f>
        <v>0.35216652506372131</v>
      </c>
      <c r="CD36" s="744"/>
      <c r="CE36" s="744">
        <f>CE14/CE10</f>
        <v>0.38036642056330328</v>
      </c>
      <c r="CF36" s="744">
        <f>CF14/CF10</f>
        <v>0.37711646998460752</v>
      </c>
      <c r="CG36" s="744">
        <f>CG14/CG10</f>
        <v>0.37490277417682139</v>
      </c>
      <c r="CH36" s="744">
        <f>CH14/CH10</f>
        <v>0.32976054732041049</v>
      </c>
      <c r="CI36" s="744"/>
      <c r="CJ36" s="744">
        <f>CJ14/CJ10</f>
        <v>0.35165794066317624</v>
      </c>
      <c r="CK36" s="744">
        <f>CK14/CK10</f>
        <v>0.3770449233965204</v>
      </c>
      <c r="CL36" s="744">
        <f>CL14/CL10</f>
        <v>0.39125855713533436</v>
      </c>
      <c r="CM36" s="744">
        <f>CM14/CM10</f>
        <v>0.33890268683675773</v>
      </c>
      <c r="CN36" s="744"/>
      <c r="CO36" s="744">
        <f>CO14/CO10</f>
        <v>0.37877906976744186</v>
      </c>
      <c r="CP36" s="744">
        <f>CP14/CP10</f>
        <v>0.38931297709923662</v>
      </c>
      <c r="CQ36" s="744">
        <f>CQ14/CQ10</f>
        <v>0.3973423658155289</v>
      </c>
      <c r="CR36" s="744">
        <f>CR14/CR10</f>
        <v>0.36814566764336543</v>
      </c>
      <c r="CS36" s="744"/>
      <c r="CT36" s="1979">
        <f>CT14/CT10</f>
        <v>0.375</v>
      </c>
      <c r="CU36" s="1979">
        <f>CU14/CU10</f>
        <v>0.38500000000000006</v>
      </c>
      <c r="CV36" s="1979">
        <f>CV14/CV10</f>
        <v>0.39399999999999985</v>
      </c>
      <c r="CW36" s="1980">
        <f>CW14/CW10</f>
        <v>0.36399999999999999</v>
      </c>
      <c r="CX36" s="744"/>
      <c r="CY36" s="745">
        <f>CY14/CY10</f>
        <v>0.41770268623385293</v>
      </c>
      <c r="CZ36" s="745">
        <f t="shared" ref="CZ36:DE36" si="19">CZ14/CZ10</f>
        <v>0.37108515328234393</v>
      </c>
      <c r="DA36" s="746">
        <f t="shared" si="19"/>
        <v>0.29921447142098995</v>
      </c>
      <c r="DB36" s="747">
        <f t="shared" si="19"/>
        <v>0.33989968251868635</v>
      </c>
      <c r="DC36" s="745">
        <f t="shared" si="19"/>
        <v>0.37650309484356737</v>
      </c>
      <c r="DD36" s="745">
        <f t="shared" si="19"/>
        <v>0.39225977155170649</v>
      </c>
      <c r="DE36" s="745">
        <f t="shared" si="19"/>
        <v>0.36631135253610664</v>
      </c>
      <c r="DF36" s="747">
        <f t="shared" ref="DF36:DK36" si="20">DF14/DF10</f>
        <v>0.35527224769201782</v>
      </c>
      <c r="DG36" s="745">
        <f t="shared" si="20"/>
        <v>0.36109877561377912</v>
      </c>
      <c r="DH36" s="747">
        <f t="shared" si="20"/>
        <v>0.37498278948093072</v>
      </c>
      <c r="DI36" s="745">
        <f t="shared" si="20"/>
        <v>0.40318377121927168</v>
      </c>
      <c r="DJ36" s="745">
        <f t="shared" si="20"/>
        <v>0.40159574468085107</v>
      </c>
      <c r="DK36" s="790">
        <f t="shared" si="20"/>
        <v>0.36249914083442158</v>
      </c>
      <c r="DL36" s="790">
        <f t="shared" ref="DL36:DQ36" si="21">DL14/DL10</f>
        <v>0.3942879049262028</v>
      </c>
      <c r="DM36" s="745">
        <f t="shared" si="21"/>
        <v>0.38970770374040131</v>
      </c>
      <c r="DN36" s="745">
        <f t="shared" si="21"/>
        <v>0.38265895953757223</v>
      </c>
      <c r="DO36" s="745">
        <f t="shared" si="21"/>
        <v>0.36418307273532952</v>
      </c>
      <c r="DP36" s="745">
        <f t="shared" si="21"/>
        <v>0.36401134312967259</v>
      </c>
      <c r="DQ36" s="745">
        <f t="shared" si="21"/>
        <v>0.38259224219489119</v>
      </c>
      <c r="DR36" s="745">
        <f>DR14/DR10</f>
        <v>0.37885597527483689</v>
      </c>
      <c r="DS36" s="790">
        <f>DS14/DS10</f>
        <v>0.37605597527483697</v>
      </c>
      <c r="DT36" s="746">
        <f>DT14/DT10</f>
        <v>0.37405597527483692</v>
      </c>
      <c r="DU36" s="790">
        <f>DU14/DU10</f>
        <v>0.37205597527483686</v>
      </c>
      <c r="DV36" s="1774">
        <f>DV14/DV10</f>
        <v>0.37005597527483691</v>
      </c>
      <c r="DW36" s="745"/>
    </row>
    <row r="37" spans="1:139" ht="12.75" customHeight="1">
      <c r="A37" s="724" t="s">
        <v>18</v>
      </c>
      <c r="B37" s="725"/>
      <c r="C37" s="748">
        <f>(C15/C10)</f>
        <v>0.27007060525943766</v>
      </c>
      <c r="D37" s="742">
        <f>(D15/D10)</f>
        <v>0.28259323314063001</v>
      </c>
      <c r="E37" s="742">
        <f>(E15/E10)</f>
        <v>0.26191819362143259</v>
      </c>
      <c r="F37" s="742">
        <f>(F15/F10)</f>
        <v>0.24290199974656249</v>
      </c>
      <c r="G37" s="742"/>
      <c r="H37" s="743">
        <f>(H15/H10)</f>
        <v>0.27463607114228095</v>
      </c>
      <c r="I37" s="743">
        <f>(I15/I10)</f>
        <v>0.27454970190459455</v>
      </c>
      <c r="J37" s="743">
        <f>(J15/J10)</f>
        <v>0.27623827558052494</v>
      </c>
      <c r="K37" s="743">
        <f>(K15/K10)</f>
        <v>0.2459874105935505</v>
      </c>
      <c r="L37" s="743"/>
      <c r="M37" s="743">
        <f>(M15/M10)</f>
        <v>0.28946904948208235</v>
      </c>
      <c r="N37" s="743">
        <f>(N15/N10)</f>
        <v>0.26894086346714968</v>
      </c>
      <c r="O37" s="743">
        <f>(O15/O10)</f>
        <v>0.2840612196714859</v>
      </c>
      <c r="P37" s="743">
        <f>(P15/P10)</f>
        <v>0.26063563285142283</v>
      </c>
      <c r="Q37" s="743"/>
      <c r="R37" s="743">
        <f>(R15/R10)</f>
        <v>0.26511913492272143</v>
      </c>
      <c r="S37" s="743">
        <f>(S15/S10)</f>
        <v>0.28212754669157658</v>
      </c>
      <c r="T37" s="743">
        <f>(T15/T10)</f>
        <v>0.27692872012721143</v>
      </c>
      <c r="U37" s="743">
        <f>(U15/U10)</f>
        <v>0.25859694783731318</v>
      </c>
      <c r="V37" s="742"/>
      <c r="W37" s="743">
        <f>(W15/W10)</f>
        <v>0.26506433037031157</v>
      </c>
      <c r="X37" s="743">
        <f>(X15/X10)</f>
        <v>0.25234044781712422</v>
      </c>
      <c r="Y37" s="743">
        <f>(Y15/Y10)</f>
        <v>0.26817452593946844</v>
      </c>
      <c r="Z37" s="743">
        <f>(Z15/Z10)</f>
        <v>0.24908600927006808</v>
      </c>
      <c r="AA37" s="742"/>
      <c r="AB37" s="743">
        <f>(AB15/AB10)</f>
        <v>0.28045856037997963</v>
      </c>
      <c r="AC37" s="743">
        <f>(AC15/AC10)</f>
        <v>0.2906910335415418</v>
      </c>
      <c r="AD37" s="743">
        <f>(AD15/AD10)</f>
        <v>0.27863271484743035</v>
      </c>
      <c r="AE37" s="743">
        <f>(AE15/AE10)</f>
        <v>0.2425035676398177</v>
      </c>
      <c r="AF37" s="742"/>
      <c r="AG37" s="743">
        <f>(AG15/AG10)</f>
        <v>0.28011277632557546</v>
      </c>
      <c r="AH37" s="743">
        <f>(AH15/AH10)</f>
        <v>0.25740696790192824</v>
      </c>
      <c r="AI37" s="743">
        <f>(AI15/AI10)</f>
        <v>0.26505282771134842</v>
      </c>
      <c r="AJ37" s="743">
        <f>(AJ15/AJ10)</f>
        <v>0.23436080070808607</v>
      </c>
      <c r="AK37" s="742"/>
      <c r="AL37" s="743">
        <f>(AL15/AL10)</f>
        <v>0.29136376853736551</v>
      </c>
      <c r="AM37" s="743">
        <f>(AM15/AM10)</f>
        <v>0.27759827679052235</v>
      </c>
      <c r="AN37" s="743">
        <f>(AN15/AN10)</f>
        <v>0.30148013502986237</v>
      </c>
      <c r="AO37" s="743">
        <f>(AO15/AO10)</f>
        <v>0.2516771701565359</v>
      </c>
      <c r="AP37" s="743"/>
      <c r="AQ37" s="743">
        <f>(AQ15/AQ10)</f>
        <v>0.29613975767821921</v>
      </c>
      <c r="AR37" s="743">
        <f>(AR15/AR10)</f>
        <v>0.27408412483039346</v>
      </c>
      <c r="AS37" s="743">
        <f>(AS15/AS10)</f>
        <v>0.27996886351842243</v>
      </c>
      <c r="AT37" s="743">
        <f>(AT15/AT10)</f>
        <v>0.25839572192513371</v>
      </c>
      <c r="AU37" s="743"/>
      <c r="AV37" s="743">
        <f>(AV15/AV10)</f>
        <v>0.28339243498817968</v>
      </c>
      <c r="AW37" s="743">
        <f>(AW15/AW10)</f>
        <v>0.27579308373821093</v>
      </c>
      <c r="AX37" s="743">
        <f>(AX15/AX10)</f>
        <v>0.27632687447346249</v>
      </c>
      <c r="AY37" s="743">
        <f>(AY15/AY10)</f>
        <v>0.24277315041646252</v>
      </c>
      <c r="AZ37" s="743"/>
      <c r="BA37" s="743">
        <f>(BA15/BA10)</f>
        <v>0.28333866325551649</v>
      </c>
      <c r="BB37" s="743">
        <f>(BB15/BB10)</f>
        <v>0.28135593220338984</v>
      </c>
      <c r="BC37" s="743">
        <f>(BC15/BC10)</f>
        <v>0.2853162440791307</v>
      </c>
      <c r="BD37" s="743">
        <f>(BD15/BD10)</f>
        <v>0.2563739376770538</v>
      </c>
      <c r="BE37" s="743"/>
      <c r="BF37" s="743">
        <f>(BF15/BF10)</f>
        <v>0.27846200060078102</v>
      </c>
      <c r="BG37" s="743">
        <f>(BG15/BG10)</f>
        <v>0.27645462767561046</v>
      </c>
      <c r="BH37" s="743">
        <f>(BH15/BH10)</f>
        <v>0.27394636015325668</v>
      </c>
      <c r="BI37" s="743">
        <f>(BI15/BI10)</f>
        <v>0.2465627864344638</v>
      </c>
      <c r="BJ37" s="743"/>
      <c r="BK37" s="744">
        <f>(BK15/BK10)</f>
        <v>0.27860394537177541</v>
      </c>
      <c r="BL37" s="744">
        <f>(BL15/BL10)</f>
        <v>0.27082102776137035</v>
      </c>
      <c r="BM37" s="744">
        <f>(BM15/BM10)</f>
        <v>0.27001394700139469</v>
      </c>
      <c r="BN37" s="744">
        <f>(BN15/BN10)</f>
        <v>0.24118608452019613</v>
      </c>
      <c r="BO37" s="744"/>
      <c r="BP37" s="744">
        <f>(BP15/BP10)</f>
        <v>0.28104387725838831</v>
      </c>
      <c r="BQ37" s="744">
        <f>(BQ15/BQ10)</f>
        <v>0.28027972027972026</v>
      </c>
      <c r="BR37" s="744">
        <f>(BR15/BR10)</f>
        <v>0.27769151138716358</v>
      </c>
      <c r="BS37" s="744">
        <f>(BS15/BS10)</f>
        <v>0.24846560846560847</v>
      </c>
      <c r="BT37" s="744"/>
      <c r="BU37" s="744">
        <f>(BU15/BU10)</f>
        <v>0.27192276749798872</v>
      </c>
      <c r="BV37" s="744">
        <f>(BV15/BV10)</f>
        <v>0.27042399172699072</v>
      </c>
      <c r="BW37" s="744">
        <f>(BW15/BW10)</f>
        <v>0.25477867203219318</v>
      </c>
      <c r="BX37" s="744">
        <f>(BX15/BX10)</f>
        <v>0.23409836065573769</v>
      </c>
      <c r="BY37" s="744"/>
      <c r="BZ37" s="744">
        <f>(BZ15/BZ10)</f>
        <v>0.27106518282988873</v>
      </c>
      <c r="CA37" s="744">
        <f>(CA15/CA10)</f>
        <v>0.26149208741522229</v>
      </c>
      <c r="CB37" s="744">
        <f>(CB15/CB10)</f>
        <v>0.2623363544813696</v>
      </c>
      <c r="CC37" s="744">
        <f>(CC15/CC10)</f>
        <v>0.24192863211554799</v>
      </c>
      <c r="CD37" s="744"/>
      <c r="CE37" s="744">
        <f>(CE15/CE10)</f>
        <v>0.27180749248017499</v>
      </c>
      <c r="CF37" s="744">
        <f>(CF15/CF10)</f>
        <v>0.26115956900974857</v>
      </c>
      <c r="CG37" s="744">
        <f>(CG15/CG10)</f>
        <v>0.26419497018408089</v>
      </c>
      <c r="CH37" s="744">
        <f>(CH15/CH10)</f>
        <v>0.24310148232611176</v>
      </c>
      <c r="CI37" s="744"/>
      <c r="CJ37" s="744">
        <f>(CJ15/CJ10)</f>
        <v>0.28708551483420591</v>
      </c>
      <c r="CK37" s="744">
        <f>(CK15/CK10)</f>
        <v>0.26564528693845757</v>
      </c>
      <c r="CL37" s="744">
        <f>(CL15/CL10)</f>
        <v>0.28120063191153238</v>
      </c>
      <c r="CM37" s="744">
        <f>(CM15/CM10)</f>
        <v>0.26552269135244977</v>
      </c>
      <c r="CN37" s="744"/>
      <c r="CO37" s="744">
        <f>(CO15/CO10)</f>
        <v>0.30494186046511629</v>
      </c>
      <c r="CP37" s="744">
        <f>(CP15/CP10)</f>
        <v>0.2874440642274283</v>
      </c>
      <c r="CQ37" s="744">
        <f>(CQ15/CQ10)</f>
        <v>0.29885356956748305</v>
      </c>
      <c r="CR37" s="744">
        <f>(CR15/CR10)</f>
        <v>0.2852658015906237</v>
      </c>
      <c r="CS37" s="744"/>
      <c r="CT37" s="1979">
        <f>(CT15/CT10)</f>
        <v>0.3</v>
      </c>
      <c r="CU37" s="1979">
        <f>(CU15/CU10)</f>
        <v>0.28999999999999998</v>
      </c>
      <c r="CV37" s="1979">
        <f>(CV15/CV10)</f>
        <v>0.3</v>
      </c>
      <c r="CW37" s="1980">
        <f>(CW15/CW10)</f>
        <v>0.28299999999999997</v>
      </c>
      <c r="CX37" s="744"/>
      <c r="CY37" s="745">
        <f>(CY15/CY10)</f>
        <v>0.26156664344442704</v>
      </c>
      <c r="CZ37" s="745">
        <f t="shared" ref="CZ37:DE37" si="22">(CZ15/CZ10)</f>
        <v>0.26542345536535739</v>
      </c>
      <c r="DA37" s="746">
        <f t="shared" si="22"/>
        <v>0.27484134206025723</v>
      </c>
      <c r="DB37" s="747">
        <f t="shared" si="22"/>
        <v>0.26984438081735168</v>
      </c>
      <c r="DC37" s="745">
        <f t="shared" si="22"/>
        <v>0.25791939971451622</v>
      </c>
      <c r="DD37" s="745">
        <f t="shared" si="22"/>
        <v>0.27054106553345553</v>
      </c>
      <c r="DE37" s="745">
        <f t="shared" si="22"/>
        <v>0.25745360841470405</v>
      </c>
      <c r="DF37" s="747">
        <f t="shared" ref="DF37:DK37" si="23">(DF15/DF10)</f>
        <v>0.27833950888651637</v>
      </c>
      <c r="DG37" s="745">
        <f t="shared" si="23"/>
        <v>0.27583581805493879</v>
      </c>
      <c r="DH37" s="747">
        <f t="shared" si="23"/>
        <v>0.26841525540410299</v>
      </c>
      <c r="DI37" s="745">
        <f t="shared" si="23"/>
        <v>0.27533986053391563</v>
      </c>
      <c r="DJ37" s="745">
        <f t="shared" si="23"/>
        <v>0.26738952536824878</v>
      </c>
      <c r="DK37" s="790">
        <f t="shared" si="23"/>
        <v>0.26366073269640528</v>
      </c>
      <c r="DL37" s="790">
        <f t="shared" ref="DL37:DQ37" si="24">(DL15/DL10)</f>
        <v>0.27020637658935531</v>
      </c>
      <c r="DM37" s="745">
        <f t="shared" si="24"/>
        <v>0.25662620757988608</v>
      </c>
      <c r="DN37" s="745">
        <f t="shared" si="24"/>
        <v>0.25829023425616066</v>
      </c>
      <c r="DO37" s="745">
        <f t="shared" si="24"/>
        <v>0.25935304171678164</v>
      </c>
      <c r="DP37" s="745">
        <f t="shared" si="24"/>
        <v>0.27416860015467903</v>
      </c>
      <c r="DQ37" s="745">
        <f t="shared" si="24"/>
        <v>0.29334594765058342</v>
      </c>
      <c r="DR37" s="745">
        <f>(DR15/DR10)</f>
        <v>0.29258904023573234</v>
      </c>
      <c r="DS37" s="790">
        <f>(DS15/DS10)</f>
        <v>0.29399999999999998</v>
      </c>
      <c r="DT37" s="746">
        <f>(DT15/DT10)</f>
        <v>0.29530000000000001</v>
      </c>
      <c r="DU37" s="790">
        <f>(DU15/DU10)</f>
        <v>0.29659999999999997</v>
      </c>
      <c r="DV37" s="1774">
        <f>(DV15/DV10)</f>
        <v>0.29780000000000001</v>
      </c>
      <c r="DW37" s="745"/>
    </row>
    <row r="38" spans="1:139" ht="12.75" customHeight="1">
      <c r="A38" s="724" t="s">
        <v>666</v>
      </c>
      <c r="B38" s="725"/>
      <c r="C38" s="748">
        <f>(C19/C10)</f>
        <v>0.14419155177909271</v>
      </c>
      <c r="D38" s="748">
        <f>(D19/D10)</f>
        <v>0.12900663137055249</v>
      </c>
      <c r="E38" s="748">
        <f>(E19/E10)</f>
        <v>0.16636511759100486</v>
      </c>
      <c r="F38" s="748">
        <f>(F19/F10)</f>
        <v>0.17236136668654251</v>
      </c>
      <c r="G38" s="742"/>
      <c r="H38" s="743">
        <f>(H19/H10)</f>
        <v>0.13901295392735694</v>
      </c>
      <c r="I38" s="743">
        <f>(I19/I10)</f>
        <v>0.10223379880137622</v>
      </c>
      <c r="J38" s="743">
        <f>(J19/J10)</f>
        <v>9.1940124193625961E-2</v>
      </c>
      <c r="K38" s="743">
        <f>(K19/K10)</f>
        <v>9.8202524170751843E-2</v>
      </c>
      <c r="L38" s="743"/>
      <c r="M38" s="743">
        <f>(M19/M10)</f>
        <v>6.4397532311671432E-2</v>
      </c>
      <c r="N38" s="743">
        <f>(N19/N10)</f>
        <v>5.1863988223907177E-2</v>
      </c>
      <c r="O38" s="743">
        <f>(O19/O10)</f>
        <v>1.1270865876696595E-3</v>
      </c>
      <c r="P38" s="743">
        <f>(P19/P10)</f>
        <v>-9.6128618149586096E-3</v>
      </c>
      <c r="Q38" s="743"/>
      <c r="R38" s="743">
        <f>(R19/R10)</f>
        <v>3.8971717563061316E-2</v>
      </c>
      <c r="S38" s="743">
        <f>(S19/S10)</f>
        <v>5.1541944167457929E-2</v>
      </c>
      <c r="T38" s="743">
        <f>(T19/T10)</f>
        <v>8.4010890666444224E-2</v>
      </c>
      <c r="U38" s="743">
        <f>(U19/U10)</f>
        <v>9.1449841783991931E-2</v>
      </c>
      <c r="V38" s="742"/>
      <c r="W38" s="743">
        <f>(W19/W10)</f>
        <v>0.11611320904410118</v>
      </c>
      <c r="X38" s="743">
        <f>(X19/X10)</f>
        <v>0.10746753519863651</v>
      </c>
      <c r="Y38" s="743">
        <f>(Y19/Y10)</f>
        <v>0.12042888379460159</v>
      </c>
      <c r="Z38" s="743">
        <f>(Z19/Z10)</f>
        <v>0.12707049803285292</v>
      </c>
      <c r="AA38" s="742"/>
      <c r="AB38" s="743">
        <f>(AB19/AB10)</f>
        <v>0.1503449836608213</v>
      </c>
      <c r="AC38" s="743">
        <f>(AC19/AC10)</f>
        <v>9.417357447573621E-2</v>
      </c>
      <c r="AD38" s="743">
        <f>(AD19/AD10)</f>
        <v>0.1148574802457194</v>
      </c>
      <c r="AE38" s="743">
        <f>(AE19/AE10)</f>
        <v>0.1255174379048998</v>
      </c>
      <c r="AF38" s="742"/>
      <c r="AG38" s="743">
        <f>(AG19/AG10)</f>
        <v>0.12829741005484122</v>
      </c>
      <c r="AH38" s="743">
        <f>(AH19/AH10)</f>
        <v>0.11516837454908074</v>
      </c>
      <c r="AI38" s="743">
        <f>(AI19/AI10)</f>
        <v>8.8073129242007442E-2</v>
      </c>
      <c r="AJ38" s="743">
        <f>(AJ19/AJ10)</f>
        <v>0.10601190694733723</v>
      </c>
      <c r="AK38" s="742"/>
      <c r="AL38" s="743">
        <f>(AL19/AL10)</f>
        <v>0.1113695841814481</v>
      </c>
      <c r="AM38" s="743">
        <f>(AM19/AM10)</f>
        <v>5.2234787291330104E-2</v>
      </c>
      <c r="AN38" s="743">
        <f>(AN19/AN10)</f>
        <v>7.2968060244092442E-2</v>
      </c>
      <c r="AO38" s="743">
        <f>(AO19/AO10)</f>
        <v>7.4608660296808293E-2</v>
      </c>
      <c r="AP38" s="743"/>
      <c r="AQ38" s="743">
        <f>(AQ19/AQ10)</f>
        <v>8.5657931811777971E-2</v>
      </c>
      <c r="AR38" s="743">
        <f>(AR19/AR10)</f>
        <v>6.8928086838534602E-2</v>
      </c>
      <c r="AS38" s="743">
        <f>(AS19/AS10)</f>
        <v>9.5485210171250653E-2</v>
      </c>
      <c r="AT38" s="743">
        <f>(AT19/AT10)</f>
        <v>8.9411764705882357E-2</v>
      </c>
      <c r="AU38" s="743"/>
      <c r="AV38" s="743">
        <f>(AV19/AV10)</f>
        <v>0.11317966903073286</v>
      </c>
      <c r="AW38" s="743">
        <f>(AW19/AW10)</f>
        <v>0.10660188625321521</v>
      </c>
      <c r="AX38" s="743">
        <f>(AX19/AX10)</f>
        <v>0.11064307778713844</v>
      </c>
      <c r="AY38" s="743">
        <f>(AY19/AY10)</f>
        <v>9.7501224889759916E-2</v>
      </c>
      <c r="AZ38" s="743"/>
      <c r="BA38" s="743">
        <f>(BA19/BA10)</f>
        <v>0.11288775183882316</v>
      </c>
      <c r="BB38" s="743">
        <f>(BB19/BB10)</f>
        <v>0.11556240369799692</v>
      </c>
      <c r="BC38" s="743">
        <f>(BC19/BC10)</f>
        <v>0.13931457230426303</v>
      </c>
      <c r="BD38" s="743">
        <f>(BD19/BD10)</f>
        <v>0.13857412653446649</v>
      </c>
      <c r="BE38" s="743"/>
      <c r="BF38" s="743">
        <f>(BF19/BF10)</f>
        <v>0.14238510063082008</v>
      </c>
      <c r="BG38" s="743">
        <f>(BG19/BG10)</f>
        <v>0.11968646367199276</v>
      </c>
      <c r="BH38" s="743">
        <f>(BH19/BH10)</f>
        <v>0.13793103448275862</v>
      </c>
      <c r="BI38" s="743">
        <f>(BI19/BI10)</f>
        <v>0.13588450962419799</v>
      </c>
      <c r="BJ38" s="743"/>
      <c r="BK38" s="744">
        <f>(BK19/BK10)</f>
        <v>0.11714719271623672</v>
      </c>
      <c r="BL38" s="744">
        <f>(BL19/BL10)</f>
        <v>9.8641464855286479E-2</v>
      </c>
      <c r="BM38" s="744">
        <f>(BM19/BM10)</f>
        <v>9.6513249651324962E-2</v>
      </c>
      <c r="BN38" s="744">
        <f>(BN19/BN10)</f>
        <v>8.6855008171842163E-2</v>
      </c>
      <c r="BO38" s="744"/>
      <c r="BP38" s="744">
        <f>(BP19/BP10)</f>
        <v>0.11327788930312589</v>
      </c>
      <c r="BQ38" s="744">
        <f>(BQ19/BQ10)</f>
        <v>0.11888111888111888</v>
      </c>
      <c r="BR38" s="744">
        <f>(BR19/BR10)</f>
        <v>0.13457556935817805</v>
      </c>
      <c r="BS38" s="744">
        <f>(BS19/BS10)</f>
        <v>0.12740740740740741</v>
      </c>
      <c r="BT38" s="744"/>
      <c r="BU38" s="744">
        <f>(BU19/BU10)</f>
        <v>0.14212925717350497</v>
      </c>
      <c r="BV38" s="744">
        <f>(BV19/BV10)</f>
        <v>0.13469493278179939</v>
      </c>
      <c r="BW38" s="744">
        <f>(BW19/BW10)</f>
        <v>0.14486921529175051</v>
      </c>
      <c r="BX38" s="744">
        <f>(BX19/BX10)</f>
        <v>0.11409836065573771</v>
      </c>
      <c r="BY38" s="744"/>
      <c r="BZ38" s="744">
        <f>(BZ19/BZ10)</f>
        <v>0.11738208797032326</v>
      </c>
      <c r="CA38" s="744">
        <f>(CA19/CA10)</f>
        <v>0.13262999246420498</v>
      </c>
      <c r="CB38" s="744">
        <f>(CB19/CB10)</f>
        <v>0.13947633434038267</v>
      </c>
      <c r="CC38" s="744">
        <f>(CC19/CC10)</f>
        <v>0.11023789294817332</v>
      </c>
      <c r="CD38" s="744"/>
      <c r="CE38" s="744">
        <f>(CE19/CE10)</f>
        <v>0.10855892808312825</v>
      </c>
      <c r="CF38" s="744">
        <f>(CF19/CF10)</f>
        <v>0.1159569009748589</v>
      </c>
      <c r="CG38" s="744">
        <f>(CG19/CG10)</f>
        <v>0.11070780399274047</v>
      </c>
      <c r="CH38" s="744">
        <f>(CH19/CH10)</f>
        <v>8.6659064994298748E-2</v>
      </c>
      <c r="CI38" s="744"/>
      <c r="CJ38" s="744">
        <f>(CJ19/CJ10)</f>
        <v>6.4572425828970326E-2</v>
      </c>
      <c r="CK38" s="744">
        <f>(CK19/CK10)</f>
        <v>0.11139963645806283</v>
      </c>
      <c r="CL38" s="744">
        <f>(CL19/CL10)</f>
        <v>0.11005792522380201</v>
      </c>
      <c r="CM38" s="744">
        <f>(CM19/CM10)</f>
        <v>7.3379995484307972E-2</v>
      </c>
      <c r="CN38" s="744"/>
      <c r="CO38" s="744">
        <f>(CO19/CO10)</f>
        <v>7.3837209302325582E-2</v>
      </c>
      <c r="CP38" s="744">
        <f>(CP19/CP10)</f>
        <v>0.10186891287180837</v>
      </c>
      <c r="CQ38" s="744">
        <f>(CQ19/CQ10)</f>
        <v>9.8488796248045851E-2</v>
      </c>
      <c r="CR38" s="744">
        <f>(CR19/CR10)</f>
        <v>8.2879866052741738E-2</v>
      </c>
      <c r="CS38" s="744"/>
      <c r="CT38" s="1979">
        <f>(CT19/CT10)</f>
        <v>7.5000000000000039E-2</v>
      </c>
      <c r="CU38" s="1979">
        <f>(CU19/CU10)</f>
        <v>9.5000000000000098E-2</v>
      </c>
      <c r="CV38" s="1979">
        <f>(CV19/CV10)</f>
        <v>9.3999999999999875E-2</v>
      </c>
      <c r="CW38" s="1980">
        <f>(CW19/CW10)</f>
        <v>8.1000000000000016E-2</v>
      </c>
      <c r="CX38" s="744"/>
      <c r="CY38" s="745">
        <f>(CY19/CY10)</f>
        <v>0.15613604278942592</v>
      </c>
      <c r="CZ38" s="745">
        <f t="shared" ref="CZ38:DE38" si="25">(CZ19/CZ10)</f>
        <v>0.10566169791698653</v>
      </c>
      <c r="DA38" s="746">
        <f t="shared" si="25"/>
        <v>2.4373129360732746E-2</v>
      </c>
      <c r="DB38" s="747">
        <f t="shared" si="25"/>
        <v>7.0055301701334685E-2</v>
      </c>
      <c r="DC38" s="745">
        <f t="shared" si="25"/>
        <v>0.11858369512905116</v>
      </c>
      <c r="DD38" s="745">
        <f t="shared" si="25"/>
        <v>0.12171870601825098</v>
      </c>
      <c r="DE38" s="745">
        <f t="shared" si="25"/>
        <v>0.10885774412140262</v>
      </c>
      <c r="DF38" s="747">
        <f t="shared" ref="DF38:DK38" si="26">(DF19/DF10)</f>
        <v>7.6932738805501472E-2</v>
      </c>
      <c r="DG38" s="745">
        <f t="shared" si="26"/>
        <v>8.5262957558840322E-2</v>
      </c>
      <c r="DH38" s="747">
        <f t="shared" si="26"/>
        <v>0.10656753407682776</v>
      </c>
      <c r="DI38" s="745">
        <f t="shared" si="26"/>
        <v>0.12784391068535605</v>
      </c>
      <c r="DJ38" s="745">
        <f t="shared" si="26"/>
        <v>0.13420621931260229</v>
      </c>
      <c r="DK38" s="790">
        <f t="shared" si="26"/>
        <v>9.8838408138016365E-2</v>
      </c>
      <c r="DL38" s="790">
        <f t="shared" ref="DL38:DQ38" si="27">(DL19/DL10)</f>
        <v>0.12408152833684749</v>
      </c>
      <c r="DM38" s="745">
        <f t="shared" si="27"/>
        <v>0.13308149616051523</v>
      </c>
      <c r="DN38" s="745">
        <f t="shared" si="27"/>
        <v>0.12436872528141162</v>
      </c>
      <c r="DO38" s="745">
        <f t="shared" si="27"/>
        <v>0.10483003101854782</v>
      </c>
      <c r="DP38" s="745">
        <f t="shared" si="27"/>
        <v>8.9842742974993561E-2</v>
      </c>
      <c r="DQ38" s="745">
        <f t="shared" si="27"/>
        <v>8.9246294544307783E-2</v>
      </c>
      <c r="DR38" s="745">
        <f>(DR19/DR10)</f>
        <v>8.6266935039104514E-2</v>
      </c>
      <c r="DS38" s="790">
        <f>(DS19/DS10)</f>
        <v>8.2055975274837004E-2</v>
      </c>
      <c r="DT38" s="746">
        <f>(DT19/DT10)</f>
        <v>7.8755975274836951E-2</v>
      </c>
      <c r="DU38" s="790">
        <f>(DU19/DU10)</f>
        <v>7.5455975274836898E-2</v>
      </c>
      <c r="DV38" s="1774">
        <f>(DV19/DV10)</f>
        <v>7.2255975274836917E-2</v>
      </c>
      <c r="DW38" s="745"/>
    </row>
    <row r="39" spans="1:139" ht="12.75" customHeight="1">
      <c r="A39" s="724" t="s">
        <v>261</v>
      </c>
      <c r="B39" s="725"/>
      <c r="C39" s="748">
        <f>C21/C10</f>
        <v>2.0362342573803614E-3</v>
      </c>
      <c r="D39" s="748">
        <f>D21/D10</f>
        <v>1.2925241884631515E-3</v>
      </c>
      <c r="E39" s="748">
        <f>E21/E10</f>
        <v>3.4665556353119112E-3</v>
      </c>
      <c r="F39" s="748">
        <f>F21/F10</f>
        <v>3.4696065421091133E-3</v>
      </c>
      <c r="G39" s="742"/>
      <c r="H39" s="748">
        <f>H21/H10</f>
        <v>3.2770983788374041E-3</v>
      </c>
      <c r="I39" s="748">
        <f>I21/I10</f>
        <v>3.9756231439006641E-3</v>
      </c>
      <c r="J39" s="748">
        <f>J21/J10</f>
        <v>5.9985333859690019E-3</v>
      </c>
      <c r="K39" s="748">
        <f>K21/K10</f>
        <v>4.74352098059701E-3</v>
      </c>
      <c r="L39" s="743"/>
      <c r="M39" s="748">
        <f>M21/M10</f>
        <v>7.2029804481994275E-3</v>
      </c>
      <c r="N39" s="748">
        <f>N21/N10</f>
        <v>8.3106871986143305E-3</v>
      </c>
      <c r="O39" s="748">
        <f>O21/O10</f>
        <v>5.5019345269791287E-3</v>
      </c>
      <c r="P39" s="748">
        <f>P21/P10</f>
        <v>6.7639453495124853E-3</v>
      </c>
      <c r="Q39" s="743"/>
      <c r="R39" s="748">
        <f>R21/R10</f>
        <v>1.4094173319865505E-2</v>
      </c>
      <c r="S39" s="748">
        <f>S21/S10</f>
        <v>1.7477233639781303E-2</v>
      </c>
      <c r="T39" s="748">
        <f>T21/T10</f>
        <v>1.5886337173891808E-2</v>
      </c>
      <c r="U39" s="748">
        <f>U21/U10</f>
        <v>1.2038006246070404E-2</v>
      </c>
      <c r="V39" s="742"/>
      <c r="W39" s="748">
        <f>W21/W10</f>
        <v>1.6945386368469543E-2</v>
      </c>
      <c r="X39" s="748">
        <f>X21/X10</f>
        <v>1.4272926023098802E-2</v>
      </c>
      <c r="Y39" s="748">
        <f>Y21/Y10</f>
        <v>1.1025444743496302E-2</v>
      </c>
      <c r="Z39" s="748">
        <f>Z21/Z10</f>
        <v>8.7768487335109207E-3</v>
      </c>
      <c r="AA39" s="742"/>
      <c r="AB39" s="748">
        <f>AB21/AB10</f>
        <v>1.0865519765839188E-2</v>
      </c>
      <c r="AC39" s="748">
        <f>AC21/AC10</f>
        <v>8.3810181120187142E-3</v>
      </c>
      <c r="AD39" s="748">
        <f>AD21/AD10</f>
        <v>5.778676683039584E-3</v>
      </c>
      <c r="AE39" s="748">
        <f>AE21/AE10</f>
        <v>2.8577861506375824E-3</v>
      </c>
      <c r="AF39" s="742"/>
      <c r="AG39" s="748">
        <f>AG21/AG10</f>
        <v>-6.6624511588004611E-4</v>
      </c>
      <c r="AH39" s="748">
        <f>AH21/AH10</f>
        <v>-4.0483836333900028E-3</v>
      </c>
      <c r="AI39" s="748">
        <f>AI21/AI10</f>
        <v>-2.9073246861452064E-3</v>
      </c>
      <c r="AJ39" s="748">
        <f>AJ21/AJ10</f>
        <v>-4.0013416629277251E-3</v>
      </c>
      <c r="AK39" s="742"/>
      <c r="AL39" s="748">
        <f>AL21/AL10</f>
        <v>-6.1709799360279158E-3</v>
      </c>
      <c r="AM39" s="748">
        <f>AM21/AM10</f>
        <v>-5.6542810985460417E-3</v>
      </c>
      <c r="AN39" s="748">
        <f>AN21/AN10</f>
        <v>-6.2240976369774088E-3</v>
      </c>
      <c r="AO39" s="748">
        <f>AO21/AO10</f>
        <v>-4.8790404553771096E-3</v>
      </c>
      <c r="AP39" s="743"/>
      <c r="AQ39" s="748">
        <f>AQ21/AQ10</f>
        <v>-6.4806987883910963E-3</v>
      </c>
      <c r="AR39" s="748">
        <f>AR21/AR10</f>
        <v>-7.0556309362279513E-3</v>
      </c>
      <c r="AS39" s="748">
        <f>AS21/AS10</f>
        <v>-7.0057083549558896E-3</v>
      </c>
      <c r="AT39" s="748">
        <f>AT21/AT10</f>
        <v>-3.2085561497326204E-3</v>
      </c>
      <c r="AU39" s="743"/>
      <c r="AV39" s="748">
        <f>AV21/AV10</f>
        <v>-7.3877068557919624E-3</v>
      </c>
      <c r="AW39" s="748">
        <f>AW21/AW10</f>
        <v>-1.1431837667905116E-3</v>
      </c>
      <c r="AX39" s="748">
        <f>AX21/AX10</f>
        <v>-1.1232799775344005E-3</v>
      </c>
      <c r="AY39" s="748">
        <f>AY21/AY10</f>
        <v>-7.3493385595296422E-4</v>
      </c>
      <c r="AZ39" s="743"/>
      <c r="BA39" s="748">
        <f>BA21/BA10</f>
        <v>0</v>
      </c>
      <c r="BB39" s="748">
        <f>BB21/BB10</f>
        <v>-3.0816640986132513E-4</v>
      </c>
      <c r="BC39" s="748">
        <f>BC21/BC10</f>
        <v>0</v>
      </c>
      <c r="BD39" s="748">
        <f>BD21/BD10</f>
        <v>0</v>
      </c>
      <c r="BE39" s="743"/>
      <c r="BF39" s="748">
        <f>BF21/BF10</f>
        <v>-3.3042955842595375E-3</v>
      </c>
      <c r="BG39" s="748">
        <f>BG21/BG10</f>
        <v>-3.0147723846849563E-4</v>
      </c>
      <c r="BH39" s="748">
        <f>BH21/BH10</f>
        <v>5.4734537493158185E-4</v>
      </c>
      <c r="BI39" s="748">
        <f>BI21/BI10</f>
        <v>-9.1659028414298811E-4</v>
      </c>
      <c r="BJ39" s="743"/>
      <c r="BK39" s="748">
        <f>BK21/BK10</f>
        <v>1.5174506828528073E-3</v>
      </c>
      <c r="BL39" s="748">
        <f>BL21/BL10</f>
        <v>6.2020082693443595E-3</v>
      </c>
      <c r="BM39" s="748">
        <f>BM21/BM10</f>
        <v>5.8577405857740588E-3</v>
      </c>
      <c r="BN39" s="748">
        <f>BN21/BN10</f>
        <v>5.1365865047863649E-3</v>
      </c>
      <c r="BO39" s="744"/>
      <c r="BP39" s="748">
        <f>BP21/BP10</f>
        <v>6.3091482649842269E-3</v>
      </c>
      <c r="BQ39" s="748">
        <f>BQ21/BQ10</f>
        <v>5.5944055944055944E-3</v>
      </c>
      <c r="BR39" s="748">
        <f>BR21/BR10</f>
        <v>5.434782608695652E-3</v>
      </c>
      <c r="BS39" s="748">
        <f>BS21/BS10</f>
        <v>3.8095238095238095E-3</v>
      </c>
      <c r="BT39" s="744"/>
      <c r="BU39" s="748">
        <f>BU21/BU10</f>
        <v>0</v>
      </c>
      <c r="BV39" s="748">
        <f>BV21/BV10</f>
        <v>4.6535677352637023E-3</v>
      </c>
      <c r="BW39" s="748">
        <f>BW21/BW10</f>
        <v>5.0301810865191147E-3</v>
      </c>
      <c r="BX39" s="745">
        <f>BX21/BX10</f>
        <v>3.9344262295081967E-3</v>
      </c>
      <c r="BY39" s="744"/>
      <c r="BZ39" s="748">
        <f>BZ21/BZ10</f>
        <v>4.5045045045045045E-3</v>
      </c>
      <c r="CA39" s="748">
        <f>CA21/CA10</f>
        <v>4.5214770158251696E-3</v>
      </c>
      <c r="CB39" s="748">
        <f>CB21/CB10</f>
        <v>4.5317220543806651E-3</v>
      </c>
      <c r="CC39" s="745">
        <f>CC21/CC10</f>
        <v>3.6108751062022089E-3</v>
      </c>
      <c r="CD39" s="744"/>
      <c r="CE39" s="748">
        <f>CE21/CE10</f>
        <v>1.0937927262783702E-3</v>
      </c>
      <c r="CF39" s="748">
        <f>CF21/CF10</f>
        <v>4.1046690610569521E-3</v>
      </c>
      <c r="CG39" s="748">
        <f>CG21/CG10</f>
        <v>4.66683951257454E-3</v>
      </c>
      <c r="CH39" s="745">
        <f>CH21/CH10</f>
        <v>3.4207525655644243E-3</v>
      </c>
      <c r="CI39" s="744"/>
      <c r="CJ39" s="748">
        <f>CJ21/CJ10</f>
        <v>5.235602094240838E-3</v>
      </c>
      <c r="CK39" s="748">
        <f>CK21/CK10</f>
        <v>4.1547649961049078E-3</v>
      </c>
      <c r="CL39" s="748">
        <f>CL21/CL10</f>
        <v>4.4760400210637173E-3</v>
      </c>
      <c r="CM39" s="745">
        <f>CM21/CM10</f>
        <v>3.6125536238428538E-3</v>
      </c>
      <c r="CN39" s="744"/>
      <c r="CO39" s="790">
        <f>CO21/CO10</f>
        <v>4.6511627906976744E-3</v>
      </c>
      <c r="CP39" s="790">
        <f>CP21/CP10</f>
        <v>3.1587259805211897E-3</v>
      </c>
      <c r="CQ39" s="790">
        <f>CQ21/CQ10</f>
        <v>3.6477331943720686E-3</v>
      </c>
      <c r="CR39" s="790">
        <f>CR21/CR10</f>
        <v>2.7208036835496023E-3</v>
      </c>
      <c r="CS39" s="744"/>
      <c r="CT39" s="1775">
        <f>CT21/CT10</f>
        <v>3.6958203907014433E-3</v>
      </c>
      <c r="CU39" s="1775">
        <f>CU21/CU10</f>
        <v>3.3294117564835472E-3</v>
      </c>
      <c r="CV39" s="1775">
        <f>CV21/CV10</f>
        <v>3.5861778616450026E-3</v>
      </c>
      <c r="CW39" s="1774">
        <f>CW21/CW10</f>
        <v>2.7769376483360495E-3</v>
      </c>
      <c r="CX39" s="745"/>
      <c r="CY39" s="745"/>
      <c r="CZ39" s="745"/>
      <c r="DA39" s="746"/>
      <c r="DB39" s="747"/>
      <c r="DC39" s="745"/>
      <c r="DD39" s="745"/>
      <c r="DE39" s="745"/>
      <c r="DF39" s="747">
        <f t="shared" ref="DF39:DS39" si="28">DF21/DF10</f>
        <v>-5.6641964453934563E-3</v>
      </c>
      <c r="DG39" s="745">
        <f t="shared" si="28"/>
        <v>-5.7730127513798135E-3</v>
      </c>
      <c r="DH39" s="747">
        <f t="shared" si="28"/>
        <v>-2.4783147459727386E-3</v>
      </c>
      <c r="DI39" s="745">
        <f t="shared" si="28"/>
        <v>-7.0437416355568081E-5</v>
      </c>
      <c r="DJ39" s="745">
        <f t="shared" si="28"/>
        <v>-9.5471903982542283E-4</v>
      </c>
      <c r="DK39" s="790">
        <f t="shared" si="28"/>
        <v>4.742593992714276E-3</v>
      </c>
      <c r="DL39" s="790">
        <f t="shared" si="28"/>
        <v>5.1753881541115581E-3</v>
      </c>
      <c r="DM39" s="745">
        <f t="shared" si="28"/>
        <v>3.4679217240525142E-3</v>
      </c>
      <c r="DN39" s="745">
        <f t="shared" si="28"/>
        <v>4.2592029205962886E-3</v>
      </c>
      <c r="DO39" s="745">
        <f t="shared" si="28"/>
        <v>3.3550674178641515E-3</v>
      </c>
      <c r="DP39" s="745">
        <f t="shared" si="28"/>
        <v>4.3181232276359883E-3</v>
      </c>
      <c r="DQ39" s="745">
        <f t="shared" si="28"/>
        <v>3.4689372437716809E-3</v>
      </c>
      <c r="DR39" s="745">
        <f t="shared" si="28"/>
        <v>3.3109740052113968E-3</v>
      </c>
      <c r="DS39" s="790">
        <f t="shared" si="28"/>
        <v>3.3271786460410276E-3</v>
      </c>
      <c r="DT39" s="746">
        <f t="shared" ref="DT39:DU39" si="29">DT21/DT10</f>
        <v>3.3431808991128838E-3</v>
      </c>
      <c r="DU39" s="790">
        <f t="shared" si="29"/>
        <v>3.3567587389579409E-3</v>
      </c>
      <c r="DV39" s="1775">
        <f t="shared" ref="DV39" si="30">DV21/DV10</f>
        <v>3.3717771118085592E-3</v>
      </c>
      <c r="DW39" s="747"/>
      <c r="ED39" s="449"/>
    </row>
    <row r="40" spans="1:139" ht="12.75" customHeight="1">
      <c r="A40" s="724" t="s">
        <v>19</v>
      </c>
      <c r="B40" s="725"/>
      <c r="C40" s="748">
        <f>(C22/C10)</f>
        <v>0.14215531752171237</v>
      </c>
      <c r="D40" s="748">
        <f>(D22/D10)</f>
        <v>0.12771410718208934</v>
      </c>
      <c r="E40" s="748">
        <f>(E22/E10)</f>
        <v>0.16289856195569297</v>
      </c>
      <c r="F40" s="748">
        <f>(F22/F10)</f>
        <v>0.16889176014443338</v>
      </c>
      <c r="G40" s="742"/>
      <c r="H40" s="743">
        <f>(H22/H10)</f>
        <v>0.13573585554851952</v>
      </c>
      <c r="I40" s="743">
        <f>(I22/I10)</f>
        <v>9.8258175657475549E-2</v>
      </c>
      <c r="J40" s="743">
        <f>(J22/J10)</f>
        <v>8.5941590807656953E-2</v>
      </c>
      <c r="K40" s="743">
        <f>(K22/K10)</f>
        <v>9.3459003190154821E-2</v>
      </c>
      <c r="L40" s="743"/>
      <c r="M40" s="743">
        <f>(M22/M10)</f>
        <v>5.7194551863472012E-2</v>
      </c>
      <c r="N40" s="743">
        <f>(N22/N10)</f>
        <v>4.3553301025292847E-2</v>
      </c>
      <c r="O40" s="743">
        <f>(O22/O10)</f>
        <v>-4.374847939309469E-3</v>
      </c>
      <c r="P40" s="743">
        <f>(P22/P10)</f>
        <v>-1.6376807164471097E-2</v>
      </c>
      <c r="Q40" s="743"/>
      <c r="R40" s="743">
        <f>(R22/R10)</f>
        <v>2.4877544243195809E-2</v>
      </c>
      <c r="S40" s="743">
        <f>(S22/S10)</f>
        <v>3.406471052767663E-2</v>
      </c>
      <c r="T40" s="743">
        <f>(T22/T10)</f>
        <v>6.812455349255242E-2</v>
      </c>
      <c r="U40" s="743">
        <f>(U22/U10)</f>
        <v>7.9411835537921513E-2</v>
      </c>
      <c r="V40" s="742"/>
      <c r="W40" s="743">
        <f>(W22/W10)</f>
        <v>9.9167822675631623E-2</v>
      </c>
      <c r="X40" s="743">
        <f>(X22/X10)</f>
        <v>9.3194609175537707E-2</v>
      </c>
      <c r="Y40" s="743">
        <f>(Y22/Y10)</f>
        <v>0.10940343905110529</v>
      </c>
      <c r="Z40" s="743">
        <f>(Z22/Z10)</f>
        <v>0.11829364929934201</v>
      </c>
      <c r="AA40" s="742"/>
      <c r="AB40" s="743">
        <f>(AB22/AB10)</f>
        <v>0.13947946389498211</v>
      </c>
      <c r="AC40" s="743">
        <f>(AC22/AC10)</f>
        <v>8.5792556363717493E-2</v>
      </c>
      <c r="AD40" s="743">
        <f>(AD22/AD10)</f>
        <v>0.10907880356267982</v>
      </c>
      <c r="AE40" s="743">
        <f>(AE22/AE10)</f>
        <v>0.12265965175426222</v>
      </c>
      <c r="AF40" s="742"/>
      <c r="AG40" s="743">
        <f>(AG22/AG10)</f>
        <v>0.12896365517072128</v>
      </c>
      <c r="AH40" s="743">
        <f>(AH22/AH10)</f>
        <v>0.11921675818247075</v>
      </c>
      <c r="AI40" s="743">
        <f>(AI22/AI10)</f>
        <v>9.0980453928152641E-2</v>
      </c>
      <c r="AJ40" s="743">
        <f>(AJ22/AJ10)</f>
        <v>0.11001324861026494</v>
      </c>
      <c r="AK40" s="742"/>
      <c r="AL40" s="743">
        <f>(AL22/AL10)</f>
        <v>0.117540564117476</v>
      </c>
      <c r="AM40" s="743">
        <f>(AM22/AM10)</f>
        <v>5.7889068389876147E-2</v>
      </c>
      <c r="AN40" s="743">
        <f>(AN22/AN10)</f>
        <v>7.9192157881069855E-2</v>
      </c>
      <c r="AO40" s="743">
        <f>(AO22/AO10)</f>
        <v>7.9487700752185406E-2</v>
      </c>
      <c r="AP40" s="743"/>
      <c r="AQ40" s="743">
        <f>(AQ22/AQ10)</f>
        <v>9.2138630600169066E-2</v>
      </c>
      <c r="AR40" s="743">
        <f>(AR22/AR10)</f>
        <v>7.5983717774762552E-2</v>
      </c>
      <c r="AS40" s="743">
        <f>(AS22/AS10)</f>
        <v>0.10249091852620654</v>
      </c>
      <c r="AT40" s="743">
        <f>(AT22/AT10)</f>
        <v>9.2620320855614974E-2</v>
      </c>
      <c r="AU40" s="743"/>
      <c r="AV40" s="743">
        <f>(AV22/AV10)</f>
        <v>0.12056737588652482</v>
      </c>
      <c r="AW40" s="743">
        <f>(AW22/AW10)</f>
        <v>0.10774507002000572</v>
      </c>
      <c r="AX40" s="743">
        <f>(AX22/AX10)</f>
        <v>0.11176635776467285</v>
      </c>
      <c r="AY40" s="743">
        <f>(AY22/AY10)</f>
        <v>9.8236158745712884E-2</v>
      </c>
      <c r="AZ40" s="743"/>
      <c r="BA40" s="743">
        <f>(BA22/BA10)</f>
        <v>0.11288775183882316</v>
      </c>
      <c r="BB40" s="743">
        <f>(BB22/BB10)</f>
        <v>0.11587057010785824</v>
      </c>
      <c r="BC40" s="743">
        <f>(BC22/BC10)</f>
        <v>0.13931457230426303</v>
      </c>
      <c r="BD40" s="743">
        <f>(BD22/BD10)</f>
        <v>0.13857412653446649</v>
      </c>
      <c r="BE40" s="743"/>
      <c r="BF40" s="743">
        <f>(BF22/BF10)</f>
        <v>0.14568939621507959</v>
      </c>
      <c r="BG40" s="743">
        <f>(BG22/BG10)</f>
        <v>0.11998794091046126</v>
      </c>
      <c r="BH40" s="743">
        <f>(BH22/BH10)</f>
        <v>0.13738368910782703</v>
      </c>
      <c r="BI40" s="743">
        <f>(BI22/BI10)</f>
        <v>0.13680109990834097</v>
      </c>
      <c r="BJ40" s="743"/>
      <c r="BK40" s="744">
        <f>(BK22/BK10)</f>
        <v>0.11562974203338391</v>
      </c>
      <c r="BL40" s="744">
        <f>(BL22/BL10)</f>
        <v>9.2439456585942117E-2</v>
      </c>
      <c r="BM40" s="744">
        <f>(BM22/BM10)</f>
        <v>9.0655509065550907E-2</v>
      </c>
      <c r="BN40" s="744">
        <f>(BN22/BN10)</f>
        <v>8.1718421667055799E-2</v>
      </c>
      <c r="BO40" s="744"/>
      <c r="BP40" s="744">
        <f>(BP22/BP10)</f>
        <v>0.10696874103814166</v>
      </c>
      <c r="BQ40" s="744">
        <f>(BQ22/BQ10)</f>
        <v>0.11328671328671329</v>
      </c>
      <c r="BR40" s="744">
        <f>(BR22/BR10)</f>
        <v>0.1291407867494824</v>
      </c>
      <c r="BS40" s="744">
        <f>(BS22/BS10)</f>
        <v>0.1235978835978836</v>
      </c>
      <c r="BT40" s="744"/>
      <c r="BU40" s="744">
        <f>(BU22/BU10)</f>
        <v>0.14212925717350497</v>
      </c>
      <c r="BV40" s="744">
        <f>(BV22/BV10)</f>
        <v>0.13004136504653568</v>
      </c>
      <c r="BW40" s="744">
        <f>(BW22/BW10)</f>
        <v>0.13983903420523139</v>
      </c>
      <c r="BX40" s="744">
        <f>(BX22/BX10)</f>
        <v>0.11016393442622952</v>
      </c>
      <c r="BY40" s="744"/>
      <c r="BZ40" s="744">
        <f>(BZ22/BZ10)</f>
        <v>0.11287758346581876</v>
      </c>
      <c r="CA40" s="744">
        <f>(CA22/CA10)</f>
        <v>0.12810851544837981</v>
      </c>
      <c r="CB40" s="744">
        <f>(CB22/CB10)</f>
        <v>0.13494461228600202</v>
      </c>
      <c r="CC40" s="744">
        <f>(CC22/CC10)</f>
        <v>0.10662701784197111</v>
      </c>
      <c r="CD40" s="744"/>
      <c r="CE40" s="744">
        <f>(CE22/CE10)</f>
        <v>0.10746513535684987</v>
      </c>
      <c r="CF40" s="744">
        <f>(CF22/CF10)</f>
        <v>0.11185223191380195</v>
      </c>
      <c r="CG40" s="744">
        <f>(CG22/CG10)</f>
        <v>0.10604096448016594</v>
      </c>
      <c r="CH40" s="744">
        <f>(CH22/CH10)</f>
        <v>8.3238312428734321E-2</v>
      </c>
      <c r="CI40" s="744"/>
      <c r="CJ40" s="744">
        <f>(CJ22/CJ10)</f>
        <v>5.9336823734729496E-2</v>
      </c>
      <c r="CK40" s="744">
        <f>(CK22/CK10)</f>
        <v>0.10724487146195794</v>
      </c>
      <c r="CL40" s="744">
        <f>(CL22/CL10)</f>
        <v>0.10558188520273828</v>
      </c>
      <c r="CM40" s="744">
        <f>(CM22/CM10)</f>
        <v>6.9767441860465115E-2</v>
      </c>
      <c r="CN40" s="744"/>
      <c r="CO40" s="744">
        <f>(CO22/CO10)</f>
        <v>6.9186046511627908E-2</v>
      </c>
      <c r="CP40" s="744">
        <f>(CP22/CP10)</f>
        <v>9.8710186891287174E-2</v>
      </c>
      <c r="CQ40" s="744">
        <f>(CQ22/CQ10)</f>
        <v>9.4841063053673791E-2</v>
      </c>
      <c r="CR40" s="744">
        <f>(CR22/CR10)</f>
        <v>8.0159062369192124E-2</v>
      </c>
      <c r="CS40" s="744"/>
      <c r="CT40" s="1979">
        <f>(CT22/CT10)</f>
        <v>7.1304179609298593E-2</v>
      </c>
      <c r="CU40" s="1979">
        <f>(CU22/CU10)</f>
        <v>9.1670588243516551E-2</v>
      </c>
      <c r="CV40" s="1979">
        <f>(CV22/CV10)</f>
        <v>9.0413822138354874E-2</v>
      </c>
      <c r="CW40" s="1980">
        <f>(CW22/CW10)</f>
        <v>7.8223062351663972E-2</v>
      </c>
      <c r="CX40" s="744"/>
      <c r="CY40" s="745">
        <f>(CY22/CY10)</f>
        <v>0.15340687099831055</v>
      </c>
      <c r="CZ40" s="745">
        <f t="shared" ref="CZ40:DE40" si="31">(CZ22/CZ10)</f>
        <v>0.10106330073002727</v>
      </c>
      <c r="DA40" s="746">
        <f t="shared" si="31"/>
        <v>1.7449683427916928E-2</v>
      </c>
      <c r="DB40" s="747">
        <f t="shared" si="31"/>
        <v>5.5405819653650427E-2</v>
      </c>
      <c r="DC40" s="745">
        <f t="shared" si="31"/>
        <v>0.10624443744997254</v>
      </c>
      <c r="DD40" s="745">
        <f t="shared" si="31"/>
        <v>0.11507757139570125</v>
      </c>
      <c r="DE40" s="745">
        <f t="shared" si="31"/>
        <v>0.11185168173007196</v>
      </c>
      <c r="DF40" s="747">
        <f t="shared" ref="DF40:DK40" si="32">(DF22/DF10)</f>
        <v>8.259693525089494E-2</v>
      </c>
      <c r="DG40" s="745">
        <f t="shared" si="32"/>
        <v>9.1035970310220135E-2</v>
      </c>
      <c r="DH40" s="747">
        <f t="shared" si="32"/>
        <v>0.1090458488228005</v>
      </c>
      <c r="DI40" s="745">
        <f t="shared" si="32"/>
        <v>0.12791434810171162</v>
      </c>
      <c r="DJ40" s="745">
        <f t="shared" si="32"/>
        <v>0.13516093835242771</v>
      </c>
      <c r="DK40" s="790">
        <f t="shared" si="32"/>
        <v>9.4095814145302076E-2</v>
      </c>
      <c r="DL40" s="790">
        <f t="shared" ref="DL40:DQ40" si="33">(DL22/DL10)</f>
        <v>0.11890614018273593</v>
      </c>
      <c r="DM40" s="745">
        <f t="shared" si="33"/>
        <v>0.12961357443646271</v>
      </c>
      <c r="DN40" s="745">
        <f t="shared" si="33"/>
        <v>0.12010952236081533</v>
      </c>
      <c r="DO40" s="745">
        <f t="shared" si="33"/>
        <v>0.10147496360068367</v>
      </c>
      <c r="DP40" s="745">
        <f t="shared" si="33"/>
        <v>8.5524619747357561E-2</v>
      </c>
      <c r="DQ40" s="745">
        <f t="shared" si="33"/>
        <v>8.5777357300536108E-2</v>
      </c>
      <c r="DR40" s="745">
        <f>(DR22/DR10)</f>
        <v>8.2955961033893119E-2</v>
      </c>
      <c r="DS40" s="790">
        <f>(DS22/DS10)</f>
        <v>7.8728796628795977E-2</v>
      </c>
      <c r="DT40" s="746">
        <f>(DT22/DT10)</f>
        <v>7.5412794375724068E-2</v>
      </c>
      <c r="DU40" s="790">
        <f>(DU22/DU10)</f>
        <v>7.2099216535878946E-2</v>
      </c>
      <c r="DV40" s="1774">
        <f>(DV22/DV10)</f>
        <v>6.8884198163028362E-2</v>
      </c>
      <c r="DW40" s="745"/>
      <c r="EI40" s="659"/>
    </row>
    <row r="41" spans="1:139" ht="12.75" customHeight="1">
      <c r="A41" s="724" t="s">
        <v>20</v>
      </c>
      <c r="B41" s="725"/>
      <c r="C41" s="748">
        <f>(C24/C22)</f>
        <v>0.375</v>
      </c>
      <c r="D41" s="748">
        <f>(D24/D22)</f>
        <v>0.37499920210898569</v>
      </c>
      <c r="E41" s="748">
        <f>(E24/E22)</f>
        <v>0.36499902235284398</v>
      </c>
      <c r="F41" s="748">
        <f>(F24/F22)</f>
        <v>0.36501197557933135</v>
      </c>
      <c r="G41" s="742"/>
      <c r="H41" s="743">
        <f>(H24/H22)</f>
        <v>0.36500111911420108</v>
      </c>
      <c r="I41" s="743">
        <f>(I24/I22)</f>
        <v>0.36499825643823142</v>
      </c>
      <c r="J41" s="743">
        <f>(J24/J22)</f>
        <v>0.36500126081059853</v>
      </c>
      <c r="K41" s="743">
        <f>(K24/K22)</f>
        <v>0.36499928731157599</v>
      </c>
      <c r="L41" s="743"/>
      <c r="M41" s="743">
        <f>(M24/M22)</f>
        <v>0.36500255692597022</v>
      </c>
      <c r="N41" s="743">
        <f>(N24/N22)</f>
        <v>0.36499929248620389</v>
      </c>
      <c r="O41" s="743" t="s">
        <v>60</v>
      </c>
      <c r="P41" s="743">
        <f>(P24/P22)</f>
        <v>0.48998880179171256</v>
      </c>
      <c r="Q41" s="743"/>
      <c r="R41" s="743">
        <f>(R24/R22)</f>
        <v>0.48999541137700281</v>
      </c>
      <c r="S41" s="743">
        <f>(S24/S22)</f>
        <v>0.49000305387392773</v>
      </c>
      <c r="T41" s="743">
        <f>(T24/T22)</f>
        <v>0.45523959872901337</v>
      </c>
      <c r="U41" s="743">
        <f>(U24/U22)</f>
        <v>0.32650895040250411</v>
      </c>
      <c r="V41" s="742"/>
      <c r="W41" s="743">
        <f>(W24/W22)</f>
        <v>0.38933552289262424</v>
      </c>
      <c r="X41" s="743">
        <f>(X24/X22)</f>
        <v>0.38963167855583059</v>
      </c>
      <c r="Y41" s="743">
        <f>(Y24/Y22)</f>
        <v>0.39049211902413605</v>
      </c>
      <c r="Z41" s="743">
        <f>(Z24/Z22)</f>
        <v>0.3840495212918717</v>
      </c>
      <c r="AA41" s="742"/>
      <c r="AB41" s="743">
        <f>(AB24/AB22)</f>
        <v>0.38949858273873517</v>
      </c>
      <c r="AC41" s="743">
        <f>(AC24/AC22)</f>
        <v>0.38915342589343888</v>
      </c>
      <c r="AD41" s="743">
        <f>(AD24/AD22)</f>
        <v>0.38926638258666352</v>
      </c>
      <c r="AE41" s="743">
        <f>(AE24/AE22)</f>
        <v>0.37111185444427253</v>
      </c>
      <c r="AF41" s="742"/>
      <c r="AG41" s="743">
        <f>(AG24/AG22)</f>
        <v>0.37700038489500887</v>
      </c>
      <c r="AH41" s="743">
        <f>(AH24/AH22)</f>
        <v>0.38672595334559723</v>
      </c>
      <c r="AI41" s="743">
        <f>(AI24/AI22)</f>
        <v>0.3954484361118073</v>
      </c>
      <c r="AJ41" s="743">
        <f>(AJ24/AJ22)</f>
        <v>0.36409728467968056</v>
      </c>
      <c r="AK41" s="742"/>
      <c r="AL41" s="743">
        <f>(AL24/AL22)</f>
        <v>0.38592654531420856</v>
      </c>
      <c r="AM41" s="743">
        <f>(AM24/AM22)</f>
        <v>0.37674418604651161</v>
      </c>
      <c r="AN41" s="743">
        <f>(AN24/AN22)</f>
        <v>0.35413435463932402</v>
      </c>
      <c r="AO41" s="743">
        <f>(AO24/AO22)</f>
        <v>0.41176470588235292</v>
      </c>
      <c r="AP41" s="743"/>
      <c r="AQ41" s="743">
        <f>(AQ24/AQ22)</f>
        <v>0.37308868501529052</v>
      </c>
      <c r="AR41" s="743">
        <f>(AR24/AR22)</f>
        <v>0.33214285714285713</v>
      </c>
      <c r="AS41" s="743">
        <f>(AS24/AS22)</f>
        <v>0.39493670886075949</v>
      </c>
      <c r="AT41" s="743">
        <f>(AT24/AT22)</f>
        <v>0.38799076212471134</v>
      </c>
      <c r="AU41" s="743"/>
      <c r="AV41" s="743">
        <f>(AV24/AV22)</f>
        <v>0.38970588235294118</v>
      </c>
      <c r="AW41" s="743">
        <f>(AW24/AW22)</f>
        <v>0.39257294429708223</v>
      </c>
      <c r="AX41" s="743">
        <f>(AX24/AX22)</f>
        <v>0.38190954773869346</v>
      </c>
      <c r="AY41" s="743">
        <f>(AY24/AY22)</f>
        <v>0.3940149625935162</v>
      </c>
      <c r="AZ41" s="743"/>
      <c r="BA41" s="743">
        <f>(BA24/BA22)</f>
        <v>0.39093484419263458</v>
      </c>
      <c r="BB41" s="743">
        <f>(BB24/BB22)</f>
        <v>0.39361702127659576</v>
      </c>
      <c r="BC41" s="743">
        <f>(BC24/BC22)</f>
        <v>0.38600000000000001</v>
      </c>
      <c r="BD41" s="743">
        <f>(BD24/BD22)</f>
        <v>0.40034071550255534</v>
      </c>
      <c r="BE41" s="743"/>
      <c r="BF41" s="743">
        <f>(BF24/BF22)</f>
        <v>0.37731958762886597</v>
      </c>
      <c r="BG41" s="743">
        <f>(BG24/BG22)</f>
        <v>0.4120603015075377</v>
      </c>
      <c r="BH41" s="743">
        <f>(BH24/BH22)</f>
        <v>0.39641434262948205</v>
      </c>
      <c r="BI41" s="743">
        <f>(BI24/BI22)</f>
        <v>0.38860971524288107</v>
      </c>
      <c r="BJ41" s="743"/>
      <c r="BK41" s="744">
        <f>(BK24/BK22)</f>
        <v>0.3884514435695538</v>
      </c>
      <c r="BL41" s="744">
        <f>(BL24/BL22)</f>
        <v>0.3961661341853035</v>
      </c>
      <c r="BM41" s="744">
        <f>(BM24/BM22)</f>
        <v>0.40615384615384614</v>
      </c>
      <c r="BN41" s="744">
        <f>(BN24/BN22)</f>
        <v>0.37714285714285717</v>
      </c>
      <c r="BO41" s="744"/>
      <c r="BP41" s="744">
        <f>(BP24/BP22)</f>
        <v>0.37533512064343161</v>
      </c>
      <c r="BQ41" s="744">
        <f>(BQ24/BQ22)</f>
        <v>0.4</v>
      </c>
      <c r="BR41" s="744">
        <f>(BR24/BR22)</f>
        <v>0.38276553106212424</v>
      </c>
      <c r="BS41" s="744">
        <f>(BS24/BS22)</f>
        <v>0.39897260273972601</v>
      </c>
      <c r="BT41" s="744"/>
      <c r="BU41" s="744">
        <f>(BU24/BU22)</f>
        <v>0.37169811320754714</v>
      </c>
      <c r="BV41" s="744">
        <f>(BV24/BV22)</f>
        <v>0.39761431411530818</v>
      </c>
      <c r="BW41" s="744">
        <f>(BW24/BW22)</f>
        <v>0.39388489208633093</v>
      </c>
      <c r="BX41" s="744">
        <f>(BX24/BX22)</f>
        <v>0.39087301587301587</v>
      </c>
      <c r="BY41" s="744"/>
      <c r="BZ41" s="744">
        <f>(BZ24/BZ22)</f>
        <v>0.38967136150234744</v>
      </c>
      <c r="CA41" s="744">
        <f>(CA24/CA22)</f>
        <v>0.39215686274509803</v>
      </c>
      <c r="CB41" s="744">
        <f>(CB24/CB22)</f>
        <v>0.34514925373134331</v>
      </c>
      <c r="CC41" s="744">
        <f>(CC24/CC22)</f>
        <v>0.36454183266932272</v>
      </c>
      <c r="CD41" s="744"/>
      <c r="CE41" s="744">
        <f>(CE24/CE22)</f>
        <v>0.37348600508905855</v>
      </c>
      <c r="CF41" s="744">
        <f>(CF24/CF22)</f>
        <v>0.38247706422018346</v>
      </c>
      <c r="CG41" s="744">
        <f>(CG24/CG22)</f>
        <v>0.37273838630806844</v>
      </c>
      <c r="CH41" s="744">
        <f>(CH24/CH22)</f>
        <v>0.37020547945205479</v>
      </c>
      <c r="CI41" s="744"/>
      <c r="CJ41" s="744">
        <f>(CJ24/CJ22)</f>
        <v>0.37745098039215685</v>
      </c>
      <c r="CK41" s="744">
        <f>(CK24/CK22)</f>
        <v>0.42372881355932202</v>
      </c>
      <c r="CL41" s="744">
        <f>(CL24/CL22)</f>
        <v>0.40648379052369077</v>
      </c>
      <c r="CM41" s="744">
        <f>(CM24/CM22)</f>
        <v>0.33278317152103559</v>
      </c>
      <c r="CN41" s="744"/>
      <c r="CO41" s="744">
        <f>(CO24/CO22)</f>
        <v>0.39915966386554624</v>
      </c>
      <c r="CP41" s="744">
        <f>(CP24/CP22)</f>
        <v>0.38314666666666669</v>
      </c>
      <c r="CQ41" s="744">
        <f>(CQ24/CQ22)</f>
        <v>0.37087912087912089</v>
      </c>
      <c r="CR41" s="744">
        <f>(CR24/CR22)</f>
        <v>0.37597911227154046</v>
      </c>
      <c r="CS41" s="744"/>
      <c r="CT41" s="1979">
        <f>(CT24/CT22)</f>
        <v>0.26</v>
      </c>
      <c r="CU41" s="1979">
        <f>(CU24/CU22)</f>
        <v>0.26</v>
      </c>
      <c r="CV41" s="1979">
        <f>(CV24/CV22)</f>
        <v>0.26</v>
      </c>
      <c r="CW41" s="1980">
        <f>(CW24/CW22)</f>
        <v>0.26</v>
      </c>
      <c r="CX41" s="744"/>
      <c r="CY41" s="745">
        <f>(CY24/CY22)</f>
        <v>0.36857334939354031</v>
      </c>
      <c r="CZ41" s="745">
        <f t="shared" ref="CZ41:DE41" si="34">(CZ24/CZ22)</f>
        <v>0.36499998190876987</v>
      </c>
      <c r="DA41" s="746">
        <f t="shared" si="34"/>
        <v>1.032130309012137</v>
      </c>
      <c r="DB41" s="747">
        <f t="shared" si="34"/>
        <v>0.40383081005150739</v>
      </c>
      <c r="DC41" s="745">
        <f t="shared" si="34"/>
        <v>0.38775464162714163</v>
      </c>
      <c r="DD41" s="745">
        <f t="shared" si="34"/>
        <v>0.38568108234291065</v>
      </c>
      <c r="DE41" s="745">
        <f t="shared" si="34"/>
        <v>0.37920102307612474</v>
      </c>
      <c r="DF41" s="747">
        <f t="shared" ref="DF41:DK41" si="35">(DF24/DF22)</f>
        <v>0.3847349928641543</v>
      </c>
      <c r="DG41" s="745">
        <f t="shared" si="35"/>
        <v>0.37560975609756098</v>
      </c>
      <c r="DH41" s="747">
        <f t="shared" si="35"/>
        <v>0.38952020202020204</v>
      </c>
      <c r="DI41" s="745">
        <f t="shared" si="35"/>
        <v>0.39317180616740088</v>
      </c>
      <c r="DJ41" s="745">
        <f t="shared" si="35"/>
        <v>0.39253279515640765</v>
      </c>
      <c r="DK41" s="790">
        <f t="shared" si="35"/>
        <v>0.39152666179693207</v>
      </c>
      <c r="DL41" s="790">
        <f t="shared" ref="DL41:DQ41" si="36">(DL24/DL22)</f>
        <v>0.39011284255776463</v>
      </c>
      <c r="DM41" s="745">
        <f t="shared" si="36"/>
        <v>0.38843764930721453</v>
      </c>
      <c r="DN41" s="745">
        <f t="shared" si="36"/>
        <v>0.37183383991894631</v>
      </c>
      <c r="DO41" s="745">
        <f t="shared" si="36"/>
        <v>0.37499376169681847</v>
      </c>
      <c r="DP41" s="745">
        <f t="shared" si="36"/>
        <v>0.39022607385079128</v>
      </c>
      <c r="DQ41" s="745">
        <f t="shared" si="36"/>
        <v>0.38064705882352945</v>
      </c>
      <c r="DR41" s="745">
        <f>(DR24/DR22)</f>
        <v>0.26000000000000029</v>
      </c>
      <c r="DS41" s="790">
        <f>(DS24/DS22)</f>
        <v>0.26000000000000029</v>
      </c>
      <c r="DT41" s="746">
        <f>(DT24/DT22)</f>
        <v>0.26000000000000029</v>
      </c>
      <c r="DU41" s="790">
        <f>(DU24/DU22)</f>
        <v>0.26000000000000029</v>
      </c>
      <c r="DV41" s="1774">
        <f>(DV24/DV22)</f>
        <v>0.26000000000000029</v>
      </c>
      <c r="DW41" s="745"/>
    </row>
    <row r="42" spans="1:139" ht="12.75" customHeight="1">
      <c r="A42" s="724" t="s">
        <v>667</v>
      </c>
      <c r="B42" s="725"/>
      <c r="C42" s="748">
        <f>(C27/C10)</f>
        <v>8.8847073451070221E-2</v>
      </c>
      <c r="D42" s="748">
        <f>(D27/D10)</f>
        <v>7.9821418890744344E-2</v>
      </c>
      <c r="E42" s="748">
        <f>(E27/E10)</f>
        <v>0.10344074609918084</v>
      </c>
      <c r="F42" s="748">
        <f>(F27/F10)</f>
        <v>0.10724424511504319</v>
      </c>
      <c r="G42" s="742"/>
      <c r="H42" s="743">
        <f>(H27/H10)</f>
        <v>8.6192116369386368E-2</v>
      </c>
      <c r="I42" s="743">
        <f>(I27/I10)</f>
        <v>6.2394112861695508E-2</v>
      </c>
      <c r="J42" s="743">
        <f>(J27/J10)</f>
        <v>5.4572801806793629E-2</v>
      </c>
      <c r="K42" s="743">
        <f>(K27/K10)</f>
        <v>5.9346533632898005E-2</v>
      </c>
      <c r="L42" s="743"/>
      <c r="M42" s="743">
        <f>(M27/M10)</f>
        <v>3.6318394191069713E-2</v>
      </c>
      <c r="N42" s="743">
        <f>(N27/N10)</f>
        <v>2.7656376965622301E-2</v>
      </c>
      <c r="O42" s="743">
        <f>(O27/O10)</f>
        <v>-5.3650461559507388E-2</v>
      </c>
      <c r="P42" s="743">
        <f>(P27/P10)</f>
        <v>-8.3523550447779701E-3</v>
      </c>
      <c r="Q42" s="743"/>
      <c r="R42" s="743">
        <f>(R27/R10)</f>
        <v>1.268766171770149E-2</v>
      </c>
      <c r="S42" s="743">
        <f>(S27/S10)</f>
        <v>1.7372898339783744E-2</v>
      </c>
      <c r="T42" s="743">
        <f>(T27/T10)</f>
        <v>3.7111559097009646E-2</v>
      </c>
      <c r="U42" s="743">
        <f>(U27/U10)</f>
        <v>5.3483160466898487E-2</v>
      </c>
      <c r="V42" s="742"/>
      <c r="W42" s="743">
        <f>(W27/W10)</f>
        <v>6.0558266580091544E-2</v>
      </c>
      <c r="X42" s="743">
        <f>(X27/X10)</f>
        <v>5.688303717011834E-2</v>
      </c>
      <c r="Y42" s="743">
        <f>(Y27/Y10)</f>
        <v>6.6682258307511261E-2</v>
      </c>
      <c r="Z42" s="743">
        <f>(Z27/Z10)</f>
        <v>7.2863029914061156E-2</v>
      </c>
      <c r="AA42" s="742"/>
      <c r="AB42" s="743">
        <f>(AB27/AB10)</f>
        <v>8.5152410386727995E-2</v>
      </c>
      <c r="AC42" s="743">
        <f>(AC27/AC10)</f>
        <v>5.2406089138620882E-2</v>
      </c>
      <c r="AD42" s="743">
        <f>(AD27/AD10)</f>
        <v>6.6618092282954178E-2</v>
      </c>
      <c r="AE42" s="743">
        <f>(AE27/AE10)</f>
        <v>7.7139200926249304E-2</v>
      </c>
      <c r="AF42" s="742"/>
      <c r="AG42" s="743">
        <f>(AG27/AG10)</f>
        <v>8.0344307533892143E-2</v>
      </c>
      <c r="AH42" s="743">
        <f>(AH27/AH10)</f>
        <v>7.3112543719583228E-2</v>
      </c>
      <c r="AI42" s="743">
        <f>(AI27/AI10)</f>
        <v>5.5002375705522341E-2</v>
      </c>
      <c r="AJ42" s="743">
        <f>(AJ27/AJ10)</f>
        <v>6.9957723512476838E-2</v>
      </c>
      <c r="AK42" s="742"/>
      <c r="AL42" s="743">
        <f>(AL27/AL10)</f>
        <v>7.217854027333527E-2</v>
      </c>
      <c r="AM42" s="743">
        <f>(AM27/AM10)</f>
        <v>3.6079698438341412E-2</v>
      </c>
      <c r="AN42" s="743">
        <f>(AN27/AN10)</f>
        <v>5.1147494157361723E-2</v>
      </c>
      <c r="AO42" s="743">
        <f>(AO27/AO10)</f>
        <v>4.6757471030697294E-2</v>
      </c>
      <c r="AP42" s="743"/>
      <c r="AQ42" s="743">
        <f>(AQ27/AQ10)</f>
        <v>5.9470402930402934E-2</v>
      </c>
      <c r="AR42" s="743">
        <f>(AR27/AR10)</f>
        <v>4.7598371777476257E-2</v>
      </c>
      <c r="AS42" s="743">
        <f>(AS27/AS10)</f>
        <v>6.2013492475350283E-2</v>
      </c>
      <c r="AT42" s="743">
        <f>(AT27/AT10)</f>
        <v>5.6684491978609627E-2</v>
      </c>
      <c r="AU42" s="743"/>
      <c r="AV42" s="743">
        <f>(AV27/AV10)</f>
        <v>7.3581560283687938E-2</v>
      </c>
      <c r="AW42" s="743">
        <f>(AW27/AW10)</f>
        <v>6.5447270648756786E-2</v>
      </c>
      <c r="AX42" s="743">
        <f>(AX27/AX10)</f>
        <v>6.9081718618365623E-2</v>
      </c>
      <c r="AY42" s="743">
        <f>(AY27/AY10)</f>
        <v>5.9529642332190102E-2</v>
      </c>
      <c r="AZ42" s="743"/>
      <c r="BA42" s="743">
        <f>(BA27/BA10)</f>
        <v>6.8755996162456035E-2</v>
      </c>
      <c r="BB42" s="743">
        <f>(BB27/BB10)</f>
        <v>7.0261941448382131E-2</v>
      </c>
      <c r="BC42" s="743">
        <f>(BC27/BC10)</f>
        <v>8.5539147394817494E-2</v>
      </c>
      <c r="BD42" s="743">
        <f>(BD27/BD10)</f>
        <v>8.3097261567516525E-2</v>
      </c>
      <c r="BE42" s="743"/>
      <c r="BF42" s="743">
        <f>(BF27/BF10)</f>
        <v>9.0717933313307297E-2</v>
      </c>
      <c r="BG42" s="743">
        <f>(BG27/BG10)</f>
        <v>7.0545673801627976E-2</v>
      </c>
      <c r="BH42" s="743">
        <f>(BH27/BH10)</f>
        <v>8.2922824302134643E-2</v>
      </c>
      <c r="BI42" s="743">
        <f>(BI27/BI10)</f>
        <v>8.3638863428047661E-2</v>
      </c>
      <c r="BJ42" s="743"/>
      <c r="BK42" s="744">
        <f>(BK27/BK10)</f>
        <v>7.0713201820940819E-2</v>
      </c>
      <c r="BL42" s="744">
        <f>(BL27/BL10)</f>
        <v>5.581807442409923E-2</v>
      </c>
      <c r="BM42" s="744">
        <f>(BM27/BM10)</f>
        <v>5.3835425383542537E-2</v>
      </c>
      <c r="BN42" s="744">
        <f>(BN27/BN10)</f>
        <v>5.0898902638337615E-2</v>
      </c>
      <c r="BO42" s="744"/>
      <c r="BP42" s="744">
        <f>(BP27/BP10)</f>
        <v>6.6819615715514771E-2</v>
      </c>
      <c r="BQ42" s="744">
        <f>(BQ27/BQ10)</f>
        <v>6.7972027972027976E-2</v>
      </c>
      <c r="BR42" s="744">
        <f>(BR27/BR10)</f>
        <v>7.9710144927536225E-2</v>
      </c>
      <c r="BS42" s="744">
        <f>(BS27/BS10)</f>
        <v>7.4285714285714288E-2</v>
      </c>
      <c r="BT42" s="744"/>
      <c r="BU42" s="744">
        <f>(BU27/BU10)</f>
        <v>8.9300080450522928E-2</v>
      </c>
      <c r="BV42" s="744">
        <f>(BV27/BV10)</f>
        <v>7.833505687693898E-2</v>
      </c>
      <c r="BW42" s="744">
        <f>(BW27/BW10)</f>
        <v>8.4758551307847083E-2</v>
      </c>
      <c r="BX42" s="744">
        <f>(BX27/BX10)</f>
        <v>6.7103825136612019E-2</v>
      </c>
      <c r="BY42" s="744"/>
      <c r="BZ42" s="744">
        <f>(BZ27/BZ10)</f>
        <v>6.8892421833598311E-2</v>
      </c>
      <c r="CA42" s="744">
        <f>(CA27/CA10)</f>
        <v>7.7869881939211252E-2</v>
      </c>
      <c r="CB42" s="744">
        <f>(CB27/CB10)</f>
        <v>8.836858006042296E-2</v>
      </c>
      <c r="CC42" s="744">
        <f>(CC27/CC10)</f>
        <v>6.7757009345794386E-2</v>
      </c>
      <c r="CD42" s="744"/>
      <c r="CE42" s="744">
        <f>(CE27/CE10)</f>
        <v>6.7328411266065077E-2</v>
      </c>
      <c r="CF42" s="744">
        <f>(CF27/CF10)</f>
        <v>6.9071318624935873E-2</v>
      </c>
      <c r="CG42" s="744">
        <f>(CG27/CG10)</f>
        <v>6.651542649727768E-2</v>
      </c>
      <c r="CH42" s="744">
        <f>(CH27/CH10)</f>
        <v>5.2423033067274798E-2</v>
      </c>
      <c r="CI42" s="744"/>
      <c r="CJ42" s="744">
        <f>(CJ27/CJ10)</f>
        <v>3.6940081442699245E-2</v>
      </c>
      <c r="CK42" s="744">
        <f>(CK27/CK10)</f>
        <v>6.1802129317060507E-2</v>
      </c>
      <c r="CL42" s="744">
        <f>(CL27/CL10)</f>
        <v>6.2664560294892049E-2</v>
      </c>
      <c r="CM42" s="744">
        <f>(CM27/CM10)</f>
        <v>4.655001128923008E-2</v>
      </c>
      <c r="CN42" s="744"/>
      <c r="CO42" s="744">
        <f>(CO27/CO10)</f>
        <v>4.1569767441860465E-2</v>
      </c>
      <c r="CP42" s="744">
        <f>(CP27/CP10)</f>
        <v>6.0889707817846798E-2</v>
      </c>
      <c r="CQ42" s="744">
        <f>(CQ27/CQ10)</f>
        <v>5.9666492965085985E-2</v>
      </c>
      <c r="CR42" s="744">
        <f>(CR27/CR10)</f>
        <v>5.002092925910423E-2</v>
      </c>
      <c r="CS42" s="744"/>
      <c r="CT42" s="1979">
        <f>(CT27/CT10)</f>
        <v>5.2765092910880954E-2</v>
      </c>
      <c r="CU42" s="1979">
        <f>(CU27/CU10)</f>
        <v>6.7836235300202247E-2</v>
      </c>
      <c r="CV42" s="1979">
        <f>(CV27/CV10)</f>
        <v>6.690622838238261E-2</v>
      </c>
      <c r="CW42" s="1980">
        <f>(CW27/CW10)</f>
        <v>5.7885066140231339E-2</v>
      </c>
      <c r="CX42" s="744"/>
      <c r="CY42" s="745">
        <f>(CY27/CY10)</f>
        <v>9.6865186734480468E-2</v>
      </c>
      <c r="CZ42" s="745">
        <f t="shared" ref="CZ42:DE42" si="37">(CZ27/CZ10)</f>
        <v>6.417519779192675E-2</v>
      </c>
      <c r="DA42" s="746">
        <f t="shared" si="37"/>
        <v>-5.6066372070293503E-4</v>
      </c>
      <c r="DB42" s="747">
        <f t="shared" si="37"/>
        <v>3.3031242621349044E-2</v>
      </c>
      <c r="DC42" s="745">
        <f t="shared" si="37"/>
        <v>6.5047663681681175E-2</v>
      </c>
      <c r="DD42" s="745">
        <f t="shared" si="37"/>
        <v>7.0694329106413628E-2</v>
      </c>
      <c r="DE42" s="745">
        <f t="shared" si="37"/>
        <v>6.9437409585243581E-2</v>
      </c>
      <c r="DF42" s="747">
        <f t="shared" ref="DF42:DK42" si="38">(DF27/DF10)</f>
        <v>5.0819003956540855E-2</v>
      </c>
      <c r="DG42" s="745">
        <f t="shared" si="38"/>
        <v>5.6490544947027849E-2</v>
      </c>
      <c r="DH42" s="747">
        <f t="shared" si="38"/>
        <v>6.6570287759878832E-2</v>
      </c>
      <c r="DI42" s="745">
        <f t="shared" si="38"/>
        <v>7.7622032823836021E-2</v>
      </c>
      <c r="DJ42" s="745">
        <f t="shared" si="38"/>
        <v>8.2105837424986367E-2</v>
      </c>
      <c r="DK42" s="790">
        <f t="shared" si="38"/>
        <v>5.7254794143927416E-2</v>
      </c>
      <c r="DL42" s="790">
        <f t="shared" ref="DL42:DQ42" si="39">(DL27/DL10)</f>
        <v>7.2519327838476769E-2</v>
      </c>
      <c r="DM42" s="745">
        <f t="shared" si="39"/>
        <v>7.9266782264057464E-2</v>
      </c>
      <c r="DN42" s="745">
        <f t="shared" si="39"/>
        <v>7.5448737450562825E-2</v>
      </c>
      <c r="DO42" s="745">
        <f t="shared" si="39"/>
        <v>6.3422485282015578E-2</v>
      </c>
      <c r="DP42" s="745">
        <f t="shared" si="39"/>
        <v>5.2150683165764371E-2</v>
      </c>
      <c r="DQ42" s="745">
        <f t="shared" si="39"/>
        <v>5.3126458530432033E-2</v>
      </c>
      <c r="DR42" s="745">
        <f>(DR27/DR10)</f>
        <v>6.1387411165080875E-2</v>
      </c>
      <c r="DS42" s="790">
        <f>(DS27/DS10)</f>
        <v>5.8259309505308998E-2</v>
      </c>
      <c r="DT42" s="746">
        <f>(DT27/DT10)</f>
        <v>5.5805467838035784E-2</v>
      </c>
      <c r="DU42" s="790">
        <f>(DU27/DU10)</f>
        <v>5.3353420236550403E-2</v>
      </c>
      <c r="DV42" s="1774">
        <f>(DV27/DV10)</f>
        <v>5.0974306640640968E-2</v>
      </c>
      <c r="DW42" s="745"/>
      <c r="EI42" s="659"/>
    </row>
    <row r="43" spans="1:139" ht="12.75" customHeight="1">
      <c r="A43" s="724" t="s">
        <v>665</v>
      </c>
      <c r="B43" s="725"/>
      <c r="C43" s="748">
        <f>(C33/C10)</f>
        <v>0.14419155177909271</v>
      </c>
      <c r="D43" s="748">
        <f>(D33/D10)</f>
        <v>0.12900663137055249</v>
      </c>
      <c r="E43" s="748">
        <f>(E33/E10)</f>
        <v>0.16636511759100486</v>
      </c>
      <c r="F43" s="748">
        <f>(F33/F10)</f>
        <v>0.17236136668654251</v>
      </c>
      <c r="G43" s="742"/>
      <c r="H43" s="743">
        <f>(H33/H10)</f>
        <v>0.13901295392735694</v>
      </c>
      <c r="I43" s="743">
        <f>(I33/I10)</f>
        <v>0.10223379880137622</v>
      </c>
      <c r="J43" s="743">
        <f>(J33/J10)</f>
        <v>9.1940124193625961E-2</v>
      </c>
      <c r="K43" s="743">
        <f>(K33/K10)</f>
        <v>9.8202524170751843E-2</v>
      </c>
      <c r="L43" s="743"/>
      <c r="M43" s="743">
        <f>(M33/M10)</f>
        <v>0.12608596653222864</v>
      </c>
      <c r="N43" s="743">
        <f>(N33/N10)</f>
        <v>0.10925148657147633</v>
      </c>
      <c r="O43" s="743">
        <f>(O33/O10)</f>
        <v>6.3299246738963852E-2</v>
      </c>
      <c r="P43" s="743">
        <f>(P33/P10)</f>
        <v>4.4392089739279252E-2</v>
      </c>
      <c r="Q43" s="743"/>
      <c r="R43" s="743">
        <f>(R33/R10)</f>
        <v>0.10396459160659191</v>
      </c>
      <c r="S43" s="743">
        <f>(S33/S10)</f>
        <v>0.10140412060181589</v>
      </c>
      <c r="T43" s="743">
        <f>(T33/T10)</f>
        <v>0.14731535853930744</v>
      </c>
      <c r="U43" s="743">
        <f>(U33/U10)</f>
        <v>0.11538716261371641</v>
      </c>
      <c r="V43" s="742"/>
      <c r="W43" s="743">
        <f>(W33/W10)</f>
        <v>0.1679067851636751</v>
      </c>
      <c r="X43" s="743">
        <f>(X33/X10)</f>
        <v>0.15500261986883559</v>
      </c>
      <c r="Y43" s="743">
        <f>(Y33/Y10)</f>
        <v>0.16110728813352282</v>
      </c>
      <c r="Z43" s="743">
        <f>(Z33/Z10)</f>
        <v>0.16114315558880979</v>
      </c>
      <c r="AA43" s="742"/>
      <c r="AB43" s="743">
        <f>(AB33/AB10)</f>
        <v>0.19268697350967198</v>
      </c>
      <c r="AC43" s="743">
        <f>(AC33/AC10)</f>
        <v>0.13423470129588108</v>
      </c>
      <c r="AD43" s="743">
        <f>(AD33/AD10)</f>
        <v>0.15331557855859704</v>
      </c>
      <c r="AE43" s="743">
        <f>(AE33/AE10)</f>
        <v>0.15758200264263567</v>
      </c>
      <c r="AF43" s="742"/>
      <c r="AG43" s="743">
        <f>(AG33/AG10)</f>
        <v>0.16843757523178637</v>
      </c>
      <c r="AH43" s="743">
        <f>(AH33/AH10)</f>
        <v>0.14941616630313276</v>
      </c>
      <c r="AI43" s="743">
        <f>(AI33/AI10)</f>
        <v>0.12718807141935581</v>
      </c>
      <c r="AJ43" s="743">
        <f>(AJ33/AJ10)</f>
        <v>0.14779823530253688</v>
      </c>
      <c r="AK43" s="742"/>
      <c r="AL43" s="743">
        <f>(AL33/AL10)</f>
        <v>0.15072288455946498</v>
      </c>
      <c r="AM43" s="743">
        <f>(AM33/AM10)</f>
        <v>8.9799946149703824E-2</v>
      </c>
      <c r="AN43" s="743">
        <f>(AN33/AN10)</f>
        <v>0.10642300701116594</v>
      </c>
      <c r="AO43" s="743">
        <f>(AO33/AO10)</f>
        <v>0.10028705021345802</v>
      </c>
      <c r="AP43" s="743"/>
      <c r="AQ43" s="743">
        <f>(AQ33/AQ10)</f>
        <v>0.12341504649196956</v>
      </c>
      <c r="AR43" s="743">
        <f>(AR33/AR10)</f>
        <v>0.10502035278154681</v>
      </c>
      <c r="AS43" s="743">
        <f>(AS33/AS10)</f>
        <v>0.13181110534509599</v>
      </c>
      <c r="AT43" s="743">
        <f>(AT33/AT10)</f>
        <v>0.11935828877005347</v>
      </c>
      <c r="AU43" s="743"/>
      <c r="AV43" s="743">
        <f>(AV33/AV10)</f>
        <v>0.15425531914893617</v>
      </c>
      <c r="AW43" s="743">
        <f>(AW33/AW10)</f>
        <v>0.14718490997427836</v>
      </c>
      <c r="AX43" s="743">
        <f>(AX33/AX10)</f>
        <v>0.15023869699522607</v>
      </c>
      <c r="AY43" s="743">
        <f>(AY33/AY10)</f>
        <v>0.13326800587947085</v>
      </c>
      <c r="AZ43" s="743"/>
      <c r="BA43" s="743">
        <f>(BA33/BA10)</f>
        <v>0.15861848417013111</v>
      </c>
      <c r="BB43" s="743">
        <f>(BB33/BB10)</f>
        <v>0.15901386748844376</v>
      </c>
      <c r="BC43" s="743">
        <f>(BC33/BC10)</f>
        <v>0.18027305656171635</v>
      </c>
      <c r="BD43" s="743">
        <f>(BD33/BD10)</f>
        <v>0.17209631728045327</v>
      </c>
      <c r="BE43" s="743"/>
      <c r="BF43" s="743">
        <f>(BF33/BF10)</f>
        <v>0.18654250525683388</v>
      </c>
      <c r="BG43" s="743">
        <f>(BG33/BG10)</f>
        <v>0.16249623153451914</v>
      </c>
      <c r="BH43" s="743">
        <f>(BH33/BH10)</f>
        <v>0.17624521072796934</v>
      </c>
      <c r="BI43" s="743">
        <f>(BI33/BI10)</f>
        <v>0.16636113657195234</v>
      </c>
      <c r="BJ43" s="743"/>
      <c r="BK43" s="744">
        <f>(BK33/BK10)</f>
        <v>0.15629742033383914</v>
      </c>
      <c r="BL43" s="744">
        <f>(BL33/BL10)</f>
        <v>0.13585351447135263</v>
      </c>
      <c r="BM43" s="744">
        <f>(BM33/BM10)</f>
        <v>0.13193863319386331</v>
      </c>
      <c r="BN43" s="744">
        <f>(BN33/BN10)</f>
        <v>0.11580667756245622</v>
      </c>
      <c r="BO43" s="744"/>
      <c r="BP43" s="744">
        <f>(BP33/BP10)</f>
        <v>0.14855176369371953</v>
      </c>
      <c r="BQ43" s="744">
        <f>(BQ33/BQ10)</f>
        <v>0.15244755244755245</v>
      </c>
      <c r="BR43" s="744">
        <f>(BR33/BR10)</f>
        <v>0.16563146997929606</v>
      </c>
      <c r="BS43" s="744">
        <f>(BS33/BS10)</f>
        <v>0.1528042328042328</v>
      </c>
      <c r="BT43" s="744"/>
      <c r="BU43" s="744">
        <f>(BU33/BU10)</f>
        <v>0.17806382408152319</v>
      </c>
      <c r="BV43" s="744">
        <f>(BV33/BV10)</f>
        <v>0.16907962771458118</v>
      </c>
      <c r="BW43" s="744">
        <f>(BW33/BW10)</f>
        <v>0.17781690140845072</v>
      </c>
      <c r="BX43" s="744">
        <f>(BX33/BX10)</f>
        <v>0.1298360655737705</v>
      </c>
      <c r="BY43" s="744"/>
      <c r="BZ43" s="744">
        <f>(BZ33/BZ10)</f>
        <v>0.1518282988871224</v>
      </c>
      <c r="CA43" s="744">
        <f>(CA33/CA10)</f>
        <v>0.16026124089424768</v>
      </c>
      <c r="CB43" s="744">
        <f>(CB33/CB10)</f>
        <v>0.18277945619335348</v>
      </c>
      <c r="CC43" s="744">
        <f>(CC33/CC10)</f>
        <v>0.12892948173322005</v>
      </c>
      <c r="CD43" s="744"/>
      <c r="CE43" s="744">
        <f>(CE33/CE10)</f>
        <v>0.14492753623188406</v>
      </c>
      <c r="CF43" s="744">
        <f>(CF33/CF10)</f>
        <v>0.14930733709594665</v>
      </c>
      <c r="CG43" s="744">
        <f>(CG33/CG10)</f>
        <v>0.14363494944257194</v>
      </c>
      <c r="CH43" s="744">
        <f>(CH33/CH10)</f>
        <v>0.11790193842645381</v>
      </c>
      <c r="CI43" s="744"/>
      <c r="CJ43" s="744">
        <f>(CJ33/CJ10)</f>
        <v>0.10296684118673648</v>
      </c>
      <c r="CK43" s="744">
        <f>(CK33/CK10)</f>
        <v>0.14775383017398078</v>
      </c>
      <c r="CL43" s="744">
        <f>(CL33/CL10)</f>
        <v>0.14428646656134808</v>
      </c>
      <c r="CM43" s="744">
        <f>(CM33/CM10)</f>
        <v>0.10250620907654098</v>
      </c>
      <c r="CN43" s="744"/>
      <c r="CO43" s="744">
        <f>(CO33/CO10)</f>
        <v>0.11162790697674418</v>
      </c>
      <c r="CP43" s="744">
        <f>(CP33/CP10)</f>
        <v>0.13740458015267176</v>
      </c>
      <c r="CQ43" s="744">
        <f>(CQ33/CQ10)</f>
        <v>0.13366336633663367</v>
      </c>
      <c r="CR43" s="744">
        <f>(CR33/CR10)</f>
        <v>0.11113436584344914</v>
      </c>
      <c r="CS43" s="744"/>
      <c r="CT43" s="1979">
        <f>(CT33/CT10)</f>
        <v>0.11195820390701447</v>
      </c>
      <c r="CU43" s="1979">
        <f>(CU33/CU10)</f>
        <v>0.12957466054809846</v>
      </c>
      <c r="CV43" s="1979">
        <f>(CV33/CV10)</f>
        <v>0.12858100080871954</v>
      </c>
      <c r="CW43" s="1980">
        <f>(CW33/CW10)</f>
        <v>0.10983742942502822</v>
      </c>
      <c r="CX43" s="744"/>
      <c r="CY43" s="745">
        <f>(CY33/CY10)</f>
        <v>0.20687474549645835</v>
      </c>
      <c r="CZ43" s="745">
        <f t="shared" ref="CZ43:DE43" si="40">(CZ33/CZ10)</f>
        <v>0.14883767532138895</v>
      </c>
      <c r="DA43" s="746">
        <f t="shared" si="40"/>
        <v>8.2900962479941734E-2</v>
      </c>
      <c r="DB43" s="747">
        <f t="shared" si="40"/>
        <v>0.11799220586177125</v>
      </c>
      <c r="DC43" s="745">
        <f t="shared" si="40"/>
        <v>0.16117067275395977</v>
      </c>
      <c r="DD43" s="745">
        <f t="shared" si="40"/>
        <v>0.15949370154458001</v>
      </c>
      <c r="DE43" s="745">
        <f t="shared" si="40"/>
        <v>0.14787953602797912</v>
      </c>
      <c r="DF43" s="747">
        <f t="shared" ref="DF43:DK43" si="41">(DF33/DF10)</f>
        <v>0.11021792375808578</v>
      </c>
      <c r="DG43" s="745">
        <f t="shared" si="41"/>
        <v>0.11996447376768382</v>
      </c>
      <c r="DH43" s="747">
        <f t="shared" si="41"/>
        <v>0.1456698334021754</v>
      </c>
      <c r="DI43" s="745">
        <f t="shared" si="41"/>
        <v>0.16820455025709657</v>
      </c>
      <c r="DJ43" s="745">
        <f t="shared" si="41"/>
        <v>0.17253136933987998</v>
      </c>
      <c r="DK43" s="790">
        <f t="shared" si="41"/>
        <v>0.13361743075125437</v>
      </c>
      <c r="DL43" s="790">
        <f t="shared" ref="DL43:DQ43" si="42">(DL33/DL10)</f>
        <v>0.15494217621877196</v>
      </c>
      <c r="DM43" s="745">
        <f t="shared" si="42"/>
        <v>0.16218726777309883</v>
      </c>
      <c r="DN43" s="745">
        <f t="shared" si="42"/>
        <v>0.15479160328567082</v>
      </c>
      <c r="DO43" s="745">
        <f t="shared" si="42"/>
        <v>0.13819079572070647</v>
      </c>
      <c r="DP43" s="745">
        <f t="shared" si="42"/>
        <v>0.12406548079401908</v>
      </c>
      <c r="DQ43" s="745">
        <f t="shared" si="42"/>
        <v>0.12298959318826869</v>
      </c>
      <c r="DR43" s="745">
        <f>(DR33/DR10)</f>
        <v>0.12062609924412844</v>
      </c>
      <c r="DS43" s="790">
        <f>(DS33/DS10)</f>
        <v>0.11752495518074607</v>
      </c>
      <c r="DT43" s="746">
        <f>(DT33/DT10)</f>
        <v>0.1153417285104119</v>
      </c>
      <c r="DU43" s="790">
        <f>(DU33/DU10)</f>
        <v>0.11314034224993076</v>
      </c>
      <c r="DV43" s="1774">
        <f>(DV33/DV10)</f>
        <v>0.11106322127867128</v>
      </c>
      <c r="DW43" s="745"/>
    </row>
    <row r="44" spans="1:139" ht="5.45" customHeight="1">
      <c r="A44" s="724"/>
      <c r="B44" s="641"/>
      <c r="C44" s="749"/>
      <c r="D44" s="749"/>
      <c r="E44" s="749"/>
      <c r="F44" s="749"/>
      <c r="G44" s="749"/>
      <c r="H44" s="749"/>
      <c r="I44" s="749"/>
      <c r="J44" s="749"/>
      <c r="K44" s="749"/>
      <c r="L44" s="749"/>
      <c r="M44" s="749"/>
      <c r="N44" s="749"/>
      <c r="O44" s="749"/>
      <c r="P44" s="749"/>
      <c r="Q44" s="749"/>
      <c r="R44" s="749"/>
      <c r="S44" s="749"/>
      <c r="T44" s="749"/>
      <c r="U44" s="749"/>
      <c r="V44" s="749"/>
      <c r="W44" s="749"/>
      <c r="X44" s="749"/>
      <c r="Y44" s="749"/>
      <c r="Z44" s="749"/>
      <c r="AA44" s="749"/>
      <c r="AB44" s="749"/>
      <c r="AC44" s="749"/>
      <c r="AD44" s="749"/>
      <c r="AE44" s="749"/>
      <c r="AF44" s="749"/>
      <c r="AG44" s="749"/>
      <c r="AH44" s="749"/>
      <c r="AI44" s="749"/>
      <c r="AJ44" s="749"/>
      <c r="AK44" s="749"/>
      <c r="AL44" s="749"/>
      <c r="AM44" s="749"/>
      <c r="AN44" s="749"/>
      <c r="AO44" s="749"/>
      <c r="AP44" s="749"/>
      <c r="AQ44" s="749"/>
      <c r="AR44" s="749"/>
      <c r="AS44" s="749"/>
      <c r="AT44" s="749"/>
      <c r="AU44" s="749"/>
      <c r="AV44" s="749"/>
      <c r="AW44" s="749"/>
      <c r="AX44" s="749"/>
      <c r="AY44" s="749"/>
      <c r="AZ44" s="749"/>
      <c r="BA44" s="749"/>
      <c r="BB44" s="749"/>
      <c r="BC44" s="749"/>
      <c r="BD44" s="749"/>
      <c r="BE44" s="749"/>
      <c r="BF44" s="749"/>
      <c r="BG44" s="749"/>
      <c r="BH44" s="749"/>
      <c r="BI44" s="749"/>
      <c r="BJ44" s="749"/>
      <c r="BK44" s="750"/>
      <c r="BL44" s="750"/>
      <c r="BM44" s="750"/>
      <c r="BN44" s="750"/>
      <c r="BO44" s="750"/>
      <c r="BP44" s="750"/>
      <c r="BQ44" s="750"/>
      <c r="BR44" s="750"/>
      <c r="BS44" s="750"/>
      <c r="BT44" s="750"/>
      <c r="BU44" s="750"/>
      <c r="BV44" s="750"/>
      <c r="BW44" s="750"/>
      <c r="BX44" s="750"/>
      <c r="BY44" s="750"/>
      <c r="BZ44" s="750"/>
      <c r="CA44" s="750"/>
      <c r="CB44" s="750"/>
      <c r="CC44" s="750"/>
      <c r="CD44" s="750"/>
      <c r="CE44" s="750"/>
      <c r="CF44" s="750"/>
      <c r="CG44" s="750"/>
      <c r="CH44" s="750"/>
      <c r="CI44" s="750"/>
      <c r="CJ44" s="750"/>
      <c r="CK44" s="750"/>
      <c r="CL44" s="750"/>
      <c r="CM44" s="750"/>
      <c r="CN44" s="750"/>
      <c r="CO44" s="750"/>
      <c r="CP44" s="750"/>
      <c r="CQ44" s="750"/>
      <c r="CR44" s="750"/>
      <c r="CS44" s="750"/>
      <c r="CT44" s="1981"/>
      <c r="CU44" s="1981"/>
      <c r="CV44" s="1981"/>
      <c r="CW44" s="1982"/>
      <c r="CX44" s="750"/>
      <c r="CY44" s="750"/>
      <c r="CZ44" s="750"/>
      <c r="DA44" s="751"/>
      <c r="DB44" s="752"/>
      <c r="DC44" s="750"/>
      <c r="DD44" s="750"/>
      <c r="DE44" s="750"/>
      <c r="DF44" s="752"/>
      <c r="DG44" s="750"/>
      <c r="DH44" s="752"/>
      <c r="DI44" s="750"/>
      <c r="DJ44" s="750"/>
      <c r="DK44" s="750"/>
      <c r="DL44" s="750"/>
      <c r="DM44" s="750"/>
      <c r="DN44" s="750"/>
      <c r="DO44" s="750"/>
      <c r="DP44" s="750"/>
      <c r="DQ44" s="7"/>
      <c r="DR44" s="7"/>
      <c r="DS44" s="7"/>
      <c r="DT44" s="2120"/>
      <c r="DU44" s="7"/>
      <c r="DV44" s="1765"/>
      <c r="DW44" s="7"/>
    </row>
    <row r="45" spans="1:139">
      <c r="A45" s="674" t="s">
        <v>21</v>
      </c>
      <c r="B45" s="664"/>
      <c r="C45" s="749"/>
      <c r="D45" s="749"/>
      <c r="E45" s="749"/>
      <c r="F45" s="749"/>
      <c r="G45" s="749"/>
      <c r="H45" s="749"/>
      <c r="I45" s="749"/>
      <c r="J45" s="749"/>
      <c r="K45" s="749"/>
      <c r="L45" s="749"/>
      <c r="M45" s="749"/>
      <c r="N45" s="749"/>
      <c r="O45" s="749"/>
      <c r="P45" s="749"/>
      <c r="Q45" s="749"/>
      <c r="R45" s="749"/>
      <c r="S45" s="749"/>
      <c r="T45" s="749"/>
      <c r="U45" s="749"/>
      <c r="V45" s="749"/>
      <c r="W45" s="749"/>
      <c r="X45" s="749"/>
      <c r="Y45" s="749"/>
      <c r="Z45" s="749"/>
      <c r="AA45" s="749"/>
      <c r="AB45" s="749"/>
      <c r="AC45" s="749"/>
      <c r="AD45" s="749"/>
      <c r="AE45" s="749"/>
      <c r="AF45" s="749"/>
      <c r="AG45" s="749"/>
      <c r="AH45" s="749"/>
      <c r="AI45" s="749"/>
      <c r="AJ45" s="749"/>
      <c r="AK45" s="749"/>
      <c r="AL45" s="749"/>
      <c r="AM45" s="749"/>
      <c r="AN45" s="749"/>
      <c r="AO45" s="749"/>
      <c r="AP45" s="749"/>
      <c r="AQ45" s="749"/>
      <c r="AR45" s="749"/>
      <c r="AS45" s="749"/>
      <c r="AT45" s="749"/>
      <c r="AU45" s="749"/>
      <c r="AV45" s="749"/>
      <c r="AW45" s="749"/>
      <c r="AX45" s="749"/>
      <c r="AY45" s="749"/>
      <c r="AZ45" s="749"/>
      <c r="BA45" s="749"/>
      <c r="BB45" s="749"/>
      <c r="BC45" s="749"/>
      <c r="BD45" s="749"/>
      <c r="BE45" s="749"/>
      <c r="BF45" s="749"/>
      <c r="BG45" s="749"/>
      <c r="BH45" s="749"/>
      <c r="BI45" s="749"/>
      <c r="BJ45" s="749"/>
      <c r="BK45" s="750"/>
      <c r="BL45" s="750"/>
      <c r="BM45" s="750"/>
      <c r="BN45" s="750"/>
      <c r="BO45" s="750"/>
      <c r="BP45" s="750"/>
      <c r="BQ45" s="750"/>
      <c r="BR45" s="750"/>
      <c r="BS45" s="750"/>
      <c r="BT45" s="750"/>
      <c r="BU45" s="750"/>
      <c r="BV45" s="753"/>
      <c r="BW45" s="750"/>
      <c r="BX45" s="750"/>
      <c r="BY45" s="750"/>
      <c r="BZ45" s="750"/>
      <c r="CA45" s="753"/>
      <c r="CB45" s="750"/>
      <c r="CC45" s="750"/>
      <c r="CD45" s="750"/>
      <c r="CE45" s="750"/>
      <c r="CF45" s="750"/>
      <c r="CG45" s="750"/>
      <c r="CH45" s="750"/>
      <c r="CI45" s="750"/>
      <c r="CJ45" s="449"/>
      <c r="CK45" s="750"/>
      <c r="CL45" s="750"/>
      <c r="CM45" s="750"/>
      <c r="CN45" s="750"/>
      <c r="CO45" s="788"/>
      <c r="CP45" s="750"/>
      <c r="CQ45" s="750"/>
      <c r="CR45" s="750"/>
      <c r="CS45" s="750"/>
      <c r="CT45" s="1976"/>
      <c r="CU45" s="1981"/>
      <c r="CV45" s="1981"/>
      <c r="CW45" s="1982"/>
      <c r="CX45" s="750"/>
      <c r="CY45" s="750"/>
      <c r="CZ45" s="750"/>
      <c r="DA45" s="751"/>
      <c r="DB45" s="752"/>
      <c r="DC45" s="740">
        <f>DC15/DC67</f>
        <v>0.33837803195359772</v>
      </c>
      <c r="DD45" s="740">
        <f>DD15/DD67</f>
        <v>0.36010547860099429</v>
      </c>
      <c r="DE45" s="740">
        <f>DE15/DE67</f>
        <v>0.33349382525920873</v>
      </c>
      <c r="DF45" s="740">
        <f>DF15/DF67</f>
        <v>0.3567247300771208</v>
      </c>
      <c r="DG45" s="740">
        <f>DG15/DG67</f>
        <v>0.34773020202020199</v>
      </c>
      <c r="DH45" s="754"/>
      <c r="DI45" s="740"/>
      <c r="DJ45" s="740"/>
      <c r="DK45" s="740"/>
      <c r="DL45" s="740"/>
      <c r="DM45" s="740"/>
      <c r="DN45" s="449"/>
      <c r="DO45" s="449"/>
      <c r="DP45" s="449"/>
      <c r="DQ45" s="7"/>
      <c r="DR45" s="7"/>
      <c r="DS45" s="7"/>
      <c r="DT45" s="2120"/>
      <c r="DU45" s="7"/>
      <c r="DV45" s="1765"/>
      <c r="DW45" s="7"/>
    </row>
    <row r="46" spans="1:139">
      <c r="A46" s="724" t="s">
        <v>560</v>
      </c>
      <c r="B46" s="755"/>
      <c r="C46" s="756">
        <f>'qtrP&amp;L'!$AQ10/100</f>
        <v>0.3244857278428015</v>
      </c>
      <c r="D46" s="756">
        <f>'qtrP&amp;L'!$AQ11/100</f>
        <v>0.28786227604634185</v>
      </c>
      <c r="E46" s="756">
        <f>'qtrP&amp;L'!$AQ12/100</f>
        <v>0.26893832699708509</v>
      </c>
      <c r="F46" s="756">
        <f>'qtrP&amp;L'!$AQ13/100</f>
        <v>0.27364784582115442</v>
      </c>
      <c r="G46" s="756"/>
      <c r="H46" s="743">
        <f>((H10/C10)-1)</f>
        <v>0.19943329642530694</v>
      </c>
      <c r="I46" s="743">
        <f>((I10/D10)-1)</f>
        <v>0.20151108346624746</v>
      </c>
      <c r="J46" s="743">
        <f>((J10/E10)-1)</f>
        <v>0.1212595053631953</v>
      </c>
      <c r="K46" s="743">
        <f>((K10/F10)-1)</f>
        <v>0.18661839433066962</v>
      </c>
      <c r="L46" s="743"/>
      <c r="M46" s="743">
        <f>((M10/H10)-1)</f>
        <v>0.1638607754786805</v>
      </c>
      <c r="N46" s="743">
        <f>((N10/I10)-1)</f>
        <v>0.10092736269529534</v>
      </c>
      <c r="O46" s="743">
        <f>((O10/J10)-1)</f>
        <v>-2.3807585393367692E-2</v>
      </c>
      <c r="P46" s="743">
        <f>((P10/K10)-1)</f>
        <v>-0.10689093548759054</v>
      </c>
      <c r="Q46" s="743"/>
      <c r="R46" s="743">
        <f>((R10/M10)-1)</f>
        <v>-9.0832467411569029E-2</v>
      </c>
      <c r="S46" s="743">
        <f>((S10/N10)-1)</f>
        <v>7.1150822178718265E-3</v>
      </c>
      <c r="T46" s="743">
        <f>((T10/O10)-1)</f>
        <v>9.3473787661926933E-2</v>
      </c>
      <c r="U46" s="743">
        <f>((U10/P10)-1)</f>
        <v>0.13717125653330076</v>
      </c>
      <c r="V46" s="742"/>
      <c r="W46" s="743">
        <f>((W10/R10)-1)</f>
        <v>0.15979127174108565</v>
      </c>
      <c r="X46" s="743">
        <f>((X10/S10)-1)</f>
        <v>0.12758585556016877</v>
      </c>
      <c r="Y46" s="743">
        <f>((Y10/T10)-1)</f>
        <v>7.8053068404666526E-2</v>
      </c>
      <c r="Z46" s="743">
        <f>((Z10/U10)-1)</f>
        <v>5.0672987852760532E-2</v>
      </c>
      <c r="AA46" s="742"/>
      <c r="AB46" s="743">
        <f>((AB10/W10)-1)</f>
        <v>9.3890695189143614E-2</v>
      </c>
      <c r="AC46" s="743">
        <f>((AC10/X10)-1)</f>
        <v>9.6301548395394398E-3</v>
      </c>
      <c r="AD46" s="743">
        <f>((AD10/Y10)-1)</f>
        <v>1.2901022431603737E-2</v>
      </c>
      <c r="AE46" s="743">
        <f>((AE10/Z10)-1)</f>
        <v>2.5854108578660107E-3</v>
      </c>
      <c r="AF46" s="742"/>
      <c r="AG46" s="743">
        <f>((AG10/AB10)-1)</f>
        <v>-1.1253242955475917E-2</v>
      </c>
      <c r="AH46" s="743">
        <f>((AH10/AC10)-1)</f>
        <v>-1.2070020632721778E-3</v>
      </c>
      <c r="AI46" s="743">
        <f>((AI10/AD10)-1)</f>
        <v>-3.0210921698931026E-2</v>
      </c>
      <c r="AJ46" s="743">
        <f>((AJ10/AE10)-1)</f>
        <v>-1.5924809196845802E-2</v>
      </c>
      <c r="AK46" s="742"/>
      <c r="AL46" s="743">
        <f>((AL10/AG10)-1)</f>
        <v>-5.1648611957169521E-2</v>
      </c>
      <c r="AM46" s="743">
        <f>((AM10/AH10)-1)</f>
        <v>-6.183573007331189E-4</v>
      </c>
      <c r="AN46" s="743">
        <f>((AN10/AI10)-1)</f>
        <v>-2.3073100743904451E-3</v>
      </c>
      <c r="AO46" s="743">
        <f>((AO10/AJ10)-1)</f>
        <v>2.0352495590538089E-2</v>
      </c>
      <c r="AP46" s="743"/>
      <c r="AQ46" s="743">
        <f>((AQ10/AL10)-1)</f>
        <v>3.198604245420178E-2</v>
      </c>
      <c r="AR46" s="743">
        <f>((AR10/AM10)-1)</f>
        <v>-7.8082929456112504E-3</v>
      </c>
      <c r="AS46" s="743">
        <f>((AS10/AN10)-1)</f>
        <v>7.7901843676975169E-4</v>
      </c>
      <c r="AT46" s="743">
        <f>((AT10/AO10)-1)</f>
        <v>-4.9603577963000633E-2</v>
      </c>
      <c r="AU46" s="743"/>
      <c r="AV46" s="743">
        <f>((AV10/AQ10)-1)</f>
        <v>-4.6491969568892677E-2</v>
      </c>
      <c r="AW46" s="743">
        <f>((AW10/AR10)-1)</f>
        <v>-5.0474898236092303E-2</v>
      </c>
      <c r="AX46" s="743">
        <f>((AX10/AS10)-1)</f>
        <v>-7.6024909185262057E-2</v>
      </c>
      <c r="AY46" s="743">
        <f>((AY10/AT10)-1)</f>
        <v>-0.12684491978609624</v>
      </c>
      <c r="AZ46" s="743"/>
      <c r="BA46" s="743">
        <f>((BA10/AV10)-1)</f>
        <v>-7.5945626477541328E-2</v>
      </c>
      <c r="BB46" s="743">
        <f>((BB10/AW10)-1)</f>
        <v>-7.2592169191197486E-2</v>
      </c>
      <c r="BC46" s="743">
        <f>((BC10/AX10)-1)</f>
        <v>7.8629598427408798E-3</v>
      </c>
      <c r="BD46" s="743">
        <f>((BD10/AY10)-1)</f>
        <v>3.7726604605585523E-2</v>
      </c>
      <c r="BE46" s="743"/>
      <c r="BF46" s="743">
        <f>((BF10/BA10)-1)</f>
        <v>6.4598656859609749E-2</v>
      </c>
      <c r="BG46" s="743">
        <f>((BG10/BB10)-1)</f>
        <v>2.2187981510015442E-2</v>
      </c>
      <c r="BH46" s="743">
        <f>((BH10/BC10)-1)</f>
        <v>1.8110894399554267E-2</v>
      </c>
      <c r="BI46" s="743">
        <f>((BI10/BD10)-1)</f>
        <v>3.0217186024551479E-2</v>
      </c>
      <c r="BJ46" s="743"/>
      <c r="BK46" s="744">
        <f>((BK10/BF10)-1)</f>
        <v>-1.0213277260438525E-2</v>
      </c>
      <c r="BL46" s="744">
        <f>((BL10/BG10)-1)</f>
        <v>2.080192945432624E-2</v>
      </c>
      <c r="BM46" s="744">
        <f>((BM10/BH10)-1)</f>
        <v>-1.8883415435139606E-2</v>
      </c>
      <c r="BN46" s="744">
        <f>((BN10/BI10)-1)</f>
        <v>-1.8560953253895507E-2</v>
      </c>
      <c r="BO46" s="744"/>
      <c r="BP46" s="744">
        <f>((BP10/BK10)-1)</f>
        <v>5.8270106221547824E-2</v>
      </c>
      <c r="BQ46" s="744">
        <f>((BQ10/BL10)-1)</f>
        <v>5.5818074424099251E-2</v>
      </c>
      <c r="BR46" s="744">
        <f>((BR10/BM10)-1)</f>
        <v>7.7824267782426793E-2</v>
      </c>
      <c r="BS46" s="744">
        <f>((BS10/BN10)-1)</f>
        <v>0.10319869250525326</v>
      </c>
      <c r="BT46" s="744"/>
      <c r="BU46" s="744">
        <f>((BU10/BP10)-1)</f>
        <v>6.9400630914826511E-2</v>
      </c>
      <c r="BV46" s="744">
        <f>((BV10/BQ10)-1)</f>
        <v>8.1958041958041905E-2</v>
      </c>
      <c r="BW46" s="744">
        <f>((BW10/BR10)-1)</f>
        <v>2.8985507246376718E-2</v>
      </c>
      <c r="BX46" s="744">
        <f>((BX10/BS10)-1)</f>
        <v>-3.1746031746031744E-2</v>
      </c>
      <c r="BY46" s="744"/>
      <c r="BZ46" s="744">
        <f>((BZ10/BU10)-1)</f>
        <v>1.2067578439259874E-2</v>
      </c>
      <c r="CA46" s="744">
        <f>((CA10/BV10)-1)</f>
        <v>2.9214064115822058E-2</v>
      </c>
      <c r="CB46" s="744">
        <f>((CB10/BW10)-1)</f>
        <v>-1.006036217303774E-3</v>
      </c>
      <c r="CC46" s="744">
        <f>((CC10/BX10)-1)</f>
        <v>2.9071038251366144E-2</v>
      </c>
      <c r="CD46" s="744"/>
      <c r="CE46" s="744">
        <f>((CE10/BZ10)-1)</f>
        <v>-3.1001589825119247E-2</v>
      </c>
      <c r="CF46" s="757">
        <f>((CF10/CA10)-1)</f>
        <v>-2.084903290630491E-2</v>
      </c>
      <c r="CG46" s="744">
        <f>((CG10/CB10)-1)</f>
        <v>-2.8952668680765403E-2</v>
      </c>
      <c r="CH46" s="744">
        <f>((CH10/CC10)-1)</f>
        <v>-6.8606627017841926E-2</v>
      </c>
      <c r="CI46" s="744"/>
      <c r="CJ46" s="744">
        <f>((CJ10/CE10)-1)</f>
        <v>-5.9885151763740763E-2</v>
      </c>
      <c r="CK46" s="744">
        <f>((CK10/CF10)-1)</f>
        <v>-1.2057465366854814E-2</v>
      </c>
      <c r="CL46" s="744">
        <f>((CL10/CG10)-1)</f>
        <v>-1.5296862846772119E-2</v>
      </c>
      <c r="CM46" s="744">
        <f>((CM10/CH10)-1)</f>
        <v>1.0034207525655647E-2</v>
      </c>
      <c r="CN46" s="744"/>
      <c r="CO46" s="744">
        <f>((CO10/CJ10)-1)</f>
        <v>5.8173356602675419E-4</v>
      </c>
      <c r="CP46" s="744">
        <f>((CP10/CK10)-1)</f>
        <v>-1.3502986237340919E-2</v>
      </c>
      <c r="CQ46" s="744">
        <f>((CQ10/CL10)-1)</f>
        <v>1.053185887309116E-2</v>
      </c>
      <c r="CR46" s="744">
        <f>((CR10/CM10)-1)</f>
        <v>7.8798825920072257E-2</v>
      </c>
      <c r="CS46" s="744"/>
      <c r="CT46" s="1979">
        <f>((CT10/CO10)-1)</f>
        <v>2.2525276647606951E-2</v>
      </c>
      <c r="CU46" s="1979">
        <f t="shared" ref="CU46:CW46" si="43">((CU10/CP10)-1)</f>
        <v>2.7795116930450003E-2</v>
      </c>
      <c r="CV46" s="1979">
        <f t="shared" si="43"/>
        <v>1.7164606748988787E-2</v>
      </c>
      <c r="CW46" s="1980">
        <f t="shared" si="43"/>
        <v>-2.0214341081832732E-2</v>
      </c>
      <c r="CX46" s="744"/>
      <c r="CY46" s="745">
        <f>((CY10/BI10)-1)</f>
        <v>1.6662231897341893</v>
      </c>
      <c r="CZ46" s="745">
        <f>((CZ10/CY10)-1)</f>
        <v>0.17516048870867995</v>
      </c>
      <c r="DA46" s="746">
        <f t="shared" ref="DA46:DL46" si="44">((DA10/CZ10)-1)</f>
        <v>1.2755586369507022E-2</v>
      </c>
      <c r="DB46" s="747">
        <f t="shared" si="44"/>
        <v>4.3821603505462381E-2</v>
      </c>
      <c r="DC46" s="745">
        <f t="shared" si="44"/>
        <v>9.6790672160885549E-2</v>
      </c>
      <c r="DD46" s="745">
        <f t="shared" si="44"/>
        <v>2.608909289198369E-2</v>
      </c>
      <c r="DE46" s="745">
        <f t="shared" si="44"/>
        <v>-1.5000613804258101E-2</v>
      </c>
      <c r="DF46" s="747">
        <f t="shared" si="44"/>
        <v>-6.2645958593005036E-3</v>
      </c>
      <c r="DG46" s="745">
        <f t="shared" si="44"/>
        <v>-1.0048357721534895E-2</v>
      </c>
      <c r="DH46" s="747">
        <f t="shared" si="44"/>
        <v>-7.8474909598426734E-2</v>
      </c>
      <c r="DI46" s="745">
        <f t="shared" si="44"/>
        <v>-2.2649043095139709E-2</v>
      </c>
      <c r="DJ46" s="745">
        <f t="shared" si="44"/>
        <v>3.2894273438050403E-2</v>
      </c>
      <c r="DK46" s="790">
        <f t="shared" si="44"/>
        <v>-7.8423349699945355E-3</v>
      </c>
      <c r="DL46" s="790">
        <f t="shared" si="44"/>
        <v>7.5744037390885977E-2</v>
      </c>
      <c r="DM46" s="745">
        <f t="shared" ref="DM46:DV46" si="45">((DM10/DL10)-1)</f>
        <v>3.1755159414733836E-2</v>
      </c>
      <c r="DN46" s="745">
        <f t="shared" si="45"/>
        <v>1.7773098835769163E-2</v>
      </c>
      <c r="DO46" s="745">
        <f t="shared" si="45"/>
        <v>-3.8819592333434794E-2</v>
      </c>
      <c r="DP46" s="745">
        <f t="shared" si="45"/>
        <v>-1.778818763056278E-2</v>
      </c>
      <c r="DQ46" s="745">
        <f t="shared" si="45"/>
        <v>2.1848414539829886E-2</v>
      </c>
      <c r="DR46" s="745">
        <f t="shared" si="45"/>
        <v>9.6104850142018083E-3</v>
      </c>
      <c r="DS46" s="790">
        <f t="shared" si="45"/>
        <v>-4.8703849578118907E-3</v>
      </c>
      <c r="DT46" s="746">
        <f t="shared" si="45"/>
        <v>-4.7865352054692334E-3</v>
      </c>
      <c r="DU46" s="790">
        <f t="shared" si="45"/>
        <v>-4.0449257456233179E-3</v>
      </c>
      <c r="DV46" s="1774">
        <f t="shared" si="45"/>
        <v>-4.454141644778753E-3</v>
      </c>
      <c r="DW46" s="745"/>
    </row>
    <row r="47" spans="1:139">
      <c r="A47" s="737" t="s">
        <v>347</v>
      </c>
      <c r="B47" s="1559"/>
      <c r="C47" s="770">
        <f>'qtrP&amp;L'!$AR10/100</f>
        <v>0.11</v>
      </c>
      <c r="D47" s="770">
        <f>'qtrP&amp;L'!$AR11/100</f>
        <v>0.08</v>
      </c>
      <c r="E47" s="770">
        <f>'qtrP&amp;L'!$AR12/100</f>
        <v>0.05</v>
      </c>
      <c r="F47" s="770">
        <f>'qtrP&amp;L'!$AR13/100</f>
        <v>0.05</v>
      </c>
      <c r="G47" s="1560"/>
      <c r="H47" s="1561">
        <f>'qtrP&amp;L'!$AV10/100</f>
        <v>-0.02</v>
      </c>
      <c r="I47" s="1561">
        <f>'qtrP&amp;L'!$AV11/100</f>
        <v>-0.02</v>
      </c>
      <c r="J47" s="1561">
        <f>'qtrP&amp;L'!$AV12/100</f>
        <v>-0.08</v>
      </c>
      <c r="K47" s="1561">
        <f>'qtrP&amp;L'!$AV13/100</f>
        <v>-0.06</v>
      </c>
      <c r="L47" s="1561"/>
      <c r="M47" s="1561">
        <f>'qtrP&amp;L'!$BA10/100</f>
        <v>0</v>
      </c>
      <c r="N47" s="1561">
        <f>'qtrP&amp;L'!$BA11/100</f>
        <v>0</v>
      </c>
      <c r="O47" s="1561">
        <f>'qtrP&amp;L'!$BA12/100</f>
        <v>0</v>
      </c>
      <c r="P47" s="1561">
        <f>'qtrP&amp;L'!$BA13/100</f>
        <v>0</v>
      </c>
      <c r="Q47" s="1561"/>
      <c r="R47" s="1561">
        <f>'qtrP&amp;L'!$BD10/100</f>
        <v>-0.17499999999999999</v>
      </c>
      <c r="S47" s="1561">
        <f>'qtrP&amp;L'!$BD11/100</f>
        <v>-7.400000000000001E-2</v>
      </c>
      <c r="T47" s="1561">
        <f>'qtrP&amp;L'!$BD12/100</f>
        <v>2.3E-2</v>
      </c>
      <c r="U47" s="1561">
        <f>'qtrP&amp;L'!$BD13/100</f>
        <v>8.1000000000000003E-2</v>
      </c>
      <c r="V47" s="1562"/>
      <c r="W47" s="1561">
        <f>'qtrP&amp;L'!$BH10/100</f>
        <v>0.125</v>
      </c>
      <c r="X47" s="1561">
        <f>'qtrP&amp;L'!$BH11/100</f>
        <v>9.8000000000000004E-2</v>
      </c>
      <c r="Y47" s="1561">
        <f>'qtrP&amp;L'!$BH12/100</f>
        <v>6.0999999999999999E-2</v>
      </c>
      <c r="Z47" s="1561">
        <f>'qtrP&amp;L'!$BH13/100</f>
        <v>0.03</v>
      </c>
      <c r="AA47" s="1562"/>
      <c r="AB47" s="1561">
        <f>'qtrP&amp;L'!$BL10/100</f>
        <v>7.2000000000000008E-2</v>
      </c>
      <c r="AC47" s="1561">
        <f>'qtrP&amp;L'!$BL11/100</f>
        <v>-3.0000000000000001E-3</v>
      </c>
      <c r="AD47" s="1561">
        <f>'qtrP&amp;L'!$BL12/100</f>
        <v>-0.01</v>
      </c>
      <c r="AE47" s="1561">
        <f>'qtrP&amp;L'!$BL13/100</f>
        <v>-2.7999999999999997E-2</v>
      </c>
      <c r="AF47" s="1562"/>
      <c r="AG47" s="1561">
        <f>'qtrP&amp;L'!$BP10/100</f>
        <v>-4.2000000000000003E-2</v>
      </c>
      <c r="AH47" s="1561">
        <f>'qtrP&amp;L'!$BP11/100</f>
        <v>-3.5000000000000003E-2</v>
      </c>
      <c r="AI47" s="1561">
        <f>'qtrP&amp;L'!$BP12/100</f>
        <v>-6.7000000000000004E-2</v>
      </c>
      <c r="AJ47" s="1561">
        <f>'qtrP&amp;L'!$BP13/100</f>
        <v>-5.5999999999999994E-2</v>
      </c>
      <c r="AK47" s="1562"/>
      <c r="AL47" s="1561">
        <f>'qtrP&amp;L'!$BT10/100</f>
        <v>-9.3000000000000013E-2</v>
      </c>
      <c r="AM47" s="1561">
        <f>'qtrP&amp;L'!$BT11/100</f>
        <v>-5.4000000000000006E-2</v>
      </c>
      <c r="AN47" s="1561">
        <f>'qtrP&amp;L'!$BT12/100</f>
        <v>-5.5E-2</v>
      </c>
      <c r="AO47" s="1561">
        <f>'qtrP&amp;L'!$BT13/100</f>
        <v>-7.0000000000000007E-2</v>
      </c>
      <c r="AP47" s="1561"/>
      <c r="AQ47" s="1561">
        <f>'qtrP&amp;L'!$BX10/100</f>
        <v>-0.04</v>
      </c>
      <c r="AR47" s="1561">
        <f>'qtrP&amp;L'!$BX11/100</f>
        <v>-0.05</v>
      </c>
      <c r="AS47" s="1561">
        <f>'qtrP&amp;L'!$BX12/100</f>
        <v>-0.05</v>
      </c>
      <c r="AT47" s="1561">
        <f>'qtrP&amp;L'!$BX13/100</f>
        <v>-0.03</v>
      </c>
      <c r="AU47" s="1561"/>
      <c r="AV47" s="1561">
        <f>'qtrP&amp;L'!CB10/100</f>
        <v>-0.11</v>
      </c>
      <c r="AW47" s="1561">
        <f>'qtrP&amp;L'!CB11/100</f>
        <v>-0.1</v>
      </c>
      <c r="AX47" s="1561">
        <f>'qtrP&amp;L'!CB12/100</f>
        <v>-0.12</v>
      </c>
      <c r="AY47" s="1561">
        <f>'qtrP&amp;L'!CB13/100</f>
        <v>-0.14000000000000001</v>
      </c>
      <c r="AZ47" s="1561"/>
      <c r="BA47" s="1561">
        <f>'qtrP&amp;L'!$CF$10/100</f>
        <v>-0.08</v>
      </c>
      <c r="BB47" s="1561">
        <f>'qtrP&amp;L'!$CF$11/100</f>
        <v>-0.08</v>
      </c>
      <c r="BC47" s="1561">
        <f>'qtrP&amp;L'!$CF$12/100</f>
        <v>0</v>
      </c>
      <c r="BD47" s="1561">
        <f>'qtrP&amp;L'!$CF$13/100</f>
        <v>0.02</v>
      </c>
      <c r="BE47" s="1561"/>
      <c r="BF47" s="1561">
        <f>'qtrP&amp;L'!$CJ$10/100</f>
        <v>0.04</v>
      </c>
      <c r="BG47" s="1561">
        <f>'qtrP&amp;L'!$CJ$11/100</f>
        <v>0.01</v>
      </c>
      <c r="BH47" s="1561">
        <f>'qtrP&amp;L'!$CJ$12/100</f>
        <v>0</v>
      </c>
      <c r="BI47" s="1561">
        <f>'qtrP&amp;L'!$CJ$13/100</f>
        <v>0.01</v>
      </c>
      <c r="BJ47" s="1561"/>
      <c r="BK47" s="1561">
        <f>'qtrP&amp;L'!$CN$10/100</f>
        <v>-0.03</v>
      </c>
      <c r="BL47" s="1561">
        <f>'qtrP&amp;L'!$CN$11/100</f>
        <v>-0.02</v>
      </c>
      <c r="BM47" s="1561">
        <f>'qtrP&amp;L'!$CN$12/100</f>
        <v>-0.05</v>
      </c>
      <c r="BN47" s="1561">
        <f>'qtrP&amp;L'!$CN$13/100</f>
        <v>-0.04</v>
      </c>
      <c r="BO47" s="1561"/>
      <c r="BP47" s="1561">
        <f>'qtrP&amp;L'!$CR$10/100</f>
        <v>0.04</v>
      </c>
      <c r="BQ47" s="1561">
        <f>'qtrP&amp;L'!$CR$11/100</f>
        <v>0.04</v>
      </c>
      <c r="BR47" s="1561">
        <f>'qtrP&amp;L'!$CR$12/100</f>
        <v>0.06</v>
      </c>
      <c r="BS47" s="1561">
        <f>'qtrP&amp;L'!$CR$13/100</f>
        <v>0.05</v>
      </c>
      <c r="BT47" s="1561"/>
      <c r="BU47" s="1561">
        <f>'qtrP&amp;L'!CV10/100</f>
        <v>0.02</v>
      </c>
      <c r="BV47" s="1561">
        <f>'qtrP&amp;L'!CV11/100</f>
        <v>0.05</v>
      </c>
      <c r="BW47" s="1561">
        <f>'qtrP&amp;L'!CV12/100</f>
        <v>0.01</v>
      </c>
      <c r="BX47" s="1561">
        <f>'qtrP&amp;L'!CV13/100</f>
        <v>0.01</v>
      </c>
      <c r="BY47" s="1561"/>
      <c r="BZ47" s="1561">
        <f>'qtrP&amp;L'!CZ10/100</f>
        <v>-0.01</v>
      </c>
      <c r="CA47" s="1561">
        <f>'qtrP&amp;L'!CZ11/100</f>
        <v>0</v>
      </c>
      <c r="CB47" s="1561">
        <f>'qtrP&amp;L'!CZ12/100</f>
        <v>-0.02</v>
      </c>
      <c r="CC47" s="1561">
        <f>'qtrP&amp;L'!CZ13/100</f>
        <v>0.02</v>
      </c>
      <c r="CD47" s="1561"/>
      <c r="CE47" s="1563">
        <f>'qtrP&amp;L'!DD10/100</f>
        <v>-0.04</v>
      </c>
      <c r="CF47" s="1563">
        <f>'qtrP&amp;L'!DD11/100</f>
        <v>-0.02</v>
      </c>
      <c r="CG47" s="1563">
        <f>'qtrP&amp;L'!DD12/100</f>
        <v>-0.02</v>
      </c>
      <c r="CH47" s="1563">
        <f>'qtrP&amp;L'!DD13/100</f>
        <v>-7.0000000000000007E-2</v>
      </c>
      <c r="CI47" s="1563"/>
      <c r="CJ47" s="1983">
        <f>'qtrP&amp;L'!$DH$10/100</f>
        <v>-0.05</v>
      </c>
      <c r="CK47" s="1983">
        <f>'qtrP&amp;L'!$DH$11/100</f>
        <v>-0.02</v>
      </c>
      <c r="CL47" s="1983">
        <f>'qtrP&amp;L'!$DH$12/100</f>
        <v>-0.03</v>
      </c>
      <c r="CM47" s="1983">
        <f>'qtrP&amp;L'!$DH$13/100</f>
        <v>0.02</v>
      </c>
      <c r="CN47" s="1983"/>
      <c r="CO47" s="1983">
        <f>'qtrP&amp;L'!$DL$10/100</f>
        <v>0.02</v>
      </c>
      <c r="CP47" s="1984">
        <f>'qtrP&amp;L'!$DL$11/100</f>
        <v>0.01</v>
      </c>
      <c r="CQ47" s="1984">
        <f>'qtrP&amp;L'!$DL$12/100</f>
        <v>0.03</v>
      </c>
      <c r="CR47" s="1984">
        <f>'qtrP&amp;L'!$DL$13/100</f>
        <v>0.05</v>
      </c>
      <c r="CS47" s="1983"/>
      <c r="CT47" s="1985">
        <f>'qtrP&amp;L'!$DP$10/100</f>
        <v>1.967877906976744E-3</v>
      </c>
      <c r="CU47" s="1986">
        <f>'qtrP&amp;L'!$DP$11/100</f>
        <v>1.1706106870229008E-2</v>
      </c>
      <c r="CV47" s="1986">
        <f>'qtrP&amp;L'!$DP$12/100</f>
        <v>1.6939812402292876E-3</v>
      </c>
      <c r="CW47" s="1987">
        <f>'qtrP&amp;L'!$DP$13/100</f>
        <v>-1.3501255755546252E-2</v>
      </c>
      <c r="CX47" s="762"/>
      <c r="CY47" s="1990">
        <f>yrSales!K35</f>
        <v>7.0000000000000007E-2</v>
      </c>
      <c r="CZ47" s="1990">
        <f>yrSales!L35</f>
        <v>-0.05</v>
      </c>
      <c r="DA47" s="2090">
        <f>yrSales!M35</f>
        <v>-0.129</v>
      </c>
      <c r="DB47" s="2091">
        <f>yrSales!N35</f>
        <v>-2.7000000000000003E-2</v>
      </c>
      <c r="DC47" s="1990">
        <f>yrSales!O35</f>
        <v>7.2000000000000008E-2</v>
      </c>
      <c r="DD47" s="1990">
        <f>yrSales!P35</f>
        <v>4.0000000000000001E-3</v>
      </c>
      <c r="DE47" s="1990">
        <f>yrSales!Q35</f>
        <v>-5.0999999999999997E-2</v>
      </c>
      <c r="DF47" s="2091">
        <f>yrSales!R35</f>
        <v>-7.0000000000000007E-2</v>
      </c>
      <c r="DG47" s="1990">
        <f>yrSales!S35</f>
        <v>-0.04</v>
      </c>
      <c r="DH47" s="2091">
        <f>yrSales!T35</f>
        <v>-0.11838208207470713</v>
      </c>
      <c r="DI47" s="1990">
        <f>yrSales!U35</f>
        <v>-3.0030152268958239E-2</v>
      </c>
      <c r="DJ47" s="1990">
        <f>yrSales!V35</f>
        <v>0.02</v>
      </c>
      <c r="DK47" s="1990">
        <f>yrSales!W35</f>
        <v>-0.04</v>
      </c>
      <c r="DL47" s="1990">
        <f>yrSales!X35</f>
        <v>4.7896859694612506E-2</v>
      </c>
      <c r="DM47" s="1990">
        <f>yrSales!Y35</f>
        <v>2.1890636611345059E-2</v>
      </c>
      <c r="DN47" s="1990">
        <f>yrSales!Z35</f>
        <v>0</v>
      </c>
      <c r="DO47" s="1990">
        <f>yrSales!AA35</f>
        <v>-0.04</v>
      </c>
      <c r="DP47" s="1990">
        <f>yrSales!AB35</f>
        <v>-0.02</v>
      </c>
      <c r="DQ47" s="1990">
        <f>yrSales!AC35</f>
        <v>0.03</v>
      </c>
      <c r="DR47" s="1990">
        <f>yrSales!AD35</f>
        <v>-1.202125311883347E-4</v>
      </c>
      <c r="DS47" s="1990">
        <f>yrSales!AE35</f>
        <v>-4.0060432606804138E-3</v>
      </c>
      <c r="DT47" s="2090">
        <f>yrSales!AF35</f>
        <v>-3.647679074000364E-3</v>
      </c>
      <c r="DU47" s="1990">
        <f>yrSales!AG35</f>
        <v>-3.302695135328289E-3</v>
      </c>
      <c r="DV47" s="2087">
        <f>yrSales!AH35</f>
        <v>-2.9751988000538713E-3</v>
      </c>
      <c r="DW47" s="762"/>
      <c r="EI47" s="736"/>
    </row>
    <row r="48" spans="1:139">
      <c r="A48" s="764" t="s">
        <v>81</v>
      </c>
      <c r="B48" s="758"/>
      <c r="C48" s="748"/>
      <c r="D48" s="748"/>
      <c r="E48" s="748"/>
      <c r="F48" s="748"/>
      <c r="G48" s="759"/>
      <c r="H48" s="760"/>
      <c r="I48" s="760"/>
      <c r="J48" s="760"/>
      <c r="K48" s="760"/>
      <c r="L48" s="760"/>
      <c r="M48" s="760"/>
      <c r="N48" s="760"/>
      <c r="O48" s="760"/>
      <c r="P48" s="760"/>
      <c r="Q48" s="760"/>
      <c r="R48" s="760"/>
      <c r="S48" s="760"/>
      <c r="T48" s="760"/>
      <c r="U48" s="760"/>
      <c r="V48" s="761"/>
      <c r="W48" s="760">
        <v>0.12</v>
      </c>
      <c r="X48" s="760">
        <v>0.09</v>
      </c>
      <c r="Y48" s="760">
        <v>0.05</v>
      </c>
      <c r="Z48" s="760">
        <v>0.03</v>
      </c>
      <c r="AA48" s="761"/>
      <c r="AB48" s="760">
        <v>0.04</v>
      </c>
      <c r="AC48" s="760">
        <v>0.01</v>
      </c>
      <c r="AD48" s="760">
        <v>0</v>
      </c>
      <c r="AE48" s="760">
        <v>0</v>
      </c>
      <c r="AF48" s="761"/>
      <c r="AG48" s="760">
        <v>-0.04</v>
      </c>
      <c r="AH48" s="760">
        <v>-0.04</v>
      </c>
      <c r="AI48" s="760">
        <v>-0.04</v>
      </c>
      <c r="AJ48" s="760">
        <v>-7.0000000000000007E-2</v>
      </c>
      <c r="AK48" s="761"/>
      <c r="AL48" s="760">
        <v>-0.08</v>
      </c>
      <c r="AM48" s="760">
        <v>-0.06</v>
      </c>
      <c r="AN48" s="760">
        <v>-7.0000000000000007E-2</v>
      </c>
      <c r="AO48" s="760">
        <v>-0.08</v>
      </c>
      <c r="AP48" s="760"/>
      <c r="AQ48" s="760">
        <v>-0.04</v>
      </c>
      <c r="AR48" s="760">
        <v>-0.06</v>
      </c>
      <c r="AS48" s="760">
        <v>-0.06</v>
      </c>
      <c r="AT48" s="760">
        <v>-0.05</v>
      </c>
      <c r="AU48" s="760"/>
      <c r="AV48" s="760">
        <v>-7.0000000000000007E-2</v>
      </c>
      <c r="AW48" s="760">
        <v>-0.06</v>
      </c>
      <c r="AX48" s="760">
        <v>-7.0000000000000007E-2</v>
      </c>
      <c r="AY48" s="760">
        <v>-0.13</v>
      </c>
      <c r="AZ48" s="760"/>
      <c r="BA48" s="760">
        <v>-0.12</v>
      </c>
      <c r="BB48" s="760">
        <v>-0.1</v>
      </c>
      <c r="BC48" s="760">
        <v>-7.0000000000000007E-2</v>
      </c>
      <c r="BD48" s="760">
        <v>-0.01</v>
      </c>
      <c r="BE48" s="760"/>
      <c r="BF48" s="760">
        <v>0.02</v>
      </c>
      <c r="BG48" s="760">
        <v>-0.04</v>
      </c>
      <c r="BH48" s="760">
        <v>0.02</v>
      </c>
      <c r="BI48" s="760">
        <v>0</v>
      </c>
      <c r="BJ48" s="760"/>
      <c r="BK48" s="760">
        <v>-0.04</v>
      </c>
      <c r="BL48" s="760">
        <v>-0.04</v>
      </c>
      <c r="BM48" s="760">
        <v>-7.0000000000000007E-2</v>
      </c>
      <c r="BN48" s="762">
        <v>-0.05</v>
      </c>
      <c r="BO48" s="762"/>
      <c r="BP48" s="760">
        <v>0.02</v>
      </c>
      <c r="BQ48" s="760">
        <v>0.03</v>
      </c>
      <c r="BR48" s="760">
        <v>0.04</v>
      </c>
      <c r="BS48" s="762">
        <v>0.02</v>
      </c>
      <c r="BT48" s="762"/>
      <c r="BU48" s="760">
        <v>0.03</v>
      </c>
      <c r="BV48" s="760">
        <v>0.06</v>
      </c>
      <c r="BW48" s="760">
        <v>0.01</v>
      </c>
      <c r="BX48" s="762">
        <v>0.01</v>
      </c>
      <c r="BY48" s="762"/>
      <c r="BZ48" s="760">
        <v>-0.05</v>
      </c>
      <c r="CA48" s="760">
        <v>-0.05</v>
      </c>
      <c r="CB48" s="760">
        <v>-0.05</v>
      </c>
      <c r="CC48" s="762">
        <v>-0.06</v>
      </c>
      <c r="CD48" s="762"/>
      <c r="CE48" s="1477">
        <v>-0.1</v>
      </c>
      <c r="CF48" s="1477">
        <v>-0.06</v>
      </c>
      <c r="CG48" s="1477">
        <v>-0.04</v>
      </c>
      <c r="CH48" s="1476">
        <v>-0.03</v>
      </c>
      <c r="CI48" s="1476"/>
      <c r="CJ48" s="1988">
        <f>segQtrSales!F553/100</f>
        <v>-0.03</v>
      </c>
      <c r="CK48" s="1988">
        <f>segQtrSales!F554/100</f>
        <v>-0.03</v>
      </c>
      <c r="CL48" s="1988">
        <f>segQtrSales!F555/100</f>
        <v>-0.08</v>
      </c>
      <c r="CM48" s="1988">
        <f>segQtrSales!F556/100</f>
        <v>0</v>
      </c>
      <c r="CN48" s="1989"/>
      <c r="CO48" s="1989">
        <f>segQtrSales!F560/100</f>
        <v>-0.04</v>
      </c>
      <c r="CP48" s="1990">
        <f>segQtrSales!F561/100</f>
        <v>-0.01</v>
      </c>
      <c r="CQ48" s="1990">
        <f>segQtrSales!F562/100</f>
        <v>0.01</v>
      </c>
      <c r="CR48" s="1990">
        <f>segQtrSales!F563/100</f>
        <v>0</v>
      </c>
      <c r="CS48" s="1989"/>
      <c r="CT48" s="2086">
        <f>segQtrSales!F567/100</f>
        <v>0.01</v>
      </c>
      <c r="CU48" s="2086">
        <f>segQtrSales!F568/100</f>
        <v>0</v>
      </c>
      <c r="CV48" s="2086">
        <f>segQtrSales!F569/100</f>
        <v>-2.5000000000000001E-2</v>
      </c>
      <c r="CW48" s="2086">
        <f>segQtrSales!F570/100</f>
        <v>-0.02</v>
      </c>
      <c r="CX48" s="2092"/>
      <c r="CY48" s="2093">
        <f>yrSales!K69</f>
        <v>0.01</v>
      </c>
      <c r="CZ48" s="2093">
        <f>yrSales!L69</f>
        <v>-0.01</v>
      </c>
      <c r="DA48" s="2094">
        <f>yrSales!M69</f>
        <v>-0.12</v>
      </c>
      <c r="DB48" s="2095">
        <f>yrSales!N69</f>
        <v>-7.0000000000000007E-2</v>
      </c>
      <c r="DC48" s="2093">
        <f>yrSales!O69</f>
        <v>0.06</v>
      </c>
      <c r="DD48" s="2093">
        <f>yrSales!P69</f>
        <v>0.01</v>
      </c>
      <c r="DE48" s="2093">
        <f>yrSales!Q69</f>
        <v>-4.9129229062673321E-2</v>
      </c>
      <c r="DF48" s="2095">
        <f>yrSales!R69</f>
        <v>-7.300350603817686E-2</v>
      </c>
      <c r="DG48" s="2093">
        <f>yrSales!S69</f>
        <v>-5.2525944375259447E-2</v>
      </c>
      <c r="DH48" s="2095">
        <f>yrSales!T69</f>
        <v>-8.3837850803550024E-2</v>
      </c>
      <c r="DI48" s="2093">
        <f>yrSales!U69</f>
        <v>-7.0204188481675395E-2</v>
      </c>
      <c r="DJ48" s="2093">
        <f>yrSales!V69</f>
        <v>8.0105401844532246E-4</v>
      </c>
      <c r="DK48" s="2093">
        <f>yrSales!W69</f>
        <v>-0.05</v>
      </c>
      <c r="DL48" s="2093">
        <f>yrSales!X69</f>
        <v>0.03</v>
      </c>
      <c r="DM48" s="2093">
        <f>yrSales!Y69</f>
        <v>0.03</v>
      </c>
      <c r="DN48" s="2093">
        <f>yrSales!Z69</f>
        <v>0.05</v>
      </c>
      <c r="DO48" s="2093">
        <f>yrSales!AA69</f>
        <v>0.06</v>
      </c>
      <c r="DP48" s="2093">
        <f>yrSales!AB69</f>
        <v>-0.03</v>
      </c>
      <c r="DQ48" s="2093">
        <f>yrSales!AC69</f>
        <v>-0.01</v>
      </c>
      <c r="DR48" s="2093">
        <f>yrSales!AD69</f>
        <v>-9.6992212923408989E-3</v>
      </c>
      <c r="DS48" s="2093">
        <f>yrSales!AE69</f>
        <v>-0.01</v>
      </c>
      <c r="DT48" s="2094">
        <f>yrSales!AF69</f>
        <v>-0.01</v>
      </c>
      <c r="DU48" s="2093">
        <f>yrSales!AG69</f>
        <v>-0.01</v>
      </c>
      <c r="DV48" s="2096">
        <f>yrSales!AH69</f>
        <v>-0.01</v>
      </c>
      <c r="DW48" s="762"/>
    </row>
    <row r="49" spans="1:138">
      <c r="A49" s="764" t="s">
        <v>93</v>
      </c>
      <c r="B49" s="758"/>
      <c r="C49" s="748"/>
      <c r="D49" s="748"/>
      <c r="E49" s="748"/>
      <c r="F49" s="748"/>
      <c r="G49" s="759"/>
      <c r="H49" s="760"/>
      <c r="I49" s="760"/>
      <c r="J49" s="760"/>
      <c r="K49" s="760"/>
      <c r="L49" s="760"/>
      <c r="M49" s="760"/>
      <c r="N49" s="760"/>
      <c r="O49" s="760"/>
      <c r="P49" s="760"/>
      <c r="Q49" s="760"/>
      <c r="R49" s="760"/>
      <c r="S49" s="760"/>
      <c r="T49" s="760"/>
      <c r="U49" s="760"/>
      <c r="V49" s="761"/>
      <c r="W49" s="760">
        <v>0.01</v>
      </c>
      <c r="X49" s="760">
        <v>0.05</v>
      </c>
      <c r="Y49" s="760">
        <v>0.11</v>
      </c>
      <c r="Z49" s="760">
        <v>0.06</v>
      </c>
      <c r="AA49" s="761"/>
      <c r="AB49" s="760">
        <v>0.21</v>
      </c>
      <c r="AC49" s="760">
        <v>0.04</v>
      </c>
      <c r="AD49" s="760">
        <v>0.03</v>
      </c>
      <c r="AE49" s="760">
        <v>-0.01</v>
      </c>
      <c r="AF49" s="761"/>
      <c r="AG49" s="760">
        <v>-0.04</v>
      </c>
      <c r="AH49" s="760">
        <v>-0.03</v>
      </c>
      <c r="AI49" s="760">
        <v>-7.0000000000000007E-2</v>
      </c>
      <c r="AJ49" s="760">
        <v>-0.05</v>
      </c>
      <c r="AK49" s="761"/>
      <c r="AL49" s="760">
        <v>-0.05</v>
      </c>
      <c r="AM49" s="760">
        <v>-0.01</v>
      </c>
      <c r="AN49" s="760">
        <v>0.03</v>
      </c>
      <c r="AO49" s="760">
        <v>0.03</v>
      </c>
      <c r="AP49" s="760"/>
      <c r="AQ49" s="760">
        <v>-0.02</v>
      </c>
      <c r="AR49" s="760">
        <v>0.04</v>
      </c>
      <c r="AS49" s="760">
        <v>0.01</v>
      </c>
      <c r="AT49" s="760">
        <v>0.02</v>
      </c>
      <c r="AU49" s="760"/>
      <c r="AV49" s="760">
        <v>-0.04</v>
      </c>
      <c r="AW49" s="760">
        <v>-0.06</v>
      </c>
      <c r="AX49" s="760">
        <v>-0.11</v>
      </c>
      <c r="AY49" s="760">
        <v>-0.15</v>
      </c>
      <c r="AZ49" s="760"/>
      <c r="BA49" s="760">
        <v>-0.13</v>
      </c>
      <c r="BB49" s="760">
        <v>-0.15</v>
      </c>
      <c r="BC49" s="760">
        <v>-0.06</v>
      </c>
      <c r="BD49" s="760">
        <v>-0.02</v>
      </c>
      <c r="BE49" s="760"/>
      <c r="BF49" s="760">
        <v>0.05</v>
      </c>
      <c r="BG49" s="760">
        <v>0.03</v>
      </c>
      <c r="BH49" s="760">
        <v>0.02</v>
      </c>
      <c r="BI49" s="760">
        <v>0.02</v>
      </c>
      <c r="BJ49" s="760"/>
      <c r="BK49" s="760">
        <v>-0.01</v>
      </c>
      <c r="BL49" s="760">
        <v>-0.02</v>
      </c>
      <c r="BM49" s="760">
        <v>-0.02</v>
      </c>
      <c r="BN49" s="762">
        <v>-0.01</v>
      </c>
      <c r="BO49" s="762"/>
      <c r="BP49" s="760">
        <v>0.05</v>
      </c>
      <c r="BQ49" s="760">
        <v>0.06</v>
      </c>
      <c r="BR49" s="760">
        <v>0.05</v>
      </c>
      <c r="BS49" s="762">
        <v>0.03</v>
      </c>
      <c r="BT49" s="762"/>
      <c r="BU49" s="762">
        <v>0</v>
      </c>
      <c r="BV49" s="762">
        <v>-0.01</v>
      </c>
      <c r="BW49" s="762">
        <v>-0.01</v>
      </c>
      <c r="BX49" s="762">
        <v>-0.03</v>
      </c>
      <c r="BY49" s="762"/>
      <c r="BZ49" s="762">
        <v>-0.01</v>
      </c>
      <c r="CA49" s="762">
        <v>0</v>
      </c>
      <c r="CB49" s="762">
        <v>0</v>
      </c>
      <c r="CC49" s="762">
        <v>0.01</v>
      </c>
      <c r="CD49" s="762"/>
      <c r="CE49" s="1476">
        <v>-0.08</v>
      </c>
      <c r="CF49" s="1476">
        <v>-0.04</v>
      </c>
      <c r="CG49" s="1476">
        <v>-0.12</v>
      </c>
      <c r="CH49" s="1476">
        <v>-0.14000000000000001</v>
      </c>
      <c r="CI49" s="1476"/>
      <c r="CJ49" s="1989">
        <f>segQtrSales!F395/100</f>
        <v>-0.04</v>
      </c>
      <c r="CK49" s="1989">
        <f>segQtrSales!F396/100</f>
        <v>-0.05</v>
      </c>
      <c r="CL49" s="1989">
        <f>segQtrSales!F397/100</f>
        <v>-0.01</v>
      </c>
      <c r="CM49" s="1989">
        <f>segQtrSales!F398/100</f>
        <v>0.01</v>
      </c>
      <c r="CN49" s="1989"/>
      <c r="CO49" s="1989">
        <f>segQtrSales!F395/100</f>
        <v>-0.04</v>
      </c>
      <c r="CP49" s="1990">
        <f>segQtrSales!F396/100</f>
        <v>-0.05</v>
      </c>
      <c r="CQ49" s="1990">
        <f>segQtrSales!F397/100</f>
        <v>-0.01</v>
      </c>
      <c r="CR49" s="1990">
        <f>segQtrSales!F398/100</f>
        <v>0.01</v>
      </c>
      <c r="CS49" s="1989"/>
      <c r="CT49" s="2086">
        <f>segQtrSales!F402/100</f>
        <v>-2.5000000000000001E-2</v>
      </c>
      <c r="CU49" s="2086">
        <f>segQtrSales!F403/100</f>
        <v>-0.03</v>
      </c>
      <c r="CV49" s="2086">
        <f>segQtrSales!F404/100</f>
        <v>-0.04</v>
      </c>
      <c r="CW49" s="2086">
        <f>segQtrSales!F404/100</f>
        <v>-0.04</v>
      </c>
      <c r="CX49" s="763"/>
      <c r="CY49" s="1990">
        <f>yrSales!K109</f>
        <v>0.1</v>
      </c>
      <c r="CZ49" s="1990">
        <f>yrSales!L109</f>
        <v>-0.02</v>
      </c>
      <c r="DA49" s="2090">
        <f>yrSales!M109</f>
        <v>-0.08</v>
      </c>
      <c r="DB49" s="2091">
        <f>yrSales!N109</f>
        <v>-0.01</v>
      </c>
      <c r="DC49" s="1990">
        <f>yrSales!O109</f>
        <v>7.0000000000000007E-2</v>
      </c>
      <c r="DD49" s="1990">
        <f>yrSales!P109</f>
        <v>0.06</v>
      </c>
      <c r="DE49" s="1990">
        <f>yrSales!Q109</f>
        <v>-4.7804984696108443E-2</v>
      </c>
      <c r="DF49" s="2091">
        <f>yrSales!R109</f>
        <v>4.1535987133092091E-3</v>
      </c>
      <c r="DG49" s="1990">
        <f>yrSales!S109</f>
        <v>1.380030372057707E-2</v>
      </c>
      <c r="DH49" s="2091">
        <f>yrSales!T109</f>
        <v>-9.2657372201098445E-2</v>
      </c>
      <c r="DI49" s="1990">
        <f>yrSales!U109</f>
        <v>-8.4193989071038255E-2</v>
      </c>
      <c r="DJ49" s="1990">
        <f>yrSales!V109</f>
        <v>2.9085312225153915E-2</v>
      </c>
      <c r="DK49" s="1990">
        <f>yrSales!W109</f>
        <v>-0.01</v>
      </c>
      <c r="DL49" s="1990">
        <f>yrSales!X109</f>
        <v>0.05</v>
      </c>
      <c r="DM49" s="1990">
        <f>yrSales!Y109</f>
        <v>-0.01</v>
      </c>
      <c r="DN49" s="1990">
        <f>yrSales!Z109</f>
        <v>0</v>
      </c>
      <c r="DO49" s="1990">
        <f>yrSales!AA109</f>
        <v>-0.1</v>
      </c>
      <c r="DP49" s="1990">
        <f>yrSales!AB109</f>
        <v>-7.0000000000000007E-2</v>
      </c>
      <c r="DQ49" s="1990">
        <f>yrSales!AC109</f>
        <v>-0.02</v>
      </c>
      <c r="DR49" s="1990">
        <f>yrSales!AD109</f>
        <v>-4.0059185623663111E-2</v>
      </c>
      <c r="DS49" s="1990">
        <f>yrSales!AE109</f>
        <v>-0.04</v>
      </c>
      <c r="DT49" s="2090">
        <f>yrSales!AF109</f>
        <v>-0.04</v>
      </c>
      <c r="DU49" s="1990">
        <f>yrSales!AG109</f>
        <v>-0.04</v>
      </c>
      <c r="DV49" s="2087">
        <f>yrSales!AH109</f>
        <v>-0.04</v>
      </c>
      <c r="DW49" s="762"/>
    </row>
    <row r="50" spans="1:138">
      <c r="A50" s="764" t="s">
        <v>94</v>
      </c>
      <c r="B50" s="758"/>
      <c r="C50" s="748"/>
      <c r="D50" s="748"/>
      <c r="E50" s="748"/>
      <c r="F50" s="748"/>
      <c r="G50" s="759"/>
      <c r="H50" s="760"/>
      <c r="I50" s="760"/>
      <c r="J50" s="760"/>
      <c r="K50" s="760"/>
      <c r="L50" s="760"/>
      <c r="M50" s="760"/>
      <c r="N50" s="760"/>
      <c r="O50" s="760"/>
      <c r="P50" s="760"/>
      <c r="Q50" s="760"/>
      <c r="R50" s="760"/>
      <c r="S50" s="760"/>
      <c r="T50" s="760"/>
      <c r="U50" s="760"/>
      <c r="V50" s="761"/>
      <c r="W50" s="760">
        <v>0.16</v>
      </c>
      <c r="X50" s="760">
        <v>0.11</v>
      </c>
      <c r="Y50" s="760">
        <v>0.06</v>
      </c>
      <c r="Z50" s="760">
        <v>0.03</v>
      </c>
      <c r="AA50" s="761"/>
      <c r="AB50" s="760">
        <v>0.09</v>
      </c>
      <c r="AC50" s="760">
        <v>0</v>
      </c>
      <c r="AD50" s="760">
        <v>-0.01</v>
      </c>
      <c r="AE50" s="760">
        <v>-0.04</v>
      </c>
      <c r="AF50" s="761"/>
      <c r="AG50" s="760">
        <v>-0.04</v>
      </c>
      <c r="AH50" s="760">
        <v>-0.04</v>
      </c>
      <c r="AI50" s="760">
        <v>-0.08</v>
      </c>
      <c r="AJ50" s="760">
        <v>-0.06</v>
      </c>
      <c r="AK50" s="761"/>
      <c r="AL50" s="760">
        <v>-0.11</v>
      </c>
      <c r="AM50" s="760">
        <v>-0.05</v>
      </c>
      <c r="AN50" s="760">
        <v>-7.0000000000000007E-2</v>
      </c>
      <c r="AO50" s="760">
        <v>-0.09</v>
      </c>
      <c r="AP50" s="760"/>
      <c r="AQ50" s="760">
        <v>-0.05</v>
      </c>
      <c r="AR50" s="760">
        <v>-0.09</v>
      </c>
      <c r="AS50" s="760">
        <v>-0.08</v>
      </c>
      <c r="AT50" s="760">
        <v>-0.05</v>
      </c>
      <c r="AU50" s="760"/>
      <c r="AV50" s="760">
        <v>-0.18</v>
      </c>
      <c r="AW50" s="760">
        <v>-0.16</v>
      </c>
      <c r="AX50" s="760">
        <v>-0.18</v>
      </c>
      <c r="AY50" s="760">
        <v>-0.17</v>
      </c>
      <c r="AZ50" s="760"/>
      <c r="BA50" s="760">
        <v>-0.03</v>
      </c>
      <c r="BB50" s="760">
        <v>-0.04</v>
      </c>
      <c r="BC50" s="760">
        <v>0.1</v>
      </c>
      <c r="BD50" s="760">
        <v>7.0000000000000007E-2</v>
      </c>
      <c r="BE50" s="760"/>
      <c r="BF50" s="760">
        <v>7.0000000000000007E-2</v>
      </c>
      <c r="BG50" s="760">
        <v>0.02</v>
      </c>
      <c r="BH50" s="760">
        <v>0</v>
      </c>
      <c r="BI50" s="760">
        <v>0.02</v>
      </c>
      <c r="BJ50" s="760"/>
      <c r="BK50" s="760">
        <v>-0.02</v>
      </c>
      <c r="BL50" s="760">
        <v>0</v>
      </c>
      <c r="BM50" s="760">
        <v>-0.04</v>
      </c>
      <c r="BN50" s="762">
        <v>-0.06</v>
      </c>
      <c r="BO50" s="762"/>
      <c r="BP50" s="760">
        <v>0.04</v>
      </c>
      <c r="BQ50" s="760">
        <v>0.03</v>
      </c>
      <c r="BR50" s="760">
        <v>0.09</v>
      </c>
      <c r="BS50" s="762">
        <v>0.08</v>
      </c>
      <c r="BT50" s="762"/>
      <c r="BU50" s="762">
        <v>0.03</v>
      </c>
      <c r="BV50" s="762">
        <v>0.06</v>
      </c>
      <c r="BW50" s="762">
        <v>0</v>
      </c>
      <c r="BX50" s="762">
        <v>0</v>
      </c>
      <c r="BY50" s="762"/>
      <c r="BZ50" s="762">
        <v>0.01</v>
      </c>
      <c r="CA50" s="762">
        <v>0.04</v>
      </c>
      <c r="CB50" s="762">
        <v>0.01</v>
      </c>
      <c r="CC50" s="762">
        <v>0.11</v>
      </c>
      <c r="CD50" s="762"/>
      <c r="CE50" s="1476">
        <v>0.03</v>
      </c>
      <c r="CF50" s="1476">
        <v>0.03</v>
      </c>
      <c r="CG50" s="1476">
        <v>0.04</v>
      </c>
      <c r="CH50" s="1476">
        <v>-0.08</v>
      </c>
      <c r="CI50" s="1476"/>
      <c r="CJ50" s="1989">
        <f>segQtrSales!F181/100</f>
        <v>-0.06</v>
      </c>
      <c r="CK50" s="1989">
        <f>segQtrSales!F182/100</f>
        <v>0</v>
      </c>
      <c r="CL50" s="1989">
        <f>segQtrSales!F183/100</f>
        <v>0.03</v>
      </c>
      <c r="CM50" s="1989">
        <f>segQtrSales!F184/100</f>
        <v>0.05</v>
      </c>
      <c r="CN50" s="1989"/>
      <c r="CO50" s="2086">
        <f>segQtrSales!F188/100</f>
        <v>0.08</v>
      </c>
      <c r="CP50" s="1990">
        <f>segQtrSales!F189/100</f>
        <v>0.05</v>
      </c>
      <c r="CQ50" s="1990">
        <f>segQtrSales!F190/100</f>
        <v>0.04</v>
      </c>
      <c r="CR50" s="1990">
        <f>segQtrSales!F191/100</f>
        <v>0.09</v>
      </c>
      <c r="CS50" s="1989"/>
      <c r="CT50" s="2086">
        <f>segQtrSales!F195/100</f>
        <v>5.0000000000000001E-3</v>
      </c>
      <c r="CU50" s="2086">
        <f>segQtrSales!F196/100</f>
        <v>3.5000000000000003E-2</v>
      </c>
      <c r="CV50" s="2086">
        <f>segQtrSales!F197/100</f>
        <v>3.5000000000000003E-2</v>
      </c>
      <c r="CW50" s="2087">
        <f>segQtrSales!F198/100</f>
        <v>5.0000000000000001E-3</v>
      </c>
      <c r="CX50" s="762"/>
      <c r="CY50" s="1990">
        <f>yrSales!K148</f>
        <v>0.14000000000000001</v>
      </c>
      <c r="CZ50" s="1990">
        <f>yrSales!L148</f>
        <v>-0.11</v>
      </c>
      <c r="DA50" s="2090">
        <f>yrSales!M148</f>
        <v>-0.16</v>
      </c>
      <c r="DB50" s="2091">
        <f>yrSales!N148</f>
        <v>0.01</v>
      </c>
      <c r="DC50" s="1990">
        <f>yrSales!O148</f>
        <v>0.08</v>
      </c>
      <c r="DD50" s="1990">
        <f>yrSales!P148</f>
        <v>0</v>
      </c>
      <c r="DE50" s="1990">
        <f>yrSales!Q148</f>
        <v>-5.5516336056009336E-2</v>
      </c>
      <c r="DF50" s="2091">
        <f>yrSales!R148</f>
        <v>-7.992824718113925E-2</v>
      </c>
      <c r="DG50" s="1990">
        <f>yrSales!S148</f>
        <v>-6.6813203300825214E-2</v>
      </c>
      <c r="DH50" s="2091">
        <f>yrSales!T148</f>
        <v>-0.17223623853211009</v>
      </c>
      <c r="DI50" s="1990">
        <f>yrSales!U148</f>
        <v>2.9913776944704779E-2</v>
      </c>
      <c r="DJ50" s="1990">
        <f>yrSales!V148</f>
        <v>2.6814966492926286E-2</v>
      </c>
      <c r="DK50" s="1990">
        <f>yrSales!W148</f>
        <v>-0.03</v>
      </c>
      <c r="DL50" s="1990">
        <f>yrSales!X148</f>
        <v>0.06</v>
      </c>
      <c r="DM50" s="1990">
        <f>yrSales!Y148</f>
        <v>0.02</v>
      </c>
      <c r="DN50" s="1990">
        <f>yrSales!Z148</f>
        <v>0.05</v>
      </c>
      <c r="DO50" s="1990">
        <f>yrSales!AA148</f>
        <v>0</v>
      </c>
      <c r="DP50" s="1990">
        <f>yrSales!AB148</f>
        <v>0.01</v>
      </c>
      <c r="DQ50" s="1990">
        <f>yrSales!AC148</f>
        <v>0.06</v>
      </c>
      <c r="DR50" s="1990">
        <f>yrSales!AD148</f>
        <v>1.9844826047940876E-2</v>
      </c>
      <c r="DS50" s="1990">
        <f>yrSales!AE148</f>
        <v>0.01</v>
      </c>
      <c r="DT50" s="2090">
        <f>yrSales!AF148</f>
        <v>0.01</v>
      </c>
      <c r="DU50" s="1990">
        <f>yrSales!AG148</f>
        <v>0.01</v>
      </c>
      <c r="DV50" s="2087">
        <f>yrSales!AH148</f>
        <v>0.01</v>
      </c>
      <c r="DW50" s="762"/>
    </row>
    <row r="51" spans="1:138">
      <c r="A51" s="724" t="s">
        <v>24</v>
      </c>
      <c r="B51" s="725"/>
      <c r="C51" s="748">
        <f>'qtrP&amp;L'!$AR30/100</f>
        <v>0.30288428953878466</v>
      </c>
      <c r="D51" s="748">
        <f>'qtrP&amp;L'!$AR31/100</f>
        <v>0.26024670622109758</v>
      </c>
      <c r="E51" s="748">
        <f>'qtrP&amp;L'!$AR32/100</f>
        <v>0.2526867113208584</v>
      </c>
      <c r="F51" s="748">
        <f>'qtrP&amp;L'!$AR33/100</f>
        <v>0.25928194876589994</v>
      </c>
      <c r="G51" s="742"/>
      <c r="H51" s="743">
        <f>((H15/C15)-1)</f>
        <v>0.21970937122550804</v>
      </c>
      <c r="I51" s="743">
        <f>((I15/D15)-1)</f>
        <v>0.16731213318390226</v>
      </c>
      <c r="J51" s="743">
        <f>((J15/E15)-1)</f>
        <v>0.18256310475125415</v>
      </c>
      <c r="K51" s="743">
        <f>((K15/F15)-1)</f>
        <v>0.20169116140925825</v>
      </c>
      <c r="L51" s="743"/>
      <c r="M51" s="743">
        <f>((M15/H15)-1)</f>
        <v>0.22672040495639756</v>
      </c>
      <c r="N51" s="743">
        <f>((N15/I15)-1)</f>
        <v>7.8436266671938926E-2</v>
      </c>
      <c r="O51" s="743">
        <f>((O15/J15)-1)</f>
        <v>3.8377460345058179E-3</v>
      </c>
      <c r="P51" s="743">
        <f>((P15/K15)-1)</f>
        <v>-5.3707481724931894E-2</v>
      </c>
      <c r="Q51" s="743"/>
      <c r="R51" s="743">
        <f>((R15/M15)-1)</f>
        <v>-0.1673109433601474</v>
      </c>
      <c r="S51" s="743">
        <f>((S15/N15)-1)</f>
        <v>5.6495854587452321E-2</v>
      </c>
      <c r="T51" s="743">
        <f>((T15/O15)-1)</f>
        <v>6.6017729769918709E-2</v>
      </c>
      <c r="U51" s="743">
        <f>((U15/P15)-1)</f>
        <v>0.12827633309628839</v>
      </c>
      <c r="V51" s="742"/>
      <c r="W51" s="743">
        <f>((W15/R15)-1)</f>
        <v>0.15955152351787616</v>
      </c>
      <c r="X51" s="743">
        <f>((X15/S15)-1)</f>
        <v>8.5350511886170821E-3</v>
      </c>
      <c r="Y51" s="743">
        <f>((Y15/T15)-1)</f>
        <v>4.3973952662639704E-2</v>
      </c>
      <c r="Z51" s="743">
        <f>((Z15/U15)-1)</f>
        <v>1.2030280251980496E-2</v>
      </c>
      <c r="AA51" s="742"/>
      <c r="AB51" s="743">
        <f>((AB15/W15)-1)</f>
        <v>0.15742095195228978</v>
      </c>
      <c r="AC51" s="743">
        <f>((AC15/X15)-1)</f>
        <v>0.16307328350986605</v>
      </c>
      <c r="AD51" s="743">
        <f>((AD15/Y15)-1)</f>
        <v>5.2401829603902161E-2</v>
      </c>
      <c r="AE51" s="743">
        <f>((AE15/Z15)-1)</f>
        <v>-2.3909292580724606E-2</v>
      </c>
      <c r="AF51" s="742"/>
      <c r="AG51" s="743">
        <f>((AG15/AB15)-1)</f>
        <v>-1.2472292436321197E-2</v>
      </c>
      <c r="AH51" s="743">
        <f>((AH15/AC15)-1)</f>
        <v>-0.11556860207100583</v>
      </c>
      <c r="AI51" s="743">
        <f>((AI15/AD15)-1)</f>
        <v>-7.7476104598737661E-2</v>
      </c>
      <c r="AJ51" s="743">
        <f>((AJ15/AE15)-1)</f>
        <v>-4.8968013468013494E-2</v>
      </c>
      <c r="AK51" s="742"/>
      <c r="AL51" s="743">
        <f>((AL15/AG15)-1)</f>
        <v>-1.3557189563395688E-2</v>
      </c>
      <c r="AM51" s="743">
        <f>((AM15/AH15)-1)</f>
        <v>7.7774328063633602E-2</v>
      </c>
      <c r="AN51" s="743">
        <f>((AN15/AI15)-1)</f>
        <v>0.13480972632611965</v>
      </c>
      <c r="AO51" s="743">
        <f>((AO15/AJ15)-1)</f>
        <v>9.5743946412987446E-2</v>
      </c>
      <c r="AP51" s="743"/>
      <c r="AQ51" s="743">
        <f>((AQ15/AL15)-1)</f>
        <v>4.8902195608782506E-2</v>
      </c>
      <c r="AR51" s="743">
        <f>((AR15/AM15)-1)</f>
        <v>-2.0368574199805978E-2</v>
      </c>
      <c r="AS51" s="743">
        <f>((AS15/AN15)-1)</f>
        <v>-7.0628768303186873E-2</v>
      </c>
      <c r="AT51" s="743">
        <f>((AT15/AO15)-1)</f>
        <v>-2.4232633279482996E-2</v>
      </c>
      <c r="AU51" s="743"/>
      <c r="AV51" s="743">
        <f>((AV15/AQ15)-1)</f>
        <v>-8.7535680304471897E-2</v>
      </c>
      <c r="AW51" s="743">
        <f>((AW15/AR15)-1)</f>
        <v>-4.4554455445544594E-2</v>
      </c>
      <c r="AX51" s="743">
        <f>((AX15/AS15)-1)</f>
        <v>-8.8044485634847125E-2</v>
      </c>
      <c r="AY51" s="743">
        <f>((AY15/AT15)-1)</f>
        <v>-0.17963576158940397</v>
      </c>
      <c r="AZ51" s="743"/>
      <c r="BA51" s="743">
        <f>((BA15/AV15)-1)</f>
        <v>-7.6120959332638183E-2</v>
      </c>
      <c r="BB51" s="743">
        <f>((BB15/AW15)-1)</f>
        <v>-5.3886010362694248E-2</v>
      </c>
      <c r="BC51" s="743">
        <f>((BC15/AX15)-1)</f>
        <v>4.0650406504065151E-2</v>
      </c>
      <c r="BD51" s="743">
        <f>((BD15/AY15)-1)</f>
        <v>9.586276488395562E-2</v>
      </c>
      <c r="BE51" s="743"/>
      <c r="BF51" s="743">
        <f>((BF15/BA15)-1)</f>
        <v>4.6275395033860134E-2</v>
      </c>
      <c r="BG51" s="743">
        <f>((BG15/BB15)-1)</f>
        <v>4.3811610076669449E-3</v>
      </c>
      <c r="BH51" s="743">
        <f>((BH15/BC15)-1)</f>
        <v>-2.24609375E-2</v>
      </c>
      <c r="BI51" s="743">
        <f>((BI15/BD15)-1)</f>
        <v>-9.2081031307550409E-3</v>
      </c>
      <c r="BJ51" s="743"/>
      <c r="BK51" s="744">
        <f>((BK15/BF15)-1)</f>
        <v>-9.7087378640776656E-3</v>
      </c>
      <c r="BL51" s="744">
        <f>((BL15/BG15)-1)</f>
        <v>0</v>
      </c>
      <c r="BM51" s="744">
        <f>((BM15/BH15)-1)</f>
        <v>-3.2967032967032961E-2</v>
      </c>
      <c r="BN51" s="744">
        <f>((BN15/BI15)-1)</f>
        <v>-3.9962825278810454E-2</v>
      </c>
      <c r="BO51" s="744"/>
      <c r="BP51" s="744">
        <f>((BP15/BK15)-1)</f>
        <v>6.7538126361655682E-2</v>
      </c>
      <c r="BQ51" s="744">
        <f>((BQ15/BL15)-1)</f>
        <v>9.2693565976008641E-2</v>
      </c>
      <c r="BR51" s="744">
        <f>((BR15/BM15)-1)</f>
        <v>0.10847107438016534</v>
      </c>
      <c r="BS51" s="744">
        <f>((BS15/BN15)-1)</f>
        <v>0.13649564375605028</v>
      </c>
      <c r="BT51" s="744"/>
      <c r="BU51" s="744">
        <f>((BU15/BP15)-1)</f>
        <v>3.469387755102038E-2</v>
      </c>
      <c r="BV51" s="744">
        <f>((BV15/BQ15)-1)</f>
        <v>4.3912175648702645E-2</v>
      </c>
      <c r="BW51" s="744">
        <f>((BW15/BR15)-1)</f>
        <v>-5.5917986952469745E-2</v>
      </c>
      <c r="BX51" s="744">
        <f>((BX15/BS15)-1)</f>
        <v>-8.7734241908006827E-2</v>
      </c>
      <c r="BY51" s="744"/>
      <c r="BZ51" s="744">
        <f>((BZ15/BU15)-1)</f>
        <v>8.8757396449703485E-3</v>
      </c>
      <c r="CA51" s="744">
        <f>((CA15/BV15)-1)</f>
        <v>-4.7801147227533036E-3</v>
      </c>
      <c r="CB51" s="744">
        <f>((CB15/BW15)-1)</f>
        <v>2.8627838104639647E-2</v>
      </c>
      <c r="CC51" s="744">
        <f>((CC15/BX15)-1)</f>
        <v>6.3492063492063489E-2</v>
      </c>
      <c r="CD51" s="744"/>
      <c r="CE51" s="744">
        <f>((CE15/BZ15)-1)</f>
        <v>-2.8347996089931549E-2</v>
      </c>
      <c r="CF51" s="744">
        <f>((CF15/CA15)-1)</f>
        <v>-2.2094140249759864E-2</v>
      </c>
      <c r="CG51" s="744">
        <f>((CG15/CB15)-1)</f>
        <v>-2.2072936660268661E-2</v>
      </c>
      <c r="CH51" s="744">
        <f>((CH15/CC15)-1)</f>
        <v>-6.4091308165057037E-2</v>
      </c>
      <c r="CI51" s="744"/>
      <c r="CJ51" s="744">
        <f>((CJ15/CE15)-1)</f>
        <v>-7.0422535211267512E-3</v>
      </c>
      <c r="CK51" s="744">
        <f>((CK15/CF15)-1)</f>
        <v>4.9115913555992652E-3</v>
      </c>
      <c r="CL51" s="744">
        <f>((CL15/CG15)-1)</f>
        <v>4.8086359175662396E-2</v>
      </c>
      <c r="CM51" s="744">
        <f>((CM15/CH15)-1)</f>
        <v>0.1031894934333959</v>
      </c>
      <c r="CN51" s="744"/>
      <c r="CO51" s="744">
        <f>((CO15/CJ15)-1)</f>
        <v>6.2816616008105397E-2</v>
      </c>
      <c r="CP51" s="744">
        <f>((CP15/CK15)-1)</f>
        <v>6.7448680351906098E-2</v>
      </c>
      <c r="CQ51" s="744">
        <f>((CQ15/CL15)-1)</f>
        <v>7.3970037453183535E-2</v>
      </c>
      <c r="CR51" s="744">
        <f>((CR15/CM15)-1)</f>
        <v>0.15901360544217691</v>
      </c>
      <c r="CS51" s="744"/>
      <c r="CT51" s="1979">
        <f>((CT15/CO15)-1)</f>
        <v>5.9543236418782008E-3</v>
      </c>
      <c r="CU51" s="1979">
        <f t="shared" ref="CU51:CW51" si="46">((CU15/CP15)-1)</f>
        <v>3.6934210873118989E-2</v>
      </c>
      <c r="CV51" s="1979">
        <f t="shared" si="46"/>
        <v>2.1066545955349403E-2</v>
      </c>
      <c r="CW51" s="1980">
        <f t="shared" si="46"/>
        <v>-2.7996556447531962E-2</v>
      </c>
      <c r="CX51" s="744"/>
      <c r="CY51" s="745">
        <f>((CY15/BI15)-1)</f>
        <v>1.8284684014869885</v>
      </c>
      <c r="CZ51" s="745">
        <f t="shared" ref="CZ51:DN51" si="47">((CZ15/CY15)-1)</f>
        <v>0.19248828296475806</v>
      </c>
      <c r="DA51" s="746">
        <f t="shared" si="47"/>
        <v>4.869068241791652E-2</v>
      </c>
      <c r="DB51" s="747">
        <f t="shared" si="47"/>
        <v>2.4843614029335104E-2</v>
      </c>
      <c r="DC51" s="745">
        <f t="shared" si="47"/>
        <v>4.8321224697617238E-2</v>
      </c>
      <c r="DD51" s="745">
        <f t="shared" si="47"/>
        <v>7.6302274394717484E-2</v>
      </c>
      <c r="DE51" s="745">
        <f t="shared" si="47"/>
        <v>-6.2650079527380109E-2</v>
      </c>
      <c r="DF51" s="747">
        <f t="shared" si="47"/>
        <v>7.4352098053051874E-2</v>
      </c>
      <c r="DG51" s="745">
        <f t="shared" si="47"/>
        <v>-1.8953068592057809E-2</v>
      </c>
      <c r="DH51" s="747">
        <f t="shared" si="47"/>
        <v>-0.10326586936522542</v>
      </c>
      <c r="DI51" s="745">
        <f t="shared" si="47"/>
        <v>2.5647601949216892E-3</v>
      </c>
      <c r="DJ51" s="745">
        <f t="shared" si="47"/>
        <v>3.0698388334613469E-3</v>
      </c>
      <c r="DK51" s="790">
        <f t="shared" si="47"/>
        <v>-2.1678143330782995E-2</v>
      </c>
      <c r="DL51" s="790">
        <f t="shared" si="47"/>
        <v>0.10245046923879042</v>
      </c>
      <c r="DM51" s="745">
        <f t="shared" si="47"/>
        <v>-2.0099314258690049E-2</v>
      </c>
      <c r="DN51" s="745">
        <f t="shared" si="47"/>
        <v>2.437258687258681E-2</v>
      </c>
      <c r="DO51" s="745">
        <f t="shared" ref="DO51:DV51" si="48">((DO15/DN15)-1)</f>
        <v>-3.4864546525323892E-2</v>
      </c>
      <c r="DP51" s="745">
        <f t="shared" si="48"/>
        <v>3.8320722479863401E-2</v>
      </c>
      <c r="DQ51" s="745">
        <f t="shared" si="48"/>
        <v>9.3323930418429679E-2</v>
      </c>
      <c r="DR51" s="745">
        <f t="shared" si="48"/>
        <v>7.0054322826438309E-3</v>
      </c>
      <c r="DS51" s="790">
        <f t="shared" si="48"/>
        <v>-7.1545445831544541E-5</v>
      </c>
      <c r="DT51" s="746">
        <f t="shared" si="48"/>
        <v>-3.8593144957499437E-4</v>
      </c>
      <c r="DU51" s="790">
        <f t="shared" si="48"/>
        <v>3.3957000964490724E-4</v>
      </c>
      <c r="DV51" s="1774">
        <f t="shared" si="48"/>
        <v>-4.2630944644328483E-4</v>
      </c>
      <c r="DW51" s="745"/>
    </row>
    <row r="52" spans="1:138">
      <c r="A52" s="724" t="s">
        <v>25</v>
      </c>
      <c r="B52" s="725"/>
      <c r="C52" s="748">
        <f>'qtrP&amp;L'!$AR60/100</f>
        <v>0.51654938032175157</v>
      </c>
      <c r="D52" s="765">
        <f>'qtrP&amp;L'!$AR61/100</f>
        <v>0.44073799259822288</v>
      </c>
      <c r="E52" s="748">
        <f>'qtrP&amp;L'!$AR62/100</f>
        <v>0.30849332899446869</v>
      </c>
      <c r="F52" s="748">
        <f>'qtrP&amp;L'!$AR63/100</f>
        <v>0.30561400753768808</v>
      </c>
      <c r="G52" s="742"/>
      <c r="H52" s="743">
        <f>((H19/C19)-1)</f>
        <v>0.1563559967116277</v>
      </c>
      <c r="I52" s="743">
        <f>((I19/D19)-1)</f>
        <v>-4.7839316012473931E-2</v>
      </c>
      <c r="J52" s="743">
        <f>((J19/E19)-1)</f>
        <v>-0.38034643518353961</v>
      </c>
      <c r="K52" s="743">
        <f>((K19/F19)-1)</f>
        <v>-0.32392667921555429</v>
      </c>
      <c r="L52" s="743"/>
      <c r="M52" s="743">
        <f>((M19/H19)-1)</f>
        <v>-0.4608433259080208</v>
      </c>
      <c r="N52" s="743">
        <f>((N19/I19)-1)</f>
        <v>-0.4414911267736501</v>
      </c>
      <c r="O52" s="743">
        <f>((O19/J19)-1)</f>
        <v>-0.98803293570529815</v>
      </c>
      <c r="P52" s="743">
        <f>((P19/K19)-1)</f>
        <v>-1.0874247795088934</v>
      </c>
      <c r="Q52" s="743"/>
      <c r="R52" s="743">
        <f>((R19/M19)-1)</f>
        <v>-0.44979537218819798</v>
      </c>
      <c r="S52" s="743">
        <f>((S19/N19)-1)</f>
        <v>8.6150555522812589E-4</v>
      </c>
      <c r="T52" s="743" t="s">
        <v>60</v>
      </c>
      <c r="U52" s="743" t="s">
        <v>60</v>
      </c>
      <c r="V52" s="742"/>
      <c r="W52" s="743">
        <f>((W19/R19)-1)</f>
        <v>2.4555081172721667</v>
      </c>
      <c r="X52" s="743">
        <f>((X19/S19)-1)</f>
        <v>1.3510729868510838</v>
      </c>
      <c r="Y52" s="743" t="s">
        <v>60</v>
      </c>
      <c r="Z52" s="743">
        <f>((Z19/U19)-1)</f>
        <v>0.45992094936009442</v>
      </c>
      <c r="AA52" s="742"/>
      <c r="AB52" s="743">
        <f>((AB19/W19)-1)</f>
        <v>0.4163847511308727</v>
      </c>
      <c r="AC52" s="743">
        <f>((AC19/X19)-1)</f>
        <v>-0.11526322434036074</v>
      </c>
      <c r="AD52" s="743">
        <f>((AD19/Y19)-1)</f>
        <v>-3.3958835214065175E-2</v>
      </c>
      <c r="AE52" s="743">
        <f>((AE19/Z19)-1)</f>
        <v>-9.6682235464650157E-3</v>
      </c>
      <c r="AF52" s="742"/>
      <c r="AG52" s="743">
        <f>((AG19/AB19)-1)</f>
        <v>-0.156249546608632</v>
      </c>
      <c r="AH52" s="743">
        <f>((AH19/AC19)-1)</f>
        <v>0.22146118721461061</v>
      </c>
      <c r="AI52" s="743">
        <f>((AI19/AD19)-1)</f>
        <v>-0.25636224433993249</v>
      </c>
      <c r="AJ52" s="743">
        <f>((AJ19/AE19)-1)</f>
        <v>-0.16885104334547096</v>
      </c>
      <c r="AK52" s="742"/>
      <c r="AL52" s="743">
        <f>((AL19/AG19)-1)</f>
        <v>-0.1767760572946675</v>
      </c>
      <c r="AM52" s="743">
        <f>((AM19/AH19)-1)</f>
        <v>-0.54672897196261649</v>
      </c>
      <c r="AN52" s="743">
        <f>((AN19/AI19)-1)</f>
        <v>-0.17341758002553276</v>
      </c>
      <c r="AO52" s="743">
        <f>((AO19/AJ19)-1)</f>
        <v>-0.28190016651306748</v>
      </c>
      <c r="AP52" s="743"/>
      <c r="AQ52" s="743">
        <f>((AQ19/AL19)-1)</f>
        <v>-0.20626631853785904</v>
      </c>
      <c r="AR52" s="743">
        <f>((AR19/AM19)-1)</f>
        <v>0.30927835051546393</v>
      </c>
      <c r="AS52" s="743">
        <f>((AS19/AN19)-1)</f>
        <v>0.30960854092526691</v>
      </c>
      <c r="AT52" s="743">
        <f>((AT19/AO19)-1)</f>
        <v>0.13896457765667569</v>
      </c>
      <c r="AU52" s="743"/>
      <c r="AV52" s="743">
        <f>((AV19/AQ19)-1)</f>
        <v>0.25986842105263164</v>
      </c>
      <c r="AW52" s="743">
        <f>((AW19/AR19)-1)</f>
        <v>0.46850393700787407</v>
      </c>
      <c r="AX52" s="743">
        <f>((AX19/AS19)-1)</f>
        <v>7.0652173913043459E-2</v>
      </c>
      <c r="AY52" s="743">
        <f>((AY19/AT19)-1)</f>
        <v>-4.7846889952153138E-2</v>
      </c>
      <c r="AZ52" s="743"/>
      <c r="BA52" s="743">
        <f>((BA19/AV19)-1)</f>
        <v>-7.8328981723237545E-2</v>
      </c>
      <c r="BB52" s="743">
        <f>((BB19/AW19)-1)</f>
        <v>5.3619302949061698E-3</v>
      </c>
      <c r="BC52" s="743">
        <f>((BC19/AX19)-1)</f>
        <v>0.26903553299492389</v>
      </c>
      <c r="BD52" s="743">
        <f>((BD19/AY19)-1)</f>
        <v>0.47487437185929648</v>
      </c>
      <c r="BE52" s="743"/>
      <c r="BF52" s="743">
        <f>((BF19/BA19)-1)</f>
        <v>0.34277620396600561</v>
      </c>
      <c r="BG52" s="743">
        <f>((BG19/BB19)-1)</f>
        <v>5.8666666666666645E-2</v>
      </c>
      <c r="BH52" s="743">
        <f>((BH19/BC19)-1)</f>
        <v>8.0000000000000071E-3</v>
      </c>
      <c r="BI52" s="743">
        <f>((BI19/BD19)-1)</f>
        <v>1.0221465076660996E-2</v>
      </c>
      <c r="BJ52" s="743"/>
      <c r="BK52" s="744">
        <f>((BK19/BF19)-1)</f>
        <v>-0.18565400843881852</v>
      </c>
      <c r="BL52" s="744">
        <f>((BL19/BG19)-1)</f>
        <v>-0.15869017632241811</v>
      </c>
      <c r="BM52" s="744">
        <f>((BM19/BH19)-1)</f>
        <v>-0.31349206349206349</v>
      </c>
      <c r="BN52" s="744">
        <f>((BN19/BI19)-1)</f>
        <v>-0.37268128161888703</v>
      </c>
      <c r="BO52" s="744"/>
      <c r="BP52" s="744">
        <f>((BP19/BK19)-1)</f>
        <v>2.3316062176165886E-2</v>
      </c>
      <c r="BQ52" s="744">
        <f>((BQ19/BL19)-1)</f>
        <v>0.27245508982035926</v>
      </c>
      <c r="BR52" s="744">
        <f>((BR19/BM19)-1)</f>
        <v>0.50289017341040454</v>
      </c>
      <c r="BS52" s="744">
        <f>((BS19/BN19)-1)</f>
        <v>0.61827956989247301</v>
      </c>
      <c r="BT52" s="744"/>
      <c r="BU52" s="744">
        <f>((BU19/BP19)-1)</f>
        <v>0.34177215189873422</v>
      </c>
      <c r="BV52" s="744">
        <f>((BV19/BQ19)-1)</f>
        <v>0.22588235294117642</v>
      </c>
      <c r="BW52" s="744">
        <f>((BW19/BR19)-1)</f>
        <v>0.10769230769230775</v>
      </c>
      <c r="BX52" s="744">
        <f>((BX19/BS19)-1)</f>
        <v>-0.13289036544850497</v>
      </c>
      <c r="BY52" s="744"/>
      <c r="BZ52" s="744">
        <f>((BZ19/BU19)-1)</f>
        <v>-0.16415094339622638</v>
      </c>
      <c r="CA52" s="744">
        <f>((CA19/BV19)-1)</f>
        <v>1.3435700575815668E-2</v>
      </c>
      <c r="CB52" s="744">
        <f>((CB19/BW19)-1)</f>
        <v>-3.819444444444442E-2</v>
      </c>
      <c r="CC52" s="744">
        <f>((CC19/BX19)-1)</f>
        <v>-5.7471264367816577E-3</v>
      </c>
      <c r="CD52" s="744"/>
      <c r="CE52" s="744">
        <f>((CE19/BZ19)-1)</f>
        <v>-0.10383747178329572</v>
      </c>
      <c r="CF52" s="744">
        <f>((CF19/CA19)-1)</f>
        <v>-0.14393939393939392</v>
      </c>
      <c r="CG52" s="744">
        <f>((CG19/CB19)-1)</f>
        <v>-0.22924187725631773</v>
      </c>
      <c r="CH52" s="744">
        <f>((CH19/CC19)-1)</f>
        <v>-0.26782273603082851</v>
      </c>
      <c r="CI52" s="744"/>
      <c r="CJ52" s="744">
        <f>((CJ19/CE19)-1)</f>
        <v>-0.44080604534005041</v>
      </c>
      <c r="CK52" s="744">
        <f>((CK19/CF19)-1)</f>
        <v>-5.0884955752212413E-2</v>
      </c>
      <c r="CL52" s="744">
        <f>((CL19/CG19)-1)</f>
        <v>-2.1077283372365363E-2</v>
      </c>
      <c r="CM52" s="744">
        <f>((CM19/CH19)-1)</f>
        <v>-0.14473684210526316</v>
      </c>
      <c r="CN52" s="744"/>
      <c r="CO52" s="744">
        <f>((CO19/CJ19)-1)</f>
        <v>0.14414414414414423</v>
      </c>
      <c r="CP52" s="744">
        <f>((CP19/CK19)-1)</f>
        <v>-9.7902097902097918E-2</v>
      </c>
      <c r="CQ52" s="744">
        <f>((CQ19/CL19)-1)</f>
        <v>-9.5693779904306275E-2</v>
      </c>
      <c r="CR52" s="744">
        <f>((CR19/CM19)-1)</f>
        <v>0.21846153846153848</v>
      </c>
      <c r="CS52" s="744"/>
      <c r="CT52" s="1979">
        <f>((CT19/CO19)-1)</f>
        <v>3.8628036909774677E-2</v>
      </c>
      <c r="CU52" s="1979">
        <f t="shared" ref="CU52:CW52" si="49">((CU19/CP19)-1)</f>
        <v>-4.1508018925621726E-2</v>
      </c>
      <c r="CV52" s="1979">
        <f t="shared" si="49"/>
        <v>-2.9194419296175389E-2</v>
      </c>
      <c r="CW52" s="1980">
        <f t="shared" si="49"/>
        <v>-4.2437661254567272E-2</v>
      </c>
      <c r="CX52" s="744"/>
      <c r="CY52" s="745">
        <f>((CY19/BI19)-1)</f>
        <v>2.0635834738617214</v>
      </c>
      <c r="CZ52" s="745">
        <f t="shared" ref="CZ52:DN52" si="50">((CZ19/CY19)-1)</f>
        <v>-0.20473549640695765</v>
      </c>
      <c r="DA52" s="746">
        <f t="shared" si="50"/>
        <v>-0.76638627426958605</v>
      </c>
      <c r="DB52" s="766">
        <f t="shared" si="50"/>
        <v>2.00023998862277</v>
      </c>
      <c r="DC52" s="744">
        <f t="shared" si="50"/>
        <v>0.85655457230634768</v>
      </c>
      <c r="DD52" s="745">
        <f t="shared" si="50"/>
        <v>5.3215929140464358E-2</v>
      </c>
      <c r="DE52" s="745">
        <f t="shared" si="50"/>
        <v>-0.11907697140522511</v>
      </c>
      <c r="DF52" s="747">
        <f t="shared" si="50"/>
        <v>-0.29770006805143023</v>
      </c>
      <c r="DG52" s="745">
        <f t="shared" si="50"/>
        <v>9.7142857142857197E-2</v>
      </c>
      <c r="DH52" s="747">
        <f t="shared" si="50"/>
        <v>0.15178571428571419</v>
      </c>
      <c r="DI52" s="745">
        <f t="shared" si="50"/>
        <v>0.17248062015503884</v>
      </c>
      <c r="DJ52" s="745">
        <f t="shared" si="50"/>
        <v>8.4297520661156922E-2</v>
      </c>
      <c r="DK52" s="790">
        <f t="shared" si="50"/>
        <v>-0.26930894308943087</v>
      </c>
      <c r="DL52" s="790">
        <f t="shared" si="50"/>
        <v>0.35048678720445059</v>
      </c>
      <c r="DM52" s="745">
        <f t="shared" si="50"/>
        <v>0.1065911431513904</v>
      </c>
      <c r="DN52" s="745">
        <f t="shared" si="50"/>
        <v>-4.8859934853420217E-2</v>
      </c>
      <c r="DO52" s="745">
        <f t="shared" ref="DO52:DV52" si="51">((DO19/DN19)-1)</f>
        <v>-0.18982387475538165</v>
      </c>
      <c r="DP52" s="745">
        <f t="shared" si="51"/>
        <v>-0.15821256038647347</v>
      </c>
      <c r="DQ52" s="745">
        <f t="shared" si="51"/>
        <v>1.5064562410330051E-2</v>
      </c>
      <c r="DR52" s="745">
        <f t="shared" si="51"/>
        <v>-2.4093912579432608E-2</v>
      </c>
      <c r="DS52" s="790">
        <f t="shared" si="51"/>
        <v>-5.3445783716028372E-2</v>
      </c>
      <c r="DT52" s="746">
        <f t="shared" si="51"/>
        <v>-4.4810487426157009E-2</v>
      </c>
      <c r="DU52" s="790">
        <f t="shared" si="51"/>
        <v>-4.577701951463542E-2</v>
      </c>
      <c r="DV52" s="1774">
        <f t="shared" si="51"/>
        <v>-4.6674081618161667E-2</v>
      </c>
      <c r="DW52" s="745"/>
    </row>
    <row r="53" spans="1:138">
      <c r="A53" s="724" t="s">
        <v>26</v>
      </c>
      <c r="B53" s="725"/>
      <c r="C53" s="748">
        <f>'qtrP&amp;L'!$AQ126/100</f>
        <v>0.50581091311299087</v>
      </c>
      <c r="D53" s="765">
        <f>'qtrP&amp;L'!$AQ127/100</f>
        <v>0.4555102900321677</v>
      </c>
      <c r="E53" s="748">
        <f>'qtrP&amp;L'!$AQ128/100</f>
        <v>0.33216783782151293</v>
      </c>
      <c r="F53" s="748">
        <f>'qtrP&amp;L'!$AQ129/100</f>
        <v>0.32896990451047481</v>
      </c>
      <c r="G53" s="742"/>
      <c r="H53" s="743">
        <f>((H29/C29)-1)</f>
        <v>0.17934618054780116</v>
      </c>
      <c r="I53" s="743">
        <f>((I29/D29)-1)</f>
        <v>-4.0675520246646224E-2</v>
      </c>
      <c r="J53" s="743">
        <f>((J29/E29)-1)</f>
        <v>-0.39504341052566172</v>
      </c>
      <c r="K53" s="743">
        <f>((K29/F29)-1)</f>
        <v>-0.33193326286186131</v>
      </c>
      <c r="L53" s="743"/>
      <c r="M53" s="743">
        <f>((M29/H29)-1)</f>
        <v>-0.50278775598020509</v>
      </c>
      <c r="N53" s="743">
        <f>((N29/I29)-1)</f>
        <v>-0.51396726382901736</v>
      </c>
      <c r="O53" s="743">
        <f>((O29/J29)-1)</f>
        <v>-1.9698764500857409</v>
      </c>
      <c r="P53" s="743">
        <f>((P29/K29)-1)</f>
        <v>-1.1269631540853335</v>
      </c>
      <c r="Q53" s="743"/>
      <c r="R53" s="743">
        <f>((R29/M29)-1)</f>
        <v>-0.68171030827376078</v>
      </c>
      <c r="S53" s="743">
        <f>((S29/N29)-1)</f>
        <v>-0.36227080615426399</v>
      </c>
      <c r="T53" s="743">
        <f>((T29/O29)-1)</f>
        <v>-1.6737738563791789</v>
      </c>
      <c r="U53" s="743">
        <f>((U29/P29)-1)</f>
        <v>-7.7173332387860469</v>
      </c>
      <c r="V53" s="742"/>
      <c r="W53" s="743">
        <f>((W29/R29)-1)</f>
        <v>4.2333101967607973</v>
      </c>
      <c r="X53" s="743">
        <f>((X29/S29)-1)</f>
        <v>2.4665233275377676</v>
      </c>
      <c r="Y53" s="743">
        <f>((Y29/T29)-1)</f>
        <v>0.98176357660379088</v>
      </c>
      <c r="Z53" s="743">
        <f>((Z29/U29)-1)</f>
        <v>0.39447177147887325</v>
      </c>
      <c r="AA53" s="742"/>
      <c r="AB53" s="743">
        <f>((AB29/W29)-1)</f>
        <v>0.48381038061932857</v>
      </c>
      <c r="AC53" s="743">
        <f>((AC29/X29)-1)</f>
        <v>-8.0206099056094216E-2</v>
      </c>
      <c r="AD53" s="743">
        <f>((AD29/Y29)-1)</f>
        <v>3.6949845863425423E-3</v>
      </c>
      <c r="AE53" s="743">
        <f>((AE29/Z29)-1)</f>
        <v>8.9488304917056283E-2</v>
      </c>
      <c r="AF53" s="742"/>
      <c r="AG53" s="743">
        <f>((AG29/AB29)-1)</f>
        <v>-6.0707355129019702E-2</v>
      </c>
      <c r="AH53" s="743">
        <f>((AH29/AC29)-1)</f>
        <v>0.45341291981691279</v>
      </c>
      <c r="AI53" s="743">
        <f>((AI29/AD29)-1)</f>
        <v>-0.13358859771119747</v>
      </c>
      <c r="AJ53" s="743">
        <f>((AJ29/AE29)-1)</f>
        <v>-3.9045386057550813E-2</v>
      </c>
      <c r="AK53" s="742"/>
      <c r="AL53" s="743">
        <f>((AL29/AG29)-1)</f>
        <v>-5.7776264235464447E-2</v>
      </c>
      <c r="AM53" s="743">
        <f>((AM29/AH29)-1)</f>
        <v>-0.46977468196007033</v>
      </c>
      <c r="AN53" s="743">
        <f>((AN29/AI29)-1)</f>
        <v>-1.7308707248995803E-2</v>
      </c>
      <c r="AO53" s="743">
        <f>((AO29/AJ29)-1)</f>
        <v>-0.27389446235830239</v>
      </c>
      <c r="AP53" s="743"/>
      <c r="AQ53" s="743">
        <f>((AQ29/AL29)-1)</f>
        <v>-0.10609043623974834</v>
      </c>
      <c r="AR53" s="743">
        <f>((AR29/AM29)-1)</f>
        <v>0.34930251681848978</v>
      </c>
      <c r="AS53" s="743">
        <f>((AS29/AN29)-1)</f>
        <v>0.27694993222797182</v>
      </c>
      <c r="AT53" s="743">
        <f>((AT29/AO29)-1)</f>
        <v>0.25763859058454752</v>
      </c>
      <c r="AU53" s="743"/>
      <c r="AV53" s="743">
        <f>((AV29/AQ29)-1)</f>
        <v>0.31229022624298186</v>
      </c>
      <c r="AW53" s="743">
        <f>((AW29/AR29)-1)</f>
        <v>0.48311259144605678</v>
      </c>
      <c r="AX53" s="743">
        <f>((AX29/AS29)-1)</f>
        <v>0.14349348878755119</v>
      </c>
      <c r="AY53" s="743">
        <f>((AY29/AT29)-1)</f>
        <v>-2.7168742316532102E-2</v>
      </c>
      <c r="AZ53" s="743"/>
      <c r="BA53" s="743">
        <f>((BA29/AV29)-1)</f>
        <v>-8.8232413153330636E-2</v>
      </c>
      <c r="BB53" s="743">
        <f>((BB29/AW29)-1)</f>
        <v>-4.366812227074246E-3</v>
      </c>
      <c r="BC53" s="743">
        <f>((BC29/AX29)-1)</f>
        <v>0.26214892830746495</v>
      </c>
      <c r="BD53" s="743">
        <f>((BD29/AY29)-1)</f>
        <v>0.4757332288196483</v>
      </c>
      <c r="BE53" s="743"/>
      <c r="BF53" s="743">
        <f>((BF29/BA29)-1)</f>
        <v>0.44828677583597076</v>
      </c>
      <c r="BG53" s="743">
        <f>((BG29/BB29)-1)</f>
        <v>0.13351928207615815</v>
      </c>
      <c r="BH53" s="743">
        <f>((BH29/BC29)-1)</f>
        <v>0.10994786192255268</v>
      </c>
      <c r="BI53" s="743">
        <f>((BI29/BD29)-1)</f>
        <v>0.17417279411764719</v>
      </c>
      <c r="BJ53" s="743"/>
      <c r="BK53" s="744">
        <f>((BK29/BF29)-1)</f>
        <v>-0.11301076722079562</v>
      </c>
      <c r="BL53" s="744">
        <f>((BL29/BG29)-1)</f>
        <v>-3.5215243472124125E-2</v>
      </c>
      <c r="BM53" s="744">
        <f>((BM29/BH29)-1)</f>
        <v>-0.21041727935169752</v>
      </c>
      <c r="BN53" s="744">
        <f>((BN29/BI29)-1)</f>
        <v>-0.25706648847310387</v>
      </c>
      <c r="BO53" s="744"/>
      <c r="BP53" s="744">
        <f>((BP29/BK29)-1)</f>
        <v>0.19028340080971673</v>
      </c>
      <c r="BQ53" s="744">
        <f>((BQ29/BL29)-1)</f>
        <v>0.42711667151585675</v>
      </c>
      <c r="BR53" s="744">
        <f>((BR29/BM29)-1)</f>
        <v>0.65144822899855614</v>
      </c>
      <c r="BS53" s="744">
        <f>((BS29/BN29)-1)</f>
        <v>0.65378943134588496</v>
      </c>
      <c r="BT53" s="744"/>
      <c r="BU53" s="744">
        <f>((BU29/BP29)-1)</f>
        <v>0.49897487766873505</v>
      </c>
      <c r="BV53" s="744">
        <f>((BV29/BQ29)-1)</f>
        <v>0.29436483700049609</v>
      </c>
      <c r="BW53" s="744">
        <f>((BW29/BR29)-1)</f>
        <v>0.1409146409146409</v>
      </c>
      <c r="BX53" s="744">
        <f>((BX29/BS29)-1)</f>
        <v>-7.7192916399964839E-2</v>
      </c>
      <c r="BY53" s="744"/>
      <c r="BZ53" s="744">
        <f>((BZ29/BU29)-1)</f>
        <v>-0.18459479435089177</v>
      </c>
      <c r="CA53" s="744">
        <f>((CA29/BV29)-1)</f>
        <v>9.2386891059309084E-2</v>
      </c>
      <c r="CB53" s="744">
        <f>((CB29/BW29)-1)</f>
        <v>0.11542822997372149</v>
      </c>
      <c r="CC53" s="744">
        <f>((CC29/BX29)-1)</f>
        <v>0.10221011294103333</v>
      </c>
      <c r="CD53" s="744"/>
      <c r="CE53" s="744">
        <f>((CE29/BZ29)-1)</f>
        <v>7.3042452830187621E-3</v>
      </c>
      <c r="CF53" s="744">
        <f>((CF29/CA29)-1)</f>
        <v>-7.9539126408396332E-2</v>
      </c>
      <c r="CG53" s="744">
        <f>((CG29/CB29)-1)</f>
        <v>-0.21713626333724367</v>
      </c>
      <c r="CH53" s="744">
        <f>((CH29/CC29)-1)</f>
        <v>-0.23278201469143311</v>
      </c>
      <c r="CI53" s="744"/>
      <c r="CJ53" s="744">
        <f>((CJ29/CE29)-1)</f>
        <v>-0.45188289544428051</v>
      </c>
      <c r="CK53" s="744">
        <f>((CK29/CF29)-1)</f>
        <v>-7.3936512652899578E-2</v>
      </c>
      <c r="CL53" s="744">
        <f>((CL29/CG29)-1)</f>
        <v>-5.3751705320600252E-2</v>
      </c>
      <c r="CM53" s="744">
        <f>((CM29/CH29)-1)</f>
        <v>-0.10088465622241305</v>
      </c>
      <c r="CN53" s="744"/>
      <c r="CO53" s="744">
        <f>((CO29/CJ29)-1)</f>
        <v>0.12316929133858268</v>
      </c>
      <c r="CP53" s="744">
        <f>((CP29/CK29)-1)</f>
        <v>-2.0704099821746924E-2</v>
      </c>
      <c r="CQ53" s="744">
        <f>((CQ29/CL29)-1)</f>
        <v>-2.0676973079307936E-2</v>
      </c>
      <c r="CR53" s="744">
        <f>((CR29/CM29)-1)</f>
        <v>0.18283523281325809</v>
      </c>
      <c r="CS53" s="744"/>
      <c r="CT53" s="1979">
        <f>((CT29/CO29)-1)</f>
        <v>0.33232414879176786</v>
      </c>
      <c r="CU53" s="1979">
        <f t="shared" ref="CU53:CW53" si="52">((CU29/CP29)-1)</f>
        <v>0.17370080525815834</v>
      </c>
      <c r="CV53" s="1979">
        <f t="shared" si="52"/>
        <v>0.17036426573190488</v>
      </c>
      <c r="CW53" s="1980">
        <f t="shared" si="52"/>
        <v>0.17364279711149644</v>
      </c>
      <c r="CX53" s="744"/>
      <c r="CY53" s="745" t="s">
        <v>60</v>
      </c>
      <c r="CZ53" s="745" t="s">
        <v>60</v>
      </c>
      <c r="DA53" s="746" t="s">
        <v>60</v>
      </c>
      <c r="DB53" s="766" t="s">
        <v>60</v>
      </c>
      <c r="DC53" s="744">
        <f t="shared" ref="DC53:DN53" si="53">((DC29/DB29)-1)</f>
        <v>1.0170922940485685</v>
      </c>
      <c r="DD53" s="745">
        <f t="shared" si="53"/>
        <v>0.10670222334114765</v>
      </c>
      <c r="DE53" s="745">
        <f t="shared" si="53"/>
        <v>1.9798579299528107E-2</v>
      </c>
      <c r="DF53" s="747">
        <f t="shared" si="53"/>
        <v>-0.21503377864507145</v>
      </c>
      <c r="DG53" s="745">
        <f t="shared" si="53"/>
        <v>0.15864227663000929</v>
      </c>
      <c r="DH53" s="747">
        <f t="shared" si="53"/>
        <v>0.19923265640013965</v>
      </c>
      <c r="DI53" s="745">
        <f t="shared" si="53"/>
        <v>0.17221381409104164</v>
      </c>
      <c r="DJ53" s="745">
        <f t="shared" si="53"/>
        <v>0.19141767485581451</v>
      </c>
      <c r="DK53" s="790">
        <f t="shared" si="53"/>
        <v>-0.16795017234608833</v>
      </c>
      <c r="DL53" s="790">
        <f t="shared" si="53"/>
        <v>0.48818953811032606</v>
      </c>
      <c r="DM53" s="745">
        <f t="shared" si="53"/>
        <v>0.17972907252904968</v>
      </c>
      <c r="DN53" s="745">
        <f t="shared" si="53"/>
        <v>2.8263651877133089E-2</v>
      </c>
      <c r="DO53" s="745">
        <f t="shared" ref="DO53:DV53" si="54">((DO29/DN29)-1)</f>
        <v>-0.1401850005858003</v>
      </c>
      <c r="DP53" s="745">
        <f t="shared" si="54"/>
        <v>-0.16610386920654563</v>
      </c>
      <c r="DQ53" s="745">
        <f t="shared" si="54"/>
        <v>5.2812040844025132E-2</v>
      </c>
      <c r="DR53" s="745">
        <f t="shared" si="54"/>
        <v>0.19945577077025978</v>
      </c>
      <c r="DS53" s="790">
        <f t="shared" si="54"/>
        <v>-2.2726713242420815E-2</v>
      </c>
      <c r="DT53" s="746">
        <f t="shared" si="54"/>
        <v>-1.8412603056135013E-2</v>
      </c>
      <c r="DU53" s="790">
        <f t="shared" si="54"/>
        <v>-2.0302860690677882E-2</v>
      </c>
      <c r="DV53" s="1774">
        <f t="shared" si="54"/>
        <v>-2.2048156763721627E-2</v>
      </c>
      <c r="DW53" s="745"/>
      <c r="EG53" s="736"/>
    </row>
    <row r="54" spans="1:138">
      <c r="A54" s="1027" t="s">
        <v>663</v>
      </c>
      <c r="B54" s="1028"/>
      <c r="C54" s="767"/>
      <c r="D54" s="767"/>
      <c r="E54" s="767"/>
      <c r="F54" s="767"/>
      <c r="G54" s="768"/>
      <c r="H54" s="769">
        <f>((H33/C33)-1)</f>
        <v>0.1563559967116277</v>
      </c>
      <c r="I54" s="769">
        <f>((I33/D33)-1)</f>
        <v>-4.7839316012473931E-2</v>
      </c>
      <c r="J54" s="769">
        <f>((J33/E33)-1)</f>
        <v>-0.38034643518353961</v>
      </c>
      <c r="K54" s="769">
        <f>((K33/F33)-1)</f>
        <v>-0.32392667921555429</v>
      </c>
      <c r="L54" s="769"/>
      <c r="M54" s="769">
        <f>((M33/H33)-1)</f>
        <v>5.5631915151324041E-2</v>
      </c>
      <c r="N54" s="769">
        <f>((N33/I33)-1)</f>
        <v>0.17649889167628974</v>
      </c>
      <c r="O54" s="769">
        <f>((O33/J33)-1)</f>
        <v>-0.32790775454299348</v>
      </c>
      <c r="P54" s="769">
        <f>((P33/K33)-1)</f>
        <v>-0.59627333336298405</v>
      </c>
      <c r="Q54" s="769"/>
      <c r="R54" s="769">
        <f>((R33/M33)-1)</f>
        <v>-0.2503429697438323</v>
      </c>
      <c r="S54" s="769">
        <f>((S33/N33)-1)</f>
        <v>-6.5224442595438026E-2</v>
      </c>
      <c r="T54" s="769">
        <f>((T33/O33)-1)</f>
        <v>1.5448246445497604</v>
      </c>
      <c r="U54" s="769">
        <f>((U33/P33)-1)</f>
        <v>1.9558186034470428</v>
      </c>
      <c r="V54" s="768"/>
      <c r="W54" s="769">
        <f>((W33/R33)-1)</f>
        <v>0.87310718860736269</v>
      </c>
      <c r="X54" s="769">
        <f>((X33/S33)-1)</f>
        <v>0.72358638585480506</v>
      </c>
      <c r="Y54" s="769">
        <f>((Y33/T33)-1)</f>
        <v>0.17898234126319057</v>
      </c>
      <c r="Z54" s="769">
        <f>((Z33/U33)-1)</f>
        <v>0.46731020088703401</v>
      </c>
      <c r="AA54" s="768"/>
      <c r="AB54" s="769">
        <f>((AB33/W33)-1)</f>
        <v>0.25533037393885438</v>
      </c>
      <c r="AC54" s="769">
        <f>((AC33/X33)-1)</f>
        <v>-0.12564444156567123</v>
      </c>
      <c r="AD54" s="769">
        <f>((AD33/Y33)-1)</f>
        <v>-3.6086398847509971E-2</v>
      </c>
      <c r="AE54" s="769">
        <f>((AE33/Z33)-1)</f>
        <v>-1.9571037404685132E-2</v>
      </c>
      <c r="AF54" s="768"/>
      <c r="AG54" s="769">
        <f>((AG33/AB33)-1)</f>
        <v>-0.13568570183333017</v>
      </c>
      <c r="AH54" s="769">
        <f>((AH33/AC33)-1)</f>
        <v>0.11175291665582066</v>
      </c>
      <c r="AI54" s="769">
        <f>((AI33/AD33)-1)</f>
        <v>-0.19547900016223696</v>
      </c>
      <c r="AJ54" s="769">
        <f>((AJ33/AE33)-1)</f>
        <v>-7.7022920342289636E-2</v>
      </c>
      <c r="AK54" s="768"/>
      <c r="AL54" s="769">
        <f>((AL33/AG33)-1)</f>
        <v>-0.15138735175277218</v>
      </c>
      <c r="AM54" s="769">
        <f>((AM33/AH33)-1)</f>
        <v>-0.39936607987033412</v>
      </c>
      <c r="AN54" s="769">
        <f>((AN33/AI33)-1)</f>
        <v>-0.16519328463703864</v>
      </c>
      <c r="AO54" s="769">
        <f>((AO33/AJ33)-1)</f>
        <v>-0.30764977165489138</v>
      </c>
      <c r="AP54" s="769"/>
      <c r="AQ54" s="769">
        <f>((AQ33/AL33)-1)</f>
        <v>-0.15498827015680949</v>
      </c>
      <c r="AR54" s="769">
        <f>((AR33/AM33)-1)</f>
        <v>0.16036064128665117</v>
      </c>
      <c r="AS54" s="769">
        <f>((AS33/AN33)-1)</f>
        <v>0.23952322276037896</v>
      </c>
      <c r="AT54" s="769">
        <f>((AT33/AO33)-1)</f>
        <v>0.1311299948105864</v>
      </c>
      <c r="AU54" s="769"/>
      <c r="AV54" s="769">
        <f>((AV33/AQ33)-1)</f>
        <v>0.19178082191780832</v>
      </c>
      <c r="AW54" s="769">
        <f>((AW33/AR33)-1)</f>
        <v>0.33074935400516803</v>
      </c>
      <c r="AX54" s="769">
        <f>((AX33/AS33)-1)</f>
        <v>5.3149606299212504E-2</v>
      </c>
      <c r="AY54" s="769">
        <f>((AY33/AT33)-1)</f>
        <v>-2.508960573476704E-2</v>
      </c>
      <c r="AZ54" s="769"/>
      <c r="BA54" s="769">
        <f>((BA33/AV33)-1)</f>
        <v>-4.9808429118773923E-2</v>
      </c>
      <c r="BB54" s="769">
        <f>((BB33/AW33)-1)</f>
        <v>1.9417475728156219E-3</v>
      </c>
      <c r="BC54" s="769">
        <f>((BC33/AX33)-1)</f>
        <v>0.20934579439252343</v>
      </c>
      <c r="BD54" s="769">
        <f>((BD33/AY33)-1)</f>
        <v>0.34007352941176472</v>
      </c>
      <c r="BE54" s="769"/>
      <c r="BF54" s="769">
        <f>((BF33/BA33)-1)</f>
        <v>0.25201612903225801</v>
      </c>
      <c r="BG54" s="769">
        <f>((BG33/BB33)-1)</f>
        <v>4.4573643410852792E-2</v>
      </c>
      <c r="BH54" s="769">
        <f>((BH33/BC33)-1)</f>
        <v>-4.6367851622874934E-3</v>
      </c>
      <c r="BI54" s="769">
        <f>((BI33/BD33)-1)</f>
        <v>-4.1152263374485409E-3</v>
      </c>
      <c r="BJ54" s="769"/>
      <c r="BK54" s="769">
        <f>((BK33/BF33)-1)</f>
        <v>-0.17069243156199676</v>
      </c>
      <c r="BL54" s="769">
        <f>((BL33/BG33)-1)</f>
        <v>-0.14656771799628943</v>
      </c>
      <c r="BM54" s="769">
        <f>((BM33/BH33)-1)</f>
        <v>-0.26552795031055898</v>
      </c>
      <c r="BN54" s="769">
        <f>((BN33/BI33)-1)</f>
        <v>-0.3168044077134986</v>
      </c>
      <c r="BO54" s="769"/>
      <c r="BP54" s="769">
        <f>((BP33/BK33)-1)</f>
        <v>5.8252427184466438E-3</v>
      </c>
      <c r="BQ54" s="769">
        <f>((BQ33/BL33)-1)</f>
        <v>0.18478260869565211</v>
      </c>
      <c r="BR54" s="769">
        <f>((BR33/BM33)-1)</f>
        <v>0.35306553911205074</v>
      </c>
      <c r="BS54" s="769">
        <f>((BS33/BN33)-1)</f>
        <v>0.45564516129032251</v>
      </c>
      <c r="BT54" s="769"/>
      <c r="BU54" s="769">
        <f>((BU33/BP33)-1)</f>
        <v>0.28185328185328196</v>
      </c>
      <c r="BV54" s="769">
        <f>((BV33/BQ33)-1)</f>
        <v>0.19999999999999996</v>
      </c>
      <c r="BW54" s="769">
        <f>((BW33/BR33)-1)</f>
        <v>0.10468750000000004</v>
      </c>
      <c r="BX54" s="769">
        <f>((BX33/BS33)-1)</f>
        <v>-0.17728531855955676</v>
      </c>
      <c r="BY54" s="769"/>
      <c r="BZ54" s="769">
        <f>((BZ33/BU33)-1)</f>
        <v>-0.13704819277108438</v>
      </c>
      <c r="CA54" s="769">
        <f>((CA33/BV33)-1)</f>
        <v>-2.4464831804281384E-2</v>
      </c>
      <c r="CB54" s="769">
        <f>((CB33/BW33)-1)</f>
        <v>2.6874115983026803E-2</v>
      </c>
      <c r="CC54" s="769">
        <f>((CC33/BX33)-1)</f>
        <v>2.1885521885521841E-2</v>
      </c>
      <c r="CD54" s="769"/>
      <c r="CE54" s="769">
        <f>((CE33/BZ33)-1)</f>
        <v>-7.5043630017451957E-2</v>
      </c>
      <c r="CF54" s="769">
        <f>((CF33/CA33)-1)</f>
        <v>-8.7774294670846409E-2</v>
      </c>
      <c r="CG54" s="769">
        <f>((CG33/CB33)-1)</f>
        <v>-0.23691460055096414</v>
      </c>
      <c r="CH54" s="769">
        <f>((CH33/CC33)-1)</f>
        <v>-0.1482701812191104</v>
      </c>
      <c r="CI54" s="769"/>
      <c r="CJ54" s="769">
        <f>((CJ33/CE33)-1)</f>
        <v>-0.33207547169811324</v>
      </c>
      <c r="CK54" s="769">
        <f>((CK33/CF33)-1)</f>
        <v>-2.2336769759450203E-2</v>
      </c>
      <c r="CL54" s="769">
        <f>((CL33/CG33)-1)</f>
        <v>-1.0830324909747335E-2</v>
      </c>
      <c r="CM54" s="769">
        <f>((CM33/CH33)-1)</f>
        <v>-0.12185686653771766</v>
      </c>
      <c r="CN54" s="769"/>
      <c r="CO54" s="769">
        <f>((CO33/CJ33)-1)</f>
        <v>8.4745762711864403E-2</v>
      </c>
      <c r="CP54" s="769">
        <f>((CP33/CK33)-1)</f>
        <v>-8.2601054481546532E-2</v>
      </c>
      <c r="CQ54" s="769">
        <f>((CQ33/CL33)-1)</f>
        <v>-6.3868613138686081E-2</v>
      </c>
      <c r="CR54" s="769">
        <f>((CR33/CM33)-1)</f>
        <v>0.16960352422907499</v>
      </c>
      <c r="CS54" s="769"/>
      <c r="CT54" s="1991">
        <f>((CT33/CO33)-1)</f>
        <v>2.5550836914278063E-2</v>
      </c>
      <c r="CU54" s="1991">
        <f t="shared" ref="CU54:CW54" si="55">((CU33/CP33)-1)</f>
        <v>-3.0773186444857492E-2</v>
      </c>
      <c r="CV54" s="1991">
        <f t="shared" si="55"/>
        <v>-2.1511677376129246E-2</v>
      </c>
      <c r="CW54" s="1992">
        <f t="shared" si="55"/>
        <v>-3.1648425342389208E-2</v>
      </c>
      <c r="CX54" s="769"/>
      <c r="CY54" s="770">
        <f>((CY33/BI33)-1)</f>
        <v>2.3155234159779621</v>
      </c>
      <c r="CZ54" s="770">
        <f t="shared" ref="CZ54:DN54" si="56">((CZ33/CY33)-1)</f>
        <v>-0.15452147216325318</v>
      </c>
      <c r="DA54" s="771">
        <f t="shared" si="56"/>
        <v>-0.43590617976479151</v>
      </c>
      <c r="DB54" s="772">
        <f t="shared" si="56"/>
        <v>0.48566204588493789</v>
      </c>
      <c r="DC54" s="769">
        <f t="shared" si="56"/>
        <v>0.49815396035163206</v>
      </c>
      <c r="DD54" s="770">
        <f t="shared" si="56"/>
        <v>1.5412697257243702E-2</v>
      </c>
      <c r="DE54" s="770">
        <f t="shared" si="56"/>
        <v>-8.6727244976775197E-2</v>
      </c>
      <c r="DF54" s="773">
        <f t="shared" si="56"/>
        <v>-0.25934679029174568</v>
      </c>
      <c r="DG54" s="770">
        <f t="shared" si="56"/>
        <v>7.7492877492877588E-2</v>
      </c>
      <c r="DH54" s="773">
        <f t="shared" si="56"/>
        <v>0.11898466419883658</v>
      </c>
      <c r="DI54" s="770">
        <f t="shared" si="56"/>
        <v>0.12854442344045358</v>
      </c>
      <c r="DJ54" s="770">
        <f t="shared" si="56"/>
        <v>5.9463986599664898E-2</v>
      </c>
      <c r="DK54" s="770">
        <f t="shared" si="56"/>
        <v>-0.23162055335968379</v>
      </c>
      <c r="DL54" s="770">
        <f t="shared" si="56"/>
        <v>0.24742798353909468</v>
      </c>
      <c r="DM54" s="770">
        <f t="shared" si="56"/>
        <v>8.0000000000000071E-2</v>
      </c>
      <c r="DN54" s="770">
        <f t="shared" si="56"/>
        <v>-2.8636884306987409E-2</v>
      </c>
      <c r="DO54" s="770">
        <f t="shared" ref="DO54:DV54" si="57">((DO33/DN33)-1)</f>
        <v>-0.14190251572327039</v>
      </c>
      <c r="DP54" s="770">
        <f t="shared" si="57"/>
        <v>-0.11818598259276225</v>
      </c>
      <c r="DQ54" s="770">
        <f t="shared" si="57"/>
        <v>1.298701298701288E-2</v>
      </c>
      <c r="DR54" s="770">
        <f t="shared" si="57"/>
        <v>-9.7912237435370253E-3</v>
      </c>
      <c r="DS54" s="770">
        <f t="shared" si="57"/>
        <v>-3.0453905583297636E-2</v>
      </c>
      <c r="DT54" s="771">
        <f t="shared" si="57"/>
        <v>-2.3274324251408518E-2</v>
      </c>
      <c r="DU54" s="770">
        <f t="shared" si="57"/>
        <v>-2.305350004769946E-2</v>
      </c>
      <c r="DV54" s="1776">
        <f t="shared" si="57"/>
        <v>-2.2731169441567278E-2</v>
      </c>
      <c r="DW54" s="745"/>
    </row>
    <row r="55" spans="1:138">
      <c r="A55" s="449"/>
      <c r="B55" s="449"/>
      <c r="C55" s="449"/>
      <c r="D55" s="449"/>
      <c r="E55" s="449"/>
      <c r="F55" s="449"/>
      <c r="G55" s="449"/>
      <c r="H55" s="449"/>
      <c r="I55" s="449"/>
      <c r="J55" s="449"/>
      <c r="K55" s="449"/>
      <c r="L55" s="449"/>
      <c r="M55" s="449"/>
      <c r="N55" s="449"/>
      <c r="O55" s="449"/>
      <c r="P55" s="449"/>
      <c r="Q55" s="449"/>
      <c r="R55" s="449"/>
      <c r="S55" s="449"/>
      <c r="T55" s="449"/>
      <c r="U55" s="449"/>
      <c r="V55" s="449"/>
      <c r="W55" s="449"/>
      <c r="X55" s="449"/>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49"/>
      <c r="BC55" s="449"/>
      <c r="BD55" s="449"/>
      <c r="BE55" s="449"/>
      <c r="BF55" s="449"/>
      <c r="BG55" s="449"/>
      <c r="BH55" s="449"/>
      <c r="BI55" s="449"/>
      <c r="BJ55" s="449"/>
      <c r="BK55" s="449"/>
      <c r="BL55" s="449"/>
      <c r="BM55" s="449"/>
      <c r="BN55" s="449"/>
      <c r="BO55" s="449"/>
      <c r="BP55" s="449"/>
      <c r="BQ55" s="449"/>
      <c r="BR55" s="449"/>
      <c r="BS55" s="449"/>
      <c r="BT55" s="449"/>
      <c r="BU55" s="449"/>
      <c r="BV55" s="449"/>
      <c r="BW55" s="449"/>
      <c r="BX55" s="449"/>
      <c r="BY55" s="449"/>
      <c r="BZ55" s="449"/>
      <c r="CA55" s="449"/>
      <c r="CB55" s="449"/>
      <c r="CC55" s="449"/>
      <c r="CD55" s="1034"/>
      <c r="CE55" s="449"/>
      <c r="CF55" s="449"/>
      <c r="CG55" s="449"/>
      <c r="CH55" s="449"/>
      <c r="CI55" s="449"/>
      <c r="CN55" s="449"/>
      <c r="CO55" s="449"/>
      <c r="CP55" s="449"/>
      <c r="CQ55" s="449"/>
      <c r="CR55" s="449"/>
      <c r="CS55" s="1567"/>
      <c r="CT55" s="1567"/>
      <c r="CU55" s="1567"/>
      <c r="CV55" s="1567"/>
      <c r="CW55" s="1567"/>
      <c r="CX55" s="449"/>
      <c r="CY55" s="449"/>
      <c r="CZ55" s="449"/>
      <c r="DA55" s="449"/>
      <c r="DB55" s="449"/>
      <c r="DC55" s="449"/>
      <c r="DD55" s="449"/>
      <c r="DE55" s="449"/>
      <c r="DF55" s="449"/>
      <c r="DG55" s="449"/>
      <c r="DH55" s="449"/>
      <c r="DI55" s="449"/>
      <c r="DJ55" s="449"/>
      <c r="DK55" s="449"/>
      <c r="DL55" s="449"/>
      <c r="DM55" s="449"/>
      <c r="DN55" s="449"/>
      <c r="DO55" s="449"/>
      <c r="DP55" s="449"/>
      <c r="DU55" s="1755"/>
    </row>
    <row r="56" spans="1:138" ht="12.75" hidden="1" customHeight="1" outlineLevel="1">
      <c r="A56" s="449"/>
      <c r="B56" s="449"/>
      <c r="C56" s="449"/>
      <c r="D56" s="449"/>
      <c r="E56" s="449"/>
      <c r="F56" s="449"/>
      <c r="G56" s="449"/>
      <c r="H56" s="449"/>
      <c r="I56" s="449"/>
      <c r="J56" s="449"/>
      <c r="K56" s="449"/>
      <c r="L56" s="449"/>
      <c r="M56" s="449"/>
      <c r="N56" s="449"/>
      <c r="O56" s="449"/>
      <c r="P56" s="449"/>
      <c r="Q56" s="449"/>
      <c r="R56" s="449"/>
      <c r="S56" s="449"/>
      <c r="T56" s="449"/>
      <c r="U56" s="449"/>
      <c r="V56" s="449"/>
      <c r="W56" s="449"/>
      <c r="X56" s="449"/>
      <c r="Y56" s="449"/>
      <c r="Z56" s="449"/>
      <c r="AA56" s="449"/>
      <c r="AB56" s="449"/>
      <c r="AC56" s="449"/>
      <c r="AD56" s="449"/>
      <c r="AE56" s="449"/>
      <c r="AF56" s="449"/>
      <c r="AG56" s="449"/>
      <c r="AH56" s="449"/>
      <c r="AI56" s="449"/>
      <c r="AJ56" s="449"/>
      <c r="AK56" s="449"/>
      <c r="AL56" s="449"/>
      <c r="AM56" s="449"/>
      <c r="AN56" s="449"/>
      <c r="AO56" s="449"/>
      <c r="AP56" s="449"/>
      <c r="AQ56" s="449"/>
      <c r="AR56" s="449"/>
      <c r="AS56" s="449"/>
      <c r="AT56" s="449"/>
      <c r="AU56" s="449"/>
      <c r="AV56" s="449"/>
      <c r="AW56" s="449"/>
      <c r="AX56" s="449"/>
      <c r="AY56" s="449"/>
      <c r="AZ56" s="449"/>
      <c r="BA56" s="449"/>
      <c r="BB56" s="449"/>
      <c r="BC56" s="449"/>
      <c r="BD56" s="449"/>
      <c r="BE56" s="449"/>
      <c r="BF56" s="449"/>
      <c r="BG56" s="449"/>
      <c r="BH56" s="449"/>
      <c r="BI56" s="449"/>
      <c r="BJ56" s="449"/>
      <c r="BK56" s="449"/>
      <c r="BL56" s="449"/>
      <c r="BM56" s="449"/>
      <c r="BN56" s="449"/>
      <c r="BO56" s="449"/>
      <c r="BP56" s="449"/>
      <c r="BQ56" s="449"/>
      <c r="BR56" s="449"/>
      <c r="BS56" s="449"/>
      <c r="BT56" s="449"/>
      <c r="BU56" s="449"/>
      <c r="BV56" s="449"/>
      <c r="BW56" s="449"/>
      <c r="BX56" s="449"/>
      <c r="BY56" s="449"/>
      <c r="BZ56" s="449"/>
      <c r="CA56" s="449"/>
      <c r="CB56" s="449"/>
      <c r="CC56" s="449"/>
      <c r="CD56" s="1034"/>
      <c r="CE56" s="449"/>
      <c r="CF56" s="449"/>
      <c r="CG56" s="449"/>
      <c r="CH56" s="449"/>
      <c r="CI56" s="449"/>
      <c r="CN56" s="449"/>
      <c r="CO56" s="449"/>
      <c r="CP56" s="449"/>
      <c r="CQ56" s="449"/>
      <c r="CR56" s="449"/>
      <c r="CS56" s="1567"/>
      <c r="CT56" s="1567"/>
      <c r="CU56" s="1567"/>
      <c r="CV56" s="1567"/>
      <c r="CW56" s="1567"/>
      <c r="CX56" s="449"/>
      <c r="CY56" s="449"/>
      <c r="CZ56" s="449"/>
      <c r="DA56" s="449"/>
      <c r="DB56" s="449"/>
      <c r="DC56" s="449"/>
      <c r="DD56" s="449"/>
      <c r="DE56" s="449"/>
      <c r="DF56" s="449"/>
      <c r="DG56" s="449"/>
      <c r="DH56" s="449"/>
      <c r="DI56" s="449"/>
      <c r="DJ56" s="449"/>
      <c r="DK56" s="449"/>
      <c r="DL56" s="449"/>
      <c r="DM56" s="449"/>
      <c r="DN56" s="449"/>
      <c r="DO56" s="449"/>
      <c r="DP56" s="449"/>
      <c r="DU56" s="1755"/>
    </row>
    <row r="57" spans="1:138" ht="17.25" hidden="1" customHeight="1" outlineLevel="1">
      <c r="A57" s="449" t="s">
        <v>184</v>
      </c>
      <c r="B57" s="449"/>
      <c r="C57" s="449"/>
      <c r="D57" s="449"/>
      <c r="E57" s="449"/>
      <c r="F57" s="449"/>
      <c r="G57" s="449"/>
      <c r="H57" s="449"/>
      <c r="I57" s="449"/>
      <c r="J57" s="449"/>
      <c r="K57" s="449"/>
      <c r="L57" s="449"/>
      <c r="M57" s="449"/>
      <c r="N57" s="449"/>
      <c r="O57" s="449"/>
      <c r="P57" s="449"/>
      <c r="Q57" s="449"/>
      <c r="R57" s="449"/>
      <c r="S57" s="449"/>
      <c r="T57" s="449"/>
      <c r="U57" s="449"/>
      <c r="V57" s="449"/>
      <c r="W57" s="449"/>
      <c r="X57" s="449"/>
      <c r="Y57" s="449"/>
      <c r="Z57" s="449"/>
      <c r="AA57" s="449"/>
      <c r="AC57" s="449"/>
      <c r="AD57" s="449"/>
      <c r="AE57" s="449"/>
      <c r="AF57" s="449"/>
      <c r="AG57" s="449"/>
      <c r="AH57" s="449"/>
      <c r="AI57" s="449"/>
      <c r="AJ57" s="449"/>
      <c r="AK57" s="449"/>
      <c r="AL57" s="449"/>
      <c r="AM57" s="449"/>
      <c r="AN57" s="449"/>
      <c r="AO57" s="449"/>
      <c r="AP57" s="449"/>
      <c r="AQ57" s="449"/>
      <c r="AR57" s="449"/>
      <c r="AS57" s="449"/>
      <c r="AT57" s="449"/>
      <c r="AU57" s="449"/>
      <c r="AV57" s="449"/>
      <c r="AW57" s="449"/>
      <c r="AX57" s="449"/>
      <c r="AY57" s="449"/>
      <c r="AZ57" s="449"/>
      <c r="BA57" s="449"/>
      <c r="BB57" s="449"/>
      <c r="BC57" s="449"/>
      <c r="BD57" s="449"/>
      <c r="BE57" s="449"/>
      <c r="BF57" s="449"/>
      <c r="BG57" s="449"/>
      <c r="BH57" s="449"/>
      <c r="BI57" s="449"/>
      <c r="BJ57" s="449"/>
      <c r="BK57" s="449"/>
      <c r="BL57" s="449"/>
      <c r="BM57" s="449"/>
      <c r="BN57" s="449"/>
      <c r="BO57" s="449"/>
      <c r="BP57" s="449"/>
      <c r="BQ57" s="449"/>
      <c r="BR57" s="449"/>
      <c r="BS57" s="449"/>
      <c r="BT57" s="449"/>
      <c r="BU57" s="449"/>
      <c r="BV57" s="449"/>
      <c r="BW57" s="449"/>
      <c r="BX57" s="449"/>
      <c r="BY57" s="449"/>
      <c r="BZ57" s="449"/>
      <c r="CA57" s="449"/>
      <c r="CB57" s="449"/>
      <c r="CC57" s="449"/>
      <c r="CD57" s="1034"/>
      <c r="CE57" s="449"/>
      <c r="CF57" s="449"/>
      <c r="CG57" s="449"/>
      <c r="CH57" s="449"/>
      <c r="CI57" s="449"/>
      <c r="CN57" s="449"/>
      <c r="CO57" s="449"/>
      <c r="CP57" s="449"/>
      <c r="CQ57" s="449"/>
      <c r="CR57" s="449"/>
      <c r="CS57" s="1567"/>
      <c r="CT57" s="1567"/>
      <c r="CU57" s="1567"/>
      <c r="CV57" s="1567"/>
      <c r="CW57" s="1567"/>
      <c r="CX57" s="449"/>
      <c r="CY57" s="449"/>
      <c r="CZ57" s="449"/>
      <c r="DA57" s="449"/>
      <c r="DB57" s="449"/>
      <c r="DC57" s="449"/>
      <c r="DD57" s="449"/>
      <c r="DE57" s="449"/>
      <c r="DF57" s="449"/>
      <c r="DG57" s="449"/>
      <c r="DH57" s="449"/>
      <c r="DI57" s="449"/>
      <c r="DJ57" s="449"/>
      <c r="DK57" s="449"/>
      <c r="DL57" s="449"/>
      <c r="DN57" s="449"/>
      <c r="DO57" s="449"/>
      <c r="DP57" s="449"/>
      <c r="DQ57" s="449"/>
      <c r="DU57" s="1755"/>
    </row>
    <row r="58" spans="1:138" ht="12.75" hidden="1" customHeight="1" outlineLevel="1">
      <c r="A58" s="449" t="s">
        <v>185</v>
      </c>
      <c r="B58" s="449"/>
      <c r="C58" s="449"/>
      <c r="D58" s="449"/>
      <c r="E58" s="449"/>
      <c r="F58" s="449"/>
      <c r="G58" s="449"/>
      <c r="H58" s="449"/>
      <c r="I58" s="449"/>
      <c r="J58" s="449"/>
      <c r="K58" s="449"/>
      <c r="L58" s="449"/>
      <c r="M58" s="449"/>
      <c r="N58" s="449"/>
      <c r="O58" s="449"/>
      <c r="P58" s="449"/>
      <c r="Q58" s="449"/>
      <c r="R58" s="449"/>
      <c r="S58" s="449"/>
      <c r="T58" s="449"/>
      <c r="U58" s="449"/>
      <c r="V58" s="449"/>
      <c r="W58" s="449"/>
      <c r="X58" s="449"/>
      <c r="Y58" s="449"/>
      <c r="Z58" s="449"/>
      <c r="AA58" s="449"/>
      <c r="AB58" s="449"/>
      <c r="AC58" s="449"/>
      <c r="AD58" s="449"/>
      <c r="AE58" s="449"/>
      <c r="AF58" s="449"/>
      <c r="AG58" s="449"/>
      <c r="AH58" s="449"/>
      <c r="AI58" s="449"/>
      <c r="AJ58" s="449"/>
      <c r="AK58" s="449"/>
      <c r="AL58" s="449"/>
      <c r="AM58" s="449"/>
      <c r="AN58" s="449"/>
      <c r="AO58" s="449"/>
      <c r="AP58" s="449"/>
      <c r="AQ58" s="449"/>
      <c r="AR58" s="449"/>
      <c r="AS58" s="449"/>
      <c r="AT58" s="449"/>
      <c r="AU58" s="449"/>
      <c r="AV58" s="449"/>
      <c r="AW58" s="449"/>
      <c r="AX58" s="449"/>
      <c r="AY58" s="449"/>
      <c r="AZ58" s="449"/>
      <c r="BA58" s="449"/>
      <c r="BB58" s="449"/>
      <c r="BC58" s="449"/>
      <c r="BD58" s="449"/>
      <c r="BE58" s="449"/>
      <c r="BF58" s="449"/>
      <c r="BG58" s="449"/>
      <c r="BH58" s="449"/>
      <c r="BI58" s="449"/>
      <c r="BJ58" s="449"/>
      <c r="BK58" s="449"/>
      <c r="BL58" s="449"/>
      <c r="BM58" s="449"/>
      <c r="BN58" s="449"/>
      <c r="BO58" s="449"/>
      <c r="BP58" s="449"/>
      <c r="BQ58" s="449"/>
      <c r="BR58" s="449"/>
      <c r="BS58" s="449"/>
      <c r="BT58" s="449"/>
      <c r="BU58" s="449"/>
      <c r="BV58" s="449"/>
      <c r="BW58" s="449"/>
      <c r="BX58" s="449"/>
      <c r="BY58" s="449"/>
      <c r="BZ58" s="449"/>
      <c r="CA58" s="449"/>
      <c r="CB58" s="449"/>
      <c r="CC58" s="449"/>
      <c r="CD58" s="1034"/>
      <c r="CE58" s="449"/>
      <c r="CF58" s="449"/>
      <c r="CG58" s="449"/>
      <c r="CH58" s="449"/>
      <c r="CI58" s="449"/>
      <c r="CN58" s="449"/>
      <c r="CO58" s="449"/>
      <c r="CP58" s="449"/>
      <c r="CQ58" s="449"/>
      <c r="CR58" s="449"/>
      <c r="CS58" s="1567"/>
      <c r="CT58" s="1567"/>
      <c r="CU58" s="1567"/>
      <c r="CV58" s="1567"/>
      <c r="CW58" s="1567"/>
      <c r="CX58" s="449"/>
      <c r="CY58" s="449"/>
      <c r="CZ58" s="449"/>
      <c r="DA58" s="449"/>
      <c r="DB58" s="449"/>
      <c r="DC58" s="449"/>
      <c r="DD58" s="449"/>
      <c r="DE58" s="449"/>
      <c r="DF58" s="449"/>
      <c r="DG58" s="449"/>
      <c r="DH58" s="449"/>
      <c r="DI58" s="449"/>
      <c r="DJ58" s="449"/>
      <c r="DK58" s="449"/>
      <c r="DL58" s="449"/>
      <c r="DM58" s="449"/>
      <c r="DN58" s="449"/>
      <c r="DO58" s="449"/>
      <c r="DP58" s="449"/>
      <c r="DU58" s="1755"/>
    </row>
    <row r="59" spans="1:138" collapsed="1">
      <c r="A59" s="449"/>
      <c r="B59" s="449"/>
      <c r="C59" s="449"/>
      <c r="D59" s="449"/>
      <c r="E59" s="449"/>
      <c r="F59" s="449"/>
      <c r="G59" s="449"/>
      <c r="H59" s="449"/>
      <c r="I59" s="449"/>
      <c r="J59" s="449"/>
      <c r="K59" s="449"/>
      <c r="L59" s="449"/>
      <c r="M59" s="449"/>
      <c r="N59" s="449"/>
      <c r="O59" s="449"/>
      <c r="P59" s="449"/>
      <c r="Q59" s="449"/>
      <c r="R59" s="449"/>
      <c r="S59" s="449"/>
      <c r="T59" s="449"/>
      <c r="U59" s="449"/>
      <c r="V59" s="449"/>
      <c r="W59" s="449"/>
      <c r="X59" s="449"/>
      <c r="Y59" s="449"/>
      <c r="Z59" s="449"/>
      <c r="AA59" s="449"/>
      <c r="AB59" s="449"/>
      <c r="AC59" s="449"/>
      <c r="AD59" s="449"/>
      <c r="AE59" s="449"/>
      <c r="AF59" s="449"/>
      <c r="AG59" s="449"/>
      <c r="AH59" s="449"/>
      <c r="AI59" s="449"/>
      <c r="AJ59" s="449"/>
      <c r="AK59" s="449"/>
      <c r="AL59" s="449"/>
      <c r="AM59" s="449"/>
      <c r="AN59" s="449"/>
      <c r="AO59" s="449"/>
      <c r="AP59" s="449"/>
      <c r="AQ59" s="449"/>
      <c r="AR59" s="449"/>
      <c r="AS59" s="449"/>
      <c r="AT59" s="449"/>
      <c r="AU59" s="449"/>
      <c r="AV59" s="449"/>
      <c r="AW59" s="449"/>
      <c r="AX59" s="449"/>
      <c r="AY59" s="449"/>
      <c r="AZ59" s="449"/>
      <c r="BA59" s="449"/>
      <c r="BB59" s="449"/>
      <c r="BC59" s="449"/>
      <c r="BD59" s="449"/>
      <c r="BE59" s="449"/>
      <c r="BF59" s="449"/>
      <c r="BG59" s="449"/>
      <c r="BH59" s="449"/>
      <c r="BI59" s="449"/>
      <c r="BJ59" s="449"/>
      <c r="BK59" s="449"/>
      <c r="BL59" s="449"/>
      <c r="BM59" s="449"/>
      <c r="BN59" s="449"/>
      <c r="BO59" s="449"/>
      <c r="BP59" s="449"/>
      <c r="BQ59" s="449"/>
      <c r="BR59" s="449"/>
      <c r="BS59" s="449"/>
      <c r="BT59" s="449"/>
      <c r="BU59" s="449"/>
      <c r="BV59" s="449"/>
      <c r="BW59" s="449"/>
      <c r="BX59" s="449"/>
      <c r="BY59" s="449"/>
      <c r="BZ59" s="449"/>
      <c r="CA59" s="449"/>
      <c r="CB59" s="449"/>
      <c r="CC59" s="449"/>
      <c r="CD59" s="1034"/>
      <c r="CE59" s="449"/>
      <c r="CF59" s="449"/>
      <c r="CG59" s="449"/>
      <c r="CH59" s="449"/>
      <c r="CI59" s="449"/>
      <c r="CN59" s="449"/>
      <c r="CO59" s="449"/>
      <c r="CP59" s="449"/>
      <c r="CQ59" s="449"/>
      <c r="CR59" s="449"/>
      <c r="CS59" s="1567"/>
      <c r="CT59" s="1567"/>
      <c r="CU59" s="1567"/>
      <c r="CV59" s="1567"/>
      <c r="CW59" s="1567"/>
      <c r="CX59" s="449"/>
      <c r="CY59" s="449"/>
      <c r="CZ59" s="449"/>
      <c r="DA59" s="449"/>
      <c r="DB59" s="449"/>
      <c r="DC59" s="449"/>
      <c r="DD59" s="449"/>
      <c r="DE59" s="449"/>
      <c r="DF59" s="449"/>
      <c r="DG59" s="449"/>
      <c r="DH59" s="449"/>
      <c r="DI59" s="449"/>
      <c r="DJ59" s="449"/>
      <c r="DK59" s="449"/>
      <c r="DL59" s="449"/>
      <c r="DM59" s="449"/>
      <c r="DN59" s="449"/>
      <c r="DO59" s="449"/>
      <c r="DP59" s="449"/>
      <c r="DU59" s="1755"/>
    </row>
    <row r="60" spans="1:138">
      <c r="A60" s="1368" t="s">
        <v>27</v>
      </c>
      <c r="B60" s="1369"/>
      <c r="C60" s="1369"/>
      <c r="D60" s="1369"/>
      <c r="E60" s="1369"/>
      <c r="F60" s="1369"/>
      <c r="G60" s="1369"/>
      <c r="H60" s="1369"/>
      <c r="I60" s="1369"/>
      <c r="J60" s="1369"/>
      <c r="K60" s="1369"/>
      <c r="L60" s="1369"/>
      <c r="M60" s="1369"/>
      <c r="N60" s="1369"/>
      <c r="O60" s="1369"/>
      <c r="P60" s="1369"/>
      <c r="Q60" s="1369"/>
      <c r="R60" s="1369"/>
      <c r="S60" s="1369"/>
      <c r="T60" s="1369"/>
      <c r="U60" s="1369"/>
      <c r="V60" s="1369"/>
      <c r="W60" s="1369"/>
      <c r="X60" s="1369"/>
      <c r="Y60" s="1369"/>
      <c r="Z60" s="1369"/>
      <c r="AA60" s="1369"/>
      <c r="AB60" s="1369"/>
      <c r="AC60" s="1369"/>
      <c r="AD60" s="1369"/>
      <c r="AE60" s="1369"/>
      <c r="AF60" s="1369"/>
      <c r="AG60" s="1369"/>
      <c r="AH60" s="1369"/>
      <c r="AI60" s="1369"/>
      <c r="AJ60" s="1369"/>
      <c r="AK60" s="1369"/>
      <c r="AL60" s="1369"/>
      <c r="AM60" s="1369"/>
      <c r="AN60" s="1369"/>
      <c r="AO60" s="1369"/>
      <c r="AP60" s="1369"/>
      <c r="AQ60" s="1369"/>
      <c r="AR60" s="1369"/>
      <c r="AS60" s="1369"/>
      <c r="AT60" s="1369"/>
      <c r="AU60" s="1369"/>
      <c r="AV60" s="1369"/>
      <c r="AW60" s="1369"/>
      <c r="AX60" s="1369"/>
      <c r="AY60" s="1369"/>
      <c r="AZ60" s="1369"/>
      <c r="BA60" s="1369"/>
      <c r="BB60" s="1369"/>
      <c r="BC60" s="1369"/>
      <c r="BD60" s="1369"/>
      <c r="BE60" s="1369"/>
      <c r="BF60" s="1369" t="s">
        <v>397</v>
      </c>
      <c r="BG60" s="1369" t="s">
        <v>260</v>
      </c>
      <c r="BH60" s="1369" t="s">
        <v>378</v>
      </c>
      <c r="BI60" s="1369" t="s">
        <v>320</v>
      </c>
      <c r="BJ60" s="1369"/>
      <c r="BK60" s="1369" t="s">
        <v>468</v>
      </c>
      <c r="BL60" s="1369"/>
      <c r="BM60" s="1369"/>
      <c r="BN60" s="1369"/>
      <c r="BO60" s="1369"/>
      <c r="BP60" s="1369"/>
      <c r="BQ60" s="1369"/>
      <c r="BR60" s="1369"/>
      <c r="BS60" s="1369"/>
      <c r="BT60" s="1369"/>
      <c r="BU60" s="1370"/>
      <c r="BV60" s="1370"/>
      <c r="BW60" s="1370"/>
      <c r="BX60" s="1370"/>
      <c r="BY60" s="1369"/>
      <c r="BZ60" s="1370"/>
      <c r="CA60" s="1370"/>
      <c r="CB60" s="1370"/>
      <c r="CC60" s="1370"/>
      <c r="CD60" s="1369"/>
      <c r="CE60" s="1370"/>
      <c r="CF60" s="1370"/>
      <c r="CG60" s="1370"/>
      <c r="CH60" s="1370"/>
      <c r="CI60" s="1370"/>
      <c r="CJ60" s="1371" t="s">
        <v>126</v>
      </c>
      <c r="CK60" s="1371" t="s">
        <v>371</v>
      </c>
      <c r="CL60" s="1371" t="s">
        <v>677</v>
      </c>
      <c r="CM60" s="1371" t="s">
        <v>712</v>
      </c>
      <c r="CN60" s="1371"/>
      <c r="CO60" s="1371" t="s">
        <v>755</v>
      </c>
      <c r="CP60" s="1750" t="s">
        <v>756</v>
      </c>
      <c r="CQ60" s="784"/>
      <c r="CR60" s="784"/>
      <c r="CS60" s="1567"/>
      <c r="CT60" s="779" t="s">
        <v>27</v>
      </c>
      <c r="CU60" s="780"/>
      <c r="CV60" s="780"/>
      <c r="CW60" s="780"/>
      <c r="CX60" s="780"/>
      <c r="CY60" s="781">
        <f t="shared" ref="CY60:DG60" si="58">CY7</f>
        <v>1999</v>
      </c>
      <c r="CZ60" s="781">
        <f t="shared" si="58"/>
        <v>2000</v>
      </c>
      <c r="DA60" s="781" t="str">
        <f t="shared" si="58"/>
        <v>2001A</v>
      </c>
      <c r="DB60" s="782" t="str">
        <f t="shared" si="58"/>
        <v>2002A</v>
      </c>
      <c r="DC60" s="782" t="str">
        <f t="shared" si="58"/>
        <v>2003A</v>
      </c>
      <c r="DD60" s="782" t="str">
        <f t="shared" si="58"/>
        <v>2004A</v>
      </c>
      <c r="DE60" s="782" t="str">
        <f t="shared" si="58"/>
        <v>2005A</v>
      </c>
      <c r="DF60" s="782" t="str">
        <f t="shared" si="58"/>
        <v>2006A</v>
      </c>
      <c r="DG60" s="782" t="str">
        <f t="shared" si="58"/>
        <v>2007A</v>
      </c>
      <c r="DH60" s="782" t="str">
        <f t="shared" ref="DH60:DN60" si="59">DH7</f>
        <v>2008A</v>
      </c>
      <c r="DI60" s="782" t="str">
        <f t="shared" si="59"/>
        <v>2009A</v>
      </c>
      <c r="DJ60" s="782" t="str">
        <f t="shared" si="59"/>
        <v>2010A</v>
      </c>
      <c r="DK60" s="782" t="str">
        <f t="shared" si="59"/>
        <v>2011A</v>
      </c>
      <c r="DL60" s="782" t="str">
        <f t="shared" si="59"/>
        <v>2012A</v>
      </c>
      <c r="DM60" s="782" t="str">
        <f t="shared" si="59"/>
        <v>2013A</v>
      </c>
      <c r="DN60" s="782" t="str">
        <f t="shared" si="59"/>
        <v>2014A</v>
      </c>
      <c r="DO60" s="782" t="str">
        <f t="shared" ref="DO60:DU60" si="60">DO7</f>
        <v>2015A</v>
      </c>
      <c r="DP60" s="1438" t="str">
        <f t="shared" si="60"/>
        <v>2016A</v>
      </c>
      <c r="DQ60" s="1438" t="str">
        <f t="shared" si="60"/>
        <v>2017A</v>
      </c>
      <c r="DR60" s="1384" t="str">
        <f t="shared" si="60"/>
        <v>2018E</v>
      </c>
      <c r="DS60" s="1384" t="str">
        <f t="shared" si="60"/>
        <v>2019E</v>
      </c>
      <c r="DT60" s="2124" t="str">
        <f t="shared" si="60"/>
        <v>2020E</v>
      </c>
      <c r="DU60" s="1756" t="str">
        <f t="shared" si="60"/>
        <v>2021E</v>
      </c>
      <c r="DV60" s="1777" t="str">
        <f t="shared" ref="DV60" si="61">DV7</f>
        <v>2022E</v>
      </c>
      <c r="DW60" s="449"/>
    </row>
    <row r="61" spans="1:138">
      <c r="A61" s="787" t="s">
        <v>472</v>
      </c>
      <c r="B61" s="788"/>
      <c r="C61" s="788"/>
      <c r="D61" s="788"/>
      <c r="E61" s="788"/>
      <c r="F61" s="788"/>
      <c r="G61" s="788"/>
      <c r="H61" s="788"/>
      <c r="I61" s="788"/>
      <c r="J61" s="788"/>
      <c r="K61" s="788"/>
      <c r="L61" s="788"/>
      <c r="M61" s="788"/>
      <c r="N61" s="788"/>
      <c r="O61" s="788"/>
      <c r="P61" s="788"/>
      <c r="Q61" s="788"/>
      <c r="R61" s="788"/>
      <c r="S61" s="788"/>
      <c r="T61" s="788"/>
      <c r="U61" s="788"/>
      <c r="V61" s="788"/>
      <c r="W61" s="788"/>
      <c r="X61" s="788"/>
      <c r="Y61" s="788"/>
      <c r="Z61" s="788"/>
      <c r="AA61" s="788"/>
      <c r="AB61" s="788"/>
      <c r="AC61" s="788"/>
      <c r="AD61" s="788"/>
      <c r="AE61" s="788"/>
      <c r="AF61" s="788"/>
      <c r="AG61" s="788"/>
      <c r="AH61" s="788"/>
      <c r="AI61" s="788"/>
      <c r="AJ61" s="788"/>
      <c r="AK61" s="788"/>
      <c r="AL61" s="788"/>
      <c r="AM61" s="788"/>
      <c r="AN61" s="788"/>
      <c r="AO61" s="788"/>
      <c r="AP61" s="788"/>
      <c r="AQ61" s="788"/>
      <c r="AR61" s="788"/>
      <c r="AS61" s="788"/>
      <c r="AT61" s="788"/>
      <c r="AU61" s="788"/>
      <c r="AV61" s="788"/>
      <c r="AW61" s="788"/>
      <c r="AX61" s="788"/>
      <c r="AY61" s="788"/>
      <c r="AZ61" s="788"/>
      <c r="BA61" s="788"/>
      <c r="BB61" s="788"/>
      <c r="BC61" s="788"/>
      <c r="BD61" s="788"/>
      <c r="BE61" s="788"/>
      <c r="BF61" s="788"/>
      <c r="BG61" s="788"/>
      <c r="BH61" s="788"/>
      <c r="BI61" s="788"/>
      <c r="BJ61" s="788"/>
      <c r="BK61" s="788">
        <f>turn!R155</f>
        <v>5.1058258782456907</v>
      </c>
      <c r="BL61" s="788"/>
      <c r="BM61" s="788"/>
      <c r="BN61" s="788"/>
      <c r="BO61" s="788"/>
      <c r="BP61" s="788"/>
      <c r="BQ61" s="788"/>
      <c r="BR61" s="788"/>
      <c r="BS61" s="788"/>
      <c r="BT61" s="788"/>
      <c r="BU61" s="7"/>
      <c r="BV61" s="7"/>
      <c r="BW61" s="7"/>
      <c r="BX61" s="7"/>
      <c r="BY61" s="788"/>
      <c r="BZ61" s="7"/>
      <c r="CA61" s="7"/>
      <c r="CB61" s="7"/>
      <c r="CC61" s="7"/>
      <c r="CD61" s="788"/>
      <c r="CE61" s="7"/>
      <c r="CF61" s="7"/>
      <c r="CG61" s="7"/>
      <c r="CH61" s="7"/>
      <c r="CI61" s="7"/>
      <c r="CJ61" s="1373">
        <f>turn!R169</f>
        <v>5.2560815025296277</v>
      </c>
      <c r="CK61" s="1373">
        <f>turn!R176</f>
        <v>5.0063500127000253</v>
      </c>
      <c r="CL61" s="1373">
        <f>turn!R183</f>
        <v>4.8787642002764917</v>
      </c>
      <c r="CM61" s="1373">
        <f>turn!R190</f>
        <v>4.7862759113652613</v>
      </c>
      <c r="CN61" s="788"/>
      <c r="CO61" s="1373">
        <f>turn!R197</f>
        <v>4.8381442667156955</v>
      </c>
      <c r="CP61" s="1751">
        <f>turn!R204</f>
        <v>4.6605963220853415</v>
      </c>
      <c r="CQ61" s="784"/>
      <c r="CR61" s="784"/>
      <c r="CS61" s="1567"/>
      <c r="CT61" s="783" t="s">
        <v>28</v>
      </c>
      <c r="CU61" s="784"/>
      <c r="CV61" s="784"/>
      <c r="CW61" s="784"/>
      <c r="CX61" s="784"/>
      <c r="CY61" s="785">
        <f>yrSales!K14</f>
        <v>3018</v>
      </c>
      <c r="CZ61" s="785">
        <f>yrSales!L14</f>
        <v>2848</v>
      </c>
      <c r="DA61" s="785">
        <f>yrSales!M14</f>
        <v>3097</v>
      </c>
      <c r="DB61" s="785">
        <f>yrSales!N14</f>
        <v>3117</v>
      </c>
      <c r="DC61" s="785">
        <f>yrSales!O14</f>
        <v>3022</v>
      </c>
      <c r="DD61" s="785">
        <f>yrSales!P14</f>
        <v>2994</v>
      </c>
      <c r="DE61" s="785">
        <f>yrSales!Q14</f>
        <v>3048</v>
      </c>
      <c r="DF61" s="785">
        <f>yrSales!R14</f>
        <v>3112</v>
      </c>
      <c r="DG61" s="785">
        <f>yrSales!S14</f>
        <v>3167</v>
      </c>
      <c r="DH61" s="785">
        <f>yrSales!T14</f>
        <v>3149</v>
      </c>
      <c r="DI61" s="785">
        <f>yrSales!U14</f>
        <v>3095</v>
      </c>
      <c r="DJ61" s="785">
        <f>yrSales!V14</f>
        <v>3068</v>
      </c>
      <c r="DK61" s="785">
        <f>yrSales!W14</f>
        <v>3036</v>
      </c>
      <c r="DL61" s="785">
        <f>yrSales!X14</f>
        <v>3064</v>
      </c>
      <c r="DM61" s="785">
        <f>yrSales!Y14</f>
        <v>3133</v>
      </c>
      <c r="DN61" s="785">
        <f>yrSales!Z14</f>
        <v>3249</v>
      </c>
      <c r="DO61" s="785">
        <f>yrSales!AA14</f>
        <v>3275</v>
      </c>
      <c r="DP61" s="785">
        <f>yrSales!AB14</f>
        <v>3200</v>
      </c>
      <c r="DQ61" s="785">
        <f>yrSales!AC14</f>
        <v>3471</v>
      </c>
      <c r="DR61" s="785">
        <f>yrSales!AD14</f>
        <v>3393</v>
      </c>
      <c r="DS61" s="785">
        <f>yrSales!AE14</f>
        <v>3423</v>
      </c>
      <c r="DT61" s="2125">
        <f>yrSales!AF14</f>
        <v>3468</v>
      </c>
      <c r="DU61" s="1757">
        <f>yrSales!AG14</f>
        <v>3518</v>
      </c>
      <c r="DV61" s="1778">
        <f>yrSales!AH14</f>
        <v>3548</v>
      </c>
      <c r="DW61" s="449"/>
    </row>
    <row r="62" spans="1:138">
      <c r="A62" s="787" t="s">
        <v>473</v>
      </c>
      <c r="B62" s="788"/>
      <c r="C62" s="788"/>
      <c r="D62" s="788"/>
      <c r="E62" s="788"/>
      <c r="F62" s="788"/>
      <c r="G62" s="788"/>
      <c r="H62" s="788"/>
      <c r="I62" s="788"/>
      <c r="J62" s="788"/>
      <c r="K62" s="788"/>
      <c r="L62" s="788"/>
      <c r="M62" s="788"/>
      <c r="N62" s="788"/>
      <c r="O62" s="788"/>
      <c r="P62" s="788"/>
      <c r="Q62" s="788"/>
      <c r="R62" s="788"/>
      <c r="S62" s="788"/>
      <c r="T62" s="788"/>
      <c r="U62" s="788"/>
      <c r="V62" s="788"/>
      <c r="W62" s="788"/>
      <c r="X62" s="788"/>
      <c r="Y62" s="788"/>
      <c r="Z62" s="788"/>
      <c r="AA62" s="788"/>
      <c r="AB62" s="788"/>
      <c r="AC62" s="788"/>
      <c r="AD62" s="788"/>
      <c r="AE62" s="788"/>
      <c r="AF62" s="788"/>
      <c r="AG62" s="788"/>
      <c r="AH62" s="788"/>
      <c r="AI62" s="788"/>
      <c r="AJ62" s="788"/>
      <c r="AK62" s="788"/>
      <c r="AL62" s="788"/>
      <c r="AM62" s="788"/>
      <c r="AN62" s="788"/>
      <c r="AO62" s="788"/>
      <c r="AP62" s="788"/>
      <c r="AQ62" s="788"/>
      <c r="AR62" s="788"/>
      <c r="AS62" s="788"/>
      <c r="AT62" s="788"/>
      <c r="AU62" s="788"/>
      <c r="AV62" s="788"/>
      <c r="AW62" s="788"/>
      <c r="AX62" s="788"/>
      <c r="AY62" s="788"/>
      <c r="AZ62" s="788"/>
      <c r="BA62" s="788"/>
      <c r="BB62" s="788"/>
      <c r="BC62" s="788"/>
      <c r="BD62" s="788"/>
      <c r="BE62" s="788"/>
      <c r="BF62" s="788"/>
      <c r="BG62" s="788"/>
      <c r="BH62" s="788"/>
      <c r="BI62" s="788"/>
      <c r="BJ62" s="788"/>
      <c r="BK62" s="788">
        <f>bal!AS75</f>
        <v>0.64753086419753081</v>
      </c>
      <c r="BL62" s="788"/>
      <c r="BM62" s="788"/>
      <c r="BN62" s="788"/>
      <c r="BO62" s="788"/>
      <c r="BP62" s="788"/>
      <c r="BQ62" s="788"/>
      <c r="BR62" s="788"/>
      <c r="BS62" s="788"/>
      <c r="BT62" s="788"/>
      <c r="BU62" s="7"/>
      <c r="BV62" s="7"/>
      <c r="BW62" s="7"/>
      <c r="BX62" s="7"/>
      <c r="BY62" s="788"/>
      <c r="BZ62" s="7"/>
      <c r="CA62" s="7"/>
      <c r="CB62" s="7"/>
      <c r="CC62" s="7"/>
      <c r="CD62" s="788"/>
      <c r="CE62" s="7"/>
      <c r="CF62" s="7"/>
      <c r="CG62" s="7"/>
      <c r="CH62" s="7"/>
      <c r="CI62" s="7"/>
      <c r="CJ62" s="1380">
        <f>bal!AW75</f>
        <v>0.65073947667804322</v>
      </c>
      <c r="CK62" s="1380">
        <f>bal!AY75</f>
        <v>0.64419087136929465</v>
      </c>
      <c r="CL62" s="1380">
        <f>bal!BA75</f>
        <v>0.62096347273689778</v>
      </c>
      <c r="CM62" s="1380">
        <f>bal!BC75</f>
        <v>0.59369994660971703</v>
      </c>
      <c r="CN62" s="1380"/>
      <c r="CO62" s="1380">
        <f>bal!BE75</f>
        <v>0.67923497267759558</v>
      </c>
      <c r="CP62" s="1752">
        <f>bal!BG75</f>
        <v>0.67923497267759558</v>
      </c>
      <c r="CQ62" s="784"/>
      <c r="CR62" s="784"/>
      <c r="CS62" s="1567"/>
      <c r="CT62" s="783" t="s">
        <v>81</v>
      </c>
      <c r="CU62" s="784"/>
      <c r="CV62" s="784"/>
      <c r="CW62" s="784"/>
      <c r="CX62" s="784"/>
      <c r="CY62" s="785">
        <f>yrSales!K49</f>
        <v>2160</v>
      </c>
      <c r="CZ62" s="785">
        <f>yrSales!L49</f>
        <v>2608</v>
      </c>
      <c r="DA62" s="785">
        <f>yrSales!M49</f>
        <v>2104</v>
      </c>
      <c r="DB62" s="785">
        <f>yrSales!N49</f>
        <v>1834</v>
      </c>
      <c r="DC62" s="785">
        <f>yrSales!O49</f>
        <v>1747</v>
      </c>
      <c r="DD62" s="785">
        <f>yrSales!P49</f>
        <v>1643</v>
      </c>
      <c r="DE62" s="785">
        <f>yrSales!Q49</f>
        <v>1460</v>
      </c>
      <c r="DF62" s="785">
        <f>yrSales!R49</f>
        <v>1454</v>
      </c>
      <c r="DG62" s="785">
        <f>yrSales!S49</f>
        <v>1444</v>
      </c>
      <c r="DH62" s="785">
        <f>yrSales!T49</f>
        <v>1421</v>
      </c>
      <c r="DI62" s="785">
        <f>yrSales!U49</f>
        <v>1444</v>
      </c>
      <c r="DJ62" s="785">
        <f>yrSales!V49</f>
        <v>1430</v>
      </c>
      <c r="DK62" s="785">
        <f>yrSales!W49</f>
        <v>1388</v>
      </c>
      <c r="DL62" s="785">
        <f>yrSales!X49</f>
        <v>1379</v>
      </c>
      <c r="DM62" s="785">
        <f>yrSales!Y49</f>
        <v>1389</v>
      </c>
      <c r="DN62" s="785">
        <f>yrSales!Z49</f>
        <v>1415</v>
      </c>
      <c r="DO62" s="785">
        <f>yrSales!AA49</f>
        <v>1346</v>
      </c>
      <c r="DP62" s="785">
        <f>yrSales!AB49</f>
        <v>1319</v>
      </c>
      <c r="DQ62" s="785">
        <f>yrSales!AC49</f>
        <v>1278</v>
      </c>
      <c r="DR62" s="785">
        <f>yrSales!AD49</f>
        <v>1207</v>
      </c>
      <c r="DS62" s="785">
        <f>yrSales!AE49</f>
        <v>1202</v>
      </c>
      <c r="DT62" s="2125">
        <f>yrSales!AF49</f>
        <v>1197</v>
      </c>
      <c r="DU62" s="1757">
        <f>yrSales!AG49</f>
        <v>1192</v>
      </c>
      <c r="DV62" s="1778">
        <f>yrSales!AH49</f>
        <v>1182</v>
      </c>
      <c r="DW62" s="449"/>
    </row>
    <row r="63" spans="1:138">
      <c r="A63" s="787" t="s">
        <v>474</v>
      </c>
      <c r="B63" s="788"/>
      <c r="C63" s="788"/>
      <c r="D63" s="788"/>
      <c r="E63" s="788"/>
      <c r="F63" s="788"/>
      <c r="G63" s="788"/>
      <c r="H63" s="788"/>
      <c r="I63" s="788"/>
      <c r="J63" s="788"/>
      <c r="K63" s="788"/>
      <c r="L63" s="788"/>
      <c r="M63" s="788"/>
      <c r="N63" s="788"/>
      <c r="O63" s="788"/>
      <c r="P63" s="788"/>
      <c r="Q63" s="788"/>
      <c r="R63" s="788"/>
      <c r="S63" s="788"/>
      <c r="T63" s="788"/>
      <c r="U63" s="788"/>
      <c r="V63" s="788"/>
      <c r="W63" s="788"/>
      <c r="X63" s="788"/>
      <c r="Y63" s="788"/>
      <c r="Z63" s="788"/>
      <c r="AA63" s="788"/>
      <c r="AB63" s="788"/>
      <c r="AC63" s="788"/>
      <c r="AD63" s="788"/>
      <c r="AE63" s="788"/>
      <c r="AF63" s="788"/>
      <c r="AG63" s="788"/>
      <c r="AH63" s="788"/>
      <c r="AI63" s="788"/>
      <c r="AJ63" s="788"/>
      <c r="AK63" s="788"/>
      <c r="AL63" s="788"/>
      <c r="AM63" s="788"/>
      <c r="AN63" s="788"/>
      <c r="AO63" s="788"/>
      <c r="AP63" s="788"/>
      <c r="AQ63" s="788"/>
      <c r="AR63" s="788"/>
      <c r="AS63" s="788"/>
      <c r="AT63" s="788"/>
      <c r="AU63" s="788"/>
      <c r="AV63" s="788"/>
      <c r="AW63" s="788"/>
      <c r="AX63" s="788"/>
      <c r="AY63" s="788"/>
      <c r="AZ63" s="788"/>
      <c r="BA63" s="788"/>
      <c r="BB63" s="788"/>
      <c r="BC63" s="788"/>
      <c r="BD63" s="788"/>
      <c r="BE63" s="788"/>
      <c r="BF63" s="788"/>
      <c r="BG63" s="788"/>
      <c r="BH63" s="788"/>
      <c r="BI63" s="788"/>
      <c r="BJ63" s="788"/>
      <c r="BK63" s="788">
        <f>(bal!AS35+bal!AS31+bal!AS29)/(bal!AS52)</f>
        <v>0</v>
      </c>
      <c r="BL63" s="788"/>
      <c r="BM63" s="788"/>
      <c r="BN63" s="788"/>
      <c r="BO63" s="788"/>
      <c r="BP63" s="788"/>
      <c r="BQ63" s="788"/>
      <c r="BR63" s="788"/>
      <c r="BS63" s="788"/>
      <c r="BT63" s="788"/>
      <c r="BU63" s="7"/>
      <c r="BV63" s="7"/>
      <c r="BW63" s="7"/>
      <c r="BX63" s="7"/>
      <c r="BY63" s="788"/>
      <c r="BZ63" s="7"/>
      <c r="CA63" s="7"/>
      <c r="CB63" s="7"/>
      <c r="CC63" s="7"/>
      <c r="CD63" s="788"/>
      <c r="CE63" s="7"/>
      <c r="CF63" s="7"/>
      <c r="CG63" s="7"/>
      <c r="CH63" s="7"/>
      <c r="CI63" s="7"/>
      <c r="CJ63" s="1380">
        <f>(bal!AW35+bal!AW31+bal!AW29)/(bal!AW52)</f>
        <v>0.16680053547523427</v>
      </c>
      <c r="CK63" s="1380">
        <f>(bal!AY35+bal!AY31+bal!AY29)/(bal!AY52)</f>
        <v>0.1776022423238629</v>
      </c>
      <c r="CL63" s="1380">
        <f>(bal!BA35+bal!BA31+bal!BA29)/(bal!BA52)</f>
        <v>0.17594278283485046</v>
      </c>
      <c r="CM63" s="1380">
        <f>(bal!BC35+bal!BC31+bal!BC29)/(bal!BC52)</f>
        <v>0.2316338819751104</v>
      </c>
      <c r="CN63" s="1380"/>
      <c r="CO63" s="1380">
        <f>(bal!BE35+bal!BE31+bal!BE29)/(bal!BE52)</f>
        <v>0.17253228245886754</v>
      </c>
      <c r="CP63" s="1752">
        <f>(bal!BG35+bal!BG31+bal!BG29)/(bal!BG52)</f>
        <v>0.15633996745525097</v>
      </c>
      <c r="CQ63" s="784"/>
      <c r="CR63" s="784"/>
      <c r="CS63" s="1567"/>
      <c r="CT63" s="783" t="s">
        <v>93</v>
      </c>
      <c r="CU63" s="784"/>
      <c r="CV63" s="784"/>
      <c r="CW63" s="784"/>
      <c r="CX63" s="784"/>
      <c r="CY63" s="785">
        <f>yrSales!K89</f>
        <v>345</v>
      </c>
      <c r="CZ63" s="785">
        <f>yrSales!L89</f>
        <v>402</v>
      </c>
      <c r="DA63" s="785">
        <f>yrSales!M89</f>
        <v>441</v>
      </c>
      <c r="DB63" s="785">
        <f>yrSales!N89</f>
        <v>441</v>
      </c>
      <c r="DC63" s="785">
        <f>yrSales!O89</f>
        <v>435</v>
      </c>
      <c r="DD63" s="785">
        <f>yrSales!P89</f>
        <v>484</v>
      </c>
      <c r="DE63" s="785">
        <f>yrSales!Q89</f>
        <v>520</v>
      </c>
      <c r="DF63" s="785">
        <f>yrSales!R89</f>
        <v>534</v>
      </c>
      <c r="DG63" s="785">
        <f>yrSales!S89</f>
        <v>576</v>
      </c>
      <c r="DH63" s="785">
        <f>yrSales!T89</f>
        <v>603</v>
      </c>
      <c r="DI63" s="785">
        <f>yrSales!U89</f>
        <v>606</v>
      </c>
      <c r="DJ63" s="785">
        <f>yrSales!V89</f>
        <v>610</v>
      </c>
      <c r="DK63" s="785">
        <f>yrSales!W89</f>
        <v>622</v>
      </c>
      <c r="DL63" s="785">
        <f>yrSales!X89</f>
        <v>638</v>
      </c>
      <c r="DM63" s="785">
        <f>yrSales!Y89</f>
        <v>650</v>
      </c>
      <c r="DN63" s="785">
        <f>yrSales!Z89</f>
        <v>665</v>
      </c>
      <c r="DO63" s="785">
        <f>yrSales!AA89</f>
        <v>673</v>
      </c>
      <c r="DP63" s="785">
        <f>yrSales!AB89</f>
        <v>650</v>
      </c>
      <c r="DQ63" s="785">
        <f>yrSales!AC89</f>
        <v>621</v>
      </c>
      <c r="DR63" s="785">
        <f>yrSales!AD89</f>
        <v>548</v>
      </c>
      <c r="DS63" s="785">
        <f>yrSales!AE89</f>
        <v>538</v>
      </c>
      <c r="DT63" s="2125">
        <f>yrSales!AF89</f>
        <v>533</v>
      </c>
      <c r="DU63" s="1757">
        <f>yrSales!AG89</f>
        <v>533</v>
      </c>
      <c r="DV63" s="1778">
        <f>yrSales!AH89</f>
        <v>533</v>
      </c>
      <c r="DW63" s="449"/>
    </row>
    <row r="64" spans="1:138">
      <c r="A64" s="787" t="s">
        <v>475</v>
      </c>
      <c r="B64" s="788"/>
      <c r="C64" s="788"/>
      <c r="D64" s="788"/>
      <c r="E64" s="788"/>
      <c r="F64" s="788"/>
      <c r="G64" s="788"/>
      <c r="H64" s="788"/>
      <c r="I64" s="788"/>
      <c r="J64" s="788"/>
      <c r="K64" s="788"/>
      <c r="L64" s="788"/>
      <c r="M64" s="788"/>
      <c r="N64" s="788"/>
      <c r="O64" s="788"/>
      <c r="P64" s="788"/>
      <c r="Q64" s="788"/>
      <c r="R64" s="788"/>
      <c r="S64" s="788"/>
      <c r="T64" s="788"/>
      <c r="U64" s="788"/>
      <c r="V64" s="788"/>
      <c r="W64" s="788"/>
      <c r="X64" s="788"/>
      <c r="Y64" s="788"/>
      <c r="Z64" s="788"/>
      <c r="AA64" s="788"/>
      <c r="AB64" s="788"/>
      <c r="AC64" s="788"/>
      <c r="AD64" s="788"/>
      <c r="AE64" s="788"/>
      <c r="AF64" s="788"/>
      <c r="AG64" s="788"/>
      <c r="AH64" s="788"/>
      <c r="AI64" s="788"/>
      <c r="AJ64" s="788"/>
      <c r="AK64" s="788"/>
      <c r="AL64" s="788"/>
      <c r="AM64" s="788"/>
      <c r="AN64" s="788"/>
      <c r="AO64" s="788"/>
      <c r="AP64" s="788"/>
      <c r="AQ64" s="788"/>
      <c r="AR64" s="788"/>
      <c r="AS64" s="788"/>
      <c r="AT64" s="788"/>
      <c r="AU64" s="788"/>
      <c r="AV64" s="788"/>
      <c r="AW64" s="788"/>
      <c r="AX64" s="788"/>
      <c r="AY64" s="788"/>
      <c r="AZ64" s="788"/>
      <c r="BA64" s="788"/>
      <c r="BB64" s="788"/>
      <c r="BC64" s="788"/>
      <c r="BD64" s="788"/>
      <c r="BE64" s="788"/>
      <c r="BF64" s="788"/>
      <c r="BG64" s="788">
        <f>'yrP&amp;L'!S45/AVERAGE(bal!AM50,bal!AK50)</f>
        <v>0.18888875105842506</v>
      </c>
      <c r="BH64" s="788">
        <f>flow!AN10/AVERAGE(bal!AO50,bal!AM50)</f>
        <v>0.22329984990185892</v>
      </c>
      <c r="BI64" s="788">
        <f>flow!AP10/AVERAGE(bal!AQ50,bal!AO50)</f>
        <v>0.23755119637852987</v>
      </c>
      <c r="BJ64" s="788"/>
      <c r="BK64" s="788">
        <f>flow!AR10/(AVERAGE(bal!AQ50,bal!AS50))</f>
        <v>0.26842046594582541</v>
      </c>
      <c r="BL64" s="788"/>
      <c r="BM64" s="788"/>
      <c r="BN64" s="788"/>
      <c r="BO64" s="788"/>
      <c r="BP64" s="788"/>
      <c r="BQ64" s="788"/>
      <c r="BR64" s="788"/>
      <c r="BS64" s="788"/>
      <c r="BT64" s="788"/>
      <c r="BU64" s="7"/>
      <c r="BV64" s="7"/>
      <c r="BW64" s="7"/>
      <c r="BX64" s="7"/>
      <c r="BY64" s="788"/>
      <c r="BZ64" s="7"/>
      <c r="CA64" s="7"/>
      <c r="CB64" s="7"/>
      <c r="CC64" s="7"/>
      <c r="CD64" s="788"/>
      <c r="CE64" s="7"/>
      <c r="CF64" s="7"/>
      <c r="CG64" s="7"/>
      <c r="CH64" s="7"/>
      <c r="CI64" s="7"/>
      <c r="CJ64" s="1380">
        <f>flow!AV10/(AVERAGE(bal!AU50,bal!AW50))</f>
        <v>0.40184103381129405</v>
      </c>
      <c r="CK64" s="1380">
        <f>flow!AX10/(AVERAGE(bal!AW50,bal!AY50))</f>
        <v>0.42981867024848891</v>
      </c>
      <c r="CL64" s="1380">
        <f>flow!AZ10/(AVERAGE(bal!AY50,bal!BA50))</f>
        <v>0.417535153019024</v>
      </c>
      <c r="CM64" s="1380">
        <f>flow!BB10/(AVERAGE(bal!BA50,bal!BC50))</f>
        <v>0.33285094066570187</v>
      </c>
      <c r="CN64" s="1380"/>
      <c r="CO64" s="1380">
        <f>flow!BD10/(AVERAGE(bal!BC50,bal!BE50))</f>
        <v>0.24817357505821985</v>
      </c>
      <c r="CP64" s="1752">
        <f>flow!BF10/(AVERAGE(bal!BE50,bal!BG50))</f>
        <v>0.28041539837669904</v>
      </c>
      <c r="CQ64" s="786"/>
      <c r="CR64" s="786"/>
      <c r="CS64" s="1567"/>
      <c r="CT64" s="783" t="s">
        <v>94</v>
      </c>
      <c r="CU64" s="786"/>
      <c r="CV64" s="786"/>
      <c r="CW64" s="786"/>
      <c r="CX64" s="786"/>
      <c r="CY64" s="785">
        <f>yrSales!K129</f>
        <v>513</v>
      </c>
      <c r="CZ64" s="785">
        <f>yrSales!L129</f>
        <v>666</v>
      </c>
      <c r="DA64" s="785">
        <f>yrSales!M129</f>
        <v>798</v>
      </c>
      <c r="DB64" s="785">
        <f>yrSales!N129</f>
        <v>842</v>
      </c>
      <c r="DC64" s="785">
        <f>yrSales!O129</f>
        <v>840</v>
      </c>
      <c r="DD64" s="785">
        <f>yrSales!P129</f>
        <v>889</v>
      </c>
      <c r="DE64" s="785">
        <f>yrSales!Q129</f>
        <v>959</v>
      </c>
      <c r="DF64" s="785">
        <f>yrSales!R129</f>
        <v>1012</v>
      </c>
      <c r="DG64" s="785">
        <f>yrSales!S129</f>
        <v>1059</v>
      </c>
      <c r="DH64" s="785">
        <f>yrSales!T129</f>
        <v>1067</v>
      </c>
      <c r="DI64" s="785">
        <f>yrSales!U129</f>
        <v>1039</v>
      </c>
      <c r="DJ64" s="785">
        <f>yrSales!V129</f>
        <v>1027</v>
      </c>
      <c r="DK64" s="785">
        <f>yrSales!W129</f>
        <v>1016</v>
      </c>
      <c r="DL64" s="785">
        <f>yrSales!X129</f>
        <v>1011</v>
      </c>
      <c r="DM64" s="785">
        <f>yrSales!Y129</f>
        <v>1022</v>
      </c>
      <c r="DN64" s="785">
        <f>yrSales!Z129</f>
        <v>1056</v>
      </c>
      <c r="DO64" s="785">
        <f>yrSales!AA129</f>
        <v>1095</v>
      </c>
      <c r="DP64" s="785">
        <f>yrSales!AB129</f>
        <v>1056</v>
      </c>
      <c r="DQ64" s="785">
        <f>yrSales!AC129</f>
        <v>1080</v>
      </c>
      <c r="DR64" s="785">
        <f>yrSales!AD129</f>
        <v>1130</v>
      </c>
      <c r="DS64" s="785">
        <f>yrSales!AE129</f>
        <v>1155</v>
      </c>
      <c r="DT64" s="2125">
        <f>yrSales!AF129</f>
        <v>1185</v>
      </c>
      <c r="DU64" s="1757">
        <f>yrSales!AG129</f>
        <v>1215</v>
      </c>
      <c r="DV64" s="1778">
        <f>yrSales!AH129</f>
        <v>1235</v>
      </c>
      <c r="DW64" s="449"/>
      <c r="EG64" s="736"/>
      <c r="EH64" s="649"/>
    </row>
    <row r="65" spans="1:138">
      <c r="A65" s="1374" t="s">
        <v>264</v>
      </c>
      <c r="B65" s="1040"/>
      <c r="C65" s="1040"/>
      <c r="D65" s="1040"/>
      <c r="E65" s="1040"/>
      <c r="F65" s="1040"/>
      <c r="G65" s="1040"/>
      <c r="H65" s="1040"/>
      <c r="I65" s="1040"/>
      <c r="J65" s="1040"/>
      <c r="K65" s="1040"/>
      <c r="L65" s="1040"/>
      <c r="M65" s="1040"/>
      <c r="N65" s="1040"/>
      <c r="O65" s="1040"/>
      <c r="P65" s="1040"/>
      <c r="Q65" s="1040"/>
      <c r="R65" s="1040"/>
      <c r="S65" s="1040"/>
      <c r="T65" s="1040"/>
      <c r="U65" s="1040"/>
      <c r="V65" s="1040"/>
      <c r="W65" s="1040"/>
      <c r="X65" s="1040"/>
      <c r="Y65" s="1040"/>
      <c r="Z65" s="1040"/>
      <c r="AA65" s="1040"/>
      <c r="AB65" s="1040"/>
      <c r="AC65" s="1040"/>
      <c r="AD65" s="1040"/>
      <c r="AE65" s="1040"/>
      <c r="AF65" s="1040"/>
      <c r="AG65" s="1040"/>
      <c r="AH65" s="1040"/>
      <c r="AI65" s="1040"/>
      <c r="AJ65" s="1040"/>
      <c r="AK65" s="1040"/>
      <c r="AL65" s="1040"/>
      <c r="AM65" s="1040"/>
      <c r="AN65" s="1040"/>
      <c r="AO65" s="1040"/>
      <c r="AP65" s="1040"/>
      <c r="AQ65" s="1040"/>
      <c r="AR65" s="1040"/>
      <c r="AS65" s="1040"/>
      <c r="AT65" s="1040"/>
      <c r="AU65" s="1040"/>
      <c r="AV65" s="1040"/>
      <c r="AW65" s="1040"/>
      <c r="AX65" s="1040"/>
      <c r="AY65" s="1040"/>
      <c r="AZ65" s="1040"/>
      <c r="BA65" s="1040"/>
      <c r="BB65" s="1040"/>
      <c r="BC65" s="1040"/>
      <c r="BD65" s="1040"/>
      <c r="BE65" s="1040"/>
      <c r="BF65" s="1040"/>
      <c r="BG65" s="644"/>
      <c r="BH65" s="1040"/>
      <c r="BI65" s="644"/>
      <c r="BJ65" s="644"/>
      <c r="BK65" s="1040">
        <f>flow!AR22</f>
        <v>557</v>
      </c>
      <c r="BL65" s="644"/>
      <c r="BM65" s="644"/>
      <c r="BN65" s="644"/>
      <c r="BO65" s="644"/>
      <c r="BP65" s="1040"/>
      <c r="BQ65" s="1040"/>
      <c r="BR65" s="1040"/>
      <c r="BS65" s="1040"/>
      <c r="BT65" s="1040"/>
      <c r="BU65" s="1023"/>
      <c r="BV65" s="1023"/>
      <c r="BW65" s="1023"/>
      <c r="BX65" s="1023"/>
      <c r="BY65" s="1040"/>
      <c r="BZ65" s="1023"/>
      <c r="CA65" s="1023"/>
      <c r="CB65" s="1023"/>
      <c r="CC65" s="1023"/>
      <c r="CD65" s="1040"/>
      <c r="CE65" s="1023"/>
      <c r="CF65" s="1023"/>
      <c r="CG65" s="1023"/>
      <c r="CH65" s="1023"/>
      <c r="CI65" s="1023"/>
      <c r="CJ65" s="1381">
        <f>flow!AV22</f>
        <v>659</v>
      </c>
      <c r="CK65" s="1381">
        <f>flow!AX22</f>
        <v>670</v>
      </c>
      <c r="CL65" s="1381">
        <f>flow!AZ22</f>
        <v>714</v>
      </c>
      <c r="CM65" s="1381">
        <f>flow!BB22</f>
        <v>730</v>
      </c>
      <c r="CN65" s="1381"/>
      <c r="CO65" s="1381">
        <f>flow!BD22</f>
        <v>529</v>
      </c>
      <c r="CP65" s="1753">
        <f>flow!BF22</f>
        <v>668</v>
      </c>
      <c r="CQ65" s="786"/>
      <c r="CR65" s="786"/>
      <c r="CS65" s="1567"/>
      <c r="CT65" s="787" t="s">
        <v>30</v>
      </c>
      <c r="CU65" s="786"/>
      <c r="CV65" s="786"/>
      <c r="CW65" s="786"/>
      <c r="CX65" s="786"/>
      <c r="CY65" s="788">
        <v>23.978099999999998</v>
      </c>
      <c r="CZ65" s="788">
        <v>31.373437000000003</v>
      </c>
      <c r="DA65" s="788">
        <v>36.333391999999996</v>
      </c>
      <c r="DB65" s="788">
        <v>37.251519999999999</v>
      </c>
      <c r="DC65" s="788">
        <v>36.518203999999997</v>
      </c>
      <c r="DD65" s="788">
        <v>36.590928999999996</v>
      </c>
      <c r="DE65" s="788">
        <v>37.765228999999998</v>
      </c>
      <c r="DF65" s="788">
        <v>38.9</v>
      </c>
      <c r="DG65" s="788">
        <v>39.6</v>
      </c>
      <c r="DH65" s="788">
        <v>39.5</v>
      </c>
      <c r="DI65" s="788">
        <v>38.799999999999997</v>
      </c>
      <c r="DJ65" s="788">
        <v>38.200000000000003</v>
      </c>
      <c r="DK65" s="788">
        <v>37.200000000000003</v>
      </c>
      <c r="DL65" s="788">
        <v>36.9</v>
      </c>
      <c r="DM65" s="788">
        <v>37.199999999999996</v>
      </c>
      <c r="DN65" s="788">
        <v>38.010000000000005</v>
      </c>
      <c r="DO65" s="788">
        <v>37.9</v>
      </c>
      <c r="DP65" s="1468">
        <v>36.678571428571431</v>
      </c>
      <c r="DQ65" s="1468">
        <v>36.555071428571431</v>
      </c>
      <c r="DR65" s="1468">
        <v>36.653571428571432</v>
      </c>
      <c r="DS65" s="1468">
        <v>36.752071428571426</v>
      </c>
      <c r="DT65" s="2126">
        <v>36.850571428571428</v>
      </c>
      <c r="DU65" s="787">
        <v>36.949071428571429</v>
      </c>
      <c r="DV65" s="1779">
        <v>37.047571428571437</v>
      </c>
      <c r="DW65" s="449"/>
      <c r="EH65" s="649"/>
    </row>
    <row r="66" spans="1:138">
      <c r="A66" s="449"/>
      <c r="B66" s="449"/>
      <c r="C66" s="449"/>
      <c r="D66" s="449"/>
      <c r="E66" s="449"/>
      <c r="F66" s="449"/>
      <c r="G66" s="449"/>
      <c r="H66" s="449"/>
      <c r="I66" s="449"/>
      <c r="J66" s="449"/>
      <c r="K66" s="449"/>
      <c r="L66" s="449"/>
      <c r="M66" s="449"/>
      <c r="N66" s="449"/>
      <c r="O66" s="449"/>
      <c r="P66" s="449"/>
      <c r="Q66" s="449"/>
      <c r="R66" s="449"/>
      <c r="S66" s="449"/>
      <c r="T66" s="449"/>
      <c r="U66" s="449"/>
      <c r="V66" s="449"/>
      <c r="W66" s="449"/>
      <c r="X66" s="449"/>
      <c r="Y66" s="449"/>
      <c r="Z66" s="449"/>
      <c r="AA66" s="449"/>
      <c r="AB66" s="449"/>
      <c r="AC66" s="449"/>
      <c r="AD66" s="449"/>
      <c r="AE66" s="449"/>
      <c r="AF66" s="449"/>
      <c r="AG66" s="449"/>
      <c r="AH66" s="449"/>
      <c r="AI66" s="449"/>
      <c r="AJ66" s="449"/>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449"/>
      <c r="BJ66" s="449"/>
      <c r="BK66" s="449"/>
      <c r="BL66" s="449"/>
      <c r="BM66" s="449"/>
      <c r="BN66" s="449"/>
      <c r="BO66" s="449"/>
      <c r="BP66" s="449"/>
      <c r="BQ66" s="449"/>
      <c r="BR66" s="449"/>
      <c r="BS66" s="449"/>
      <c r="BT66" s="449"/>
      <c r="BY66" s="449"/>
      <c r="CD66" s="1034"/>
      <c r="CE66" s="449"/>
      <c r="CF66" s="449"/>
      <c r="CG66" s="449"/>
      <c r="CH66" s="449"/>
      <c r="CI66" s="449"/>
      <c r="CN66" s="449"/>
      <c r="CO66" s="788"/>
      <c r="CP66" s="789"/>
      <c r="CQ66" s="789"/>
      <c r="CR66" s="789"/>
      <c r="CS66" s="1567"/>
      <c r="CT66" s="787" t="s">
        <v>288</v>
      </c>
      <c r="CU66" s="789"/>
      <c r="CV66" s="789"/>
      <c r="CW66" s="789"/>
      <c r="CX66" s="789"/>
      <c r="CY66" s="790">
        <v>0.27835474756091028</v>
      </c>
      <c r="CZ66" s="790">
        <v>0.30842047535042427</v>
      </c>
      <c r="DA66" s="790">
        <v>0.15809409087056658</v>
      </c>
      <c r="DB66" s="790">
        <v>2.5269537179462898E-2</v>
      </c>
      <c r="DC66" s="790">
        <v>-1.9685532295058095E-2</v>
      </c>
      <c r="DD66" s="790">
        <v>1.9914725269620792E-3</v>
      </c>
      <c r="DE66" s="790">
        <v>3.2092653345860755E-2</v>
      </c>
      <c r="DF66" s="790">
        <v>3.0048037044870135E-2</v>
      </c>
      <c r="DG66" s="790">
        <v>1.799485861182526E-2</v>
      </c>
      <c r="DH66" s="790">
        <v>-2.525252525252597E-3</v>
      </c>
      <c r="DI66" s="790">
        <v>-1.7721518987341867E-2</v>
      </c>
      <c r="DJ66" s="790">
        <v>-1.546391752577303E-2</v>
      </c>
      <c r="DK66" s="790">
        <v>-2.6178010471204161E-2</v>
      </c>
      <c r="DL66" s="790">
        <v>-8.0645161290323619E-3</v>
      </c>
      <c r="DM66" s="790">
        <v>8.1300813008129413E-3</v>
      </c>
      <c r="DN66" s="790">
        <v>2.1774193548387277E-2</v>
      </c>
      <c r="DO66" s="790">
        <v>-2.8939752696660603E-3</v>
      </c>
      <c r="DP66" s="790">
        <v>-3.2227666792310483E-2</v>
      </c>
      <c r="DQ66" s="790">
        <v>-3.3670886075949369E-3</v>
      </c>
      <c r="DR66" s="790">
        <v>2.6945645611025082E-3</v>
      </c>
      <c r="DS66" s="790">
        <v>2.6873233947186659E-3</v>
      </c>
      <c r="DT66" s="746">
        <v>2.680121042740069E-3</v>
      </c>
      <c r="DU66" s="747">
        <v>2.6729571939183572E-3</v>
      </c>
      <c r="DV66" s="1774">
        <v>2.6658315403249588E-3</v>
      </c>
      <c r="DW66" s="449"/>
    </row>
    <row r="67" spans="1:138">
      <c r="A67" s="1375" t="s">
        <v>754</v>
      </c>
      <c r="B67" s="1369"/>
      <c r="C67" s="1369"/>
      <c r="D67" s="1369"/>
      <c r="E67" s="1369"/>
      <c r="F67" s="1369"/>
      <c r="G67" s="1369"/>
      <c r="H67" s="1369"/>
      <c r="I67" s="1369"/>
      <c r="J67" s="1369"/>
      <c r="K67" s="1369"/>
      <c r="L67" s="1369"/>
      <c r="M67" s="1369"/>
      <c r="N67" s="1369"/>
      <c r="O67" s="1369"/>
      <c r="P67" s="1369"/>
      <c r="Q67" s="1369"/>
      <c r="R67" s="1369">
        <v>-1</v>
      </c>
      <c r="S67" s="1369"/>
      <c r="T67" s="1369"/>
      <c r="U67" s="1369"/>
      <c r="V67" s="1369"/>
      <c r="W67" s="1369"/>
      <c r="X67" s="1369"/>
      <c r="Y67" s="1369"/>
      <c r="Z67" s="1369"/>
      <c r="AA67" s="1369"/>
      <c r="AB67" s="1369"/>
      <c r="AC67" s="1369"/>
      <c r="AD67" s="1369"/>
      <c r="AE67" s="1369"/>
      <c r="AF67" s="1369"/>
      <c r="AG67" s="1369"/>
      <c r="AH67" s="1369"/>
      <c r="AI67" s="1369"/>
      <c r="AJ67" s="1369"/>
      <c r="AK67" s="1369"/>
      <c r="AL67" s="1369"/>
      <c r="AM67" s="1369"/>
      <c r="AN67" s="1369"/>
      <c r="AO67" s="1369"/>
      <c r="AP67" s="1369"/>
      <c r="AQ67" s="1369"/>
      <c r="AR67" s="1369"/>
      <c r="AS67" s="1369"/>
      <c r="AT67" s="1369"/>
      <c r="AU67" s="1369"/>
      <c r="AV67" s="1369"/>
      <c r="AW67" s="1369"/>
      <c r="AX67" s="1369"/>
      <c r="AY67" s="1369"/>
      <c r="AZ67" s="1369"/>
      <c r="BA67" s="1369"/>
      <c r="BB67" s="1369"/>
      <c r="BC67" s="1369"/>
      <c r="BD67" s="1369"/>
      <c r="BE67" s="1369"/>
      <c r="BF67" s="1369"/>
      <c r="BG67" s="1369"/>
      <c r="BH67" s="1369"/>
      <c r="BI67" s="1369"/>
      <c r="BJ67" s="1369"/>
      <c r="BK67" s="1369"/>
      <c r="BL67" s="1369"/>
      <c r="BM67" s="1369"/>
      <c r="BN67" s="1369"/>
      <c r="BO67" s="1369"/>
      <c r="BP67" s="1369" t="s">
        <v>265</v>
      </c>
      <c r="BQ67" s="1369" t="s">
        <v>125</v>
      </c>
      <c r="BR67" s="1369" t="s">
        <v>266</v>
      </c>
      <c r="BS67" s="1369" t="s">
        <v>267</v>
      </c>
      <c r="BT67" s="1369"/>
      <c r="BU67" s="1369"/>
      <c r="BV67" s="1369"/>
      <c r="BW67" s="1369"/>
      <c r="BX67" s="1369"/>
      <c r="BY67" s="1369"/>
      <c r="BZ67" s="1370"/>
      <c r="CA67" s="1370"/>
      <c r="CB67" s="1370"/>
      <c r="CC67" s="1370"/>
      <c r="CD67" s="1369"/>
      <c r="CE67" s="1371" t="s">
        <v>720</v>
      </c>
      <c r="CF67" s="1371" t="s">
        <v>719</v>
      </c>
      <c r="CG67" s="1371" t="s">
        <v>718</v>
      </c>
      <c r="CH67" s="1371" t="s">
        <v>717</v>
      </c>
      <c r="CI67" s="1369"/>
      <c r="CJ67" s="1371" t="s">
        <v>702</v>
      </c>
      <c r="CK67" s="1371" t="s">
        <v>703</v>
      </c>
      <c r="CL67" s="1371" t="s">
        <v>704</v>
      </c>
      <c r="CM67" s="1372" t="s">
        <v>705</v>
      </c>
      <c r="CN67" s="449"/>
      <c r="CO67" s="786"/>
      <c r="CP67" s="784"/>
      <c r="CQ67" s="784"/>
      <c r="CR67" s="784"/>
      <c r="CS67" s="1567"/>
      <c r="CT67" s="791" t="s">
        <v>262</v>
      </c>
      <c r="CU67" s="784"/>
      <c r="CV67" s="784"/>
      <c r="CW67" s="784"/>
      <c r="CX67" s="784"/>
      <c r="CY67" s="785">
        <v>7945.0298210735573</v>
      </c>
      <c r="CZ67" s="785">
        <v>11015.95400280899</v>
      </c>
      <c r="DA67" s="785">
        <v>11731.802389409106</v>
      </c>
      <c r="DB67" s="785">
        <v>11951.081167789542</v>
      </c>
      <c r="DC67" s="785">
        <v>12084.117802779616</v>
      </c>
      <c r="DD67" s="785">
        <v>12221.419171676685</v>
      </c>
      <c r="DE67" s="785">
        <v>12369.875204716671</v>
      </c>
      <c r="DF67" s="785">
        <v>12424.145640370489</v>
      </c>
      <c r="DG67" s="785">
        <v>12503.946952952321</v>
      </c>
      <c r="DH67" s="785">
        <v>12543.664655446173</v>
      </c>
      <c r="DI67" s="785">
        <v>12536.348949919224</v>
      </c>
      <c r="DJ67" s="785">
        <v>12451.108213820078</v>
      </c>
      <c r="DK67" s="785">
        <v>12252.96442687747</v>
      </c>
      <c r="DL67" s="785">
        <v>11922.455573505655</v>
      </c>
      <c r="DM67" s="785">
        <v>11757.269279393173</v>
      </c>
      <c r="DN67" s="785">
        <v>11588.414634146344</v>
      </c>
      <c r="DO67" s="785">
        <v>11572.519083969464</v>
      </c>
      <c r="DP67" s="785">
        <v>11462.053571428572</v>
      </c>
      <c r="DQ67" s="785">
        <v>11488.080272963995</v>
      </c>
      <c r="DR67" s="785">
        <v>11647.146942666486</v>
      </c>
      <c r="DS67" s="785">
        <v>11659.921138506163</v>
      </c>
      <c r="DT67" s="2125">
        <v>11672.654871261142</v>
      </c>
      <c r="DU67" s="1757">
        <v>11685.34833288154</v>
      </c>
      <c r="DV67" s="1778">
        <v>11698.001714105285</v>
      </c>
      <c r="DW67" s="449"/>
    </row>
    <row r="68" spans="1:138">
      <c r="A68" s="787" t="s">
        <v>664</v>
      </c>
      <c r="B68" s="788"/>
      <c r="C68" s="788"/>
      <c r="D68" s="788"/>
      <c r="E68" s="788"/>
      <c r="F68" s="788"/>
      <c r="G68" s="788"/>
      <c r="H68" s="788"/>
      <c r="I68" s="788"/>
      <c r="J68" s="788"/>
      <c r="K68" s="788"/>
      <c r="L68" s="788"/>
      <c r="M68" s="788"/>
      <c r="N68" s="788"/>
      <c r="O68" s="788"/>
      <c r="P68" s="788"/>
      <c r="Q68" s="788"/>
      <c r="R68" s="788">
        <v>11731.802389409106</v>
      </c>
      <c r="S68" s="788"/>
      <c r="T68" s="788"/>
      <c r="U68" s="788"/>
      <c r="V68" s="788"/>
      <c r="W68" s="788"/>
      <c r="X68" s="788"/>
      <c r="Y68" s="788"/>
      <c r="Z68" s="788"/>
      <c r="AA68" s="788"/>
      <c r="AB68" s="788"/>
      <c r="AC68" s="788"/>
      <c r="AD68" s="788"/>
      <c r="AE68" s="788"/>
      <c r="AF68" s="788"/>
      <c r="AG68" s="788"/>
      <c r="AH68" s="788"/>
      <c r="AI68" s="788"/>
      <c r="AJ68" s="788"/>
      <c r="AK68" s="788"/>
      <c r="AL68" s="788"/>
      <c r="AM68" s="788"/>
      <c r="AN68" s="788"/>
      <c r="AO68" s="788"/>
      <c r="AP68" s="788"/>
      <c r="AQ68" s="788"/>
      <c r="AR68" s="788"/>
      <c r="AS68" s="788"/>
      <c r="AT68" s="788"/>
      <c r="AU68" s="788"/>
      <c r="AV68" s="788"/>
      <c r="AW68" s="788"/>
      <c r="AX68" s="788"/>
      <c r="AY68" s="788"/>
      <c r="AZ68" s="788"/>
      <c r="BA68" s="788"/>
      <c r="BB68" s="788"/>
      <c r="BC68" s="788"/>
      <c r="BD68" s="788"/>
      <c r="BE68" s="788"/>
      <c r="BF68" s="788"/>
      <c r="BG68" s="788"/>
      <c r="BH68" s="788"/>
      <c r="BI68" s="788"/>
      <c r="BJ68" s="788"/>
      <c r="BK68" s="788"/>
      <c r="BL68" s="788"/>
      <c r="BM68" s="788"/>
      <c r="BN68" s="788"/>
      <c r="BO68" s="788"/>
      <c r="BP68" s="788">
        <f>(BP36-BK36)*10000</f>
        <v>-14.293715264979689</v>
      </c>
      <c r="BQ68" s="788">
        <f t="shared" ref="BQ68:BS70" si="62">(BQ36-BL36)*10000</f>
        <v>296.98346544182351</v>
      </c>
      <c r="BR68" s="788">
        <f t="shared" si="62"/>
        <v>457.39884092621975</v>
      </c>
      <c r="BS68" s="788">
        <f t="shared" si="62"/>
        <v>478.31923180977566</v>
      </c>
      <c r="BT68" s="788"/>
      <c r="BU68" s="788"/>
      <c r="BV68" s="788"/>
      <c r="BW68" s="788"/>
      <c r="BX68" s="788"/>
      <c r="BY68" s="788"/>
      <c r="BZ68" s="7"/>
      <c r="CA68" s="7"/>
      <c r="CB68" s="7"/>
      <c r="CC68" s="7"/>
      <c r="CD68" s="788"/>
      <c r="CE68" s="1376">
        <f>(CE36-BZ36)*10000</f>
        <v>-80.808502369086881</v>
      </c>
      <c r="CF68" s="1376">
        <f t="shared" ref="CF68:CH68" si="63">(CF36-CA36)*10000</f>
        <v>-170.0560989481975</v>
      </c>
      <c r="CG68" s="1376">
        <f t="shared" si="63"/>
        <v>-269.09914644930865</v>
      </c>
      <c r="CH68" s="1376">
        <f t="shared" si="63"/>
        <v>-224.05977743310822</v>
      </c>
      <c r="CI68" s="788"/>
      <c r="CJ68" s="1376">
        <f>(CJ36-CE36)*10000</f>
        <v>-287.08479900127037</v>
      </c>
      <c r="CK68" s="1376">
        <f t="shared" ref="CK68:CK70" si="64">(CK36-CF36)*10000</f>
        <v>-0.7154658808711245</v>
      </c>
      <c r="CL68" s="1376">
        <f t="shared" ref="CL68:CL70" si="65">(CL36-CG36)*10000</f>
        <v>163.55782958512975</v>
      </c>
      <c r="CM68" s="1377">
        <f t="shared" ref="CM68:CM70" si="66">(CM36-CH36)*10000</f>
        <v>91.421395163472368</v>
      </c>
      <c r="CN68" s="449"/>
      <c r="CO68" s="784"/>
      <c r="CP68" s="788"/>
      <c r="CQ68" s="788"/>
      <c r="CR68" s="788"/>
      <c r="CS68" s="1567"/>
      <c r="CT68" s="792" t="s">
        <v>739</v>
      </c>
      <c r="CU68" s="788"/>
      <c r="CV68" s="788"/>
      <c r="CW68" s="788"/>
      <c r="CX68" s="788"/>
      <c r="CY68" s="788">
        <v>544.53589672189844</v>
      </c>
      <c r="CZ68" s="788">
        <v>494.05890933073817</v>
      </c>
      <c r="DA68" s="788">
        <v>409.05395229778077</v>
      </c>
      <c r="DB68" s="788">
        <v>392.87154410132331</v>
      </c>
      <c r="DC68" s="788">
        <v>429.81833577146097</v>
      </c>
      <c r="DD68" s="788">
        <v>445.01693105839473</v>
      </c>
      <c r="DE68" s="793">
        <v>414.98593835361964</v>
      </c>
      <c r="DF68" s="793">
        <v>396.34656279445801</v>
      </c>
      <c r="DG68" s="793">
        <v>378.59872611464971</v>
      </c>
      <c r="DH68" s="793">
        <v>343.18584070796464</v>
      </c>
      <c r="DI68" s="793">
        <v>338.85057471264366</v>
      </c>
      <c r="DJ68" s="793">
        <v>353.53246753246754</v>
      </c>
      <c r="DK68" s="793">
        <v>350.15915119363393</v>
      </c>
      <c r="DL68" s="793">
        <v>374.73684210526318</v>
      </c>
      <c r="DM68" s="793">
        <v>374.79082321187587</v>
      </c>
      <c r="DN68" s="793">
        <v>370.48264858396487</v>
      </c>
      <c r="DO68" s="793">
        <v>349.91437228296667</v>
      </c>
      <c r="DP68" s="793">
        <v>346.10343836797244</v>
      </c>
      <c r="DQ68" s="793">
        <v>358.15362962572823</v>
      </c>
      <c r="DR68" s="793">
        <v>345.62677796630174</v>
      </c>
      <c r="DS68" s="793">
        <v>337.88710817190969</v>
      </c>
      <c r="DT68" s="2127">
        <v>330.24490271874936</v>
      </c>
      <c r="DU68" s="1758">
        <v>322.68164276109434</v>
      </c>
      <c r="DV68" s="1780">
        <v>315.17892833963498</v>
      </c>
      <c r="DW68" s="449"/>
    </row>
    <row r="69" spans="1:138">
      <c r="A69" s="787" t="s">
        <v>18</v>
      </c>
      <c r="B69" s="788"/>
      <c r="C69" s="788"/>
      <c r="D69" s="788"/>
      <c r="E69" s="788"/>
      <c r="F69" s="788"/>
      <c r="G69" s="788"/>
      <c r="H69" s="788"/>
      <c r="I69" s="788"/>
      <c r="J69" s="788"/>
      <c r="K69" s="788"/>
      <c r="L69" s="788"/>
      <c r="M69" s="788"/>
      <c r="N69" s="788"/>
      <c r="O69" s="788"/>
      <c r="P69" s="788"/>
      <c r="Q69" s="788"/>
      <c r="R69" s="788"/>
      <c r="S69" s="788"/>
      <c r="T69" s="788"/>
      <c r="U69" s="788"/>
      <c r="V69" s="788"/>
      <c r="W69" s="788"/>
      <c r="X69" s="788"/>
      <c r="Y69" s="788"/>
      <c r="Z69" s="788"/>
      <c r="AA69" s="788"/>
      <c r="AB69" s="788"/>
      <c r="AC69" s="788"/>
      <c r="AD69" s="788"/>
      <c r="AE69" s="788"/>
      <c r="AF69" s="788"/>
      <c r="AG69" s="788"/>
      <c r="AH69" s="788"/>
      <c r="AI69" s="788"/>
      <c r="AJ69" s="788"/>
      <c r="AK69" s="788"/>
      <c r="AL69" s="788"/>
      <c r="AM69" s="788"/>
      <c r="AN69" s="788"/>
      <c r="AO69" s="788"/>
      <c r="AP69" s="788"/>
      <c r="AQ69" s="788"/>
      <c r="AR69" s="788"/>
      <c r="AS69" s="788"/>
      <c r="AT69" s="788"/>
      <c r="AU69" s="788"/>
      <c r="AV69" s="788"/>
      <c r="AW69" s="788"/>
      <c r="AX69" s="788"/>
      <c r="AY69" s="788"/>
      <c r="AZ69" s="788"/>
      <c r="BA69" s="788"/>
      <c r="BB69" s="788"/>
      <c r="BC69" s="788"/>
      <c r="BD69" s="788"/>
      <c r="BE69" s="788"/>
      <c r="BF69" s="788"/>
      <c r="BG69" s="788"/>
      <c r="BH69" s="788"/>
      <c r="BI69" s="788"/>
      <c r="BJ69" s="788"/>
      <c r="BK69" s="788"/>
      <c r="BL69" s="788"/>
      <c r="BM69" s="788"/>
      <c r="BN69" s="788"/>
      <c r="BO69" s="788"/>
      <c r="BP69" s="788">
        <f>(BP37-BK37)*10000</f>
        <v>24.399318866129004</v>
      </c>
      <c r="BQ69" s="788">
        <f t="shared" si="62"/>
        <v>94.586925183499091</v>
      </c>
      <c r="BR69" s="788">
        <f t="shared" si="62"/>
        <v>76.775643857688863</v>
      </c>
      <c r="BS69" s="788">
        <f t="shared" si="62"/>
        <v>72.795239454123418</v>
      </c>
      <c r="BT69" s="788"/>
      <c r="BU69" s="788"/>
      <c r="BV69" s="788"/>
      <c r="BW69" s="788"/>
      <c r="BX69" s="788"/>
      <c r="BY69" s="788"/>
      <c r="BZ69" s="7"/>
      <c r="CA69" s="7"/>
      <c r="CB69" s="7"/>
      <c r="CC69" s="7"/>
      <c r="CD69" s="788"/>
      <c r="CE69" s="1376">
        <f>(CE37-BZ37)*10000</f>
        <v>7.4230965028626583</v>
      </c>
      <c r="CF69" s="1376">
        <f t="shared" ref="CF69:CH69" si="67">(CF37-CA37)*10000</f>
        <v>-3.3251840547371403</v>
      </c>
      <c r="CG69" s="1376">
        <f t="shared" si="67"/>
        <v>18.586157027112861</v>
      </c>
      <c r="CH69" s="1376">
        <f t="shared" si="67"/>
        <v>11.72850210563764</v>
      </c>
      <c r="CI69" s="788"/>
      <c r="CJ69" s="1376">
        <f>(CJ37-CE37)*10000</f>
        <v>152.78022354030918</v>
      </c>
      <c r="CK69" s="1376">
        <f t="shared" si="64"/>
        <v>44.857179287089991</v>
      </c>
      <c r="CL69" s="1376">
        <f t="shared" si="65"/>
        <v>170.05661727451493</v>
      </c>
      <c r="CM69" s="1377">
        <f t="shared" si="66"/>
        <v>224.21209026338013</v>
      </c>
      <c r="CN69" s="449"/>
      <c r="CO69" s="784"/>
      <c r="CP69" s="784"/>
      <c r="CQ69" s="784"/>
      <c r="CR69" s="784"/>
      <c r="CS69" s="1567"/>
      <c r="CT69" s="794" t="s">
        <v>740</v>
      </c>
      <c r="CU69" s="795"/>
      <c r="CV69" s="795"/>
      <c r="CW69" s="795"/>
      <c r="CX69" s="795"/>
      <c r="CY69" s="796"/>
      <c r="CZ69" s="796"/>
      <c r="DA69" s="796"/>
      <c r="DB69" s="796"/>
      <c r="DC69" s="796"/>
      <c r="DD69" s="796"/>
      <c r="DE69" s="797">
        <v>430.98999278580266</v>
      </c>
      <c r="DF69" s="797">
        <v>415.39039816864044</v>
      </c>
      <c r="DG69" s="797">
        <v>401.60509554140128</v>
      </c>
      <c r="DH69" s="797">
        <v>367.28192161820482</v>
      </c>
      <c r="DI69" s="797">
        <v>362.6309067688378</v>
      </c>
      <c r="DJ69" s="797">
        <v>380.88311688311688</v>
      </c>
      <c r="DK69" s="797">
        <v>385.91511936339521</v>
      </c>
      <c r="DL69" s="797">
        <v>422.42914979757086</v>
      </c>
      <c r="DM69" s="797">
        <v>435.84345479082327</v>
      </c>
      <c r="DN69" s="797">
        <v>437.04294641669986</v>
      </c>
      <c r="DO69" s="797">
        <v>416.20339876169152</v>
      </c>
      <c r="DP69" s="797">
        <v>416.09807489704053</v>
      </c>
      <c r="DQ69" s="797">
        <v>432.99771475053916</v>
      </c>
      <c r="DR69" s="797">
        <v>424.23990375843596</v>
      </c>
      <c r="DS69" s="797">
        <v>420.20936607053369</v>
      </c>
      <c r="DT69" s="2128">
        <v>416.45191824589949</v>
      </c>
      <c r="DU69" s="1759">
        <v>412.95738294730069</v>
      </c>
      <c r="DV69" s="1781">
        <v>409.71609899387499</v>
      </c>
      <c r="DW69" s="449"/>
    </row>
    <row r="70" spans="1:138">
      <c r="A70" s="1374" t="s">
        <v>666</v>
      </c>
      <c r="B70" s="643"/>
      <c r="C70" s="1040"/>
      <c r="D70" s="1040"/>
      <c r="E70" s="1040"/>
      <c r="F70" s="1040"/>
      <c r="G70" s="1040"/>
      <c r="H70" s="1040"/>
      <c r="I70" s="1040"/>
      <c r="J70" s="1040"/>
      <c r="K70" s="1040"/>
      <c r="L70" s="1040"/>
      <c r="M70" s="1040"/>
      <c r="N70" s="1040"/>
      <c r="O70" s="1040"/>
      <c r="P70" s="1040"/>
      <c r="Q70" s="643"/>
      <c r="R70" s="1040"/>
      <c r="S70" s="1040"/>
      <c r="T70" s="1040"/>
      <c r="U70" s="1040"/>
      <c r="V70" s="644"/>
      <c r="W70" s="1040"/>
      <c r="X70" s="1040"/>
      <c r="Y70" s="1040"/>
      <c r="Z70" s="1040"/>
      <c r="AA70" s="644"/>
      <c r="AB70" s="1040"/>
      <c r="AC70" s="644"/>
      <c r="AD70" s="1040"/>
      <c r="AE70" s="1040"/>
      <c r="AF70" s="644"/>
      <c r="AG70" s="1040"/>
      <c r="AH70" s="644"/>
      <c r="AI70" s="1040"/>
      <c r="AJ70" s="1040"/>
      <c r="AK70" s="1040"/>
      <c r="AL70" s="1040"/>
      <c r="AM70" s="644"/>
      <c r="AN70" s="1040"/>
      <c r="AO70" s="1040"/>
      <c r="AP70" s="1040"/>
      <c r="AQ70" s="1040"/>
      <c r="AR70" s="1040"/>
      <c r="AS70" s="1040"/>
      <c r="AT70" s="1040"/>
      <c r="AU70" s="1040"/>
      <c r="AV70" s="644"/>
      <c r="AW70" s="1040"/>
      <c r="AX70" s="1040"/>
      <c r="AY70" s="1040"/>
      <c r="AZ70" s="1040"/>
      <c r="BA70" s="1040"/>
      <c r="BB70" s="1040"/>
      <c r="BC70" s="1040"/>
      <c r="BD70" s="1040"/>
      <c r="BE70" s="1040"/>
      <c r="BF70" s="1040"/>
      <c r="BG70" s="1040"/>
      <c r="BH70" s="644"/>
      <c r="BI70" s="1040"/>
      <c r="BJ70" s="1040"/>
      <c r="BK70" s="644"/>
      <c r="BL70" s="1040"/>
      <c r="BM70" s="1040"/>
      <c r="BN70" s="1040"/>
      <c r="BO70" s="1040"/>
      <c r="BP70" s="1040">
        <f>(BP38-BK38)*10000</f>
        <v>-38.693034131108277</v>
      </c>
      <c r="BQ70" s="1040">
        <f t="shared" si="62"/>
        <v>202.39654025832402</v>
      </c>
      <c r="BR70" s="1040">
        <f t="shared" si="62"/>
        <v>380.62319706853089</v>
      </c>
      <c r="BS70" s="1040">
        <f t="shared" si="62"/>
        <v>405.52399235565252</v>
      </c>
      <c r="BT70" s="1040"/>
      <c r="BU70" s="1040"/>
      <c r="BV70" s="1040"/>
      <c r="BW70" s="1040"/>
      <c r="BX70" s="1040"/>
      <c r="BY70" s="1040"/>
      <c r="BZ70" s="1023"/>
      <c r="CA70" s="1023"/>
      <c r="CB70" s="1023"/>
      <c r="CC70" s="1023"/>
      <c r="CD70" s="1040"/>
      <c r="CE70" s="1378">
        <f>(CE38-BZ38)*10000</f>
        <v>-88.231598871950084</v>
      </c>
      <c r="CF70" s="1378">
        <f t="shared" ref="CF70:CH70" si="68">(CF38-CA38)*10000</f>
        <v>-166.73091489346078</v>
      </c>
      <c r="CG70" s="1378">
        <f t="shared" si="68"/>
        <v>-287.68530347642206</v>
      </c>
      <c r="CH70" s="1378">
        <f t="shared" si="68"/>
        <v>-235.78827953874574</v>
      </c>
      <c r="CI70" s="1733"/>
      <c r="CJ70" s="1378">
        <f>(CJ38-CE38)*10000</f>
        <v>-439.86502254157926</v>
      </c>
      <c r="CK70" s="1378">
        <f t="shared" si="64"/>
        <v>-45.572645167960694</v>
      </c>
      <c r="CL70" s="1378">
        <f t="shared" si="65"/>
        <v>-6.4987876893846108</v>
      </c>
      <c r="CM70" s="1379">
        <f t="shared" si="66"/>
        <v>-132.79069509990777</v>
      </c>
      <c r="CN70" s="449"/>
      <c r="CO70" s="449"/>
      <c r="CP70" s="449"/>
      <c r="CQ70" s="449"/>
      <c r="CR70" s="449"/>
      <c r="CS70" s="1567"/>
      <c r="CT70" s="1567"/>
      <c r="CU70" s="1567"/>
      <c r="CV70" s="1567"/>
      <c r="CW70" s="1567"/>
      <c r="CX70" s="449"/>
      <c r="CY70" s="449"/>
      <c r="CZ70" s="449"/>
      <c r="DA70" s="449"/>
      <c r="DB70" s="449"/>
      <c r="DC70" s="449"/>
      <c r="DD70" s="449"/>
      <c r="DE70" s="449"/>
      <c r="DF70" s="449"/>
      <c r="DG70" s="449"/>
      <c r="DH70" s="449"/>
      <c r="DI70" s="449"/>
      <c r="DJ70" s="449"/>
      <c r="DK70" s="449"/>
      <c r="DL70" s="449"/>
      <c r="DM70" s="449"/>
      <c r="DN70" s="449"/>
      <c r="DO70" s="449"/>
      <c r="DP70" s="449"/>
      <c r="DQ70" s="449"/>
      <c r="DR70" s="449"/>
      <c r="DS70" s="1034"/>
      <c r="DT70" s="788"/>
      <c r="DU70" s="1034"/>
      <c r="DV70" s="69"/>
      <c r="DW70" s="449"/>
    </row>
    <row r="71" spans="1:138">
      <c r="B71" s="449"/>
      <c r="C71" s="449"/>
      <c r="D71" s="449"/>
      <c r="E71" s="449"/>
      <c r="F71" s="449"/>
      <c r="G71" s="449"/>
      <c r="H71" s="449"/>
      <c r="I71" s="449"/>
      <c r="J71" s="449"/>
      <c r="K71" s="449"/>
      <c r="L71" s="449"/>
      <c r="M71" s="449"/>
      <c r="N71" s="449"/>
      <c r="O71" s="449"/>
      <c r="P71" s="449"/>
      <c r="Q71" s="449"/>
      <c r="R71" s="449"/>
      <c r="S71" s="449"/>
      <c r="T71" s="449"/>
      <c r="U71" s="449"/>
      <c r="V71" s="449"/>
      <c r="W71" s="449"/>
      <c r="X71" s="449"/>
      <c r="Y71" s="449"/>
      <c r="Z71" s="449"/>
      <c r="AA71" s="449"/>
      <c r="AC71" s="449"/>
      <c r="AD71" s="449"/>
      <c r="AE71" s="449"/>
      <c r="AF71" s="449"/>
      <c r="AH71" s="449"/>
      <c r="AI71" s="449"/>
      <c r="AJ71" s="449"/>
      <c r="AK71" s="449"/>
      <c r="AM71" s="449"/>
      <c r="AN71" s="449"/>
      <c r="AO71" s="449"/>
      <c r="AP71" s="449"/>
      <c r="AQ71" s="449"/>
      <c r="AS71" s="449"/>
      <c r="AT71" s="449"/>
      <c r="AU71" s="449"/>
      <c r="AV71" s="449"/>
      <c r="AW71" s="449"/>
      <c r="AX71" s="449"/>
      <c r="AY71" s="449"/>
      <c r="AZ71" s="449"/>
      <c r="BB71" s="449"/>
      <c r="BC71" s="449"/>
      <c r="BD71" s="449"/>
      <c r="BE71" s="449"/>
      <c r="BF71" s="449"/>
      <c r="BG71" s="449"/>
      <c r="BH71" s="449"/>
      <c r="BI71" s="449"/>
      <c r="BJ71" s="449"/>
      <c r="BK71" s="449"/>
      <c r="BL71" s="449"/>
      <c r="BM71" s="449"/>
      <c r="BN71" s="449"/>
      <c r="BO71" s="449"/>
      <c r="BP71" s="449"/>
      <c r="BQ71" s="449"/>
      <c r="BR71" s="449"/>
      <c r="BS71" s="449"/>
      <c r="BT71" s="449"/>
      <c r="BU71" s="449"/>
      <c r="BV71" s="449"/>
      <c r="BW71" s="449"/>
      <c r="BX71" s="449"/>
      <c r="BY71" s="449"/>
      <c r="BZ71" s="449"/>
      <c r="CA71" s="449"/>
      <c r="CB71" s="449"/>
      <c r="CC71" s="449"/>
      <c r="CD71" s="1034"/>
      <c r="CE71" s="449"/>
      <c r="CF71" s="449"/>
      <c r="CG71" s="449"/>
      <c r="CH71" s="449"/>
      <c r="CI71" s="449"/>
      <c r="CN71" s="449"/>
      <c r="CO71" s="449"/>
      <c r="CP71" s="449"/>
      <c r="CQ71" s="449"/>
      <c r="CR71" s="449"/>
      <c r="CS71" s="1567"/>
      <c r="CT71" s="1567"/>
      <c r="CU71" s="1567"/>
      <c r="CV71" s="1567"/>
      <c r="CW71" s="1567"/>
      <c r="CX71" s="449"/>
      <c r="CY71" s="449"/>
      <c r="CZ71" s="449"/>
      <c r="DA71" s="449"/>
      <c r="DB71" s="449"/>
      <c r="DC71" s="449"/>
      <c r="DD71" s="449"/>
      <c r="DE71" s="449"/>
      <c r="DF71" s="449"/>
      <c r="DG71" s="449"/>
      <c r="DH71" s="449"/>
      <c r="DI71" s="449"/>
      <c r="DJ71" s="449"/>
      <c r="DK71" s="449"/>
      <c r="DL71" s="449"/>
      <c r="DM71" s="449"/>
      <c r="DN71" s="449"/>
      <c r="DO71" s="449"/>
      <c r="DP71" s="449"/>
      <c r="DQ71" s="449"/>
      <c r="DR71" s="449"/>
      <c r="DS71" s="1034"/>
      <c r="DT71" s="788"/>
      <c r="DU71" s="1034"/>
      <c r="DV71" s="69"/>
      <c r="DW71" s="449"/>
    </row>
    <row r="72" spans="1:138">
      <c r="B72" s="449"/>
      <c r="C72" s="449"/>
      <c r="D72" s="449"/>
      <c r="E72" s="449"/>
      <c r="F72" s="449"/>
      <c r="G72" s="449"/>
      <c r="H72" s="449"/>
      <c r="I72" s="449"/>
      <c r="J72" s="449"/>
      <c r="K72" s="449"/>
      <c r="L72" s="449"/>
      <c r="M72" s="449"/>
      <c r="N72" s="449"/>
      <c r="O72" s="449"/>
      <c r="P72" s="449"/>
      <c r="Q72" s="449"/>
      <c r="R72" s="449">
        <v>409.05395229778077</v>
      </c>
      <c r="S72" s="449"/>
      <c r="T72" s="449"/>
      <c r="U72" s="449"/>
      <c r="V72" s="449"/>
      <c r="W72" s="449"/>
      <c r="X72" s="449"/>
      <c r="Y72" s="449"/>
      <c r="Z72" s="449"/>
      <c r="AA72" s="449"/>
      <c r="AC72" s="449"/>
      <c r="AD72" s="449"/>
      <c r="AE72" s="449"/>
      <c r="AF72" s="449"/>
      <c r="AH72" s="449"/>
      <c r="AI72" s="449"/>
      <c r="AJ72" s="449"/>
      <c r="AK72" s="449"/>
      <c r="AM72" s="449"/>
      <c r="AN72" s="449"/>
      <c r="AO72" s="449"/>
      <c r="AP72" s="449"/>
      <c r="AQ72" s="449"/>
      <c r="AS72" s="449"/>
      <c r="AT72" s="449"/>
      <c r="AU72" s="449"/>
      <c r="AV72" s="449"/>
      <c r="AW72" s="449"/>
      <c r="AX72" s="449"/>
      <c r="AY72" s="449"/>
      <c r="AZ72" s="449"/>
      <c r="BB72" s="449"/>
      <c r="BC72" s="449"/>
      <c r="BD72" s="449"/>
      <c r="BE72" s="449"/>
      <c r="BF72" s="449"/>
      <c r="BG72" s="449"/>
      <c r="BH72" s="449"/>
      <c r="BI72" s="449"/>
      <c r="BJ72" s="449"/>
      <c r="BK72" s="449"/>
      <c r="BL72" s="449"/>
      <c r="BM72" s="449"/>
      <c r="BN72" s="449"/>
      <c r="BO72" s="449"/>
      <c r="BP72" s="449"/>
      <c r="BQ72" s="449"/>
      <c r="BR72" s="449"/>
      <c r="BS72" s="449"/>
      <c r="BT72" s="449"/>
      <c r="BU72" s="449"/>
      <c r="BV72" s="449"/>
      <c r="BW72" s="449"/>
      <c r="BX72" s="449"/>
      <c r="BY72" s="449"/>
      <c r="BZ72" s="449"/>
      <c r="CA72" s="449"/>
      <c r="CB72" s="449"/>
      <c r="CC72" s="449"/>
      <c r="CD72" s="1034"/>
      <c r="CE72" s="449"/>
      <c r="CF72" s="449"/>
      <c r="CG72" s="449"/>
      <c r="CH72" s="449"/>
      <c r="CI72" s="449"/>
      <c r="CN72" s="449"/>
      <c r="CO72" s="449"/>
      <c r="CP72" s="449"/>
      <c r="CQ72" s="449"/>
      <c r="CR72" s="449"/>
      <c r="CS72" s="1567"/>
      <c r="CT72" s="1567"/>
      <c r="CU72" s="1567"/>
      <c r="CV72" s="1567"/>
      <c r="CW72" s="1567"/>
      <c r="CX72" s="449"/>
      <c r="CY72" s="449"/>
      <c r="CZ72" s="449"/>
      <c r="DA72" s="449"/>
      <c r="DB72" s="449"/>
      <c r="DC72" s="449"/>
      <c r="DD72" s="449"/>
      <c r="DE72" s="449"/>
      <c r="DF72" s="449"/>
      <c r="DG72" s="449"/>
      <c r="DH72" s="449"/>
      <c r="DI72" s="449"/>
      <c r="DJ72" s="449"/>
      <c r="DK72" s="449"/>
      <c r="DL72" s="449"/>
      <c r="DM72" s="449"/>
      <c r="DN72" s="449"/>
      <c r="DO72" s="449"/>
      <c r="DP72" s="449"/>
      <c r="DQ72" s="449"/>
      <c r="DR72" s="449"/>
      <c r="DS72" s="1034"/>
      <c r="DT72" s="788"/>
      <c r="DU72" s="1034"/>
      <c r="DV72" s="69"/>
      <c r="DW72" s="449"/>
    </row>
    <row r="73" spans="1:138">
      <c r="B73" s="449"/>
      <c r="C73" s="449"/>
      <c r="D73" s="449"/>
      <c r="E73" s="449"/>
      <c r="F73" s="449"/>
      <c r="G73" s="449"/>
      <c r="H73" s="449"/>
      <c r="I73" s="449"/>
      <c r="J73" s="449"/>
      <c r="K73" s="449"/>
      <c r="L73" s="449"/>
      <c r="M73" s="449"/>
      <c r="N73" s="449"/>
      <c r="O73" s="449"/>
      <c r="P73" s="449"/>
      <c r="Q73" s="449"/>
      <c r="R73" s="449"/>
      <c r="S73" s="449"/>
      <c r="T73" s="449"/>
      <c r="U73" s="449"/>
      <c r="V73" s="449"/>
      <c r="W73" s="449"/>
      <c r="X73" s="449"/>
      <c r="Y73" s="449"/>
      <c r="Z73" s="449"/>
      <c r="AA73" s="449"/>
      <c r="AC73" s="449"/>
      <c r="AD73" s="449"/>
      <c r="AE73" s="449"/>
      <c r="AF73" s="449"/>
      <c r="AH73" s="449"/>
      <c r="AI73" s="449"/>
      <c r="AJ73" s="449"/>
      <c r="AK73" s="449"/>
      <c r="AM73" s="449"/>
      <c r="AN73" s="449"/>
      <c r="AO73" s="449"/>
      <c r="AP73" s="449"/>
      <c r="AQ73" s="449"/>
      <c r="AS73" s="449"/>
      <c r="AT73" s="449"/>
      <c r="AU73" s="449"/>
      <c r="AV73" s="449"/>
      <c r="AW73" s="449"/>
      <c r="AX73" s="449"/>
      <c r="AY73" s="449"/>
      <c r="AZ73" s="449"/>
      <c r="BB73" s="449"/>
      <c r="BC73" s="449"/>
      <c r="BD73" s="449"/>
      <c r="BE73" s="449"/>
      <c r="BF73" s="449"/>
      <c r="BG73" s="449"/>
      <c r="BH73" s="449"/>
      <c r="BI73" s="449"/>
      <c r="BJ73" s="449"/>
      <c r="BK73" s="449"/>
      <c r="BL73" s="449"/>
      <c r="BM73" s="449"/>
      <c r="BN73" s="449"/>
      <c r="BO73" s="449"/>
      <c r="BP73" s="449"/>
      <c r="BQ73" s="449"/>
      <c r="BR73" s="449"/>
      <c r="BS73" s="449"/>
      <c r="BT73" s="449"/>
      <c r="BU73" s="449"/>
      <c r="BV73" s="449"/>
      <c r="BW73" s="449"/>
      <c r="BX73" s="449"/>
      <c r="BY73" s="449"/>
      <c r="BZ73" s="449"/>
      <c r="CA73" s="449"/>
      <c r="CB73" s="449"/>
      <c r="CC73" s="449"/>
      <c r="CD73" s="1034"/>
      <c r="CE73" s="449"/>
      <c r="CF73" s="449"/>
      <c r="CG73" s="449"/>
      <c r="CH73" s="449"/>
      <c r="CI73" s="449"/>
      <c r="CN73" s="449"/>
      <c r="CO73" s="449"/>
      <c r="CP73" s="449"/>
      <c r="CQ73" s="449"/>
      <c r="CR73" s="449"/>
      <c r="CS73" s="1567"/>
      <c r="CT73" s="1567"/>
      <c r="CU73" s="1567"/>
      <c r="CV73" s="1567"/>
      <c r="CW73" s="1567"/>
      <c r="CX73" s="449"/>
      <c r="CY73" s="449">
        <f t="shared" ref="CY73:DE73" si="69">CY65</f>
        <v>23.978099999999998</v>
      </c>
      <c r="CZ73" s="449">
        <f t="shared" si="69"/>
        <v>31.373437000000003</v>
      </c>
      <c r="DA73" s="449">
        <f t="shared" si="69"/>
        <v>36.333391999999996</v>
      </c>
      <c r="DB73" s="449">
        <f t="shared" si="69"/>
        <v>37.251519999999999</v>
      </c>
      <c r="DC73" s="449">
        <f t="shared" si="69"/>
        <v>36.518203999999997</v>
      </c>
      <c r="DD73" s="449">
        <f t="shared" si="69"/>
        <v>36.590928999999996</v>
      </c>
      <c r="DE73" s="449">
        <f t="shared" si="69"/>
        <v>37.765228999999998</v>
      </c>
    </row>
    <row r="74" spans="1:138" outlineLevel="1">
      <c r="A74" s="449" t="s">
        <v>462</v>
      </c>
      <c r="B74" s="449"/>
      <c r="C74" s="449">
        <v>19.516999999999999</v>
      </c>
      <c r="D74" s="449">
        <v>20.390999999999998</v>
      </c>
      <c r="E74" s="449">
        <v>22.721</v>
      </c>
      <c r="F74" s="449">
        <v>23.978099999999998</v>
      </c>
      <c r="G74" s="449"/>
      <c r="H74" s="449">
        <v>25.519299999999998</v>
      </c>
      <c r="I74" s="449">
        <v>26.931625</v>
      </c>
      <c r="J74" s="449">
        <v>29.977741000000002</v>
      </c>
      <c r="K74" s="449">
        <v>31.373437000000003</v>
      </c>
      <c r="L74" s="449"/>
      <c r="M74" s="449">
        <v>33.271189</v>
      </c>
      <c r="N74" s="449">
        <v>34.381444000000002</v>
      </c>
      <c r="O74" s="449">
        <v>36.033394000000001</v>
      </c>
      <c r="P74" s="449">
        <v>36.333391999999996</v>
      </c>
      <c r="Q74" s="449"/>
      <c r="R74" s="449">
        <v>36.942</v>
      </c>
      <c r="S74" s="449">
        <v>37.377352000000002</v>
      </c>
      <c r="T74" s="449">
        <v>37.644743999999996</v>
      </c>
      <c r="U74" s="449">
        <v>37.251519999999999</v>
      </c>
      <c r="V74" s="449"/>
      <c r="W74" s="449">
        <v>37.186894000000002</v>
      </c>
      <c r="X74" s="449">
        <v>37.132281000000006</v>
      </c>
      <c r="Y74" s="449">
        <v>36.976785000000007</v>
      </c>
      <c r="Z74" s="449">
        <v>36.518203999999997</v>
      </c>
      <c r="AA74" s="449"/>
      <c r="AB74" s="449">
        <v>36.488999999999997</v>
      </c>
      <c r="AC74" s="449">
        <v>36.375999999999998</v>
      </c>
      <c r="AD74" s="449">
        <v>37.049999999999997</v>
      </c>
      <c r="AE74" s="449">
        <v>36.590928999999996</v>
      </c>
      <c r="AF74" s="449"/>
      <c r="AG74" s="449">
        <v>36.850999999999999</v>
      </c>
      <c r="AH74" s="449">
        <v>37.128999999999998</v>
      </c>
      <c r="AI74" s="449">
        <v>38.188000000000002</v>
      </c>
      <c r="AJ74" s="449">
        <v>37.765228999999998</v>
      </c>
      <c r="AK74" s="449"/>
      <c r="AL74" s="449">
        <v>38.011000000000003</v>
      </c>
      <c r="AM74" s="449">
        <v>38.207000000000001</v>
      </c>
      <c r="AN74" s="449">
        <v>39.08</v>
      </c>
      <c r="AO74" s="449">
        <v>38.9</v>
      </c>
      <c r="AP74" s="449"/>
      <c r="AQ74" s="449">
        <v>39.1</v>
      </c>
      <c r="AR74" s="449">
        <v>39.1</v>
      </c>
      <c r="AS74" s="449">
        <v>39.700000000000003</v>
      </c>
      <c r="AT74" s="449">
        <v>39.6</v>
      </c>
      <c r="AU74" s="449"/>
      <c r="AV74" s="449">
        <v>39.700000000000003</v>
      </c>
      <c r="AW74" s="449">
        <v>39.6</v>
      </c>
      <c r="AX74" s="449">
        <v>39.9</v>
      </c>
      <c r="AY74" s="449">
        <v>39.5</v>
      </c>
      <c r="AZ74" s="449"/>
      <c r="BA74" s="449">
        <v>39.4</v>
      </c>
      <c r="BB74" s="449">
        <v>39.4</v>
      </c>
      <c r="BC74" s="449">
        <v>39.4</v>
      </c>
      <c r="BD74" s="449">
        <v>38.799999999999997</v>
      </c>
      <c r="BE74" s="449"/>
      <c r="BF74" s="449">
        <v>38.700000000000003</v>
      </c>
      <c r="BG74" s="449">
        <v>38.5</v>
      </c>
      <c r="BH74" s="449">
        <v>38.4</v>
      </c>
      <c r="BI74" s="449">
        <v>38.200000000000003</v>
      </c>
      <c r="BJ74" s="449"/>
      <c r="BK74" s="449">
        <v>37.799999999999997</v>
      </c>
      <c r="BL74" s="449">
        <v>37.700000000000003</v>
      </c>
      <c r="BM74" s="449">
        <v>37.6</v>
      </c>
      <c r="BN74" s="449">
        <v>37.200000000000003</v>
      </c>
      <c r="BO74" s="449"/>
      <c r="BP74" s="449"/>
      <c r="BQ74" s="449"/>
      <c r="BR74" s="449"/>
      <c r="BS74" s="449"/>
      <c r="BT74" s="449"/>
      <c r="BU74" s="449"/>
      <c r="BV74" s="449"/>
      <c r="BW74" s="449"/>
      <c r="BX74" s="449"/>
      <c r="BY74" s="449"/>
      <c r="BZ74" s="449"/>
      <c r="CA74" s="449"/>
      <c r="CB74" s="449"/>
      <c r="CC74" s="449"/>
      <c r="CD74" s="1034"/>
      <c r="CE74" s="449"/>
      <c r="CF74" s="449"/>
      <c r="CG74" s="449"/>
      <c r="CH74" s="449"/>
      <c r="CI74" s="449"/>
      <c r="CN74" s="449"/>
      <c r="CO74" s="449"/>
      <c r="CP74" s="449"/>
      <c r="CQ74" s="449"/>
      <c r="CR74" s="449"/>
      <c r="CS74" s="1567"/>
      <c r="CT74" s="1567"/>
      <c r="CU74" s="1567"/>
      <c r="CV74" s="1567"/>
      <c r="CW74" s="1567"/>
      <c r="CX74" s="449"/>
      <c r="CY74" s="449">
        <f t="shared" ref="CY74:DE74" si="70">CY61</f>
        <v>3018</v>
      </c>
      <c r="CZ74" s="449">
        <f t="shared" si="70"/>
        <v>2848</v>
      </c>
      <c r="DA74" s="449">
        <f t="shared" si="70"/>
        <v>3097</v>
      </c>
      <c r="DB74" s="449">
        <f t="shared" si="70"/>
        <v>3117</v>
      </c>
      <c r="DC74" s="449">
        <f t="shared" si="70"/>
        <v>3022</v>
      </c>
      <c r="DD74" s="449">
        <f t="shared" si="70"/>
        <v>2994</v>
      </c>
      <c r="DE74" s="449">
        <f t="shared" si="70"/>
        <v>3048</v>
      </c>
      <c r="DF74" s="449">
        <f t="shared" ref="DF74:DP74" si="71">DF65</f>
        <v>38.9</v>
      </c>
      <c r="DG74" s="449">
        <f t="shared" si="71"/>
        <v>39.6</v>
      </c>
      <c r="DH74" s="449">
        <f t="shared" si="71"/>
        <v>39.5</v>
      </c>
      <c r="DI74" s="449">
        <f t="shared" si="71"/>
        <v>38.799999999999997</v>
      </c>
      <c r="DJ74" s="449">
        <f t="shared" si="71"/>
        <v>38.200000000000003</v>
      </c>
      <c r="DK74" s="449">
        <f t="shared" si="71"/>
        <v>37.200000000000003</v>
      </c>
      <c r="DL74" s="449">
        <f t="shared" si="71"/>
        <v>36.9</v>
      </c>
      <c r="DM74" s="449">
        <f t="shared" si="71"/>
        <v>37.199999999999996</v>
      </c>
      <c r="DN74" s="449">
        <f t="shared" si="71"/>
        <v>38.010000000000005</v>
      </c>
      <c r="DO74" s="449">
        <f t="shared" si="71"/>
        <v>37.9</v>
      </c>
      <c r="DP74" s="449">
        <f t="shared" si="71"/>
        <v>36.678571428571431</v>
      </c>
      <c r="DQ74" s="449">
        <f t="shared" ref="DQ74:DV74" si="72">DQ65</f>
        <v>36.555071428571431</v>
      </c>
      <c r="DR74" s="449">
        <f t="shared" si="72"/>
        <v>36.653571428571432</v>
      </c>
      <c r="DS74" s="1034">
        <f t="shared" si="72"/>
        <v>36.752071428571426</v>
      </c>
      <c r="DT74" s="788">
        <f t="shared" si="72"/>
        <v>36.850571428571428</v>
      </c>
      <c r="DU74" s="1034">
        <f t="shared" si="72"/>
        <v>36.949071428571429</v>
      </c>
      <c r="DV74" s="69">
        <f t="shared" si="72"/>
        <v>37.047571428571437</v>
      </c>
      <c r="DW74" s="449"/>
    </row>
    <row r="75" spans="1:138" outlineLevel="1">
      <c r="A75" s="449" t="s">
        <v>573</v>
      </c>
      <c r="B75" s="449"/>
      <c r="C75" s="449">
        <v>2574</v>
      </c>
      <c r="D75" s="449">
        <v>2661</v>
      </c>
      <c r="E75" s="449">
        <v>2879</v>
      </c>
      <c r="F75" s="449">
        <v>3018</v>
      </c>
      <c r="G75" s="449"/>
      <c r="H75" s="449">
        <v>3145</v>
      </c>
      <c r="I75" s="449">
        <v>3284</v>
      </c>
      <c r="J75" s="449">
        <v>3542</v>
      </c>
      <c r="K75" s="449">
        <v>2848</v>
      </c>
      <c r="L75" s="449"/>
      <c r="M75" s="449">
        <v>2947</v>
      </c>
      <c r="N75" s="449">
        <v>3021</v>
      </c>
      <c r="O75" s="449">
        <v>3101</v>
      </c>
      <c r="P75" s="449">
        <v>3097</v>
      </c>
      <c r="Q75" s="449"/>
      <c r="R75" s="449">
        <v>3125</v>
      </c>
      <c r="S75" s="449">
        <v>3139</v>
      </c>
      <c r="T75" s="449">
        <v>3158</v>
      </c>
      <c r="U75" s="449">
        <v>3117</v>
      </c>
      <c r="V75" s="449"/>
      <c r="W75" s="449">
        <v>3105</v>
      </c>
      <c r="X75" s="449">
        <v>3095</v>
      </c>
      <c r="Y75" s="449">
        <v>3075</v>
      </c>
      <c r="Z75" s="449">
        <v>3022</v>
      </c>
      <c r="AA75" s="449"/>
      <c r="AB75" s="449">
        <v>3016</v>
      </c>
      <c r="AC75" s="449">
        <v>2999</v>
      </c>
      <c r="AD75" s="449">
        <v>3051</v>
      </c>
      <c r="AE75" s="449">
        <v>2994</v>
      </c>
      <c r="AF75" s="449"/>
      <c r="AG75" s="449">
        <v>3010</v>
      </c>
      <c r="AH75" s="449">
        <v>3029</v>
      </c>
      <c r="AI75" s="449">
        <v>3117</v>
      </c>
      <c r="AJ75" s="449">
        <v>3053</v>
      </c>
      <c r="AK75" s="449"/>
      <c r="AL75" s="449">
        <v>3070</v>
      </c>
      <c r="AM75" s="449">
        <v>3085</v>
      </c>
      <c r="AN75" s="449">
        <v>3157</v>
      </c>
      <c r="AO75" s="449">
        <v>3131</v>
      </c>
      <c r="AP75" s="449"/>
      <c r="AQ75" s="449">
        <v>3152</v>
      </c>
      <c r="AR75" s="449">
        <v>3143</v>
      </c>
      <c r="AS75" s="449">
        <v>3191</v>
      </c>
      <c r="AT75" s="449">
        <v>3167</v>
      </c>
      <c r="AU75" s="449"/>
      <c r="AV75" s="449">
        <v>3177</v>
      </c>
      <c r="AW75" s="449">
        <v>3170</v>
      </c>
      <c r="AX75" s="449">
        <v>3190</v>
      </c>
      <c r="AY75" s="449">
        <v>3149</v>
      </c>
      <c r="AZ75" s="449"/>
      <c r="BA75" s="449">
        <v>3149</v>
      </c>
      <c r="BB75" s="449">
        <v>3145</v>
      </c>
      <c r="BC75" s="449">
        <v>3143</v>
      </c>
      <c r="BD75" s="449">
        <v>3095</v>
      </c>
      <c r="BE75" s="449"/>
      <c r="BF75" s="449">
        <v>3085</v>
      </c>
      <c r="BG75" s="449">
        <v>3076</v>
      </c>
      <c r="BH75" s="449">
        <v>3082</v>
      </c>
      <c r="BI75" s="449">
        <v>3068</v>
      </c>
      <c r="BJ75" s="449"/>
      <c r="BK75" s="449">
        <v>3059</v>
      </c>
      <c r="BL75" s="449">
        <v>3053</v>
      </c>
      <c r="BM75" s="449">
        <v>3065</v>
      </c>
      <c r="BN75" s="449">
        <v>3036</v>
      </c>
      <c r="BO75" s="449"/>
      <c r="BP75" s="449"/>
      <c r="BQ75" s="449"/>
      <c r="BR75" s="449"/>
      <c r="BS75" s="449"/>
      <c r="BT75" s="449"/>
      <c r="BU75" s="449"/>
      <c r="BV75" s="449"/>
      <c r="BW75" s="449"/>
      <c r="BX75" s="449"/>
      <c r="BY75" s="449"/>
      <c r="BZ75" s="449"/>
      <c r="CA75" s="449"/>
      <c r="CB75" s="449"/>
      <c r="CC75" s="449"/>
      <c r="CD75" s="1034"/>
      <c r="CE75" s="449"/>
      <c r="CF75" s="449"/>
      <c r="CG75" s="449"/>
      <c r="CH75" s="449"/>
      <c r="CI75" s="449"/>
      <c r="CN75" s="449"/>
      <c r="CO75" s="449"/>
      <c r="CP75" s="449"/>
      <c r="CQ75" s="449"/>
      <c r="CR75" s="449"/>
      <c r="CS75" s="1567"/>
      <c r="CT75" s="1567"/>
      <c r="CU75" s="1567"/>
      <c r="CV75" s="1567"/>
      <c r="CW75" s="1567"/>
      <c r="CX75" s="449"/>
      <c r="CY75" s="449">
        <f t="shared" ref="CY75:DE75" si="73">SUM(CY76:CY78)</f>
        <v>0.36899999999999999</v>
      </c>
      <c r="CZ75" s="449">
        <f t="shared" si="73"/>
        <v>0.35799999999999998</v>
      </c>
      <c r="DA75" s="449">
        <f t="shared" si="73"/>
        <v>0.47899999999999998</v>
      </c>
      <c r="DB75" s="449">
        <f t="shared" si="73"/>
        <v>0.40400000000000003</v>
      </c>
      <c r="DC75" s="449">
        <f t="shared" si="73"/>
        <v>0.39300000000000002</v>
      </c>
      <c r="DD75" s="449">
        <f t="shared" si="73"/>
        <v>0.40800000000000003</v>
      </c>
      <c r="DE75" s="449">
        <f t="shared" si="73"/>
        <v>0.40800000000000003</v>
      </c>
      <c r="DF75" s="449">
        <f t="shared" ref="DF75:DP75" si="74">DF61</f>
        <v>3112</v>
      </c>
      <c r="DG75" s="449">
        <f t="shared" si="74"/>
        <v>3167</v>
      </c>
      <c r="DH75" s="449">
        <f t="shared" si="74"/>
        <v>3149</v>
      </c>
      <c r="DI75" s="449">
        <f t="shared" si="74"/>
        <v>3095</v>
      </c>
      <c r="DJ75" s="449">
        <f t="shared" si="74"/>
        <v>3068</v>
      </c>
      <c r="DK75" s="449">
        <f t="shared" si="74"/>
        <v>3036</v>
      </c>
      <c r="DL75" s="449">
        <f t="shared" si="74"/>
        <v>3064</v>
      </c>
      <c r="DM75" s="449">
        <f t="shared" si="74"/>
        <v>3133</v>
      </c>
      <c r="DN75" s="449">
        <f t="shared" si="74"/>
        <v>3249</v>
      </c>
      <c r="DO75" s="449">
        <f t="shared" si="74"/>
        <v>3275</v>
      </c>
      <c r="DP75" s="449">
        <f t="shared" si="74"/>
        <v>3200</v>
      </c>
      <c r="DQ75" s="449">
        <f t="shared" ref="DQ75:DV75" si="75">DQ61</f>
        <v>3471</v>
      </c>
      <c r="DR75" s="449">
        <f t="shared" si="75"/>
        <v>3393</v>
      </c>
      <c r="DS75" s="1034">
        <f t="shared" si="75"/>
        <v>3423</v>
      </c>
      <c r="DT75" s="788">
        <f t="shared" si="75"/>
        <v>3468</v>
      </c>
      <c r="DU75" s="1034">
        <f t="shared" si="75"/>
        <v>3518</v>
      </c>
      <c r="DV75" s="69">
        <f t="shared" si="75"/>
        <v>3548</v>
      </c>
      <c r="DW75" s="449"/>
    </row>
    <row r="76" spans="1:138" outlineLevel="1">
      <c r="A76" s="1037" t="s">
        <v>463</v>
      </c>
      <c r="B76" s="449"/>
      <c r="C76" s="449">
        <f>SUM(C77:C79)</f>
        <v>0.36899999999999999</v>
      </c>
      <c r="D76" s="449">
        <f>SUM(D77:D79)</f>
        <v>0.36899999999999999</v>
      </c>
      <c r="E76" s="449">
        <f>SUM(E77:E79)</f>
        <v>0.36899999999999999</v>
      </c>
      <c r="F76" s="449">
        <f>SUM(F77:F79)</f>
        <v>0.36899999999999999</v>
      </c>
      <c r="G76" s="449"/>
      <c r="H76" s="449">
        <f>SUM(H77:H79)</f>
        <v>0.35799999999999998</v>
      </c>
      <c r="I76" s="449">
        <f>SUM(I77:I79)</f>
        <v>0.35799999999999998</v>
      </c>
      <c r="J76" s="449">
        <f>SUM(J77:J79)</f>
        <v>0.35799999999999998</v>
      </c>
      <c r="K76" s="449">
        <f>SUM(K77:K79)</f>
        <v>0.35799999999999998</v>
      </c>
      <c r="L76" s="449"/>
      <c r="M76" s="449">
        <f>SUM(M77:M79)</f>
        <v>0.47899999999999998</v>
      </c>
      <c r="N76" s="449">
        <f>SUM(N77:N79)</f>
        <v>0.47899999999999998</v>
      </c>
      <c r="O76" s="449">
        <f>SUM(O77:O79)</f>
        <v>0.47899999999999998</v>
      </c>
      <c r="P76" s="449">
        <f>SUM(P77:P79)</f>
        <v>0.47899999999999998</v>
      </c>
      <c r="Q76" s="449"/>
      <c r="R76" s="449">
        <f>SUM(R77:R79)</f>
        <v>0.40400000000000003</v>
      </c>
      <c r="S76" s="449">
        <f>SUM(S77:S79)</f>
        <v>0.40400000000000003</v>
      </c>
      <c r="T76" s="449">
        <f>SUM(T77:T79)</f>
        <v>0.40400000000000003</v>
      </c>
      <c r="U76" s="449">
        <f>SUM(U77:U79)</f>
        <v>0.40400000000000003</v>
      </c>
      <c r="V76" s="449"/>
      <c r="W76" s="449">
        <f>SUM(W77:W79)</f>
        <v>0.39300000000000002</v>
      </c>
      <c r="X76" s="449">
        <f>SUM(X77:X79)</f>
        <v>0.39300000000000002</v>
      </c>
      <c r="Y76" s="449">
        <f>SUM(Y77:Y79)</f>
        <v>0.39300000000000002</v>
      </c>
      <c r="Z76" s="449">
        <f>SUM(Z77:Z79)</f>
        <v>0.39300000000000002</v>
      </c>
      <c r="AA76" s="449"/>
      <c r="AB76" s="449">
        <f>SUM(AB77:AB79)</f>
        <v>0.40800000000000003</v>
      </c>
      <c r="AC76" s="449">
        <f>SUM(AC77:AC79)</f>
        <v>0.40800000000000003</v>
      </c>
      <c r="AD76" s="449">
        <f>SUM(AD77:AD79)</f>
        <v>0.40800000000000003</v>
      </c>
      <c r="AE76" s="449">
        <f>SUM(AE77:AE79)</f>
        <v>0.40800000000000003</v>
      </c>
      <c r="AF76" s="449"/>
      <c r="AG76" s="449">
        <f>SUM(AG77:AG79)</f>
        <v>0.40800000000000003</v>
      </c>
      <c r="AH76" s="449">
        <f>SUM(AH77:AH79)</f>
        <v>0.40800000000000003</v>
      </c>
      <c r="AI76" s="449">
        <f>SUM(AI77:AI79)</f>
        <v>0.40800000000000003</v>
      </c>
      <c r="AJ76" s="449">
        <f>SUM(AJ77:AJ79)</f>
        <v>0.40800000000000003</v>
      </c>
      <c r="AK76" s="449"/>
      <c r="AL76" s="449">
        <f>SUM(AL77:AL79)</f>
        <v>0.40400000000000003</v>
      </c>
      <c r="AM76" s="449">
        <f>SUM(AM77:AM79)</f>
        <v>0.40400000000000003</v>
      </c>
      <c r="AN76" s="449">
        <f>SUM(AN77:AN79)</f>
        <v>0.40400000000000003</v>
      </c>
      <c r="AO76" s="449">
        <f>SUM(AO77:AO79)</f>
        <v>0.40400000000000003</v>
      </c>
      <c r="AP76" s="449"/>
      <c r="AQ76" s="449">
        <f>SUM(AQ77:AQ79)</f>
        <v>0.40400000000000003</v>
      </c>
      <c r="AR76" s="449">
        <f>SUM(AR77:AR79)</f>
        <v>0.40400000000000003</v>
      </c>
      <c r="AS76" s="449">
        <f>SUM(AS77:AS79)</f>
        <v>0.40400000000000003</v>
      </c>
      <c r="AT76" s="449">
        <f>SUM(AT77:AT79)</f>
        <v>0.40400000000000003</v>
      </c>
      <c r="AU76" s="449"/>
      <c r="AV76" s="449">
        <f>SUM(AV77:AV79)</f>
        <v>0.40200000000000002</v>
      </c>
      <c r="AW76" s="449">
        <f>SUM(AW77:AW79)</f>
        <v>0.40200000000000002</v>
      </c>
      <c r="AX76" s="449">
        <f>SUM(AX77:AX79)</f>
        <v>0.40200000000000002</v>
      </c>
      <c r="AY76" s="449">
        <f>SUM(AY77:AY79)</f>
        <v>0.40200000000000002</v>
      </c>
      <c r="AZ76" s="449"/>
      <c r="BA76" s="449">
        <f>SUM(BA77:BA79)</f>
        <v>0.40099999999999997</v>
      </c>
      <c r="BB76" s="449">
        <f>SUM(BB77:BB79)</f>
        <v>0.40099999999999997</v>
      </c>
      <c r="BC76" s="449">
        <f>SUM(BC77:BC79)</f>
        <v>0.40099999999999997</v>
      </c>
      <c r="BD76" s="449">
        <f>SUM(BD77:BD79)</f>
        <v>0.40099999999999997</v>
      </c>
      <c r="BE76" s="449"/>
      <c r="BF76" s="449">
        <f>$DJ$76</f>
        <v>0.39253279515640765</v>
      </c>
      <c r="BG76" s="449">
        <f>$DJ$76</f>
        <v>0.39253279515640765</v>
      </c>
      <c r="BH76" s="449">
        <f>$DJ$76</f>
        <v>0.39253279515640765</v>
      </c>
      <c r="BI76" s="449">
        <f>$DJ$76</f>
        <v>0.39253279515640765</v>
      </c>
      <c r="BJ76" s="449"/>
      <c r="BK76" s="449">
        <f>$DK$76</f>
        <v>0.39152666179693207</v>
      </c>
      <c r="BL76" s="449">
        <f>$DK$76</f>
        <v>0.39152666179693207</v>
      </c>
      <c r="BM76" s="449">
        <f>$DK$76</f>
        <v>0.39152666179693207</v>
      </c>
      <c r="BN76" s="449">
        <f>$DK$76</f>
        <v>0.39152666179693207</v>
      </c>
      <c r="BO76" s="449"/>
      <c r="BP76" s="449"/>
      <c r="BQ76" s="449"/>
      <c r="BR76" s="449"/>
      <c r="BS76" s="449"/>
      <c r="BT76" s="449"/>
      <c r="BU76" s="449"/>
      <c r="BV76" s="449"/>
      <c r="BW76" s="449"/>
      <c r="BX76" s="449"/>
      <c r="BY76" s="449"/>
      <c r="BZ76" s="449"/>
      <c r="CA76" s="449"/>
      <c r="CB76" s="449"/>
      <c r="CC76" s="449"/>
      <c r="CD76" s="1034"/>
      <c r="CE76" s="449"/>
      <c r="CF76" s="449"/>
      <c r="CG76" s="449"/>
      <c r="CH76" s="449"/>
      <c r="CI76" s="449"/>
      <c r="CN76" s="449"/>
      <c r="CO76" s="449"/>
      <c r="CP76" s="449"/>
      <c r="CQ76" s="449"/>
      <c r="CR76" s="449"/>
      <c r="CS76" s="1567"/>
      <c r="CT76" s="1567"/>
      <c r="CU76" s="1567"/>
      <c r="CV76" s="1567"/>
      <c r="CW76" s="1567"/>
      <c r="CX76" s="449"/>
      <c r="CY76" s="449">
        <v>0.35</v>
      </c>
      <c r="CZ76" s="449">
        <v>0.35</v>
      </c>
      <c r="DA76" s="449">
        <v>0.35</v>
      </c>
      <c r="DB76" s="449">
        <v>0.35</v>
      </c>
      <c r="DC76" s="449">
        <v>0.35</v>
      </c>
      <c r="DD76" s="449">
        <v>0.35</v>
      </c>
      <c r="DE76" s="449">
        <v>0.35</v>
      </c>
      <c r="DF76" s="449">
        <f>SUM(DF77:DF79)</f>
        <v>0.40400000000000003</v>
      </c>
      <c r="DG76" s="449">
        <f>SUM(DG77:DG79)</f>
        <v>0.40400000000000003</v>
      </c>
      <c r="DH76" s="449">
        <f>SUM(DH77:DH79)</f>
        <v>0.40200000000000002</v>
      </c>
      <c r="DI76" s="449">
        <f>SUM(DI77:DI79)</f>
        <v>0.40099999999999997</v>
      </c>
      <c r="DJ76" s="449">
        <f>'yrP&amp;L'!V43</f>
        <v>0.39253279515640765</v>
      </c>
      <c r="DK76" s="449">
        <f>'yrP&amp;L'!W43</f>
        <v>0.39152666179693207</v>
      </c>
      <c r="DL76" s="449">
        <f>'yrP&amp;L'!X43</f>
        <v>0.39011284255776463</v>
      </c>
      <c r="DM76" s="449">
        <f>'yrP&amp;L'!Y43</f>
        <v>0.38843764930721453</v>
      </c>
      <c r="DN76" s="449">
        <f>'yrP&amp;L'!Z43</f>
        <v>0.37183383991894631</v>
      </c>
      <c r="DO76" s="449">
        <f>'yrP&amp;L'!AA43</f>
        <v>0.37499376169681847</v>
      </c>
      <c r="DP76" s="449">
        <f>'yrP&amp;L'!AB43</f>
        <v>0.39022607385079128</v>
      </c>
      <c r="DQ76" s="449">
        <f>'yrP&amp;L'!AC43</f>
        <v>0.38064705882352945</v>
      </c>
      <c r="DR76" s="449">
        <v>0.21</v>
      </c>
      <c r="DS76" s="1034">
        <v>0.21</v>
      </c>
      <c r="DT76" s="788">
        <v>0.21</v>
      </c>
      <c r="DU76" s="1034">
        <v>0.21</v>
      </c>
      <c r="DV76" s="69">
        <v>0.21</v>
      </c>
      <c r="DW76" s="449"/>
    </row>
    <row r="77" spans="1:138" outlineLevel="1">
      <c r="A77" s="449" t="s">
        <v>464</v>
      </c>
      <c r="B77" s="449"/>
      <c r="C77" s="449">
        <f>$CY$76</f>
        <v>0.35</v>
      </c>
      <c r="D77" s="449">
        <f>$CY$76</f>
        <v>0.35</v>
      </c>
      <c r="E77" s="449">
        <f>$CY$76</f>
        <v>0.35</v>
      </c>
      <c r="F77" s="449">
        <f>$CY$76</f>
        <v>0.35</v>
      </c>
      <c r="G77" s="449"/>
      <c r="H77" s="449">
        <f>$CZ$76</f>
        <v>0.35</v>
      </c>
      <c r="I77" s="449">
        <f>$CZ$76</f>
        <v>0.35</v>
      </c>
      <c r="J77" s="449">
        <f>$CZ$76</f>
        <v>0.35</v>
      </c>
      <c r="K77" s="449">
        <f>$CZ$76</f>
        <v>0.35</v>
      </c>
      <c r="L77" s="449"/>
      <c r="M77" s="449">
        <f>$DA$76</f>
        <v>0.35</v>
      </c>
      <c r="N77" s="449">
        <f>$DA$76</f>
        <v>0.35</v>
      </c>
      <c r="O77" s="449">
        <f>$DA$76</f>
        <v>0.35</v>
      </c>
      <c r="P77" s="449">
        <f>$DA$76</f>
        <v>0.35</v>
      </c>
      <c r="Q77" s="449"/>
      <c r="R77" s="449">
        <f>$DB$76</f>
        <v>0.35</v>
      </c>
      <c r="S77" s="449">
        <f>$DB$76</f>
        <v>0.35</v>
      </c>
      <c r="T77" s="449">
        <f>$DB$76</f>
        <v>0.35</v>
      </c>
      <c r="U77" s="449">
        <f>$DB$76</f>
        <v>0.35</v>
      </c>
      <c r="V77" s="449"/>
      <c r="W77" s="449">
        <f>$DC$76</f>
        <v>0.35</v>
      </c>
      <c r="X77" s="449">
        <f>$DC$76</f>
        <v>0.35</v>
      </c>
      <c r="Y77" s="449">
        <f>$DC$76</f>
        <v>0.35</v>
      </c>
      <c r="Z77" s="449">
        <f>$DC$76</f>
        <v>0.35</v>
      </c>
      <c r="AA77" s="449"/>
      <c r="AB77" s="449">
        <f>$DD$76</f>
        <v>0.35</v>
      </c>
      <c r="AC77" s="449">
        <f>$DD$76</f>
        <v>0.35</v>
      </c>
      <c r="AD77" s="449">
        <f>$DD$76</f>
        <v>0.35</v>
      </c>
      <c r="AE77" s="449">
        <f>$DD$76</f>
        <v>0.35</v>
      </c>
      <c r="AF77" s="449"/>
      <c r="AG77" s="449">
        <f>$DE$76</f>
        <v>0.35</v>
      </c>
      <c r="AH77" s="449">
        <f>$DE$76</f>
        <v>0.35</v>
      </c>
      <c r="AI77" s="449">
        <f>$DE$76</f>
        <v>0.35</v>
      </c>
      <c r="AJ77" s="449">
        <f>$DE$76</f>
        <v>0.35</v>
      </c>
      <c r="AK77" s="449"/>
      <c r="AL77" s="449">
        <f>$DF$77</f>
        <v>0.35</v>
      </c>
      <c r="AM77" s="449">
        <f>$DF$77</f>
        <v>0.35</v>
      </c>
      <c r="AN77" s="449">
        <f>$DF$77</f>
        <v>0.35</v>
      </c>
      <c r="AO77" s="449">
        <f>$DF$77</f>
        <v>0.35</v>
      </c>
      <c r="AP77" s="449"/>
      <c r="AQ77" s="449">
        <f>$DG$77</f>
        <v>0.35</v>
      </c>
      <c r="AR77" s="449">
        <f>$DG$77</f>
        <v>0.35</v>
      </c>
      <c r="AS77" s="449">
        <f>$DG$77</f>
        <v>0.35</v>
      </c>
      <c r="AT77" s="449">
        <f>$DG$77</f>
        <v>0.35</v>
      </c>
      <c r="AU77" s="449"/>
      <c r="AV77" s="449">
        <f>$DH$77</f>
        <v>0.35</v>
      </c>
      <c r="AW77" s="449">
        <f>$DH$77</f>
        <v>0.35</v>
      </c>
      <c r="AX77" s="449">
        <f>$DH$77</f>
        <v>0.35</v>
      </c>
      <c r="AY77" s="449">
        <f>$DH$77</f>
        <v>0.35</v>
      </c>
      <c r="AZ77" s="449"/>
      <c r="BA77" s="449">
        <f>$DI$77</f>
        <v>0.35</v>
      </c>
      <c r="BB77" s="449">
        <f>$DI$77</f>
        <v>0.35</v>
      </c>
      <c r="BC77" s="449">
        <f>$DI$77</f>
        <v>0.35</v>
      </c>
      <c r="BD77" s="449">
        <f>$DI$77</f>
        <v>0.35</v>
      </c>
      <c r="BE77" s="449"/>
      <c r="BF77" s="449"/>
      <c r="BG77" s="449"/>
      <c r="BH77" s="449"/>
      <c r="BI77" s="449"/>
      <c r="BJ77" s="449"/>
      <c r="BK77" s="449"/>
      <c r="BL77" s="449"/>
      <c r="BM77" s="449"/>
      <c r="BN77" s="449"/>
      <c r="BO77" s="449"/>
      <c r="BP77" s="449"/>
      <c r="BQ77" s="449"/>
      <c r="BR77" s="449"/>
      <c r="BS77" s="449"/>
      <c r="BT77" s="449"/>
      <c r="BU77" s="449"/>
      <c r="BV77" s="449"/>
      <c r="BW77" s="449"/>
      <c r="BX77" s="449"/>
      <c r="BY77" s="449"/>
      <c r="BZ77" s="449"/>
      <c r="CA77" s="449"/>
      <c r="CB77" s="449"/>
      <c r="CC77" s="449"/>
      <c r="CD77" s="1034"/>
      <c r="CE77" s="449"/>
      <c r="CF77" s="449"/>
      <c r="CG77" s="449"/>
      <c r="CH77" s="449"/>
      <c r="CI77" s="449"/>
      <c r="CN77" s="449"/>
      <c r="CO77" s="449"/>
      <c r="CP77" s="449"/>
      <c r="CQ77" s="449"/>
      <c r="CR77" s="449"/>
      <c r="CS77" s="1567"/>
      <c r="CT77" s="1567"/>
      <c r="CU77" s="1567"/>
      <c r="CV77" s="1567"/>
      <c r="CW77" s="1567"/>
      <c r="CX77" s="449"/>
      <c r="CY77" s="449">
        <v>2.5000000000000001E-2</v>
      </c>
      <c r="CZ77" s="449">
        <v>1.7999999999999999E-2</v>
      </c>
      <c r="DA77" s="449">
        <v>3.5000000000000003E-2</v>
      </c>
      <c r="DB77" s="449">
        <v>3.1E-2</v>
      </c>
      <c r="DC77" s="449">
        <v>2.1000000000000001E-2</v>
      </c>
      <c r="DD77" s="449">
        <v>3.5000000000000003E-2</v>
      </c>
      <c r="DE77" s="449">
        <v>3.5000000000000003E-2</v>
      </c>
      <c r="DF77" s="449">
        <v>0.35</v>
      </c>
      <c r="DG77" s="449">
        <v>0.35</v>
      </c>
      <c r="DH77" s="449">
        <v>0.35</v>
      </c>
      <c r="DI77" s="449">
        <v>0.35</v>
      </c>
      <c r="DJ77" s="449">
        <v>0.35</v>
      </c>
      <c r="DK77" s="449">
        <v>0.35</v>
      </c>
      <c r="DL77" s="449">
        <v>0.35</v>
      </c>
      <c r="DM77" s="449">
        <v>0.35</v>
      </c>
      <c r="DN77" s="449">
        <v>0.35</v>
      </c>
      <c r="DO77" s="449">
        <v>0.35</v>
      </c>
      <c r="DP77" s="449">
        <v>0.35</v>
      </c>
      <c r="DQ77" s="449">
        <v>0.35</v>
      </c>
      <c r="DR77" s="449">
        <v>0.35</v>
      </c>
      <c r="DS77" s="1034">
        <v>0.35</v>
      </c>
      <c r="DT77" s="788">
        <v>0.35</v>
      </c>
      <c r="DU77" s="1034">
        <v>0.35</v>
      </c>
      <c r="DV77" s="69">
        <v>0.35</v>
      </c>
      <c r="DW77" s="449"/>
    </row>
    <row r="78" spans="1:138" outlineLevel="1">
      <c r="A78" s="449" t="s">
        <v>465</v>
      </c>
      <c r="B78" s="449"/>
      <c r="C78" s="449">
        <f>$CY$77</f>
        <v>2.5000000000000001E-2</v>
      </c>
      <c r="D78" s="449">
        <f>$CY$77</f>
        <v>2.5000000000000001E-2</v>
      </c>
      <c r="E78" s="449">
        <f>$CY$77</f>
        <v>2.5000000000000001E-2</v>
      </c>
      <c r="F78" s="449">
        <f>$CY$77</f>
        <v>2.5000000000000001E-2</v>
      </c>
      <c r="G78" s="449"/>
      <c r="H78" s="449">
        <f>$CZ$77</f>
        <v>1.7999999999999999E-2</v>
      </c>
      <c r="I78" s="449">
        <f>$CZ$77</f>
        <v>1.7999999999999999E-2</v>
      </c>
      <c r="J78" s="449">
        <f>$CZ$77</f>
        <v>1.7999999999999999E-2</v>
      </c>
      <c r="K78" s="449">
        <f>$CZ$77</f>
        <v>1.7999999999999999E-2</v>
      </c>
      <c r="L78" s="449"/>
      <c r="M78" s="449">
        <f>$DA$77</f>
        <v>3.5000000000000003E-2</v>
      </c>
      <c r="N78" s="449">
        <f>$DA$77</f>
        <v>3.5000000000000003E-2</v>
      </c>
      <c r="O78" s="449">
        <f>$DA$77</f>
        <v>3.5000000000000003E-2</v>
      </c>
      <c r="P78" s="449">
        <f>$DA$77</f>
        <v>3.5000000000000003E-2</v>
      </c>
      <c r="Q78" s="449"/>
      <c r="R78" s="449">
        <f>$DB$77</f>
        <v>3.1E-2</v>
      </c>
      <c r="S78" s="449">
        <f>$DB$77</f>
        <v>3.1E-2</v>
      </c>
      <c r="T78" s="449">
        <f>$DB$77</f>
        <v>3.1E-2</v>
      </c>
      <c r="U78" s="449">
        <f>$DB$77</f>
        <v>3.1E-2</v>
      </c>
      <c r="V78" s="449"/>
      <c r="W78" s="449">
        <f>$DC$77</f>
        <v>2.1000000000000001E-2</v>
      </c>
      <c r="X78" s="449">
        <f>$DC$77</f>
        <v>2.1000000000000001E-2</v>
      </c>
      <c r="Y78" s="449">
        <f>$DC$77</f>
        <v>2.1000000000000001E-2</v>
      </c>
      <c r="Z78" s="449">
        <f>$DC$77</f>
        <v>2.1000000000000001E-2</v>
      </c>
      <c r="AA78" s="449"/>
      <c r="AB78" s="449">
        <f>$DD$77</f>
        <v>3.5000000000000003E-2</v>
      </c>
      <c r="AC78" s="449">
        <f>$DD$77</f>
        <v>3.5000000000000003E-2</v>
      </c>
      <c r="AD78" s="449">
        <f>$DD$77</f>
        <v>3.5000000000000003E-2</v>
      </c>
      <c r="AE78" s="449">
        <f>$DD$77</f>
        <v>3.5000000000000003E-2</v>
      </c>
      <c r="AF78" s="449"/>
      <c r="AG78" s="449">
        <f>$DE$77</f>
        <v>3.5000000000000003E-2</v>
      </c>
      <c r="AH78" s="449">
        <f>$DE$77</f>
        <v>3.5000000000000003E-2</v>
      </c>
      <c r="AI78" s="449">
        <f>$DE$77</f>
        <v>3.5000000000000003E-2</v>
      </c>
      <c r="AJ78" s="449">
        <f>$DE$77</f>
        <v>3.5000000000000003E-2</v>
      </c>
      <c r="AK78" s="449"/>
      <c r="AL78" s="449">
        <f>$DF$78</f>
        <v>3.2000000000000001E-2</v>
      </c>
      <c r="AM78" s="449">
        <f>$DF$78</f>
        <v>3.2000000000000001E-2</v>
      </c>
      <c r="AN78" s="449">
        <f>$DF$78</f>
        <v>3.2000000000000001E-2</v>
      </c>
      <c r="AO78" s="449">
        <f>$DF$78</f>
        <v>3.2000000000000001E-2</v>
      </c>
      <c r="AP78" s="449"/>
      <c r="AQ78" s="449">
        <f>$DG$78</f>
        <v>3.1E-2</v>
      </c>
      <c r="AR78" s="449">
        <f>$DG$78</f>
        <v>3.1E-2</v>
      </c>
      <c r="AS78" s="449">
        <f>$DG$78</f>
        <v>3.1E-2</v>
      </c>
      <c r="AT78" s="449">
        <f>$DG$78</f>
        <v>3.1E-2</v>
      </c>
      <c r="AU78" s="449"/>
      <c r="AV78" s="449">
        <f>$DH$78</f>
        <v>3.5000000000000003E-2</v>
      </c>
      <c r="AW78" s="449">
        <f>$DH$78</f>
        <v>3.5000000000000003E-2</v>
      </c>
      <c r="AX78" s="449">
        <f>$DH$78</f>
        <v>3.5000000000000003E-2</v>
      </c>
      <c r="AY78" s="449">
        <f>$DH$78</f>
        <v>3.5000000000000003E-2</v>
      </c>
      <c r="AZ78" s="449"/>
      <c r="BA78" s="449">
        <f>$DI$78</f>
        <v>3.6999999999999998E-2</v>
      </c>
      <c r="BB78" s="449">
        <f>$DI$78</f>
        <v>3.6999999999999998E-2</v>
      </c>
      <c r="BC78" s="449">
        <f>$DI$78</f>
        <v>3.6999999999999998E-2</v>
      </c>
      <c r="BD78" s="449">
        <f>$DI$78</f>
        <v>3.6999999999999998E-2</v>
      </c>
      <c r="BE78" s="449"/>
      <c r="BF78" s="449"/>
      <c r="BG78" s="449"/>
      <c r="BH78" s="449"/>
      <c r="BI78" s="449"/>
      <c r="BJ78" s="449"/>
      <c r="BK78" s="449"/>
      <c r="BL78" s="449"/>
      <c r="BM78" s="449"/>
      <c r="BN78" s="449"/>
      <c r="BO78" s="449"/>
      <c r="BP78" s="449"/>
      <c r="BQ78" s="449"/>
      <c r="BR78" s="449"/>
      <c r="BS78" s="449"/>
      <c r="BT78" s="449"/>
      <c r="BU78" s="449"/>
      <c r="BV78" s="449"/>
      <c r="BW78" s="449"/>
      <c r="BX78" s="449"/>
      <c r="BY78" s="449"/>
      <c r="BZ78" s="449"/>
      <c r="CA78" s="449"/>
      <c r="CB78" s="449"/>
      <c r="CC78" s="449"/>
      <c r="CD78" s="1034"/>
      <c r="CE78" s="449"/>
      <c r="CF78" s="449"/>
      <c r="CG78" s="449"/>
      <c r="CH78" s="449"/>
      <c r="CI78" s="449"/>
      <c r="CN78" s="449"/>
      <c r="CO78" s="449"/>
      <c r="CP78" s="449"/>
      <c r="CQ78" s="449"/>
      <c r="CR78" s="449"/>
      <c r="CS78" s="1567"/>
      <c r="CT78" s="1567"/>
      <c r="CU78" s="1567"/>
      <c r="CV78" s="1567"/>
      <c r="CW78" s="1567"/>
      <c r="CX78" s="449"/>
      <c r="CY78" s="449">
        <v>-6.0000000000000001E-3</v>
      </c>
      <c r="CZ78" s="449">
        <v>-0.01</v>
      </c>
      <c r="DA78" s="449">
        <v>9.4E-2</v>
      </c>
      <c r="DB78" s="449">
        <v>2.3E-2</v>
      </c>
      <c r="DC78" s="449">
        <v>2.1999999999999999E-2</v>
      </c>
      <c r="DD78" s="449">
        <v>2.3E-2</v>
      </c>
      <c r="DE78" s="449">
        <v>2.3E-2</v>
      </c>
      <c r="DF78" s="449">
        <v>3.2000000000000001E-2</v>
      </c>
      <c r="DG78" s="449">
        <v>3.1E-2</v>
      </c>
      <c r="DH78" s="449">
        <v>3.5000000000000003E-2</v>
      </c>
      <c r="DI78" s="449">
        <v>3.6999999999999998E-2</v>
      </c>
      <c r="DJ78" s="449">
        <v>3.6999999999999998E-2</v>
      </c>
      <c r="DK78" s="449">
        <v>3.6999999999999998E-2</v>
      </c>
      <c r="DL78" s="449">
        <v>3.6999999999999998E-2</v>
      </c>
      <c r="DM78" s="449">
        <v>3.6999999999999998E-2</v>
      </c>
      <c r="DN78" s="449">
        <v>3.6999999999999998E-2</v>
      </c>
      <c r="DO78" s="449">
        <v>3.6999999999999998E-2</v>
      </c>
      <c r="DP78" s="449">
        <v>3.6999999999999998E-2</v>
      </c>
      <c r="DQ78" s="449">
        <v>3.6999999999999998E-2</v>
      </c>
      <c r="DR78" s="449">
        <v>3.6999999999999998E-2</v>
      </c>
      <c r="DS78" s="1034">
        <v>3.6999999999999998E-2</v>
      </c>
      <c r="DT78" s="788">
        <v>3.6999999999999998E-2</v>
      </c>
      <c r="DU78" s="1034">
        <v>3.6999999999999998E-2</v>
      </c>
      <c r="DV78" s="69">
        <v>3.6999999999999998E-2</v>
      </c>
      <c r="DW78" s="449"/>
    </row>
    <row r="79" spans="1:138" outlineLevel="1">
      <c r="A79" s="449" t="s">
        <v>466</v>
      </c>
      <c r="B79" s="449"/>
      <c r="C79" s="449">
        <f>$CY$78</f>
        <v>-6.0000000000000001E-3</v>
      </c>
      <c r="D79" s="449">
        <f>$CY$78</f>
        <v>-6.0000000000000001E-3</v>
      </c>
      <c r="E79" s="449">
        <f>$CY$78</f>
        <v>-6.0000000000000001E-3</v>
      </c>
      <c r="F79" s="449">
        <f>$CY$78</f>
        <v>-6.0000000000000001E-3</v>
      </c>
      <c r="G79" s="449"/>
      <c r="H79" s="449">
        <f>$CZ$78</f>
        <v>-0.01</v>
      </c>
      <c r="I79" s="449">
        <f>$CZ$78</f>
        <v>-0.01</v>
      </c>
      <c r="J79" s="449">
        <f>$CZ$78</f>
        <v>-0.01</v>
      </c>
      <c r="K79" s="449">
        <f>$CZ$78</f>
        <v>-0.01</v>
      </c>
      <c r="L79" s="449"/>
      <c r="M79" s="449">
        <f>$DA$78</f>
        <v>9.4E-2</v>
      </c>
      <c r="N79" s="449">
        <f>$DA$78</f>
        <v>9.4E-2</v>
      </c>
      <c r="O79" s="449">
        <f>$DA$78</f>
        <v>9.4E-2</v>
      </c>
      <c r="P79" s="449">
        <f>$DA$78</f>
        <v>9.4E-2</v>
      </c>
      <c r="Q79" s="449"/>
      <c r="R79" s="449">
        <f>$DB$78</f>
        <v>2.3E-2</v>
      </c>
      <c r="S79" s="449">
        <f>$DB$78</f>
        <v>2.3E-2</v>
      </c>
      <c r="T79" s="449">
        <f>$DB$78</f>
        <v>2.3E-2</v>
      </c>
      <c r="U79" s="449">
        <f>$DB$78</f>
        <v>2.3E-2</v>
      </c>
      <c r="V79" s="449"/>
      <c r="W79" s="449">
        <f>$DC$78</f>
        <v>2.1999999999999999E-2</v>
      </c>
      <c r="X79" s="449">
        <f>$DC$78</f>
        <v>2.1999999999999999E-2</v>
      </c>
      <c r="Y79" s="449">
        <f>$DC$78</f>
        <v>2.1999999999999999E-2</v>
      </c>
      <c r="Z79" s="449">
        <f>$DC$78</f>
        <v>2.1999999999999999E-2</v>
      </c>
      <c r="AA79" s="449"/>
      <c r="AB79" s="449">
        <f>$DD$78</f>
        <v>2.3E-2</v>
      </c>
      <c r="AC79" s="449">
        <f>$DD$78</f>
        <v>2.3E-2</v>
      </c>
      <c r="AD79" s="449">
        <f>$DD$78</f>
        <v>2.3E-2</v>
      </c>
      <c r="AE79" s="449">
        <f>$DD$78</f>
        <v>2.3E-2</v>
      </c>
      <c r="AF79" s="449"/>
      <c r="AG79" s="449">
        <f>$DE$78</f>
        <v>2.3E-2</v>
      </c>
      <c r="AH79" s="449">
        <f>$DE$78</f>
        <v>2.3E-2</v>
      </c>
      <c r="AI79" s="449">
        <f>$DE$78</f>
        <v>2.3E-2</v>
      </c>
      <c r="AJ79" s="449">
        <f>$DE$78</f>
        <v>2.3E-2</v>
      </c>
      <c r="AK79" s="449"/>
      <c r="AL79" s="449">
        <f>$DF$79</f>
        <v>2.1999999999999999E-2</v>
      </c>
      <c r="AM79" s="449">
        <f>$DF$79</f>
        <v>2.1999999999999999E-2</v>
      </c>
      <c r="AN79" s="449">
        <f>$DF$79</f>
        <v>2.1999999999999999E-2</v>
      </c>
      <c r="AO79" s="449">
        <f>$DF$79</f>
        <v>2.1999999999999999E-2</v>
      </c>
      <c r="AP79" s="449"/>
      <c r="AQ79" s="449">
        <f>$DG$79</f>
        <v>2.3E-2</v>
      </c>
      <c r="AR79" s="449">
        <f>$DG$79</f>
        <v>2.3E-2</v>
      </c>
      <c r="AS79" s="449">
        <f>$DG$79</f>
        <v>2.3E-2</v>
      </c>
      <c r="AT79" s="449">
        <f>$DG$79</f>
        <v>2.3E-2</v>
      </c>
      <c r="AU79" s="449"/>
      <c r="AV79" s="449">
        <f>$DH$79</f>
        <v>1.7000000000000001E-2</v>
      </c>
      <c r="AW79" s="449">
        <f>$DH$79</f>
        <v>1.7000000000000001E-2</v>
      </c>
      <c r="AX79" s="449">
        <f>$DH$79</f>
        <v>1.7000000000000001E-2</v>
      </c>
      <c r="AY79" s="449">
        <f>$DH$79</f>
        <v>1.7000000000000001E-2</v>
      </c>
      <c r="AZ79" s="449"/>
      <c r="BA79" s="449">
        <f>$DI$79</f>
        <v>1.4E-2</v>
      </c>
      <c r="BB79" s="449">
        <f>$DI$79</f>
        <v>1.4E-2</v>
      </c>
      <c r="BC79" s="449">
        <f>$DI$79</f>
        <v>1.4E-2</v>
      </c>
      <c r="BD79" s="449">
        <f>$DI$79</f>
        <v>1.4E-2</v>
      </c>
      <c r="BE79" s="449"/>
      <c r="BF79" s="449"/>
      <c r="BG79" s="449"/>
      <c r="BH79" s="449"/>
      <c r="BI79" s="449"/>
      <c r="BJ79" s="449"/>
      <c r="BK79" s="449"/>
      <c r="BL79" s="449"/>
      <c r="BM79" s="449"/>
      <c r="BN79" s="449"/>
      <c r="BO79" s="449"/>
      <c r="BP79" s="449"/>
      <c r="BQ79" s="449"/>
      <c r="BR79" s="449"/>
      <c r="BS79" s="449"/>
      <c r="BT79" s="449"/>
      <c r="BU79" s="449"/>
      <c r="BV79" s="449"/>
      <c r="BW79" s="449"/>
      <c r="BX79" s="449"/>
      <c r="BY79" s="449"/>
      <c r="BZ79" s="449"/>
      <c r="CA79" s="449"/>
      <c r="CB79" s="449"/>
      <c r="CC79" s="449"/>
      <c r="CD79" s="1034"/>
      <c r="CE79" s="449"/>
      <c r="CF79" s="449"/>
      <c r="CG79" s="449"/>
      <c r="CH79" s="449"/>
      <c r="CI79" s="449"/>
      <c r="CN79" s="449"/>
      <c r="CO79" s="449"/>
      <c r="CP79" s="449"/>
      <c r="CQ79" s="449"/>
      <c r="CR79" s="449"/>
      <c r="CS79" s="1567"/>
      <c r="CT79" s="1567"/>
      <c r="CU79" s="1567"/>
      <c r="CV79" s="1567"/>
      <c r="CW79" s="1567"/>
      <c r="CX79" s="449"/>
      <c r="CY79" s="449"/>
      <c r="CZ79" s="449"/>
      <c r="DA79" s="449"/>
      <c r="DB79" s="449"/>
      <c r="DC79" s="449"/>
      <c r="DD79" s="449"/>
      <c r="DE79" s="449"/>
      <c r="DF79" s="449">
        <v>2.1999999999999999E-2</v>
      </c>
      <c r="DG79" s="449">
        <v>2.3E-2</v>
      </c>
      <c r="DH79" s="449">
        <v>1.7000000000000001E-2</v>
      </c>
      <c r="DI79" s="449">
        <v>1.4E-2</v>
      </c>
      <c r="DJ79" s="449">
        <v>1.4E-2</v>
      </c>
      <c r="DK79" s="449">
        <v>1.4E-2</v>
      </c>
      <c r="DL79" s="449">
        <v>1.4E-2</v>
      </c>
      <c r="DM79" s="449">
        <v>1.4E-2</v>
      </c>
      <c r="DN79" s="449">
        <v>1.4E-2</v>
      </c>
      <c r="DO79" s="449">
        <v>1.4E-2</v>
      </c>
      <c r="DP79" s="449">
        <v>1.4E-2</v>
      </c>
      <c r="DQ79" s="449">
        <v>1.4E-2</v>
      </c>
      <c r="DR79" s="449">
        <v>1.4E-2</v>
      </c>
      <c r="DS79" s="1034">
        <v>1.4E-2</v>
      </c>
      <c r="DT79" s="788">
        <v>1.4E-2</v>
      </c>
      <c r="DU79" s="1034">
        <v>1.4E-2</v>
      </c>
      <c r="DV79" s="69">
        <v>1.4E-2</v>
      </c>
      <c r="DW79" s="449"/>
    </row>
    <row r="80" spans="1:138">
      <c r="B80" s="449"/>
      <c r="C80" s="449"/>
      <c r="D80" s="449"/>
      <c r="E80" s="449"/>
      <c r="F80" s="449"/>
      <c r="G80" s="449"/>
      <c r="H80" s="449"/>
      <c r="I80" s="449"/>
      <c r="J80" s="449"/>
      <c r="K80" s="449"/>
      <c r="L80" s="449"/>
      <c r="M80" s="449"/>
      <c r="N80" s="449"/>
      <c r="O80" s="449"/>
      <c r="P80" s="449"/>
      <c r="Q80" s="449"/>
      <c r="R80" s="449"/>
      <c r="S80" s="449"/>
      <c r="T80" s="449"/>
      <c r="U80" s="449"/>
      <c r="V80" s="449"/>
      <c r="W80" s="449"/>
      <c r="X80" s="449"/>
      <c r="Y80" s="449"/>
      <c r="Z80" s="449"/>
      <c r="AA80" s="449"/>
      <c r="AC80" s="449"/>
      <c r="AD80" s="449"/>
      <c r="AE80" s="449"/>
      <c r="AF80" s="449"/>
      <c r="AH80" s="449"/>
      <c r="AI80" s="449"/>
      <c r="AJ80" s="449"/>
      <c r="AK80" s="449"/>
      <c r="AM80" s="449"/>
      <c r="AN80" s="449"/>
      <c r="AO80" s="449"/>
      <c r="AP80" s="449"/>
      <c r="AQ80" s="449"/>
      <c r="AS80" s="449"/>
      <c r="AT80" s="449"/>
      <c r="AU80" s="449"/>
      <c r="AV80" s="449"/>
      <c r="AW80" s="449"/>
      <c r="AX80" s="449"/>
      <c r="AY80" s="449"/>
      <c r="AZ80" s="449"/>
      <c r="BB80" s="449"/>
      <c r="BC80" s="449"/>
      <c r="BD80" s="449"/>
      <c r="BE80" s="449"/>
      <c r="BF80" s="449"/>
      <c r="BG80" s="449"/>
      <c r="BH80" s="449"/>
      <c r="BI80" s="449"/>
      <c r="BJ80" s="449"/>
      <c r="BK80" s="449"/>
      <c r="BL80" s="449"/>
      <c r="BM80" s="449"/>
      <c r="BN80" s="449"/>
      <c r="BO80" s="449"/>
      <c r="BP80" s="449"/>
      <c r="BQ80" s="449"/>
      <c r="BR80" s="449"/>
      <c r="BS80" s="449"/>
      <c r="BT80" s="449"/>
    </row>
    <row r="81" spans="1:101" customFormat="1" ht="12.75" customHeight="1" outlineLevel="1"/>
    <row r="82" spans="1:101" ht="12.75" customHeight="1" outlineLevel="1">
      <c r="A82" s="449"/>
      <c r="B82" s="449"/>
      <c r="C82" s="449"/>
      <c r="D82" s="449"/>
      <c r="E82" s="449"/>
      <c r="F82" s="449"/>
      <c r="G82" s="449"/>
      <c r="H82" s="449"/>
      <c r="I82" s="449"/>
      <c r="J82" s="449"/>
      <c r="K82" s="449"/>
      <c r="L82" s="449"/>
      <c r="M82" s="449"/>
      <c r="N82" s="449"/>
      <c r="O82" s="449"/>
      <c r="P82" s="449"/>
      <c r="Q82" s="449"/>
      <c r="R82" s="449"/>
      <c r="S82" s="449"/>
      <c r="T82" s="449"/>
      <c r="U82" s="449"/>
      <c r="V82" s="449"/>
      <c r="AA82" s="449"/>
      <c r="AC82" s="449"/>
      <c r="AD82" s="449"/>
      <c r="AE82" s="449"/>
      <c r="AF82" s="449"/>
      <c r="AH82" s="449"/>
      <c r="AI82" s="449"/>
      <c r="AJ82" s="449"/>
      <c r="AK82" s="449"/>
      <c r="AM82" s="449"/>
      <c r="AN82" s="449"/>
      <c r="AO82" s="449"/>
      <c r="AP82" s="449"/>
      <c r="AR82" s="449"/>
      <c r="AS82" s="449"/>
      <c r="AT82" s="449"/>
      <c r="AU82" s="449"/>
      <c r="AV82" s="449"/>
      <c r="AW82" s="449"/>
      <c r="AX82" s="449"/>
      <c r="AY82" s="449"/>
      <c r="AZ82" s="449"/>
      <c r="BA82" s="449"/>
      <c r="BB82" s="449"/>
      <c r="BC82" s="449"/>
      <c r="BD82" s="449"/>
      <c r="BE82" s="449"/>
      <c r="BF82" s="449"/>
      <c r="BG82" s="449"/>
      <c r="BH82" s="449"/>
      <c r="BI82" s="449"/>
      <c r="BJ82" s="449"/>
      <c r="BK82" s="449"/>
      <c r="BL82" s="449"/>
      <c r="BM82" s="449"/>
      <c r="BN82" s="449"/>
      <c r="BO82" s="449"/>
      <c r="BP82" s="449"/>
      <c r="BQ82" s="449"/>
      <c r="BR82" s="449"/>
      <c r="BS82" s="449"/>
      <c r="BT82" s="449"/>
      <c r="BY82" s="449"/>
      <c r="CD82" s="1034"/>
      <c r="CI82" s="449"/>
      <c r="CN82" s="449"/>
      <c r="CS82" s="1567"/>
    </row>
    <row r="83" spans="1:101">
      <c r="B83" s="646"/>
      <c r="C83" s="641"/>
      <c r="D83" s="641"/>
      <c r="E83" s="641"/>
      <c r="F83" s="641"/>
      <c r="G83" s="646"/>
      <c r="H83" s="641"/>
      <c r="I83" s="641"/>
      <c r="J83" s="641"/>
      <c r="K83" s="641"/>
      <c r="L83" s="641"/>
      <c r="M83" s="641"/>
      <c r="N83" s="646"/>
      <c r="O83" s="646"/>
      <c r="P83" s="646"/>
      <c r="Q83" s="641"/>
      <c r="R83" s="641"/>
      <c r="S83" s="641"/>
      <c r="T83" s="641"/>
      <c r="U83" s="641"/>
      <c r="V83" s="641"/>
      <c r="AA83" s="641"/>
      <c r="AF83" s="641"/>
      <c r="BP83" s="774"/>
      <c r="BQ83" s="774"/>
      <c r="BR83" s="774"/>
      <c r="BS83" s="774"/>
      <c r="BT83" s="774"/>
      <c r="BY83" s="774"/>
      <c r="CD83" s="789"/>
      <c r="CI83" s="774"/>
      <c r="CN83" s="774"/>
      <c r="CS83" s="789"/>
    </row>
    <row r="84" spans="1:101">
      <c r="A84" s="449" t="s">
        <v>520</v>
      </c>
      <c r="B84" s="774"/>
      <c r="C84" s="664"/>
      <c r="D84" s="664"/>
      <c r="E84" s="664"/>
      <c r="F84" s="664"/>
      <c r="G84" s="664"/>
      <c r="H84" s="664"/>
      <c r="I84" s="664"/>
      <c r="J84" s="664"/>
      <c r="K84" s="664"/>
      <c r="L84" s="641"/>
      <c r="M84" s="664"/>
      <c r="N84" s="664"/>
      <c r="O84" s="664"/>
      <c r="P84" s="664"/>
      <c r="Q84" s="641"/>
      <c r="R84" s="664"/>
      <c r="S84" s="664"/>
      <c r="T84" s="664"/>
      <c r="U84" s="664"/>
      <c r="V84" s="641"/>
      <c r="AA84" s="641"/>
      <c r="AF84" s="641"/>
      <c r="BT84" s="774"/>
      <c r="BY84" s="774"/>
      <c r="CD84" s="789"/>
      <c r="CI84" s="774"/>
      <c r="CN84" s="774"/>
      <c r="CS84" s="789"/>
    </row>
    <row r="85" spans="1:101">
      <c r="BT85" s="774"/>
      <c r="BY85" s="774"/>
      <c r="CD85" s="789"/>
      <c r="CI85" s="774"/>
      <c r="CN85" s="774"/>
      <c r="CS85" s="789"/>
    </row>
    <row r="88" spans="1:101">
      <c r="A88" s="449"/>
    </row>
    <row r="89" spans="1:101">
      <c r="BK89" s="449"/>
      <c r="BL89" s="449"/>
      <c r="BM89" s="449"/>
      <c r="BN89" s="449"/>
      <c r="BP89" s="449"/>
      <c r="BQ89" s="449"/>
      <c r="BR89" s="449"/>
      <c r="BS89" s="449"/>
      <c r="BU89" s="449"/>
      <c r="BV89" s="449"/>
      <c r="BW89" s="449"/>
      <c r="BX89" s="449"/>
      <c r="BZ89" s="449"/>
      <c r="CA89" s="449"/>
      <c r="CB89" s="449"/>
      <c r="CC89" s="449"/>
      <c r="CE89" s="449"/>
      <c r="CF89" s="449"/>
      <c r="CG89" s="449"/>
      <c r="CH89" s="449"/>
      <c r="CJ89" s="449"/>
      <c r="CK89" s="449"/>
      <c r="CL89" s="449"/>
      <c r="CM89" s="449"/>
      <c r="CO89" s="1034"/>
      <c r="CP89" s="1034"/>
      <c r="CQ89" s="1034"/>
      <c r="CR89" s="1034"/>
      <c r="CT89" s="1567"/>
      <c r="CU89" s="1567"/>
      <c r="CV89" s="1567"/>
      <c r="CW89" s="1567"/>
    </row>
    <row r="90" spans="1:101">
      <c r="BK90" s="449"/>
      <c r="BL90" s="449"/>
      <c r="BM90" s="449"/>
      <c r="BN90" s="449"/>
      <c r="BP90" s="449"/>
      <c r="BQ90" s="449"/>
      <c r="BR90" s="449"/>
      <c r="BS90" s="449"/>
      <c r="BU90" s="449"/>
      <c r="BV90" s="449"/>
      <c r="BW90" s="449"/>
      <c r="BX90" s="449"/>
      <c r="BZ90" s="449"/>
      <c r="CA90" s="449"/>
      <c r="CB90" s="449"/>
      <c r="CC90" s="449"/>
      <c r="CE90" s="449"/>
      <c r="CF90" s="449"/>
      <c r="CG90" s="449"/>
      <c r="CH90" s="449"/>
      <c r="CJ90" s="449"/>
      <c r="CK90" s="449"/>
      <c r="CL90" s="449"/>
      <c r="CM90" s="449"/>
      <c r="CO90" s="1034"/>
      <c r="CP90" s="1034"/>
      <c r="CQ90" s="1034"/>
      <c r="CR90" s="1034"/>
      <c r="CT90" s="1567"/>
      <c r="CU90" s="1567"/>
      <c r="CV90" s="1567"/>
      <c r="CW90" s="1567"/>
    </row>
    <row r="91" spans="1:101">
      <c r="BK91" s="449"/>
      <c r="BL91" s="449"/>
      <c r="BM91" s="449"/>
      <c r="BN91" s="449"/>
      <c r="BP91" s="449"/>
      <c r="BQ91" s="449"/>
      <c r="BR91" s="449"/>
      <c r="BS91" s="449"/>
      <c r="BU91" s="449"/>
      <c r="BV91" s="449"/>
      <c r="BW91" s="449"/>
      <c r="BX91" s="449"/>
      <c r="BZ91" s="449"/>
      <c r="CA91" s="449"/>
      <c r="CB91" s="449"/>
      <c r="CC91" s="449"/>
      <c r="CE91" s="449"/>
      <c r="CF91" s="449"/>
      <c r="CG91" s="449"/>
      <c r="CH91" s="449"/>
      <c r="CJ91" s="449"/>
      <c r="CK91" s="449"/>
      <c r="CL91" s="449"/>
      <c r="CM91" s="449"/>
      <c r="CO91" s="1034"/>
      <c r="CP91" s="1034"/>
      <c r="CQ91" s="1034"/>
      <c r="CR91" s="1034"/>
      <c r="CT91" s="1567"/>
      <c r="CU91" s="1567"/>
      <c r="CV91" s="1567"/>
      <c r="CW91" s="1567"/>
    </row>
    <row r="92" spans="1:101">
      <c r="BK92" s="449"/>
      <c r="BL92" s="449"/>
      <c r="BM92" s="449"/>
      <c r="BN92" s="449"/>
      <c r="BP92" s="449"/>
      <c r="BQ92" s="449"/>
      <c r="BR92" s="449"/>
      <c r="BS92" s="449"/>
      <c r="BU92" s="449"/>
      <c r="BV92" s="449"/>
      <c r="BW92" s="449"/>
      <c r="BX92" s="449"/>
      <c r="BZ92" s="449"/>
      <c r="CA92" s="449"/>
      <c r="CB92" s="449"/>
      <c r="CC92" s="449"/>
      <c r="CE92" s="449"/>
      <c r="CF92" s="449"/>
      <c r="CG92" s="449"/>
      <c r="CH92" s="449"/>
      <c r="CJ92" s="449"/>
      <c r="CK92" s="449"/>
      <c r="CL92" s="449"/>
      <c r="CM92" s="449"/>
      <c r="CO92" s="1034"/>
      <c r="CP92" s="1034"/>
      <c r="CQ92" s="1034"/>
      <c r="CR92" s="1034"/>
      <c r="CT92" s="1567"/>
      <c r="CU92" s="1567"/>
      <c r="CV92" s="1567"/>
      <c r="CW92" s="1567"/>
    </row>
    <row r="94" spans="1:101">
      <c r="A94" s="449"/>
    </row>
    <row r="95" spans="1:101">
      <c r="BP95" s="449"/>
      <c r="BQ95" s="449"/>
      <c r="BR95" s="449"/>
      <c r="BS95" s="449"/>
      <c r="BU95" s="449"/>
      <c r="BV95" s="449"/>
      <c r="BW95" s="449"/>
      <c r="BX95" s="449"/>
      <c r="BZ95" s="449"/>
      <c r="CA95" s="449"/>
      <c r="CB95" s="449"/>
      <c r="CC95" s="449"/>
      <c r="CE95" s="1038"/>
      <c r="CF95" s="449"/>
      <c r="CG95" s="449"/>
      <c r="CH95" s="449"/>
      <c r="CJ95" s="1038"/>
      <c r="CK95" s="449"/>
      <c r="CL95" s="449"/>
      <c r="CM95" s="449"/>
      <c r="CO95" s="1038"/>
      <c r="CP95" s="1034"/>
      <c r="CQ95" s="1034"/>
      <c r="CR95" s="1034"/>
      <c r="CT95" s="1038"/>
      <c r="CU95" s="1567"/>
      <c r="CV95" s="1567"/>
      <c r="CW95" s="1567"/>
    </row>
    <row r="96" spans="1:101">
      <c r="BP96" s="449"/>
      <c r="BQ96" s="449"/>
      <c r="BR96" s="449"/>
      <c r="BS96" s="449"/>
      <c r="BU96" s="449"/>
      <c r="BV96" s="449"/>
      <c r="BW96" s="449"/>
      <c r="BX96" s="449"/>
      <c r="BZ96" s="449"/>
      <c r="CA96" s="449"/>
      <c r="CB96" s="449"/>
      <c r="CC96" s="449"/>
      <c r="CE96" s="1038"/>
      <c r="CF96" s="449"/>
      <c r="CG96" s="449"/>
      <c r="CH96" s="449"/>
      <c r="CJ96" s="1038"/>
      <c r="CK96" s="449"/>
      <c r="CL96" s="449"/>
      <c r="CM96" s="449"/>
      <c r="CO96" s="1038"/>
      <c r="CP96" s="1034"/>
      <c r="CQ96" s="1034"/>
      <c r="CR96" s="1034"/>
      <c r="CT96" s="1038"/>
      <c r="CU96" s="1567"/>
      <c r="CV96" s="1567"/>
      <c r="CW96" s="1567"/>
    </row>
    <row r="97" spans="68:101">
      <c r="BP97" s="449"/>
      <c r="BQ97" s="449"/>
      <c r="BR97" s="449"/>
      <c r="BS97" s="449"/>
      <c r="BU97" s="449"/>
      <c r="BV97" s="449"/>
      <c r="BW97" s="449"/>
      <c r="BX97" s="449"/>
      <c r="BZ97" s="449"/>
      <c r="CA97" s="449"/>
      <c r="CB97" s="449"/>
      <c r="CC97" s="449"/>
      <c r="CE97" s="1038"/>
      <c r="CF97" s="449"/>
      <c r="CG97" s="449"/>
      <c r="CH97" s="449"/>
      <c r="CJ97" s="1038"/>
      <c r="CK97" s="449"/>
      <c r="CL97" s="449"/>
      <c r="CM97" s="449"/>
      <c r="CO97" s="1038"/>
      <c r="CP97" s="1034"/>
      <c r="CQ97" s="1034"/>
      <c r="CR97" s="1034"/>
      <c r="CT97" s="1038"/>
      <c r="CU97" s="1567"/>
      <c r="CV97" s="1567"/>
      <c r="CW97" s="1567"/>
    </row>
    <row r="98" spans="68:101">
      <c r="BP98" s="449"/>
      <c r="BQ98" s="449"/>
      <c r="BR98" s="449"/>
      <c r="BS98" s="449"/>
      <c r="BU98" s="449"/>
      <c r="BV98" s="449"/>
      <c r="BW98" s="449"/>
      <c r="BX98" s="449"/>
      <c r="BZ98" s="449"/>
      <c r="CA98" s="449"/>
      <c r="CB98" s="449"/>
      <c r="CC98" s="449"/>
      <c r="CE98" s="1038"/>
      <c r="CF98" s="449"/>
      <c r="CG98" s="449"/>
      <c r="CH98" s="449"/>
      <c r="CJ98" s="1038"/>
      <c r="CK98" s="449"/>
      <c r="CL98" s="449"/>
      <c r="CM98" s="449"/>
      <c r="CO98" s="1038"/>
      <c r="CP98" s="1034"/>
      <c r="CQ98" s="1034"/>
      <c r="CR98" s="1034"/>
      <c r="CT98" s="1038"/>
      <c r="CU98" s="1567"/>
      <c r="CV98" s="1567"/>
      <c r="CW98" s="1567"/>
    </row>
  </sheetData>
  <mergeCells count="13">
    <mergeCell ref="CT7:CW7"/>
    <mergeCell ref="CO7:CR7"/>
    <mergeCell ref="BP7:BS7"/>
    <mergeCell ref="AQ5:BI5"/>
    <mergeCell ref="BK7:BN7"/>
    <mergeCell ref="AV7:AY7"/>
    <mergeCell ref="BA7:BD7"/>
    <mergeCell ref="BF7:BI7"/>
    <mergeCell ref="BZ6:CC6"/>
    <mergeCell ref="CJ7:CM7"/>
    <mergeCell ref="CE7:CH7"/>
    <mergeCell ref="BZ7:CC7"/>
    <mergeCell ref="BU7:BX7"/>
  </mergeCells>
  <phoneticPr fontId="0" type="noConversion"/>
  <dataValidations count="2">
    <dataValidation type="custom" allowBlank="1" showInputMessage="1" showErrorMessage="1" sqref="BZ52:CB54 L82:L65536 BY51:BY79 BY33:BY46 CY73:CZ75 BU75:BX79 BU40:BX46 BU33:BX38 BU72:BX72 BX51:BX54 BU55:BX59 CY19:DA19 CY17:DB18 BZ7 BP52:BR59 DB7:DB9 DB1:DB4 BA40:BD46 DD2 DC1:DC21 DB23 DB13:DB14 DB11 DB19:DB21 BK65 BP66:BS80 CE52:CG54 DB25:DB30 DB32:DC72 DC23:DC30 BU7 L1:L59 BK7 W40:Z46 BF7 AL7:AT16 AU8:AU16 AG5:AG6 M1:P9 Q1:Q59 V5:V6 R25:U29 H19:K19 C19:F19 R23:U23 M17:P19 R1:U20 W25:Z29 W23:Z23 W1:Z16 W19:Z20 AB25:AJ29 AB23:AJ23 AV40:AY46 AB7:AJ16 AB19:AJ20 AB1:AJ4 AV7:AV16 BA7 R40:U46 AF31:AF46 AB40:AE46 AP31:AP46 AG40:AJ46 AU31:AU46 AL40:AO46 AZ31:AZ46 AQ40:AT46 BE31:BE46 BP7 CC51:CD54 BU52:BW54 BS51:BT59 BI65:BJ73 BK73 AD80:AE80 R80 C76:F76 AI80:AJ80 W76:Z76 AQ80 AG76:AJ76 AL76:AO76 AV76:AY76 AP67:AP80 AB76:AE76 AU67:AU80 AZ67:AZ80 BE67:BE80 AQ76:AT76 BF67:BF73 BB80:BD80 H76:K76 BB67:BD73 AW67:AY73 AS67:AT73 AQ67:AQ73 AN67:AO73 AL67:AL73 AN82:AQ65536 AI67:AJ73 AG67:AG73 AD67:AE73 AD82:AG65536 AB67:AB73 R67:R73 M67:P73 J67:K73 V67:V80 BN51:BO59 J80:K80 AC88:AC65536 M82:U65536 W82:Z65536 AH88:AH65536 AM88:AM65536 AR88:AR65536 AL82:AL65536 AB82:AB65536 M57:P59 AA67:AA80 CI51:CI59 AI82:AJ65536 BH76 W51:Z59 R51:U59 AC51:AJ59 AB51:AB56 AB58:AB59 AF67:AF80 BG65:BG73 M80:P80 R76:U76 AB80 AG80 AL80 AN80:AO80 AS80:AT80 AW80:AY80 BA76:BD76 M76:P76 BF76:BG80 AL51:BJ59 BK52:BM59 BL65:BO73 DA60:DA79 BT60:BT80 BI76:BO80 CY60:CZ71 R33:U38 W33:Z38 AB33:AE38 AG33:AJ38 AL33:AO38 AQ33:AT38 AV33:AY38 BA33:BD38 BF40:BI46 BF33:BI38 BJ33:BJ46 BK40:BN46 BK33:BN38 BO33:BO46 BP40:BS46 BP33:BS38 BT33:BT46 CE82:CN98 DB76:DC79 DB87:DC65536 DF76:DI76 DB73:DE75 CA71:CD71 BV71:BX71 CI66:CI79 CI33:CI46 CE7 DD45:DP45 DD35:DP35 CA1:CA3 AL1:BZ4 CJ67:CM70 BZ40:CH46 BZ75:CH79 BZ72:CH72 BZ33:CH38 CH51:CH54 CJ52:CL54 CO7 CP66:CP71 CN33:CN46 CJ7 CB1:CO4 CP1:CQ3 AS82:CD65536 BZ55:CH59 DF74:DW75 CJ33:CM38 CJ40:CM46 CM51:CM54 CF71:CH71 CO65:CP65 CF66:CH66 CO52:CQ54 CX82:CX88 CE67:CH70 DD62:DW64 DD66:DW66 DD32:DW32 DK31:DW31 CR51:CS54 CR1:CT4 CW1:CX4 CT7 CU1:CV3 CT52:CV54 CU64:CX71 CO75:CX79 CO72:CX72 CO55:CX59 CE99:CX65536 AL23:CX23 AL19:CX20 AL25:CX29 CO33:CX38 CO40:CX46 CO89:CX98 AW8:CX16 CW51:CX54 CQ64:CS71 CJ65:CM65 CD65:CD70 CN51:CN79 L67:L80">
      <formula1>-1</formula1>
    </dataValidation>
    <dataValidation allowBlank="1" showInputMessage="1" errorTitle="DontRemoveTheErrorMessage" error="_2__FDSAUDITLINK__" prompt="Right-click to audit FactSet content" sqref="H26"/>
  </dataValidations>
  <printOptions horizontalCentered="1"/>
  <pageMargins left="0" right="0" top="0" bottom="0" header="0" footer="0"/>
  <pageSetup paperSize="5" scale="87"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IW571"/>
  <sheetViews>
    <sheetView showGridLines="0" view="pageBreakPreview" zoomScale="85" zoomScaleNormal="100" zoomScaleSheetLayoutView="85" workbookViewId="0">
      <pane ySplit="11190"/>
      <selection activeCell="BA17" sqref="AZ16:BA17"/>
      <selection pane="bottomLeft" activeCell="N1" sqref="N1"/>
    </sheetView>
  </sheetViews>
  <sheetFormatPr defaultRowHeight="12.75" outlineLevelRow="2" outlineLevelCol="1"/>
  <cols>
    <col min="1" max="1" width="2.7109375" style="1" customWidth="1"/>
    <col min="2" max="2" width="6.85546875" style="1" customWidth="1"/>
    <col min="3" max="3" width="1.28515625" style="1" customWidth="1"/>
    <col min="4" max="4" width="5.42578125" style="1" customWidth="1"/>
    <col min="5" max="5" width="2.140625" style="1" customWidth="1"/>
    <col min="6" max="6" width="5.85546875" style="1" customWidth="1"/>
    <col min="7" max="7" width="2.140625" style="1" customWidth="1"/>
    <col min="8" max="8" width="6.7109375" style="1" customWidth="1"/>
    <col min="9" max="9" width="1.7109375" style="1" customWidth="1"/>
    <col min="10" max="10" width="6.42578125" style="1" customWidth="1"/>
    <col min="11" max="11" width="6.140625" style="1" customWidth="1"/>
    <col min="12" max="12" width="9.42578125" style="1" customWidth="1"/>
    <col min="13" max="13" width="1.28515625" style="1" customWidth="1"/>
    <col min="14" max="14" width="7" style="1" customWidth="1"/>
    <col min="15" max="15" width="1.7109375" style="1" customWidth="1"/>
    <col min="16" max="16" width="6.5703125" style="1" customWidth="1"/>
    <col min="17" max="17" width="4" style="1" customWidth="1"/>
    <col min="18" max="18" width="1.28515625" style="1" customWidth="1"/>
    <col min="19" max="19" width="11.42578125" style="1" customWidth="1"/>
    <col min="20" max="20" width="8.140625" style="1" customWidth="1"/>
    <col min="21" max="21" width="1.28515625" style="1" customWidth="1"/>
    <col min="22" max="22" width="6.42578125" style="1" customWidth="1"/>
    <col min="23" max="23" width="1.28515625" style="1" customWidth="1"/>
    <col min="24" max="24" width="6" style="1" customWidth="1"/>
    <col min="25" max="26" width="1.7109375" style="1" customWidth="1"/>
    <col min="27" max="27" width="6.42578125" style="1" customWidth="1"/>
    <col min="28" max="28" width="1.7109375" style="1" customWidth="1"/>
    <col min="29" max="29" width="6.5703125" style="1" customWidth="1"/>
    <col min="30" max="30" width="1.28515625" style="1" customWidth="1"/>
    <col min="31" max="31" width="7.42578125" style="1" customWidth="1"/>
    <col min="32" max="32" width="2" style="1" customWidth="1"/>
    <col min="33" max="33" width="7" style="1" customWidth="1"/>
    <col min="34" max="34" width="7.42578125" style="1" customWidth="1"/>
    <col min="35" max="35" width="1.140625" style="1" customWidth="1"/>
    <col min="36" max="36" width="8.140625" style="1" customWidth="1"/>
    <col min="37" max="37" width="1.28515625" style="1" customWidth="1"/>
    <col min="38" max="38" width="8.140625" style="1" customWidth="1"/>
    <col min="39" max="39" width="2.5703125" style="1" customWidth="1"/>
    <col min="40" max="40" width="9.28515625" style="1" customWidth="1"/>
    <col min="41" max="41" width="2" style="1" customWidth="1"/>
    <col min="42" max="45" width="9.140625" style="1734"/>
    <col min="46" max="46" width="2.140625" style="1734" customWidth="1"/>
    <col min="47" max="50" width="0" style="1734" hidden="1" customWidth="1" outlineLevel="1"/>
    <col min="51" max="51" width="9.140625" style="1734" collapsed="1"/>
    <col min="52" max="16384" width="9.140625" style="1734"/>
  </cols>
  <sheetData>
    <row r="1" spans="1:47" s="24" customFormat="1">
      <c r="B1" s="29"/>
      <c r="J1" s="1874" t="s">
        <v>54</v>
      </c>
      <c r="K1" s="1875"/>
      <c r="L1" s="1875"/>
      <c r="M1" s="1875"/>
      <c r="N1" s="1875"/>
      <c r="O1" s="1875"/>
      <c r="P1" s="1875"/>
      <c r="Q1" s="1875"/>
      <c r="R1" s="1875"/>
      <c r="S1" s="1875"/>
      <c r="T1" s="1875"/>
      <c r="U1" s="1875"/>
      <c r="V1" s="1875"/>
      <c r="W1" s="1875"/>
      <c r="X1" s="1875"/>
      <c r="Y1" s="1875"/>
      <c r="Z1" s="1876"/>
      <c r="AB1" s="1874" t="s">
        <v>55</v>
      </c>
      <c r="AC1" s="1875"/>
      <c r="AD1" s="1875"/>
      <c r="AE1" s="1875"/>
      <c r="AF1" s="1875"/>
      <c r="AG1" s="1875"/>
      <c r="AH1" s="1875"/>
      <c r="AI1" s="1875"/>
      <c r="AJ1" s="1875"/>
      <c r="AK1" s="1875"/>
      <c r="AL1" s="1875"/>
      <c r="AM1" s="1875"/>
      <c r="AN1" s="1875"/>
      <c r="AO1" s="1875"/>
      <c r="AP1" s="1876"/>
    </row>
    <row r="2" spans="1:47" s="24" customFormat="1">
      <c r="B2" s="29"/>
      <c r="D2" s="27"/>
      <c r="E2" s="1877" t="s">
        <v>560</v>
      </c>
      <c r="F2" s="27"/>
      <c r="H2" s="31" t="s">
        <v>595</v>
      </c>
      <c r="J2" s="1782"/>
      <c r="P2" s="1878" t="s">
        <v>606</v>
      </c>
      <c r="Q2" s="1878"/>
      <c r="S2" s="1762"/>
      <c r="T2" s="1762"/>
      <c r="U2" s="1762"/>
      <c r="V2" s="1762"/>
      <c r="W2" s="27" t="s">
        <v>51</v>
      </c>
      <c r="X2" s="1762"/>
      <c r="Y2" s="1762"/>
      <c r="Z2" s="30"/>
      <c r="AH2" s="1878" t="s">
        <v>606</v>
      </c>
      <c r="AI2" s="1878"/>
      <c r="AK2" s="1762"/>
      <c r="AL2" s="1762"/>
      <c r="AM2" s="1877"/>
      <c r="AN2" s="1762"/>
      <c r="AO2" s="1762"/>
      <c r="AP2" s="30"/>
    </row>
    <row r="3" spans="1:47" s="24" customFormat="1">
      <c r="B3" s="29"/>
      <c r="D3" s="31"/>
      <c r="E3" s="31"/>
      <c r="F3" s="31" t="s">
        <v>594</v>
      </c>
      <c r="G3" s="31"/>
      <c r="H3" s="1877" t="s">
        <v>596</v>
      </c>
      <c r="J3" s="1877"/>
      <c r="K3" s="1877" t="s">
        <v>601</v>
      </c>
      <c r="L3" s="1877"/>
      <c r="M3" s="31"/>
      <c r="N3" s="31" t="s">
        <v>604</v>
      </c>
      <c r="P3" s="1878" t="s">
        <v>607</v>
      </c>
      <c r="Q3" s="1878"/>
      <c r="W3" s="31" t="s">
        <v>611</v>
      </c>
      <c r="Y3" s="31" t="s">
        <v>613</v>
      </c>
      <c r="Z3" s="30"/>
      <c r="AB3" s="1877"/>
      <c r="AC3" s="1877" t="s">
        <v>659</v>
      </c>
      <c r="AD3" s="1877"/>
      <c r="AE3" s="31"/>
      <c r="AF3" s="31"/>
      <c r="AH3" s="1878" t="s">
        <v>607</v>
      </c>
      <c r="AI3" s="1878"/>
      <c r="AM3" s="31"/>
      <c r="AO3" s="31" t="s">
        <v>613</v>
      </c>
      <c r="AP3" s="30"/>
    </row>
    <row r="4" spans="1:47" s="24" customFormat="1">
      <c r="B4" s="29"/>
      <c r="D4" s="1877" t="s">
        <v>593</v>
      </c>
      <c r="E4" s="31"/>
      <c r="F4" s="1877" t="s">
        <v>573</v>
      </c>
      <c r="G4" s="31"/>
      <c r="H4" s="31" t="s">
        <v>597</v>
      </c>
      <c r="J4" s="1877" t="s">
        <v>593</v>
      </c>
      <c r="K4" s="31"/>
      <c r="L4" s="1877" t="s">
        <v>586</v>
      </c>
      <c r="M4" s="31"/>
      <c r="N4" s="1877" t="s">
        <v>489</v>
      </c>
      <c r="P4" s="1879" t="s">
        <v>608</v>
      </c>
      <c r="Q4" s="1879"/>
      <c r="S4" s="1877" t="s">
        <v>593</v>
      </c>
      <c r="T4" s="1877"/>
      <c r="U4" s="1880"/>
      <c r="W4" s="1877" t="s">
        <v>588</v>
      </c>
      <c r="Y4" s="1877" t="s">
        <v>589</v>
      </c>
      <c r="Z4" s="30"/>
      <c r="AB4" s="1877" t="s">
        <v>593</v>
      </c>
      <c r="AC4" s="31"/>
      <c r="AD4" s="1877" t="s">
        <v>586</v>
      </c>
      <c r="AE4" s="31"/>
      <c r="AF4" s="1877"/>
      <c r="AH4" s="1879" t="s">
        <v>50</v>
      </c>
      <c r="AI4" s="1879"/>
      <c r="AK4" s="1877" t="s">
        <v>593</v>
      </c>
      <c r="AM4" s="1877"/>
      <c r="AO4" s="1877" t="s">
        <v>589</v>
      </c>
      <c r="AP4" s="30"/>
    </row>
    <row r="5" spans="1:47" s="24" customFormat="1">
      <c r="B5" s="29"/>
      <c r="D5" s="1881" t="s">
        <v>599</v>
      </c>
      <c r="E5" s="31"/>
      <c r="F5" s="1881" t="s">
        <v>600</v>
      </c>
      <c r="G5" s="31"/>
      <c r="H5" s="1881" t="s">
        <v>598</v>
      </c>
      <c r="J5" s="1881" t="s">
        <v>602</v>
      </c>
      <c r="K5" s="31"/>
      <c r="L5" s="1881" t="s">
        <v>603</v>
      </c>
      <c r="M5" s="31"/>
      <c r="N5" s="1881" t="s">
        <v>605</v>
      </c>
      <c r="P5" s="1882" t="s">
        <v>609</v>
      </c>
      <c r="Q5" s="1882"/>
      <c r="S5" s="1881" t="s">
        <v>610</v>
      </c>
      <c r="T5" s="1881"/>
      <c r="U5" s="1881"/>
      <c r="W5" s="1881" t="s">
        <v>612</v>
      </c>
      <c r="Y5" s="1881" t="s">
        <v>614</v>
      </c>
      <c r="Z5" s="30"/>
      <c r="AA5" s="1782" t="s">
        <v>804</v>
      </c>
      <c r="AB5" s="1881" t="s">
        <v>42</v>
      </c>
      <c r="AC5" s="31"/>
      <c r="AD5" s="1881" t="s">
        <v>43</v>
      </c>
      <c r="AE5" s="31"/>
      <c r="AF5" s="1881"/>
      <c r="AH5" s="1882" t="s">
        <v>46</v>
      </c>
      <c r="AI5" s="1882"/>
      <c r="AK5" s="1881" t="s">
        <v>47</v>
      </c>
      <c r="AM5" s="1881"/>
      <c r="AO5" s="1881" t="s">
        <v>49</v>
      </c>
      <c r="AP5" s="30"/>
    </row>
    <row r="12" spans="1:47">
      <c r="A12" s="1883" t="s">
        <v>797</v>
      </c>
      <c r="B12" s="1884"/>
      <c r="C12" s="1883"/>
      <c r="D12" s="1883"/>
      <c r="E12" s="1885"/>
      <c r="F12" s="1883"/>
      <c r="G12" s="1883"/>
      <c r="H12" s="1883"/>
      <c r="I12" s="1885"/>
      <c r="J12" s="4"/>
      <c r="K12" s="4"/>
      <c r="L12" s="4"/>
      <c r="M12" s="1886"/>
      <c r="N12" s="4"/>
      <c r="O12" s="1885"/>
      <c r="P12" s="4"/>
      <c r="Q12" s="4"/>
      <c r="R12" s="1886"/>
      <c r="S12" s="4"/>
      <c r="T12" s="1887"/>
      <c r="U12" s="4"/>
      <c r="V12" s="1886"/>
      <c r="W12" s="1886"/>
      <c r="X12" s="4"/>
      <c r="Y12" s="3"/>
      <c r="Z12" s="4"/>
      <c r="AA12" s="4"/>
      <c r="AB12" s="4"/>
      <c r="AC12" s="4"/>
      <c r="AD12" s="1886"/>
      <c r="AE12" s="4"/>
      <c r="AF12" s="1886"/>
      <c r="AG12" s="4"/>
      <c r="AH12" s="4"/>
      <c r="AI12" s="1886"/>
      <c r="AJ12" s="4"/>
      <c r="AK12" s="4"/>
      <c r="AL12" s="1886"/>
      <c r="AM12" s="1886"/>
      <c r="AN12" s="4"/>
      <c r="AO12" s="3"/>
      <c r="AP12" s="4"/>
      <c r="AQ12" s="4"/>
      <c r="AR12" s="4"/>
      <c r="AS12" s="4"/>
      <c r="AT12" s="4"/>
      <c r="AU12" s="4"/>
    </row>
    <row r="13" spans="1:47">
      <c r="A13" s="1888" t="s">
        <v>798</v>
      </c>
      <c r="B13" s="1889"/>
      <c r="C13" s="1890"/>
      <c r="D13" s="1890"/>
      <c r="E13" s="1891"/>
      <c r="F13" s="1890"/>
      <c r="G13" s="1890"/>
      <c r="H13" s="1890"/>
      <c r="I13" s="1891"/>
      <c r="J13" s="1890"/>
      <c r="K13" s="1890"/>
      <c r="L13" s="1890"/>
      <c r="M13" s="1891"/>
      <c r="N13" s="1890"/>
      <c r="O13" s="1891"/>
      <c r="P13" s="1890"/>
      <c r="Q13" s="1890"/>
      <c r="R13" s="1891"/>
      <c r="S13" s="1890"/>
      <c r="T13" s="1892"/>
      <c r="U13" s="1890"/>
      <c r="V13" s="1891"/>
      <c r="W13" s="1891"/>
      <c r="X13" s="1890"/>
      <c r="Y13" s="1893"/>
      <c r="Z13" s="1890"/>
      <c r="AA13" s="1890"/>
      <c r="AB13" s="1890"/>
      <c r="AC13" s="1890"/>
      <c r="AD13" s="1891"/>
      <c r="AE13" s="1890"/>
      <c r="AF13" s="1891"/>
      <c r="AG13" s="1890"/>
      <c r="AH13" s="1890"/>
      <c r="AI13" s="1891"/>
      <c r="AJ13" s="1890"/>
      <c r="AK13" s="1890"/>
      <c r="AL13" s="1891"/>
      <c r="AM13" s="1891"/>
      <c r="AN13" s="1890"/>
      <c r="AO13" s="3"/>
      <c r="AP13" s="4"/>
      <c r="AQ13" s="4"/>
      <c r="AR13" s="4"/>
      <c r="AS13" s="4"/>
      <c r="AT13" s="4"/>
      <c r="AU13" s="4"/>
    </row>
    <row r="14" spans="1:47">
      <c r="A14" s="1734"/>
      <c r="B14" s="1894"/>
      <c r="C14" s="1734"/>
      <c r="D14" s="1734"/>
      <c r="E14" s="1734"/>
      <c r="F14" s="1734"/>
      <c r="G14" s="1734"/>
      <c r="H14" s="1734"/>
      <c r="I14" s="1734"/>
      <c r="J14" s="1734"/>
      <c r="K14" s="1734"/>
      <c r="L14" s="1734"/>
      <c r="M14" s="1734"/>
      <c r="N14" s="1734"/>
      <c r="O14" s="1734"/>
      <c r="P14" s="1734"/>
      <c r="Q14" s="1734"/>
      <c r="R14" s="1734"/>
      <c r="S14" s="1734"/>
      <c r="T14" s="1734"/>
      <c r="U14" s="1734"/>
      <c r="V14" s="1734"/>
      <c r="W14" s="1734"/>
      <c r="X14" s="1734"/>
      <c r="Y14" s="1735"/>
      <c r="Z14" s="1734"/>
      <c r="AA14" s="1734"/>
      <c r="AB14" s="1734"/>
      <c r="AC14" s="1734"/>
      <c r="AD14" s="1734"/>
      <c r="AE14" s="1734"/>
      <c r="AF14" s="1734"/>
      <c r="AG14" s="1734"/>
      <c r="AH14" s="1734"/>
      <c r="AI14" s="1734"/>
      <c r="AJ14" s="1734"/>
      <c r="AK14" s="1734"/>
      <c r="AL14" s="1734"/>
      <c r="AM14" s="1734"/>
      <c r="AN14" s="1734"/>
      <c r="AO14" s="1735"/>
    </row>
    <row r="15" spans="1:47">
      <c r="A15" s="1734"/>
      <c r="B15" s="1894"/>
      <c r="C15" s="1734"/>
      <c r="D15" s="1734"/>
      <c r="E15" s="1734"/>
      <c r="F15" s="1734"/>
      <c r="G15" s="1734"/>
      <c r="H15" s="1734"/>
      <c r="I15" s="1734"/>
      <c r="J15" s="1734"/>
      <c r="K15" s="1734"/>
      <c r="L15" s="1734"/>
      <c r="M15" s="1734"/>
      <c r="N15" s="1734"/>
      <c r="O15" s="1734"/>
      <c r="P15" s="1734"/>
      <c r="Q15" s="1734"/>
      <c r="R15" s="1734"/>
      <c r="S15" s="1734"/>
      <c r="T15" s="1734"/>
      <c r="U15" s="1734"/>
      <c r="V15" s="1734"/>
      <c r="W15" s="1734"/>
      <c r="X15" s="1734"/>
      <c r="Y15" s="1735"/>
      <c r="Z15" s="1734"/>
      <c r="AA15" s="1734"/>
      <c r="AB15" s="1734"/>
      <c r="AC15" s="1734"/>
      <c r="AD15" s="1734"/>
      <c r="AE15" s="1734"/>
      <c r="AF15" s="1734"/>
      <c r="AG15" s="1734"/>
      <c r="AH15" s="1734"/>
      <c r="AI15" s="1734"/>
      <c r="AJ15" s="1734"/>
      <c r="AK15" s="1734"/>
      <c r="AL15" s="1734"/>
      <c r="AM15" s="1734"/>
      <c r="AN15" s="1734"/>
      <c r="AO15" s="1735"/>
    </row>
    <row r="16" spans="1:47">
      <c r="A16" s="1734"/>
      <c r="B16" s="1894"/>
      <c r="C16" s="1734"/>
      <c r="D16" s="1734"/>
      <c r="E16" s="1734"/>
      <c r="F16" s="1734"/>
      <c r="G16" s="1734"/>
      <c r="H16" s="1734"/>
      <c r="I16" s="1734"/>
      <c r="J16" s="1895" t="s">
        <v>54</v>
      </c>
      <c r="K16" s="1896"/>
      <c r="L16" s="1896"/>
      <c r="M16" s="1896"/>
      <c r="N16" s="1896"/>
      <c r="O16" s="1896"/>
      <c r="P16" s="1896"/>
      <c r="Q16" s="1896"/>
      <c r="R16" s="1896"/>
      <c r="S16" s="1896"/>
      <c r="T16" s="1896"/>
      <c r="U16" s="1896"/>
      <c r="V16" s="1896"/>
      <c r="W16" s="1896"/>
      <c r="X16" s="1896"/>
      <c r="Y16" s="1897"/>
      <c r="Z16" s="1734"/>
      <c r="AA16" s="1895" t="s">
        <v>794</v>
      </c>
      <c r="AB16" s="1896"/>
      <c r="AC16" s="1896"/>
      <c r="AD16" s="1896"/>
      <c r="AE16" s="1896"/>
      <c r="AF16" s="1896"/>
      <c r="AG16" s="1896"/>
      <c r="AH16" s="1896"/>
      <c r="AI16" s="1896"/>
      <c r="AJ16" s="1896"/>
      <c r="AK16" s="1896"/>
      <c r="AL16" s="1896"/>
      <c r="AM16" s="1896"/>
      <c r="AN16" s="1896"/>
      <c r="AO16" s="1897"/>
    </row>
    <row r="17" spans="1:257">
      <c r="A17" s="1734"/>
      <c r="B17" s="1894"/>
      <c r="C17" s="1734"/>
      <c r="D17" s="1890"/>
      <c r="E17" s="1893" t="s">
        <v>560</v>
      </c>
      <c r="F17" s="1890"/>
      <c r="G17" s="1734"/>
      <c r="H17" s="6" t="s">
        <v>595</v>
      </c>
      <c r="I17" s="1734"/>
      <c r="J17" s="1734"/>
      <c r="K17" s="1734"/>
      <c r="L17" s="1734"/>
      <c r="M17" s="1734"/>
      <c r="N17" s="1734"/>
      <c r="O17" s="1734"/>
      <c r="P17" s="1898" t="s">
        <v>606</v>
      </c>
      <c r="Q17" s="1898"/>
      <c r="R17" s="1734"/>
      <c r="S17" s="1788"/>
      <c r="T17" s="1788"/>
      <c r="U17" s="1788"/>
      <c r="V17" s="1890" t="s">
        <v>795</v>
      </c>
      <c r="W17" s="1788"/>
      <c r="X17" s="1788"/>
      <c r="Y17" s="1735"/>
      <c r="Z17" s="1734"/>
      <c r="AA17" s="1734"/>
      <c r="AB17" s="1734"/>
      <c r="AC17" s="1734"/>
      <c r="AD17" s="1734"/>
      <c r="AE17" s="1734"/>
      <c r="AF17" s="1734"/>
      <c r="AG17" s="1898" t="s">
        <v>606</v>
      </c>
      <c r="AH17" s="1898"/>
      <c r="AI17" s="1734"/>
      <c r="AJ17" s="1788"/>
      <c r="AK17" s="1788"/>
      <c r="AL17" s="1893" t="s">
        <v>53</v>
      </c>
      <c r="AM17" s="1788"/>
      <c r="AN17" s="1788"/>
      <c r="AO17" s="1735"/>
      <c r="AU17" s="1899" t="s">
        <v>588</v>
      </c>
    </row>
    <row r="18" spans="1:257">
      <c r="A18" s="1734"/>
      <c r="B18" s="1894"/>
      <c r="C18" s="1734"/>
      <c r="D18" s="6"/>
      <c r="E18" s="6"/>
      <c r="F18" s="6" t="s">
        <v>594</v>
      </c>
      <c r="G18" s="6"/>
      <c r="H18" s="1893" t="s">
        <v>596</v>
      </c>
      <c r="I18" s="1734"/>
      <c r="J18" s="1893"/>
      <c r="K18" s="1893" t="s">
        <v>601</v>
      </c>
      <c r="L18" s="1893"/>
      <c r="M18" s="1734"/>
      <c r="N18" s="6" t="s">
        <v>604</v>
      </c>
      <c r="O18" s="1734"/>
      <c r="P18" s="1898" t="s">
        <v>607</v>
      </c>
      <c r="Q18" s="1898"/>
      <c r="R18" s="1734"/>
      <c r="S18" s="1734"/>
      <c r="T18" s="1734"/>
      <c r="U18" s="1734"/>
      <c r="V18" s="6" t="s">
        <v>611</v>
      </c>
      <c r="W18" s="1734"/>
      <c r="X18" s="6" t="s">
        <v>613</v>
      </c>
      <c r="Y18" s="1735"/>
      <c r="Z18" s="1734"/>
      <c r="AA18" s="1893"/>
      <c r="AB18" s="1893" t="s">
        <v>659</v>
      </c>
      <c r="AC18" s="1893"/>
      <c r="AD18" s="6"/>
      <c r="AE18" s="6" t="s">
        <v>604</v>
      </c>
      <c r="AF18" s="1734"/>
      <c r="AG18" s="1898" t="s">
        <v>607</v>
      </c>
      <c r="AH18" s="1898"/>
      <c r="AI18" s="1734"/>
      <c r="AJ18" s="1734"/>
      <c r="AK18" s="1734"/>
      <c r="AL18" s="6" t="s">
        <v>611</v>
      </c>
      <c r="AM18" s="1734"/>
      <c r="AN18" s="6" t="s">
        <v>613</v>
      </c>
      <c r="AO18" s="1735"/>
      <c r="AQ18" s="6" t="s">
        <v>807</v>
      </c>
      <c r="AU18" s="1899" t="s">
        <v>796</v>
      </c>
    </row>
    <row r="19" spans="1:257">
      <c r="A19" s="1734"/>
      <c r="B19" s="1894"/>
      <c r="C19" s="1734"/>
      <c r="D19" s="1893" t="s">
        <v>593</v>
      </c>
      <c r="E19" s="6"/>
      <c r="F19" s="1893" t="s">
        <v>573</v>
      </c>
      <c r="G19" s="6"/>
      <c r="H19" s="6" t="s">
        <v>597</v>
      </c>
      <c r="I19" s="1734"/>
      <c r="J19" s="1893" t="s">
        <v>593</v>
      </c>
      <c r="K19" s="6"/>
      <c r="L19" s="1893" t="s">
        <v>586</v>
      </c>
      <c r="M19" s="1734"/>
      <c r="N19" s="1893" t="s">
        <v>489</v>
      </c>
      <c r="O19" s="1734"/>
      <c r="P19" s="1900" t="s">
        <v>608</v>
      </c>
      <c r="Q19" s="1900"/>
      <c r="R19" s="1734"/>
      <c r="S19" s="1893" t="s">
        <v>593</v>
      </c>
      <c r="T19" s="1893" t="s">
        <v>805</v>
      </c>
      <c r="U19" s="3"/>
      <c r="V19" s="1893" t="s">
        <v>588</v>
      </c>
      <c r="W19" s="1734"/>
      <c r="X19" s="1893" t="s">
        <v>589</v>
      </c>
      <c r="Y19" s="1735"/>
      <c r="Z19" s="1734"/>
      <c r="AA19" s="1893" t="s">
        <v>593</v>
      </c>
      <c r="AB19" s="6"/>
      <c r="AC19" s="1893" t="s">
        <v>586</v>
      </c>
      <c r="AD19" s="6"/>
      <c r="AE19" s="1893" t="s">
        <v>489</v>
      </c>
      <c r="AF19" s="1734"/>
      <c r="AG19" s="1900" t="s">
        <v>50</v>
      </c>
      <c r="AH19" s="1900"/>
      <c r="AI19" s="1734"/>
      <c r="AJ19" s="1893" t="s">
        <v>593</v>
      </c>
      <c r="AK19" s="1734"/>
      <c r="AL19" s="1893" t="s">
        <v>45</v>
      </c>
      <c r="AM19" s="1734"/>
      <c r="AN19" s="1893" t="s">
        <v>589</v>
      </c>
      <c r="AO19" s="1735"/>
      <c r="AQ19" s="1893" t="s">
        <v>806</v>
      </c>
      <c r="AU19" s="1883">
        <v>600</v>
      </c>
    </row>
    <row r="20" spans="1:257">
      <c r="A20" s="1734"/>
      <c r="B20" s="1894"/>
      <c r="C20" s="1734"/>
      <c r="D20" s="1901" t="s">
        <v>599</v>
      </c>
      <c r="E20" s="6"/>
      <c r="F20" s="1901" t="s">
        <v>600</v>
      </c>
      <c r="G20" s="6"/>
      <c r="H20" s="1901" t="s">
        <v>598</v>
      </c>
      <c r="I20" s="1734"/>
      <c r="J20" s="1901" t="s">
        <v>602</v>
      </c>
      <c r="K20" s="6"/>
      <c r="L20" s="1901" t="s">
        <v>603</v>
      </c>
      <c r="M20" s="1734"/>
      <c r="N20" s="1901" t="s">
        <v>605</v>
      </c>
      <c r="O20" s="1734"/>
      <c r="P20" s="1902" t="s">
        <v>609</v>
      </c>
      <c r="Q20" s="1902"/>
      <c r="R20" s="1734"/>
      <c r="S20" s="1734"/>
      <c r="T20" s="1901" t="s">
        <v>610</v>
      </c>
      <c r="U20" s="1734"/>
      <c r="V20" s="1901" t="s">
        <v>612</v>
      </c>
      <c r="W20" s="1734"/>
      <c r="X20" s="1901" t="s">
        <v>614</v>
      </c>
      <c r="Y20" s="1735"/>
      <c r="Z20" s="1734"/>
      <c r="AA20" s="1901" t="s">
        <v>42</v>
      </c>
      <c r="AB20" s="6"/>
      <c r="AC20" s="1901" t="s">
        <v>43</v>
      </c>
      <c r="AD20" s="6"/>
      <c r="AE20" s="1901" t="s">
        <v>44</v>
      </c>
      <c r="AF20" s="1734"/>
      <c r="AG20" s="1902" t="s">
        <v>46</v>
      </c>
      <c r="AH20" s="1902"/>
      <c r="AI20" s="1734"/>
      <c r="AJ20" s="1901" t="s">
        <v>47</v>
      </c>
      <c r="AK20" s="1734"/>
      <c r="AL20" s="1901" t="s">
        <v>48</v>
      </c>
      <c r="AM20" s="1734"/>
      <c r="AN20" s="1901" t="s">
        <v>49</v>
      </c>
      <c r="AO20" s="1735"/>
    </row>
    <row r="21" spans="1:257">
      <c r="A21" s="1734"/>
      <c r="B21" s="1894"/>
      <c r="C21" s="1734"/>
      <c r="D21" s="1901"/>
      <c r="E21" s="6"/>
      <c r="F21" s="1901"/>
      <c r="G21" s="6"/>
      <c r="H21" s="1901"/>
      <c r="I21" s="1734"/>
      <c r="J21" s="1901"/>
      <c r="K21" s="6"/>
      <c r="L21" s="1901"/>
      <c r="M21" s="1734"/>
      <c r="N21" s="1901"/>
      <c r="O21" s="1734"/>
      <c r="P21" s="1902"/>
      <c r="Q21" s="1902"/>
      <c r="R21" s="1734"/>
      <c r="S21" s="1734"/>
      <c r="T21" s="1901"/>
      <c r="U21" s="1734"/>
      <c r="V21" s="1901"/>
      <c r="W21" s="1734"/>
      <c r="X21" s="1901"/>
      <c r="Y21" s="1735"/>
      <c r="Z21" s="1734"/>
      <c r="AA21" s="1901"/>
      <c r="AB21" s="6"/>
      <c r="AC21" s="1901"/>
      <c r="AD21" s="6"/>
      <c r="AE21" s="1901"/>
      <c r="AF21" s="1734"/>
      <c r="AG21" s="1902"/>
      <c r="AH21" s="1902"/>
      <c r="AI21" s="1734"/>
      <c r="AJ21" s="1901"/>
      <c r="AK21" s="1734"/>
      <c r="AL21" s="1901"/>
      <c r="AM21" s="1734"/>
      <c r="AN21" s="1901"/>
      <c r="AO21" s="1735"/>
    </row>
    <row r="22" spans="1:257">
      <c r="A22" s="1883" t="s">
        <v>94</v>
      </c>
      <c r="B22" s="1883"/>
      <c r="C22" s="1883"/>
      <c r="D22" s="1883"/>
      <c r="E22" s="1883"/>
      <c r="F22" s="1883"/>
      <c r="G22" s="1883"/>
      <c r="H22" s="1883"/>
      <c r="I22" s="1883"/>
      <c r="J22" s="1883"/>
      <c r="K22" s="1883"/>
      <c r="L22" s="1883"/>
      <c r="M22" s="1883"/>
      <c r="N22" s="1883"/>
      <c r="O22" s="1883"/>
      <c r="P22" s="1883"/>
      <c r="Q22" s="1883"/>
      <c r="R22" s="1883"/>
      <c r="S22" s="1883"/>
      <c r="T22" s="1883"/>
      <c r="U22" s="1883"/>
      <c r="V22" s="1883"/>
      <c r="W22" s="1883"/>
      <c r="X22" s="1883"/>
      <c r="Y22" s="1883"/>
      <c r="Z22" s="1883"/>
      <c r="AA22" s="1883"/>
      <c r="AB22" s="1883"/>
      <c r="AC22" s="1883"/>
      <c r="AD22" s="1883"/>
      <c r="AE22" s="1883"/>
      <c r="AF22" s="1883"/>
      <c r="AG22" s="1883"/>
      <c r="AH22" s="1883"/>
      <c r="AI22" s="1883"/>
      <c r="AJ22" s="1883"/>
      <c r="AK22" s="1883"/>
      <c r="AL22" s="1883"/>
      <c r="AM22" s="1883"/>
      <c r="AN22" s="1883"/>
      <c r="AO22" s="1883"/>
      <c r="AP22" s="1883"/>
      <c r="AQ22" s="1883"/>
      <c r="AR22" s="1883"/>
      <c r="AS22" s="1883"/>
      <c r="AT22" s="1883"/>
      <c r="AU22" s="1883"/>
      <c r="AV22" s="1883"/>
      <c r="AW22" s="1883"/>
      <c r="AX22" s="1883"/>
      <c r="AY22" s="1883"/>
      <c r="AZ22" s="1883"/>
      <c r="BA22" s="1883"/>
      <c r="BB22" s="1883"/>
      <c r="BC22" s="1883"/>
      <c r="BD22" s="1883"/>
      <c r="BE22" s="1883"/>
      <c r="BF22" s="1883"/>
      <c r="BG22" s="1883"/>
      <c r="BH22" s="1883"/>
      <c r="BI22" s="1883"/>
      <c r="BJ22" s="1883"/>
      <c r="BK22" s="1883"/>
      <c r="BL22" s="1883"/>
      <c r="BM22" s="1883"/>
      <c r="BN22" s="1883"/>
      <c r="BO22" s="1883"/>
      <c r="BP22" s="1883"/>
      <c r="BQ22" s="1883"/>
      <c r="BR22" s="1883"/>
      <c r="BS22" s="1883"/>
      <c r="BT22" s="1883"/>
      <c r="BU22" s="1883"/>
      <c r="BV22" s="1883"/>
      <c r="BW22" s="1883"/>
      <c r="BX22" s="1883"/>
      <c r="BY22" s="1883"/>
      <c r="BZ22" s="1883"/>
      <c r="CA22" s="1883"/>
      <c r="CB22" s="1883"/>
      <c r="CC22" s="1883"/>
      <c r="CD22" s="1883"/>
      <c r="CE22" s="1883"/>
      <c r="CF22" s="1883"/>
      <c r="CG22" s="1883"/>
      <c r="CH22" s="1883"/>
      <c r="CI22" s="1883"/>
      <c r="CJ22" s="1883"/>
      <c r="CK22" s="1883"/>
      <c r="CL22" s="1883"/>
      <c r="CM22" s="1883"/>
      <c r="CN22" s="1883"/>
      <c r="CO22" s="1883"/>
      <c r="CP22" s="1883"/>
      <c r="CQ22" s="1883"/>
      <c r="CR22" s="1883"/>
      <c r="CS22" s="1883"/>
      <c r="CT22" s="1883"/>
      <c r="CU22" s="1883"/>
      <c r="CV22" s="1883"/>
      <c r="CW22" s="1883"/>
      <c r="CX22" s="1883"/>
      <c r="CY22" s="1883"/>
      <c r="CZ22" s="1883"/>
      <c r="DA22" s="1883"/>
      <c r="DB22" s="1883"/>
      <c r="DC22" s="1883"/>
      <c r="DD22" s="1883"/>
      <c r="DE22" s="1883"/>
      <c r="DF22" s="1883"/>
      <c r="DG22" s="1883"/>
      <c r="DH22" s="1883"/>
      <c r="DI22" s="1883"/>
      <c r="DJ22" s="1883"/>
      <c r="DK22" s="1883"/>
      <c r="DL22" s="1883"/>
      <c r="DM22" s="1883"/>
      <c r="DN22" s="1883"/>
      <c r="DO22" s="1883"/>
      <c r="DP22" s="1883"/>
      <c r="DQ22" s="1883"/>
      <c r="DR22" s="1883"/>
      <c r="DS22" s="1883"/>
      <c r="DT22" s="1883"/>
      <c r="DU22" s="1883"/>
      <c r="DV22" s="1883"/>
      <c r="DW22" s="1883"/>
      <c r="DX22" s="1883"/>
      <c r="DY22" s="1883"/>
      <c r="DZ22" s="1883"/>
      <c r="EA22" s="1883"/>
      <c r="EB22" s="1883"/>
      <c r="EC22" s="1883"/>
      <c r="ED22" s="1883"/>
      <c r="EE22" s="1883"/>
      <c r="EF22" s="1883"/>
      <c r="EG22" s="1883"/>
      <c r="EH22" s="1883"/>
      <c r="EI22" s="1883"/>
      <c r="EJ22" s="1883"/>
      <c r="EK22" s="1883"/>
      <c r="EL22" s="1883"/>
      <c r="EM22" s="1883"/>
      <c r="EN22" s="1883"/>
      <c r="EO22" s="1883"/>
      <c r="EP22" s="1883"/>
      <c r="EQ22" s="1883"/>
      <c r="ER22" s="1883"/>
      <c r="ES22" s="1883"/>
      <c r="ET22" s="1883"/>
      <c r="EU22" s="1883"/>
      <c r="EV22" s="1883"/>
      <c r="EW22" s="1883"/>
      <c r="EX22" s="1883"/>
      <c r="EY22" s="1883"/>
      <c r="EZ22" s="1883"/>
      <c r="FA22" s="1883"/>
      <c r="FB22" s="1883"/>
      <c r="FC22" s="1883"/>
      <c r="FD22" s="1883"/>
      <c r="FE22" s="1883"/>
      <c r="FF22" s="1883"/>
      <c r="FG22" s="1883"/>
      <c r="FH22" s="1883"/>
      <c r="FI22" s="1883"/>
      <c r="FJ22" s="1883"/>
      <c r="FK22" s="1883"/>
      <c r="FL22" s="1883"/>
      <c r="FM22" s="1883"/>
      <c r="FN22" s="1883"/>
      <c r="FO22" s="1883"/>
      <c r="FP22" s="1883"/>
      <c r="FQ22" s="1883"/>
      <c r="FR22" s="1883"/>
      <c r="FS22" s="1883"/>
      <c r="FT22" s="1883"/>
      <c r="FU22" s="1883"/>
      <c r="FV22" s="1883"/>
      <c r="FW22" s="1883"/>
      <c r="FX22" s="1883"/>
      <c r="FY22" s="1883"/>
      <c r="FZ22" s="1883"/>
      <c r="GA22" s="1883"/>
      <c r="GB22" s="1883"/>
      <c r="GC22" s="1883"/>
      <c r="GD22" s="1883"/>
      <c r="GE22" s="1883"/>
      <c r="GF22" s="1883"/>
      <c r="GG22" s="1883"/>
      <c r="GH22" s="1883"/>
      <c r="GI22" s="1883"/>
      <c r="GJ22" s="1883"/>
      <c r="GK22" s="1883"/>
      <c r="GL22" s="1883"/>
      <c r="GM22" s="1883"/>
      <c r="GN22" s="1883"/>
      <c r="GO22" s="1883"/>
      <c r="GP22" s="1883"/>
      <c r="GQ22" s="1883"/>
      <c r="GR22" s="1883"/>
      <c r="GS22" s="1883"/>
      <c r="GT22" s="1883"/>
      <c r="GU22" s="1883"/>
      <c r="GV22" s="1883"/>
      <c r="GW22" s="1883"/>
      <c r="GX22" s="1883"/>
      <c r="GY22" s="1883"/>
      <c r="GZ22" s="1883"/>
      <c r="HA22" s="1883"/>
      <c r="HB22" s="1883"/>
      <c r="HC22" s="1883"/>
      <c r="HD22" s="1883"/>
      <c r="HE22" s="1883"/>
      <c r="HF22" s="1883"/>
      <c r="HG22" s="1883"/>
      <c r="HH22" s="1883"/>
      <c r="HI22" s="1883"/>
      <c r="HJ22" s="1883"/>
      <c r="HK22" s="1883"/>
      <c r="HL22" s="1883"/>
      <c r="HM22" s="1883"/>
      <c r="HN22" s="1883"/>
      <c r="HO22" s="1883"/>
      <c r="HP22" s="1883"/>
      <c r="HQ22" s="1883"/>
      <c r="HR22" s="1883"/>
      <c r="HS22" s="1883"/>
      <c r="HT22" s="1883"/>
      <c r="HU22" s="1883"/>
      <c r="HV22" s="1883"/>
      <c r="HW22" s="1883"/>
      <c r="HX22" s="1883"/>
      <c r="HY22" s="1883"/>
      <c r="HZ22" s="1883"/>
      <c r="IA22" s="1883"/>
      <c r="IB22" s="1883"/>
      <c r="IC22" s="1883"/>
      <c r="ID22" s="1883"/>
      <c r="IE22" s="1883"/>
      <c r="IF22" s="1883"/>
      <c r="IG22" s="1883"/>
      <c r="IH22" s="1883"/>
      <c r="II22" s="1883"/>
      <c r="IJ22" s="1883"/>
      <c r="IK22" s="1883"/>
      <c r="IL22" s="1883"/>
      <c r="IM22" s="1883"/>
      <c r="IN22" s="1883"/>
      <c r="IO22" s="1883"/>
      <c r="IP22" s="1883"/>
      <c r="IQ22" s="1883"/>
      <c r="IR22" s="1883"/>
      <c r="IS22" s="1883"/>
      <c r="IT22" s="1883"/>
      <c r="IU22" s="1883"/>
      <c r="IV22" s="1883"/>
      <c r="IW22" s="1883"/>
    </row>
    <row r="23" spans="1:257" ht="12" customHeight="1">
      <c r="A23" s="4" t="s">
        <v>799</v>
      </c>
      <c r="B23" s="1903"/>
      <c r="D23" s="1745"/>
      <c r="F23" s="1737"/>
      <c r="H23" s="1745"/>
      <c r="J23" s="1743"/>
      <c r="L23" s="1736"/>
      <c r="N23" s="1745"/>
      <c r="O23" s="5"/>
      <c r="P23" s="1736"/>
      <c r="T23" s="1738"/>
      <c r="V23" s="1783"/>
      <c r="X23" s="1737"/>
      <c r="Y23" s="5"/>
      <c r="AC23" s="1747"/>
      <c r="AE23" s="1745"/>
      <c r="AF23" s="5"/>
      <c r="AG23" s="1736"/>
      <c r="AJ23" s="1738"/>
      <c r="AL23" s="1784"/>
      <c r="AN23" s="1737"/>
      <c r="AO23" s="5"/>
      <c r="AQ23" s="1738"/>
      <c r="AR23" s="798"/>
      <c r="AS23" s="1"/>
    </row>
    <row r="24" spans="1:257" ht="12.75" customHeight="1">
      <c r="A24" s="1904"/>
      <c r="B24" s="1903"/>
      <c r="D24" s="1745"/>
      <c r="F24" s="1737"/>
      <c r="H24" s="1745"/>
      <c r="J24" s="1743"/>
      <c r="L24" s="1736"/>
      <c r="N24" s="1745"/>
      <c r="O24" s="5"/>
      <c r="P24" s="1736"/>
      <c r="T24" s="1738"/>
      <c r="V24" s="1783"/>
      <c r="X24" s="1737"/>
      <c r="Y24" s="5"/>
      <c r="AC24" s="1747"/>
      <c r="AE24" s="1745"/>
      <c r="AF24" s="5"/>
      <c r="AG24" s="1736"/>
      <c r="AJ24" s="1738"/>
      <c r="AL24" s="1784"/>
      <c r="AN24" s="1737"/>
      <c r="AO24" s="5"/>
      <c r="AQ24" s="1738"/>
      <c r="AR24" s="798"/>
      <c r="AS24" s="1"/>
    </row>
    <row r="25" spans="1:257" ht="11.25" hidden="1" customHeight="1" outlineLevel="2">
      <c r="A25" s="1905"/>
      <c r="B25" s="1906"/>
      <c r="Y25" s="5"/>
      <c r="AO25" s="5"/>
    </row>
    <row r="26" spans="1:257" s="24" customFormat="1" hidden="1" outlineLevel="2">
      <c r="A26" s="1907"/>
      <c r="B26" s="1908">
        <v>1994</v>
      </c>
      <c r="J26" s="1782"/>
      <c r="P26" s="35"/>
      <c r="Q26" s="35"/>
      <c r="Z26" s="30"/>
      <c r="AH26" s="35"/>
      <c r="AI26" s="35"/>
      <c r="AP26" s="30"/>
    </row>
    <row r="27" spans="1:257" s="24" customFormat="1" hidden="1" outlineLevel="2">
      <c r="A27" s="24" t="s">
        <v>525</v>
      </c>
      <c r="B27" s="29" t="s">
        <v>510</v>
      </c>
      <c r="D27" s="1838" t="s">
        <v>802</v>
      </c>
      <c r="E27" s="24" t="s">
        <v>489</v>
      </c>
      <c r="F27" s="1909" t="s">
        <v>803</v>
      </c>
      <c r="G27" s="24" t="s">
        <v>489</v>
      </c>
      <c r="H27" s="1838" t="s">
        <v>802</v>
      </c>
      <c r="I27" s="30" t="s">
        <v>489</v>
      </c>
      <c r="J27" s="1816">
        <v>47</v>
      </c>
      <c r="L27" s="1838" t="s">
        <v>802</v>
      </c>
      <c r="N27" s="1838" t="s">
        <v>802</v>
      </c>
      <c r="O27" s="30" t="s">
        <v>489</v>
      </c>
      <c r="P27" s="1838" t="s">
        <v>802</v>
      </c>
      <c r="Q27" s="35" t="s">
        <v>489</v>
      </c>
      <c r="S27" s="1590"/>
      <c r="T27" s="1909" t="s">
        <v>803</v>
      </c>
      <c r="U27" s="1590"/>
      <c r="V27" s="1782" t="s">
        <v>802</v>
      </c>
      <c r="W27" s="1586"/>
      <c r="X27" s="1782" t="s">
        <v>802</v>
      </c>
      <c r="Y27" s="1910"/>
      <c r="Z27" s="30" t="s">
        <v>489</v>
      </c>
      <c r="AA27" s="1816">
        <v>0.38200000000000001</v>
      </c>
      <c r="AB27" s="1911"/>
      <c r="AC27" s="1782"/>
      <c r="AD27" s="1588"/>
      <c r="AE27" s="1782" t="s">
        <v>802</v>
      </c>
      <c r="AF27" s="1581"/>
      <c r="AG27" s="1782" t="s">
        <v>802</v>
      </c>
      <c r="AH27" s="1589"/>
      <c r="AI27" s="35" t="s">
        <v>489</v>
      </c>
      <c r="AJ27" s="1782" t="s">
        <v>802</v>
      </c>
      <c r="AK27" s="1590"/>
      <c r="AL27" s="1782" t="s">
        <v>802</v>
      </c>
      <c r="AM27" s="1782"/>
      <c r="AO27" s="1581"/>
      <c r="AP27" s="30" t="s">
        <v>489</v>
      </c>
    </row>
    <row r="28" spans="1:257" s="24" customFormat="1" hidden="1" outlineLevel="2">
      <c r="A28" s="24" t="s">
        <v>526</v>
      </c>
      <c r="B28" s="29" t="s">
        <v>511</v>
      </c>
      <c r="D28" s="1581"/>
      <c r="F28" s="1910"/>
      <c r="H28" s="1581"/>
      <c r="I28" s="30"/>
      <c r="J28" s="1816">
        <v>44</v>
      </c>
      <c r="L28" s="1583">
        <f>AVERAGE(J28,J27)</f>
        <v>45.5</v>
      </c>
      <c r="N28" s="1581"/>
      <c r="O28" s="30"/>
      <c r="P28" s="1589"/>
      <c r="Q28" s="35"/>
      <c r="S28" s="1603"/>
      <c r="T28" s="1603"/>
      <c r="U28" s="1603"/>
      <c r="W28" s="1602"/>
      <c r="Y28" s="1910"/>
      <c r="Z28" s="30"/>
      <c r="AA28" s="1816">
        <v>0.41799999999999998</v>
      </c>
      <c r="AB28" s="1911"/>
      <c r="AC28" s="1588">
        <f>AVERAGE(AA28,AA27)</f>
        <v>0.4</v>
      </c>
      <c r="AD28" s="1588"/>
      <c r="AF28" s="1581"/>
      <c r="AG28" s="30"/>
      <c r="AH28" s="1589"/>
      <c r="AI28" s="35"/>
      <c r="AK28" s="1603"/>
      <c r="AM28" s="1604"/>
      <c r="AO28" s="1910"/>
      <c r="AP28" s="30"/>
    </row>
    <row r="29" spans="1:257" s="24" customFormat="1" hidden="1" outlineLevel="2">
      <c r="A29" s="24" t="s">
        <v>527</v>
      </c>
      <c r="B29" s="29" t="s">
        <v>512</v>
      </c>
      <c r="D29" s="1581"/>
      <c r="F29" s="1910"/>
      <c r="H29" s="1581"/>
      <c r="I29" s="30"/>
      <c r="J29" s="1816">
        <v>62</v>
      </c>
      <c r="L29" s="1583">
        <f>AVERAGE(J29,J28)</f>
        <v>53</v>
      </c>
      <c r="N29" s="1581"/>
      <c r="O29" s="30"/>
      <c r="P29" s="1589"/>
      <c r="Q29" s="35"/>
      <c r="S29" s="1603"/>
      <c r="T29" s="1603"/>
      <c r="U29" s="1603"/>
      <c r="W29" s="1602"/>
      <c r="Y29" s="1910"/>
      <c r="Z29" s="30"/>
      <c r="AA29" s="1816">
        <v>0.69199999999999995</v>
      </c>
      <c r="AB29" s="1911"/>
      <c r="AC29" s="1588">
        <f t="shared" ref="AC29:AC30" si="0">AVERAGE(AA29,AA28)</f>
        <v>0.55499999999999994</v>
      </c>
      <c r="AD29" s="1588"/>
      <c r="AF29" s="1581"/>
      <c r="AG29" s="30"/>
      <c r="AH29" s="1589"/>
      <c r="AI29" s="35"/>
      <c r="AK29" s="1603"/>
      <c r="AM29" s="1604"/>
      <c r="AO29" s="1910"/>
      <c r="AP29" s="30"/>
    </row>
    <row r="30" spans="1:257" s="24" customFormat="1" hidden="1" outlineLevel="2">
      <c r="A30" s="24" t="s">
        <v>528</v>
      </c>
      <c r="B30" s="29" t="s">
        <v>514</v>
      </c>
      <c r="D30" s="1606"/>
      <c r="F30" s="1612"/>
      <c r="H30" s="1606"/>
      <c r="I30" s="30"/>
      <c r="J30" s="1816">
        <v>59</v>
      </c>
      <c r="L30" s="1608">
        <f>AVERAGE(J30,J29)</f>
        <v>60.5</v>
      </c>
      <c r="N30" s="1606"/>
      <c r="O30" s="30"/>
      <c r="P30" s="1608"/>
      <c r="Q30" s="35"/>
      <c r="S30" s="1614"/>
      <c r="T30" s="1614"/>
      <c r="U30" s="38"/>
      <c r="W30" s="1611"/>
      <c r="Y30" s="1612"/>
      <c r="Z30" s="30"/>
      <c r="AA30" s="1816">
        <v>0.88400000000000001</v>
      </c>
      <c r="AB30" s="1597"/>
      <c r="AC30" s="1588">
        <f t="shared" si="0"/>
        <v>0.78800000000000003</v>
      </c>
      <c r="AD30" s="1613"/>
      <c r="AF30" s="1606"/>
      <c r="AG30" s="30"/>
      <c r="AH30" s="1608"/>
      <c r="AI30" s="35"/>
      <c r="AK30" s="1614"/>
      <c r="AM30" s="1615"/>
      <c r="AO30" s="1612"/>
      <c r="AP30" s="30"/>
    </row>
    <row r="31" spans="1:257" s="24" customFormat="1" hidden="1" outlineLevel="2">
      <c r="B31" s="29" t="s">
        <v>529</v>
      </c>
      <c r="D31" s="1581"/>
      <c r="F31" s="1910"/>
      <c r="H31" s="1581"/>
      <c r="I31" s="30"/>
      <c r="J31" s="1816"/>
      <c r="L31" s="1583">
        <f>AVERAGE(L27:L30)</f>
        <v>53</v>
      </c>
      <c r="N31" s="1912"/>
      <c r="O31" s="30"/>
      <c r="P31" s="1589"/>
      <c r="Q31" s="35"/>
      <c r="S31" s="1590">
        <v>115</v>
      </c>
      <c r="T31" s="1590">
        <f>S31-AQ31</f>
        <v>115</v>
      </c>
      <c r="U31" s="1590"/>
      <c r="V31" s="24">
        <f>T31/L31</f>
        <v>2.1698113207547172</v>
      </c>
      <c r="W31" s="1586">
        <f>S31/L31</f>
        <v>2.1698113207547172</v>
      </c>
      <c r="Y31" s="1910"/>
      <c r="Z31" s="30"/>
      <c r="AA31" s="1816"/>
      <c r="AB31" s="1913"/>
      <c r="AC31" s="1588">
        <f>AVERAGE(AC27:AC30)</f>
        <v>0.58099999999999996</v>
      </c>
      <c r="AD31" s="1588"/>
      <c r="AF31" s="1581"/>
      <c r="AG31" s="30"/>
      <c r="AH31" s="1589"/>
      <c r="AI31" s="35"/>
      <c r="AJ31" s="1590">
        <f>T31</f>
        <v>115</v>
      </c>
      <c r="AK31" s="1590">
        <f>S31</f>
        <v>115</v>
      </c>
      <c r="AL31" s="1586">
        <f>AJ31/AC31</f>
        <v>197.93459552495699</v>
      </c>
      <c r="AM31" s="1591"/>
      <c r="AO31" s="1910"/>
      <c r="AP31" s="30"/>
    </row>
    <row r="32" spans="1:257" s="24" customFormat="1" hidden="1" outlineLevel="2">
      <c r="B32" s="29"/>
      <c r="J32" s="1816"/>
      <c r="P32" s="35"/>
      <c r="Q32" s="35"/>
      <c r="Z32" s="30"/>
      <c r="AA32" s="1816"/>
      <c r="AH32" s="35"/>
      <c r="AI32" s="35"/>
      <c r="AP32" s="30"/>
    </row>
    <row r="33" spans="1:42" s="24" customFormat="1" hidden="1" outlineLevel="2" collapsed="1">
      <c r="A33" s="1579"/>
      <c r="B33" s="1908">
        <f>+B26+1</f>
        <v>1995</v>
      </c>
      <c r="J33" s="1816"/>
      <c r="P33" s="35"/>
      <c r="Q33" s="35"/>
      <c r="Z33" s="30"/>
      <c r="AA33" s="1816"/>
      <c r="AH33" s="35"/>
      <c r="AI33" s="35"/>
      <c r="AP33" s="30"/>
    </row>
    <row r="34" spans="1:42" s="24" customFormat="1" hidden="1" outlineLevel="2">
      <c r="A34" s="24" t="str">
        <f>$A$27</f>
        <v>1Q</v>
      </c>
      <c r="B34" s="29" t="str">
        <f>$B$27</f>
        <v>Apr</v>
      </c>
      <c r="D34" s="1581"/>
      <c r="E34" s="24" t="s">
        <v>489</v>
      </c>
      <c r="F34" s="1910"/>
      <c r="G34" s="24" t="s">
        <v>489</v>
      </c>
      <c r="H34" s="1581"/>
      <c r="I34" s="30" t="s">
        <v>489</v>
      </c>
      <c r="J34" s="1816">
        <v>68</v>
      </c>
      <c r="L34" s="1583">
        <f>AVERAGE(J34,J30)</f>
        <v>63.5</v>
      </c>
      <c r="N34" s="1581"/>
      <c r="O34" s="30" t="s">
        <v>489</v>
      </c>
      <c r="P34" s="1589"/>
      <c r="Q34" s="35" t="s">
        <v>489</v>
      </c>
      <c r="S34" s="1590"/>
      <c r="T34" s="1590"/>
      <c r="U34" s="1590"/>
      <c r="W34" s="1586"/>
      <c r="Y34" s="1910"/>
      <c r="Z34" s="30" t="s">
        <v>489</v>
      </c>
      <c r="AA34" s="1816">
        <v>1.042</v>
      </c>
      <c r="AB34" s="1913"/>
      <c r="AC34" s="1588">
        <f>AVERAGE(AA34,AA30)</f>
        <v>0.96300000000000008</v>
      </c>
      <c r="AD34" s="1588"/>
      <c r="AF34" s="1581"/>
      <c r="AG34" s="30" t="s">
        <v>489</v>
      </c>
      <c r="AH34" s="1589"/>
      <c r="AI34" s="35" t="s">
        <v>489</v>
      </c>
      <c r="AK34" s="1590"/>
      <c r="AM34" s="1591"/>
      <c r="AO34" s="1581"/>
      <c r="AP34" s="30" t="s">
        <v>489</v>
      </c>
    </row>
    <row r="35" spans="1:42" s="24" customFormat="1" hidden="1" outlineLevel="2">
      <c r="A35" s="24" t="str">
        <f>$A$28</f>
        <v>2Q</v>
      </c>
      <c r="B35" s="29" t="str">
        <f>$B$28</f>
        <v>Jul</v>
      </c>
      <c r="D35" s="1581"/>
      <c r="F35" s="1910"/>
      <c r="H35" s="1581"/>
      <c r="I35" s="30"/>
      <c r="J35" s="1816">
        <v>89</v>
      </c>
      <c r="L35" s="1583">
        <f>AVERAGE(J35,J34)</f>
        <v>78.5</v>
      </c>
      <c r="N35" s="1581">
        <f>(L35/L28-1)*100</f>
        <v>72.52747252747254</v>
      </c>
      <c r="O35" s="30"/>
      <c r="P35" s="1589"/>
      <c r="Q35" s="35"/>
      <c r="S35" s="1603"/>
      <c r="T35" s="1603"/>
      <c r="U35" s="1603"/>
      <c r="W35" s="1602"/>
      <c r="Y35" s="1910"/>
      <c r="Z35" s="30"/>
      <c r="AA35" s="1816">
        <v>1.387</v>
      </c>
      <c r="AB35" s="1913"/>
      <c r="AC35" s="1588">
        <f>AVERAGE(AA35,AA34)</f>
        <v>1.2145000000000001</v>
      </c>
      <c r="AD35" s="1588"/>
      <c r="AE35" s="24">
        <f>AC35/AC28-1</f>
        <v>2.0362500000000003</v>
      </c>
      <c r="AF35" s="1581"/>
      <c r="AG35" s="30"/>
      <c r="AH35" s="1589"/>
      <c r="AI35" s="35"/>
      <c r="AK35" s="1603"/>
      <c r="AM35" s="1604"/>
      <c r="AO35" s="1910"/>
      <c r="AP35" s="30"/>
    </row>
    <row r="36" spans="1:42" s="24" customFormat="1" hidden="1" outlineLevel="2">
      <c r="A36" s="24" t="str">
        <f>$A$29</f>
        <v>3Q</v>
      </c>
      <c r="B36" s="29" t="str">
        <f>$B$29</f>
        <v>Oct</v>
      </c>
      <c r="D36" s="1581"/>
      <c r="F36" s="1910"/>
      <c r="H36" s="1581"/>
      <c r="I36" s="30"/>
      <c r="J36" s="1816">
        <v>111</v>
      </c>
      <c r="L36" s="1583">
        <f>AVERAGE(J36,J35)</f>
        <v>100</v>
      </c>
      <c r="N36" s="1581">
        <f>(L36/L29-1)*100</f>
        <v>88.679245283018872</v>
      </c>
      <c r="O36" s="30"/>
      <c r="P36" s="1589"/>
      <c r="Q36" s="35"/>
      <c r="S36" s="1603"/>
      <c r="T36" s="1603"/>
      <c r="U36" s="1603"/>
      <c r="W36" s="1602"/>
      <c r="Y36" s="1910"/>
      <c r="Z36" s="30"/>
      <c r="AA36" s="1816">
        <v>1.706</v>
      </c>
      <c r="AB36" s="1913"/>
      <c r="AC36" s="1588">
        <f t="shared" ref="AC36:AC37" si="1">AVERAGE(AA36,AA35)</f>
        <v>1.5465</v>
      </c>
      <c r="AD36" s="1588"/>
      <c r="AE36" s="24">
        <f t="shared" ref="AE36:AE38" si="2">AC36/AC29-1</f>
        <v>1.7864864864864867</v>
      </c>
      <c r="AF36" s="1581"/>
      <c r="AG36" s="30"/>
      <c r="AH36" s="1589"/>
      <c r="AI36" s="35"/>
      <c r="AK36" s="1603"/>
      <c r="AM36" s="1604"/>
      <c r="AO36" s="1910"/>
      <c r="AP36" s="30"/>
    </row>
    <row r="37" spans="1:42" s="24" customFormat="1" hidden="1" outlineLevel="2">
      <c r="A37" s="24" t="str">
        <f>$A$30</f>
        <v>4Q</v>
      </c>
      <c r="B37" s="29" t="str">
        <f>$B$30</f>
        <v>Jan</v>
      </c>
      <c r="D37" s="1606"/>
      <c r="F37" s="1612"/>
      <c r="H37" s="1606"/>
      <c r="I37" s="30"/>
      <c r="J37" s="1816">
        <v>131</v>
      </c>
      <c r="L37" s="1608">
        <f>AVERAGE(J37,J36)</f>
        <v>121</v>
      </c>
      <c r="N37" s="1606">
        <f>(L37/L30-1)*100</f>
        <v>100</v>
      </c>
      <c r="O37" s="30"/>
      <c r="P37" s="1608"/>
      <c r="Q37" s="35"/>
      <c r="S37" s="1614"/>
      <c r="T37" s="1614"/>
      <c r="U37" s="38"/>
      <c r="W37" s="1611"/>
      <c r="Y37" s="1612"/>
      <c r="Z37" s="30"/>
      <c r="AA37" s="1816">
        <v>2.0099999999999998</v>
      </c>
      <c r="AB37" s="1597"/>
      <c r="AC37" s="1588">
        <f t="shared" si="1"/>
        <v>1.8579999999999999</v>
      </c>
      <c r="AD37" s="1613"/>
      <c r="AE37" s="24">
        <f t="shared" si="2"/>
        <v>1.3578680203045681</v>
      </c>
      <c r="AF37" s="1606"/>
      <c r="AG37" s="30"/>
      <c r="AH37" s="1608"/>
      <c r="AI37" s="35"/>
      <c r="AK37" s="1614"/>
      <c r="AM37" s="1615"/>
      <c r="AO37" s="1612"/>
      <c r="AP37" s="30"/>
    </row>
    <row r="38" spans="1:42" s="24" customFormat="1" hidden="1" outlineLevel="2">
      <c r="B38" s="29" t="str">
        <f>$B$31</f>
        <v>Year</v>
      </c>
      <c r="D38" s="1581">
        <f>(S38/S31-1)*100</f>
        <v>265.21739130434781</v>
      </c>
      <c r="F38" s="1910"/>
      <c r="H38" s="1581"/>
      <c r="I38" s="30"/>
      <c r="J38" s="1816"/>
      <c r="L38" s="1583">
        <f>AVERAGE(L34:L37)</f>
        <v>90.75</v>
      </c>
      <c r="N38" s="1581">
        <f>(L38/L31-1)*100</f>
        <v>71.226415094339629</v>
      </c>
      <c r="O38" s="30"/>
      <c r="P38" s="1589"/>
      <c r="Q38" s="35"/>
      <c r="S38" s="1590">
        <v>420</v>
      </c>
      <c r="T38" s="1590">
        <f>S38-AQ38</f>
        <v>420</v>
      </c>
      <c r="U38" s="1590"/>
      <c r="V38" s="24">
        <f>T38/L38</f>
        <v>4.6280991735537187</v>
      </c>
      <c r="W38" s="1586">
        <f>S38/L38</f>
        <v>4.6280991735537187</v>
      </c>
      <c r="X38" s="24">
        <f>(V38/V31-1)*100</f>
        <v>113.29500538986701</v>
      </c>
      <c r="Y38" s="1910">
        <f>(W38/W31-1)*100</f>
        <v>113.29500538986701</v>
      </c>
      <c r="Z38" s="30"/>
      <c r="AA38" s="1816"/>
      <c r="AB38" s="1913"/>
      <c r="AC38" s="1588">
        <f>AVERAGE(AC34:AC37)</f>
        <v>1.3955</v>
      </c>
      <c r="AD38" s="1588"/>
      <c r="AE38" s="24">
        <f t="shared" si="2"/>
        <v>1.4018932874354562</v>
      </c>
      <c r="AF38" s="1581"/>
      <c r="AG38" s="30"/>
      <c r="AH38" s="1589"/>
      <c r="AI38" s="35"/>
      <c r="AJ38" s="1590">
        <f>T38</f>
        <v>420</v>
      </c>
      <c r="AK38" s="1590">
        <f>S38</f>
        <v>420</v>
      </c>
      <c r="AL38" s="1586">
        <f>AJ38/AC38</f>
        <v>300.96739519885347</v>
      </c>
      <c r="AM38" s="1591"/>
      <c r="AN38" s="24">
        <f>AL38/AL31-1</f>
        <v>0.5205396227002943</v>
      </c>
      <c r="AO38" s="1910"/>
      <c r="AP38" s="30"/>
    </row>
    <row r="39" spans="1:42" s="24" customFormat="1" hidden="1" outlineLevel="2">
      <c r="B39" s="29"/>
      <c r="I39" s="30"/>
      <c r="J39" s="1816"/>
      <c r="O39" s="30"/>
      <c r="P39" s="35"/>
      <c r="Q39" s="35"/>
      <c r="Z39" s="30"/>
      <c r="AA39" s="1816"/>
      <c r="AB39" s="1913"/>
      <c r="AG39" s="30"/>
      <c r="AH39" s="35"/>
      <c r="AI39" s="35"/>
      <c r="AP39" s="30"/>
    </row>
    <row r="40" spans="1:42" s="24" customFormat="1" hidden="1" outlineLevel="2">
      <c r="A40" s="1579"/>
      <c r="B40" s="1908">
        <f>B33+1</f>
        <v>1996</v>
      </c>
      <c r="I40" s="30"/>
      <c r="J40" s="1816"/>
      <c r="O40" s="30"/>
      <c r="P40" s="35"/>
      <c r="Q40" s="35"/>
      <c r="Z40" s="30"/>
      <c r="AA40" s="1816"/>
      <c r="AB40" s="1913"/>
      <c r="AG40" s="30"/>
      <c r="AH40" s="35"/>
      <c r="AI40" s="35"/>
      <c r="AP40" s="30"/>
    </row>
    <row r="41" spans="1:42" s="24" customFormat="1" hidden="1" outlineLevel="2">
      <c r="A41" s="24" t="str">
        <f>$A$27</f>
        <v>1Q</v>
      </c>
      <c r="B41" s="29" t="str">
        <f>$B$27</f>
        <v>Apr</v>
      </c>
      <c r="D41" s="1581"/>
      <c r="E41" s="24" t="s">
        <v>489</v>
      </c>
      <c r="F41" s="1910"/>
      <c r="G41" s="24" t="s">
        <v>489</v>
      </c>
      <c r="H41" s="1581"/>
      <c r="I41" s="30" t="s">
        <v>489</v>
      </c>
      <c r="J41" s="1816">
        <v>145</v>
      </c>
      <c r="L41" s="1583">
        <f>AVERAGE(J41,J37)</f>
        <v>138</v>
      </c>
      <c r="N41" s="1581">
        <f>(L41/L34-1)*100</f>
        <v>117.3228346456693</v>
      </c>
      <c r="O41" s="30" t="s">
        <v>489</v>
      </c>
      <c r="P41" s="1589"/>
      <c r="Q41" s="35" t="s">
        <v>489</v>
      </c>
      <c r="S41" s="1590"/>
      <c r="T41" s="1590"/>
      <c r="U41" s="1590"/>
      <c r="W41" s="1586"/>
      <c r="Y41" s="1910"/>
      <c r="Z41" s="30" t="s">
        <v>489</v>
      </c>
      <c r="AA41" s="1816">
        <v>2.2080000000000002</v>
      </c>
      <c r="AB41" s="1911"/>
      <c r="AC41" s="1588">
        <f>AVERAGE(AA41,AA37)</f>
        <v>2.109</v>
      </c>
      <c r="AD41" s="1588"/>
      <c r="AE41" s="24">
        <f t="shared" ref="AE41:AE45" si="3">AC41/AC34-1</f>
        <v>1.190031152647975</v>
      </c>
      <c r="AF41" s="1581"/>
      <c r="AG41" s="30" t="s">
        <v>489</v>
      </c>
      <c r="AH41" s="1589"/>
      <c r="AI41" s="35" t="s">
        <v>489</v>
      </c>
      <c r="AK41" s="1590"/>
      <c r="AM41" s="1591"/>
      <c r="AO41" s="1581"/>
      <c r="AP41" s="30" t="s">
        <v>489</v>
      </c>
    </row>
    <row r="42" spans="1:42" s="24" customFormat="1" hidden="1" outlineLevel="2">
      <c r="A42" s="24" t="str">
        <f>$A$28</f>
        <v>2Q</v>
      </c>
      <c r="B42" s="29" t="str">
        <f>$B$28</f>
        <v>Jul</v>
      </c>
      <c r="D42" s="1581"/>
      <c r="F42" s="1910"/>
      <c r="H42" s="1581"/>
      <c r="I42" s="30"/>
      <c r="J42" s="1816">
        <v>160</v>
      </c>
      <c r="L42" s="1583">
        <f>AVERAGE(J42,J41)</f>
        <v>152.5</v>
      </c>
      <c r="N42" s="1581">
        <f>(L42/L35-1)*100</f>
        <v>94.267515923566876</v>
      </c>
      <c r="O42" s="30"/>
      <c r="P42" s="1589"/>
      <c r="Q42" s="35"/>
      <c r="S42" s="1603"/>
      <c r="T42" s="1603"/>
      <c r="U42" s="1603"/>
      <c r="W42" s="1602"/>
      <c r="Y42" s="1910"/>
      <c r="Z42" s="30"/>
      <c r="AA42" s="1816">
        <v>2.42</v>
      </c>
      <c r="AB42" s="1911"/>
      <c r="AC42" s="1588">
        <f>AVERAGE(AA42,AA41)</f>
        <v>2.3140000000000001</v>
      </c>
      <c r="AD42" s="1588"/>
      <c r="AE42" s="24">
        <f t="shared" si="3"/>
        <v>0.90531082750102909</v>
      </c>
      <c r="AF42" s="1581"/>
      <c r="AG42" s="30"/>
      <c r="AH42" s="1589"/>
      <c r="AI42" s="35"/>
      <c r="AK42" s="1603"/>
      <c r="AM42" s="1604"/>
      <c r="AO42" s="1581"/>
      <c r="AP42" s="30"/>
    </row>
    <row r="43" spans="1:42" s="24" customFormat="1" hidden="1" outlineLevel="2">
      <c r="A43" s="24" t="str">
        <f>$A$29</f>
        <v>3Q</v>
      </c>
      <c r="B43" s="29" t="str">
        <f>$B$29</f>
        <v>Oct</v>
      </c>
      <c r="D43" s="1581"/>
      <c r="F43" s="1910"/>
      <c r="H43" s="1581"/>
      <c r="I43" s="30"/>
      <c r="J43" s="1816">
        <v>180</v>
      </c>
      <c r="L43" s="1583">
        <f>AVERAGE(J43,J42)</f>
        <v>170</v>
      </c>
      <c r="N43" s="1581">
        <f>(L43/L36-1)*100</f>
        <v>70</v>
      </c>
      <c r="O43" s="30"/>
      <c r="P43" s="1589"/>
      <c r="Q43" s="35"/>
      <c r="S43" s="1603"/>
      <c r="T43" s="1603"/>
      <c r="U43" s="1603"/>
      <c r="W43" s="1602"/>
      <c r="Y43" s="1910"/>
      <c r="Z43" s="30"/>
      <c r="AA43" s="1816">
        <v>2.702</v>
      </c>
      <c r="AB43" s="1911"/>
      <c r="AC43" s="1588">
        <f t="shared" ref="AC43:AC44" si="4">AVERAGE(AA43,AA42)</f>
        <v>2.5609999999999999</v>
      </c>
      <c r="AD43" s="1588"/>
      <c r="AE43" s="24">
        <f t="shared" si="3"/>
        <v>0.65599741351438734</v>
      </c>
      <c r="AF43" s="1581"/>
      <c r="AG43" s="30"/>
      <c r="AH43" s="1589"/>
      <c r="AI43" s="35"/>
      <c r="AK43" s="1603"/>
      <c r="AM43" s="1604"/>
      <c r="AO43" s="1581"/>
      <c r="AP43" s="30"/>
    </row>
    <row r="44" spans="1:42" s="24" customFormat="1" hidden="1" outlineLevel="2">
      <c r="A44" s="24" t="str">
        <f>$A$30</f>
        <v>4Q</v>
      </c>
      <c r="B44" s="29" t="str">
        <f>$B$30</f>
        <v>Jan</v>
      </c>
      <c r="D44" s="1606"/>
      <c r="F44" s="1612"/>
      <c r="H44" s="1606"/>
      <c r="I44" s="30"/>
      <c r="J44" s="1816">
        <v>193</v>
      </c>
      <c r="L44" s="1608">
        <f>AVERAGE(J44,J43)</f>
        <v>186.5</v>
      </c>
      <c r="N44" s="1606">
        <f>(L44/L37-1)*100</f>
        <v>54.132231404958688</v>
      </c>
      <c r="O44" s="30"/>
      <c r="P44" s="1608"/>
      <c r="Q44" s="35"/>
      <c r="S44" s="1614"/>
      <c r="T44" s="1614"/>
      <c r="U44" s="38"/>
      <c r="W44" s="1611"/>
      <c r="Y44" s="1612"/>
      <c r="Z44" s="30"/>
      <c r="AA44" s="1816">
        <v>2.8929999999999998</v>
      </c>
      <c r="AB44" s="1597"/>
      <c r="AC44" s="1588">
        <f t="shared" si="4"/>
        <v>2.7974999999999999</v>
      </c>
      <c r="AD44" s="1613"/>
      <c r="AE44" s="24">
        <f t="shared" si="3"/>
        <v>0.5056512378902045</v>
      </c>
      <c r="AF44" s="1606"/>
      <c r="AG44" s="30"/>
      <c r="AH44" s="1608"/>
      <c r="AI44" s="35"/>
      <c r="AK44" s="1614"/>
      <c r="AM44" s="1615"/>
      <c r="AO44" s="1606"/>
      <c r="AP44" s="30"/>
    </row>
    <row r="45" spans="1:42" s="24" customFormat="1" hidden="1" outlineLevel="2">
      <c r="B45" s="29" t="str">
        <f>$B$31</f>
        <v>Year</v>
      </c>
      <c r="D45" s="1581">
        <f>(S45/S38-1)*100</f>
        <v>92.857142857142861</v>
      </c>
      <c r="F45" s="1910"/>
      <c r="H45" s="1581"/>
      <c r="I45" s="30"/>
      <c r="J45" s="1816"/>
      <c r="L45" s="1583">
        <f>AVERAGE(L41:L44)</f>
        <v>161.75</v>
      </c>
      <c r="N45" s="1581">
        <f>(L45/L38-1)*100</f>
        <v>78.236914600550961</v>
      </c>
      <c r="O45" s="30"/>
      <c r="P45" s="1589"/>
      <c r="Q45" s="35"/>
      <c r="S45" s="1590">
        <v>810</v>
      </c>
      <c r="T45" s="1590">
        <f>S45-AQ45</f>
        <v>810</v>
      </c>
      <c r="U45" s="1590"/>
      <c r="V45" s="24">
        <f>T45/L45</f>
        <v>5.0077279752704795</v>
      </c>
      <c r="W45" s="1586">
        <f>S45/L45</f>
        <v>5.0077279752704795</v>
      </c>
      <c r="X45" s="24">
        <f>(V45/V38-1)*100</f>
        <v>8.2026937513800071</v>
      </c>
      <c r="Y45" s="1581">
        <f>(W45/W38-1)*100</f>
        <v>8.2026937513800071</v>
      </c>
      <c r="Z45" s="30"/>
      <c r="AA45" s="1816"/>
      <c r="AB45" s="1913"/>
      <c r="AC45" s="1588">
        <f>AVERAGE(AC41:AC44)</f>
        <v>2.4453749999999999</v>
      </c>
      <c r="AD45" s="1588"/>
      <c r="AE45" s="24">
        <f t="shared" si="3"/>
        <v>0.75232891436761018</v>
      </c>
      <c r="AF45" s="1581"/>
      <c r="AG45" s="30"/>
      <c r="AH45" s="1589"/>
      <c r="AI45" s="35"/>
      <c r="AJ45" s="1590">
        <f>T45</f>
        <v>810</v>
      </c>
      <c r="AK45" s="1590">
        <f>S45</f>
        <v>810</v>
      </c>
      <c r="AL45" s="1586">
        <f>AJ45/AC45</f>
        <v>331.23754025456219</v>
      </c>
      <c r="AM45" s="1591"/>
      <c r="AN45" s="24">
        <f>AL45/AL38-1</f>
        <v>0.10057616053628937</v>
      </c>
      <c r="AO45" s="1581" t="e">
        <f>(AM45/AM38-1)*100</f>
        <v>#DIV/0!</v>
      </c>
      <c r="AP45" s="30"/>
    </row>
    <row r="46" spans="1:42" s="24" customFormat="1" hidden="1" outlineLevel="2">
      <c r="B46" s="29"/>
      <c r="I46" s="30"/>
      <c r="J46" s="1816"/>
      <c r="O46" s="30"/>
      <c r="P46" s="35"/>
      <c r="Q46" s="35"/>
      <c r="Z46" s="30"/>
      <c r="AA46" s="1816"/>
      <c r="AB46" s="1913"/>
      <c r="AG46" s="30"/>
      <c r="AH46" s="35"/>
      <c r="AI46" s="35"/>
      <c r="AP46" s="30"/>
    </row>
    <row r="47" spans="1:42" s="24" customFormat="1" hidden="1" outlineLevel="2">
      <c r="A47" s="1579"/>
      <c r="B47" s="1908">
        <f>B40+1</f>
        <v>1997</v>
      </c>
      <c r="I47" s="30"/>
      <c r="J47" s="1816"/>
      <c r="O47" s="30"/>
      <c r="P47" s="35"/>
      <c r="Q47" s="35"/>
      <c r="Z47" s="30"/>
      <c r="AA47" s="1816"/>
      <c r="AB47" s="1913"/>
      <c r="AG47" s="30"/>
      <c r="AH47" s="35"/>
      <c r="AI47" s="35"/>
      <c r="AP47" s="30"/>
    </row>
    <row r="48" spans="1:42" s="24" customFormat="1" hidden="1" outlineLevel="2">
      <c r="A48" s="24" t="str">
        <f>$A$27</f>
        <v>1Q</v>
      </c>
      <c r="B48" s="29" t="str">
        <f>$B$27</f>
        <v>Apr</v>
      </c>
      <c r="D48" s="1581"/>
      <c r="E48" s="24" t="s">
        <v>489</v>
      </c>
      <c r="F48" s="1910"/>
      <c r="G48" s="24" t="s">
        <v>489</v>
      </c>
      <c r="H48" s="1581"/>
      <c r="I48" s="30" t="s">
        <v>489</v>
      </c>
      <c r="J48" s="1816">
        <v>208</v>
      </c>
      <c r="L48" s="24">
        <f>AVERAGE(J48,J44)</f>
        <v>200.5</v>
      </c>
      <c r="N48" s="1581">
        <f>(L48/L41-1)*100</f>
        <v>45.289855072463766</v>
      </c>
      <c r="O48" s="30" t="s">
        <v>489</v>
      </c>
      <c r="P48" s="1589"/>
      <c r="Q48" s="35" t="s">
        <v>489</v>
      </c>
      <c r="S48" s="1590"/>
      <c r="T48" s="1590"/>
      <c r="U48" s="1590"/>
      <c r="W48" s="1586"/>
      <c r="Y48" s="1910"/>
      <c r="Z48" s="30" t="s">
        <v>489</v>
      </c>
      <c r="AA48" s="1816">
        <v>3.1509999999999998</v>
      </c>
      <c r="AB48" s="1911"/>
      <c r="AC48" s="1588">
        <f>AVERAGE(AA48,AA44)</f>
        <v>3.0219999999999998</v>
      </c>
      <c r="AD48" s="1588"/>
      <c r="AE48" s="24">
        <f t="shared" ref="AE48:AE52" si="5">AC48/AC41-1</f>
        <v>0.43290659080132765</v>
      </c>
      <c r="AF48" s="1581"/>
      <c r="AG48" s="30" t="s">
        <v>489</v>
      </c>
      <c r="AH48" s="1589"/>
      <c r="AI48" s="35" t="s">
        <v>489</v>
      </c>
      <c r="AK48" s="1590"/>
      <c r="AM48" s="1591"/>
      <c r="AO48" s="1581"/>
      <c r="AP48" s="30" t="s">
        <v>489</v>
      </c>
    </row>
    <row r="49" spans="1:44" s="24" customFormat="1" hidden="1" outlineLevel="2">
      <c r="A49" s="24" t="str">
        <f>$A$28</f>
        <v>2Q</v>
      </c>
      <c r="B49" s="29" t="str">
        <f>$B$28</f>
        <v>Jul</v>
      </c>
      <c r="D49" s="1581"/>
      <c r="F49" s="1910"/>
      <c r="H49" s="1581"/>
      <c r="I49" s="30"/>
      <c r="J49" s="1816">
        <v>225</v>
      </c>
      <c r="L49" s="24">
        <f>AVERAGE(J49,J48)</f>
        <v>216.5</v>
      </c>
      <c r="N49" s="1581">
        <f>(L49/L42-1)*100</f>
        <v>41.967213114754109</v>
      </c>
      <c r="O49" s="30"/>
      <c r="P49" s="1589"/>
      <c r="Q49" s="35"/>
      <c r="S49" s="1603"/>
      <c r="T49" s="1603"/>
      <c r="U49" s="1603"/>
      <c r="W49" s="1602"/>
      <c r="Y49" s="1910"/>
      <c r="Z49" s="30"/>
      <c r="AA49" s="1816">
        <v>3.4</v>
      </c>
      <c r="AB49" s="1911"/>
      <c r="AC49" s="1588">
        <f>AVERAGE(AA49,AA48)</f>
        <v>3.2755000000000001</v>
      </c>
      <c r="AD49" s="1588"/>
      <c r="AE49" s="24">
        <f t="shared" si="5"/>
        <v>0.41551426101987898</v>
      </c>
      <c r="AF49" s="1581"/>
      <c r="AG49" s="30"/>
      <c r="AH49" s="1589"/>
      <c r="AI49" s="35"/>
      <c r="AK49" s="1603"/>
      <c r="AM49" s="1604"/>
      <c r="AO49" s="1581"/>
      <c r="AP49" s="30"/>
    </row>
    <row r="50" spans="1:44" s="24" customFormat="1" hidden="1" outlineLevel="2">
      <c r="A50" s="24" t="str">
        <f>$A$29</f>
        <v>3Q</v>
      </c>
      <c r="B50" s="29" t="str">
        <f>$B$29</f>
        <v>Oct</v>
      </c>
      <c r="D50" s="1581"/>
      <c r="F50" s="1910"/>
      <c r="H50" s="1581"/>
      <c r="I50" s="30"/>
      <c r="J50" s="1816">
        <v>262</v>
      </c>
      <c r="L50" s="1583">
        <f>AVERAGE(J50,J49)</f>
        <v>243.5</v>
      </c>
      <c r="N50" s="1581">
        <f>(L50/L43-1)*100</f>
        <v>43.235294117647058</v>
      </c>
      <c r="O50" s="30"/>
      <c r="P50" s="1589"/>
      <c r="Q50" s="35"/>
      <c r="S50" s="1603"/>
      <c r="T50" s="1603"/>
      <c r="U50" s="1603"/>
      <c r="W50" s="1602"/>
      <c r="Y50" s="1910"/>
      <c r="Z50" s="30"/>
      <c r="AA50" s="1816">
        <v>3.9750000000000001</v>
      </c>
      <c r="AB50" s="1911"/>
      <c r="AC50" s="1588">
        <f t="shared" ref="AC50:AC51" si="6">AVERAGE(AA50,AA49)</f>
        <v>3.6875</v>
      </c>
      <c r="AD50" s="1588"/>
      <c r="AE50" s="24">
        <f t="shared" si="5"/>
        <v>0.43986723935962524</v>
      </c>
      <c r="AF50" s="1581"/>
      <c r="AG50" s="30"/>
      <c r="AH50" s="1589"/>
      <c r="AI50" s="35"/>
      <c r="AK50" s="1603"/>
      <c r="AM50" s="1604"/>
      <c r="AO50" s="1581"/>
      <c r="AP50" s="30"/>
    </row>
    <row r="51" spans="1:44" s="24" customFormat="1" hidden="1" outlineLevel="2">
      <c r="A51" s="24" t="str">
        <f>$A$30</f>
        <v>4Q</v>
      </c>
      <c r="B51" s="29" t="str">
        <f>$B$30</f>
        <v>Jan</v>
      </c>
      <c r="D51" s="1606"/>
      <c r="F51" s="1612"/>
      <c r="H51" s="1606"/>
      <c r="I51" s="30"/>
      <c r="J51" s="1816">
        <v>282</v>
      </c>
      <c r="L51" s="1762">
        <f>AVERAGE(J51,J50)</f>
        <v>272</v>
      </c>
      <c r="N51" s="1606">
        <f>(L51/L44-1)*100</f>
        <v>45.844504021447733</v>
      </c>
      <c r="O51" s="30"/>
      <c r="P51" s="1608"/>
      <c r="Q51" s="35"/>
      <c r="S51" s="1614"/>
      <c r="T51" s="1614"/>
      <c r="U51" s="38"/>
      <c r="W51" s="1611"/>
      <c r="Y51" s="1612"/>
      <c r="Z51" s="30"/>
      <c r="AA51" s="1816">
        <v>4.2960000000000003</v>
      </c>
      <c r="AB51" s="1597"/>
      <c r="AC51" s="1588">
        <f t="shared" si="6"/>
        <v>4.1355000000000004</v>
      </c>
      <c r="AD51" s="1613"/>
      <c r="AE51" s="24">
        <f t="shared" si="5"/>
        <v>0.4782841823056303</v>
      </c>
      <c r="AF51" s="1606"/>
      <c r="AG51" s="30"/>
      <c r="AH51" s="1608"/>
      <c r="AI51" s="35"/>
      <c r="AK51" s="1614"/>
      <c r="AM51" s="1615"/>
      <c r="AO51" s="1606"/>
      <c r="AP51" s="30"/>
    </row>
    <row r="52" spans="1:44" s="24" customFormat="1" hidden="1" outlineLevel="2">
      <c r="B52" s="29" t="str">
        <f>$B$31</f>
        <v>Year</v>
      </c>
      <c r="D52" s="1581">
        <f>(S52/S45-1)*100</f>
        <v>58.024691358024683</v>
      </c>
      <c r="F52" s="1910"/>
      <c r="H52" s="1581"/>
      <c r="I52" s="30"/>
      <c r="J52" s="1816"/>
      <c r="L52" s="1583">
        <f>AVERAGE(L48:L51)</f>
        <v>233.125</v>
      </c>
      <c r="N52" s="1581">
        <f>(L52/L45-1)*100</f>
        <v>44.126738794435852</v>
      </c>
      <c r="O52" s="30"/>
      <c r="P52" s="1589"/>
      <c r="Q52" s="35"/>
      <c r="S52" s="1590">
        <v>1280</v>
      </c>
      <c r="T52" s="1590">
        <f>S52-AQ52</f>
        <v>1280</v>
      </c>
      <c r="U52" s="1590"/>
      <c r="V52" s="24">
        <f>T52/L52</f>
        <v>5.4906166219839143</v>
      </c>
      <c r="W52" s="1586">
        <f>S52/L52</f>
        <v>5.4906166219839143</v>
      </c>
      <c r="X52" s="24">
        <f>(V52/V45-1)*100</f>
        <v>9.6428689636911091</v>
      </c>
      <c r="Y52" s="1587">
        <f>(W52/W45-1)*100</f>
        <v>9.6428689636911091</v>
      </c>
      <c r="Z52" s="30"/>
      <c r="AA52" s="1816"/>
      <c r="AB52" s="1913"/>
      <c r="AC52" s="1588">
        <f>AVERAGE(AC48:AC51)</f>
        <v>3.530125</v>
      </c>
      <c r="AD52" s="1588"/>
      <c r="AE52" s="24">
        <f t="shared" si="5"/>
        <v>0.44359249603844009</v>
      </c>
      <c r="AF52" s="1581"/>
      <c r="AG52" s="30"/>
      <c r="AH52" s="1589"/>
      <c r="AI52" s="35"/>
      <c r="AJ52" s="1590">
        <f>T52</f>
        <v>1280</v>
      </c>
      <c r="AK52" s="1590">
        <f>S52</f>
        <v>1280</v>
      </c>
      <c r="AL52" s="1586">
        <f>AJ52/AC52</f>
        <v>362.59339258524841</v>
      </c>
      <c r="AM52" s="1591"/>
      <c r="AN52" s="24">
        <f>AL52/AL45-1</f>
        <v>9.4662737522409612E-2</v>
      </c>
      <c r="AO52" s="1581" t="e">
        <f>(AM52/AM45-1)*100</f>
        <v>#DIV/0!</v>
      </c>
      <c r="AP52" s="30"/>
    </row>
    <row r="53" spans="1:44" s="24" customFormat="1" hidden="1" outlineLevel="2">
      <c r="B53" s="29"/>
      <c r="I53" s="30"/>
      <c r="J53" s="1816"/>
      <c r="O53" s="30"/>
      <c r="P53" s="35"/>
      <c r="Q53" s="35"/>
      <c r="Z53" s="30"/>
      <c r="AA53" s="1816"/>
      <c r="AB53" s="1913"/>
      <c r="AG53" s="30"/>
      <c r="AH53" s="35"/>
      <c r="AI53" s="35"/>
      <c r="AP53" s="30"/>
    </row>
    <row r="54" spans="1:44" s="24" customFormat="1" hidden="1" outlineLevel="2">
      <c r="A54" s="1579"/>
      <c r="B54" s="1908">
        <f>B47+1</f>
        <v>1998</v>
      </c>
      <c r="I54" s="30"/>
      <c r="J54" s="1816"/>
      <c r="O54" s="30"/>
      <c r="P54" s="35"/>
      <c r="Q54" s="35"/>
      <c r="Z54" s="30"/>
      <c r="AA54" s="1816"/>
      <c r="AB54" s="1913"/>
      <c r="AG54" s="30"/>
      <c r="AH54" s="35"/>
      <c r="AI54" s="35"/>
      <c r="AP54" s="30"/>
    </row>
    <row r="55" spans="1:44" s="24" customFormat="1" hidden="1" outlineLevel="2">
      <c r="A55" s="24" t="str">
        <f>$A$27</f>
        <v>1Q</v>
      </c>
      <c r="B55" s="29" t="str">
        <f>$B$27</f>
        <v>Apr</v>
      </c>
      <c r="D55" s="1581"/>
      <c r="E55" s="24" t="s">
        <v>489</v>
      </c>
      <c r="F55" s="1910"/>
      <c r="G55" s="24" t="s">
        <v>489</v>
      </c>
      <c r="H55" s="1581"/>
      <c r="I55" s="30" t="s">
        <v>489</v>
      </c>
      <c r="J55" s="1816">
        <v>305</v>
      </c>
      <c r="L55" s="1583">
        <f>AVERAGE(J55,J51)</f>
        <v>293.5</v>
      </c>
      <c r="N55" s="1581">
        <f>(L55/L48-1)*100</f>
        <v>46.384039900249377</v>
      </c>
      <c r="O55" s="30" t="s">
        <v>489</v>
      </c>
      <c r="P55" s="1589"/>
      <c r="Q55" s="35" t="s">
        <v>489</v>
      </c>
      <c r="S55" s="1590"/>
      <c r="T55" s="1590"/>
      <c r="U55" s="1590"/>
      <c r="W55" s="1586"/>
      <c r="Y55" s="1910"/>
      <c r="Z55" s="30" t="s">
        <v>489</v>
      </c>
      <c r="AA55" s="1816">
        <v>4.6879999999999997</v>
      </c>
      <c r="AC55" s="1588">
        <f>AVERAGE(AA55,AA51)</f>
        <v>4.492</v>
      </c>
      <c r="AD55" s="1588"/>
      <c r="AE55" s="24">
        <f t="shared" ref="AE55:AE59" si="7">AC55/AC48-1</f>
        <v>0.48643282594308412</v>
      </c>
      <c r="AF55" s="1581"/>
      <c r="AG55" s="30" t="s">
        <v>489</v>
      </c>
      <c r="AH55" s="1589"/>
      <c r="AI55" s="35" t="s">
        <v>489</v>
      </c>
      <c r="AK55" s="1590"/>
      <c r="AM55" s="1591"/>
      <c r="AO55" s="1581"/>
      <c r="AP55" s="30" t="s">
        <v>489</v>
      </c>
    </row>
    <row r="56" spans="1:44" s="24" customFormat="1" hidden="1" outlineLevel="2">
      <c r="A56" s="24" t="str">
        <f>$A$28</f>
        <v>2Q</v>
      </c>
      <c r="B56" s="29" t="str">
        <f>$B$28</f>
        <v>Jul</v>
      </c>
      <c r="D56" s="1581"/>
      <c r="F56" s="1910"/>
      <c r="H56" s="1581"/>
      <c r="I56" s="30"/>
      <c r="J56" s="1816">
        <v>332</v>
      </c>
      <c r="L56" s="1583">
        <f>AVERAGE(J56,J55)</f>
        <v>318.5</v>
      </c>
      <c r="N56" s="1581">
        <f>(L56/L49-1)*100</f>
        <v>47.113163972286372</v>
      </c>
      <c r="O56" s="30"/>
      <c r="P56" s="1589"/>
      <c r="Q56" s="35"/>
      <c r="S56" s="1603"/>
      <c r="T56" s="1603"/>
      <c r="U56" s="1603"/>
      <c r="W56" s="1602"/>
      <c r="Y56" s="1910"/>
      <c r="Z56" s="30"/>
      <c r="AA56" s="1816">
        <v>5.1760000000000002</v>
      </c>
      <c r="AC56" s="1588">
        <f>AVERAGE(AA56,AA55)</f>
        <v>4.9320000000000004</v>
      </c>
      <c r="AD56" s="1588"/>
      <c r="AE56" s="24">
        <f t="shared" si="7"/>
        <v>0.50572431689818353</v>
      </c>
      <c r="AF56" s="1581"/>
      <c r="AG56" s="30"/>
      <c r="AH56" s="1589"/>
      <c r="AI56" s="35"/>
      <c r="AK56" s="1603"/>
      <c r="AM56" s="1604"/>
      <c r="AO56" s="1581"/>
      <c r="AP56" s="30"/>
    </row>
    <row r="57" spans="1:44" s="24" customFormat="1" hidden="1" outlineLevel="2">
      <c r="A57" s="24" t="str">
        <f>$A$29</f>
        <v>3Q</v>
      </c>
      <c r="B57" s="29" t="str">
        <f>$B$29</f>
        <v>Oct</v>
      </c>
      <c r="D57" s="1581"/>
      <c r="F57" s="1910"/>
      <c r="H57" s="1581"/>
      <c r="I57" s="30"/>
      <c r="J57" s="1816">
        <v>364</v>
      </c>
      <c r="L57" s="1583">
        <f>AVERAGE(J57,J56)</f>
        <v>348</v>
      </c>
      <c r="N57" s="1581">
        <f>(L57/L50-1)*100</f>
        <v>42.915811088295698</v>
      </c>
      <c r="O57" s="30"/>
      <c r="P57" s="1589"/>
      <c r="Q57" s="35"/>
      <c r="S57" s="1603"/>
      <c r="T57" s="1603"/>
      <c r="U57" s="1603"/>
      <c r="W57" s="1602"/>
      <c r="Y57" s="1910"/>
      <c r="Z57" s="30"/>
      <c r="AA57" s="1816">
        <v>5.77</v>
      </c>
      <c r="AB57" s="1597"/>
      <c r="AC57" s="1588">
        <f t="shared" ref="AC57:AC58" si="8">AVERAGE(AA57,AA56)</f>
        <v>5.4729999999999999</v>
      </c>
      <c r="AD57" s="1588"/>
      <c r="AE57" s="24">
        <f t="shared" si="7"/>
        <v>0.48420338983050848</v>
      </c>
      <c r="AF57" s="1581"/>
      <c r="AG57" s="30"/>
      <c r="AH57" s="1589"/>
      <c r="AI57" s="35"/>
      <c r="AK57" s="1603"/>
      <c r="AM57" s="1604"/>
      <c r="AO57" s="1587"/>
      <c r="AP57" s="30"/>
    </row>
    <row r="58" spans="1:44" s="24" customFormat="1" hidden="1" outlineLevel="2">
      <c r="A58" s="24" t="str">
        <f>$A$30</f>
        <v>4Q</v>
      </c>
      <c r="B58" s="29" t="str">
        <f>$B$30</f>
        <v>Jan</v>
      </c>
      <c r="D58" s="1606"/>
      <c r="F58" s="1612"/>
      <c r="H58" s="1606"/>
      <c r="I58" s="30"/>
      <c r="J58" s="1816">
        <v>398</v>
      </c>
      <c r="L58" s="1608">
        <f>AVERAGE(J58,J57)</f>
        <v>381</v>
      </c>
      <c r="N58" s="1606">
        <f>(L58/L51-1)*100</f>
        <v>40.073529411764696</v>
      </c>
      <c r="O58" s="30"/>
      <c r="P58" s="1608"/>
      <c r="Q58" s="35"/>
      <c r="S58" s="1614"/>
      <c r="T58" s="1614"/>
      <c r="U58" s="38"/>
      <c r="W58" s="1611"/>
      <c r="Y58" s="1612"/>
      <c r="Z58" s="30"/>
      <c r="AA58" s="1816">
        <v>6.3129999999999997</v>
      </c>
      <c r="AB58" s="1597"/>
      <c r="AC58" s="1588">
        <f t="shared" si="8"/>
        <v>6.0414999999999992</v>
      </c>
      <c r="AD58" s="1613"/>
      <c r="AE58" s="24">
        <f t="shared" si="7"/>
        <v>0.46088743803651289</v>
      </c>
      <c r="AF58" s="1606"/>
      <c r="AG58" s="30"/>
      <c r="AH58" s="1608"/>
      <c r="AI58" s="35"/>
      <c r="AK58" s="1614"/>
      <c r="AM58" s="1615"/>
      <c r="AO58" s="1612"/>
      <c r="AP58" s="30"/>
    </row>
    <row r="59" spans="1:44" s="24" customFormat="1" hidden="1" outlineLevel="2">
      <c r="B59" s="29" t="str">
        <f>$B$31</f>
        <v>Year</v>
      </c>
      <c r="D59" s="1581">
        <f>(S59/S52-1)*100</f>
        <v>79.609375</v>
      </c>
      <c r="F59" s="1910"/>
      <c r="H59" s="1581"/>
      <c r="I59" s="30"/>
      <c r="J59" s="1816"/>
      <c r="L59" s="1583">
        <f>AVERAGE(L55:L58)</f>
        <v>335.25</v>
      </c>
      <c r="N59" s="1581">
        <f>(L59/L52-1)*100</f>
        <v>43.806970509383383</v>
      </c>
      <c r="O59" s="30"/>
      <c r="P59" s="1589"/>
      <c r="Q59" s="35"/>
      <c r="S59" s="1590">
        <v>2299</v>
      </c>
      <c r="T59" s="1590">
        <f>S59-AQ59</f>
        <v>2299</v>
      </c>
      <c r="U59" s="1590"/>
      <c r="V59" s="24">
        <f>T59/L59</f>
        <v>6.8575689783743474</v>
      </c>
      <c r="W59" s="1586">
        <f>S59/L59</f>
        <v>6.8575689783743474</v>
      </c>
      <c r="X59" s="24">
        <f>(V59/V52-1)*100</f>
        <v>24.896153756524985</v>
      </c>
      <c r="Y59" s="1587">
        <f>(W59/W52-1)*100</f>
        <v>24.896153756524985</v>
      </c>
      <c r="Z59" s="30"/>
      <c r="AA59" s="1816"/>
      <c r="AC59" s="1588">
        <f>AVERAGE(AC55:AC58)</f>
        <v>5.2346249999999994</v>
      </c>
      <c r="AD59" s="1613"/>
      <c r="AE59" s="24">
        <f t="shared" si="7"/>
        <v>0.4828440919230903</v>
      </c>
      <c r="AF59" s="1581"/>
      <c r="AG59" s="30"/>
      <c r="AH59" s="1589"/>
      <c r="AI59" s="35"/>
      <c r="AJ59" s="1590">
        <f>T59</f>
        <v>2299</v>
      </c>
      <c r="AK59" s="1590">
        <f>S59</f>
        <v>2299</v>
      </c>
      <c r="AL59" s="1586">
        <f>AJ59/AC59</f>
        <v>439.19096401365908</v>
      </c>
      <c r="AM59" s="1591"/>
      <c r="AN59" s="24">
        <f>AL59/AL52-1</f>
        <v>0.21124922018649861</v>
      </c>
      <c r="AO59" s="1587" t="e">
        <f>(AM59/AM52-1)*100</f>
        <v>#DIV/0!</v>
      </c>
      <c r="AP59" s="30"/>
    </row>
    <row r="60" spans="1:44" s="24" customFormat="1" hidden="1" outlineLevel="2">
      <c r="B60" s="29"/>
      <c r="I60" s="30"/>
      <c r="J60" s="1816"/>
      <c r="O60" s="30"/>
      <c r="P60" s="35"/>
      <c r="Q60" s="35"/>
      <c r="Z60" s="30"/>
      <c r="AA60" s="1816"/>
      <c r="AG60" s="30"/>
      <c r="AH60" s="35"/>
      <c r="AI60" s="35"/>
      <c r="AP60" s="30"/>
    </row>
    <row r="61" spans="1:44" s="24" customFormat="1" hidden="1" outlineLevel="1">
      <c r="A61" s="1579"/>
      <c r="B61" s="1908">
        <f>B54+1</f>
        <v>1999</v>
      </c>
      <c r="I61" s="30"/>
      <c r="J61" s="1816"/>
      <c r="O61" s="30"/>
      <c r="P61" s="35"/>
      <c r="Q61" s="35"/>
      <c r="Z61" s="30"/>
      <c r="AA61" s="1816"/>
      <c r="AG61" s="30"/>
      <c r="AH61" s="35"/>
      <c r="AI61" s="35"/>
      <c r="AP61" s="30"/>
      <c r="AR61" s="29"/>
    </row>
    <row r="62" spans="1:44" s="24" customFormat="1" hidden="1" outlineLevel="1">
      <c r="A62" s="24" t="str">
        <f>$A$27</f>
        <v>1Q</v>
      </c>
      <c r="B62" s="29" t="str">
        <f>$B$27</f>
        <v>Apr</v>
      </c>
      <c r="D62" s="1581"/>
      <c r="E62" s="30" t="s">
        <v>489</v>
      </c>
      <c r="F62" s="1914">
        <v>22</v>
      </c>
      <c r="G62" s="30" t="s">
        <v>489</v>
      </c>
      <c r="H62" s="1581"/>
      <c r="I62" s="30" t="s">
        <v>489</v>
      </c>
      <c r="J62" s="1818">
        <v>420</v>
      </c>
      <c r="L62" s="1583">
        <f>AVERAGE(J62,J58)</f>
        <v>409</v>
      </c>
      <c r="N62" s="1581">
        <f>(L62/L55-1)*100</f>
        <v>39.352640545144801</v>
      </c>
      <c r="O62" s="30" t="s">
        <v>489</v>
      </c>
      <c r="P62" s="1589"/>
      <c r="Q62" s="35" t="s">
        <v>489</v>
      </c>
      <c r="S62" s="1590"/>
      <c r="T62" s="1590"/>
      <c r="U62" s="1590"/>
      <c r="W62" s="1586"/>
      <c r="Y62" s="1910"/>
      <c r="Z62" s="30" t="s">
        <v>489</v>
      </c>
      <c r="AA62" s="1816">
        <v>6.718</v>
      </c>
      <c r="AB62" s="1597"/>
      <c r="AC62" s="1588">
        <f>AVERAGE(AA62,AA58)</f>
        <v>6.5154999999999994</v>
      </c>
      <c r="AD62" s="1588"/>
      <c r="AE62" s="24">
        <f t="shared" ref="AE62:AE66" si="9">AC62/AC55-1</f>
        <v>0.45046749777381989</v>
      </c>
      <c r="AF62" s="1581"/>
      <c r="AG62" s="30" t="s">
        <v>489</v>
      </c>
      <c r="AH62" s="1589"/>
      <c r="AI62" s="35" t="s">
        <v>489</v>
      </c>
      <c r="AK62" s="1590"/>
      <c r="AM62" s="1591"/>
      <c r="AO62" s="1581"/>
      <c r="AP62" s="30" t="s">
        <v>489</v>
      </c>
    </row>
    <row r="63" spans="1:44" s="24" customFormat="1" hidden="1" outlineLevel="1">
      <c r="A63" s="24" t="str">
        <f>$A$28</f>
        <v>2Q</v>
      </c>
      <c r="B63" s="29" t="str">
        <f>$B$28</f>
        <v>Jul</v>
      </c>
      <c r="D63" s="1581"/>
      <c r="E63" s="30"/>
      <c r="F63" s="1914">
        <v>22</v>
      </c>
      <c r="G63" s="30"/>
      <c r="H63" s="1581"/>
      <c r="I63" s="30"/>
      <c r="J63" s="1818">
        <v>442</v>
      </c>
      <c r="L63" s="1583">
        <f>AVERAGE(J63,J62)</f>
        <v>431</v>
      </c>
      <c r="N63" s="1581">
        <f>(L63/L56-1)*100</f>
        <v>35.321821036106748</v>
      </c>
      <c r="O63" s="30"/>
      <c r="P63" s="1589"/>
      <c r="Q63" s="35"/>
      <c r="S63" s="1603"/>
      <c r="T63" s="1603"/>
      <c r="U63" s="1603"/>
      <c r="W63" s="1602"/>
      <c r="Y63" s="1910"/>
      <c r="Z63" s="30"/>
      <c r="AA63" s="1816">
        <v>7.1120000000000001</v>
      </c>
      <c r="AB63" s="1597"/>
      <c r="AC63" s="1588">
        <f>AVERAGE(AA63,AA62)</f>
        <v>6.915</v>
      </c>
      <c r="AD63" s="1588"/>
      <c r="AE63" s="24">
        <f t="shared" si="9"/>
        <v>0.40206812652068114</v>
      </c>
      <c r="AF63" s="1581"/>
      <c r="AG63" s="30"/>
      <c r="AH63" s="1589"/>
      <c r="AI63" s="35"/>
      <c r="AK63" s="1603"/>
      <c r="AM63" s="1604"/>
      <c r="AO63" s="1581"/>
      <c r="AP63" s="30"/>
    </row>
    <row r="64" spans="1:44" s="24" customFormat="1" hidden="1" outlineLevel="1">
      <c r="A64" s="24" t="str">
        <f>$A$29</f>
        <v>3Q</v>
      </c>
      <c r="B64" s="29" t="str">
        <f>$B$29</f>
        <v>Oct</v>
      </c>
      <c r="D64" s="1581"/>
      <c r="E64" s="30"/>
      <c r="F64" s="1914">
        <v>12</v>
      </c>
      <c r="G64" s="30"/>
      <c r="H64" s="1581"/>
      <c r="I64" s="30"/>
      <c r="J64" s="1818">
        <v>495</v>
      </c>
      <c r="L64" s="1583">
        <f>AVERAGE(J64,J63)</f>
        <v>468.5</v>
      </c>
      <c r="N64" s="1581">
        <f>(L64/L57-1)*100</f>
        <v>34.626436781609193</v>
      </c>
      <c r="O64" s="30"/>
      <c r="P64" s="1589"/>
      <c r="Q64" s="35"/>
      <c r="S64" s="1603"/>
      <c r="T64" s="1603"/>
      <c r="U64" s="1603"/>
      <c r="W64" s="1602"/>
      <c r="Y64" s="1910"/>
      <c r="Z64" s="30"/>
      <c r="AA64" s="1816">
        <v>8.5</v>
      </c>
      <c r="AB64" s="1597"/>
      <c r="AC64" s="1588">
        <f t="shared" ref="AC64:AC65" si="10">AVERAGE(AA64,AA63)</f>
        <v>7.806</v>
      </c>
      <c r="AD64" s="1588"/>
      <c r="AE64" s="24">
        <f t="shared" si="9"/>
        <v>0.4262744381509227</v>
      </c>
      <c r="AF64" s="1581"/>
      <c r="AG64" s="30"/>
      <c r="AH64" s="1589"/>
      <c r="AI64" s="35"/>
      <c r="AK64" s="1603"/>
      <c r="AM64" s="1604"/>
      <c r="AO64" s="1587"/>
      <c r="AP64" s="30"/>
    </row>
    <row r="65" spans="1:42" s="24" customFormat="1" hidden="1" outlineLevel="1">
      <c r="A65" s="24" t="str">
        <f>$A$30</f>
        <v>4Q</v>
      </c>
      <c r="B65" s="29" t="str">
        <f>$B$30</f>
        <v>Jan</v>
      </c>
      <c r="D65" s="1606"/>
      <c r="E65" s="30"/>
      <c r="F65" s="1915">
        <v>7</v>
      </c>
      <c r="G65" s="30"/>
      <c r="H65" s="1606"/>
      <c r="I65" s="30"/>
      <c r="J65" s="1818">
        <v>513</v>
      </c>
      <c r="L65" s="1608">
        <f>AVERAGE(J65,J64)</f>
        <v>504</v>
      </c>
      <c r="N65" s="1606">
        <f>(L65/L58-1)*100</f>
        <v>32.28346456692914</v>
      </c>
      <c r="O65" s="30"/>
      <c r="P65" s="1608"/>
      <c r="Q65" s="35"/>
      <c r="S65" s="1614"/>
      <c r="T65" s="1614"/>
      <c r="U65" s="38"/>
      <c r="W65" s="1611"/>
      <c r="Y65" s="1612"/>
      <c r="Z65" s="30"/>
      <c r="AA65" s="1816">
        <v>9</v>
      </c>
      <c r="AB65" s="1597"/>
      <c r="AC65" s="1588">
        <f t="shared" si="10"/>
        <v>8.75</v>
      </c>
      <c r="AD65" s="1613"/>
      <c r="AE65" s="24">
        <f t="shared" si="9"/>
        <v>0.44831581560870659</v>
      </c>
      <c r="AF65" s="1606"/>
      <c r="AG65" s="30"/>
      <c r="AH65" s="1608"/>
      <c r="AI65" s="35"/>
      <c r="AK65" s="1614"/>
      <c r="AM65" s="1615"/>
      <c r="AO65" s="1612"/>
      <c r="AP65" s="30"/>
    </row>
    <row r="66" spans="1:42" s="24" customFormat="1" hidden="1" outlineLevel="1">
      <c r="B66" s="29" t="str">
        <f>$B$31</f>
        <v>Year</v>
      </c>
      <c r="D66" s="1581">
        <f>(S66/S59-1)*100</f>
        <v>69.63897346672465</v>
      </c>
      <c r="E66" s="30"/>
      <c r="F66" s="1914">
        <v>14</v>
      </c>
      <c r="G66" s="30"/>
      <c r="H66" s="1581">
        <f>D66-F66</f>
        <v>55.63897346672465</v>
      </c>
      <c r="I66" s="30"/>
      <c r="J66" s="1818"/>
      <c r="L66" s="1583">
        <f>AVERAGE(L62:L65)</f>
        <v>453.125</v>
      </c>
      <c r="N66" s="1581">
        <f>(L66/L59-1)*100</f>
        <v>35.160328113348235</v>
      </c>
      <c r="O66" s="30"/>
      <c r="P66" s="1589">
        <f>H66/N66*100</f>
        <v>158.24361276538235</v>
      </c>
      <c r="Q66" s="35"/>
      <c r="S66" s="1590">
        <v>3900</v>
      </c>
      <c r="T66" s="1590">
        <f>S66-AQ66</f>
        <v>3900</v>
      </c>
      <c r="U66" s="1590"/>
      <c r="V66" s="24">
        <f>T66/L66</f>
        <v>8.6068965517241374</v>
      </c>
      <c r="W66" s="1586">
        <f>S66/L66</f>
        <v>8.6068965517241374</v>
      </c>
      <c r="X66" s="24">
        <f>(V66/V59-1)*100</f>
        <v>25.509441886277394</v>
      </c>
      <c r="Y66" s="1587">
        <f>(W66/W59-1)*100</f>
        <v>25.509441886277394</v>
      </c>
      <c r="Z66" s="30"/>
      <c r="AA66" s="1816"/>
      <c r="AC66" s="1588">
        <f>AVERAGE(AC62:AC65)</f>
        <v>7.4966249999999999</v>
      </c>
      <c r="AD66" s="1613"/>
      <c r="AE66" s="24">
        <f t="shared" si="9"/>
        <v>0.43212264488860241</v>
      </c>
      <c r="AF66" s="1581"/>
      <c r="AG66" s="30"/>
      <c r="AH66" s="1589">
        <f>+H66/AE66</f>
        <v>128.75736581929863</v>
      </c>
      <c r="AI66" s="35"/>
      <c r="AJ66" s="1590">
        <f>T66</f>
        <v>3900</v>
      </c>
      <c r="AK66" s="1590">
        <f>S66</f>
        <v>3900</v>
      </c>
      <c r="AL66" s="1586">
        <f>AJ66/AC66</f>
        <v>520.2341053474064</v>
      </c>
      <c r="AM66" s="1591"/>
      <c r="AN66" s="24">
        <f>AL66/AL59-1</f>
        <v>0.18452825302486597</v>
      </c>
      <c r="AO66" s="1587" t="e">
        <f>(AM66/AM59-1)*100</f>
        <v>#DIV/0!</v>
      </c>
      <c r="AP66" s="30"/>
    </row>
    <row r="67" spans="1:42" s="24" customFormat="1" hidden="1" outlineLevel="1">
      <c r="B67" s="29"/>
      <c r="E67" s="30"/>
      <c r="F67" s="1816"/>
      <c r="G67" s="30"/>
      <c r="I67" s="30"/>
      <c r="J67" s="1818"/>
      <c r="O67" s="30"/>
      <c r="P67" s="35"/>
      <c r="Q67" s="35"/>
      <c r="Z67" s="30"/>
      <c r="AA67" s="1816"/>
      <c r="AG67" s="30"/>
      <c r="AH67" s="35"/>
      <c r="AI67" s="35"/>
      <c r="AP67" s="30"/>
    </row>
    <row r="68" spans="1:42" s="24" customFormat="1" hidden="1" outlineLevel="1">
      <c r="A68" s="1579"/>
      <c r="B68" s="1908">
        <f>B61+1</f>
        <v>2000</v>
      </c>
      <c r="E68" s="30"/>
      <c r="F68" s="1816"/>
      <c r="G68" s="30"/>
      <c r="I68" s="30"/>
      <c r="J68" s="1818"/>
      <c r="O68" s="30"/>
      <c r="P68" s="35"/>
      <c r="Q68" s="35"/>
      <c r="Z68" s="30"/>
      <c r="AA68" s="1816"/>
      <c r="AG68" s="30"/>
      <c r="AH68" s="35"/>
      <c r="AI68" s="35"/>
      <c r="AP68" s="30"/>
    </row>
    <row r="69" spans="1:42" s="24" customFormat="1" hidden="1" outlineLevel="1">
      <c r="A69" s="24" t="str">
        <f>$A$27</f>
        <v>1Q</v>
      </c>
      <c r="B69" s="29" t="str">
        <f>$B$27</f>
        <v>Apr</v>
      </c>
      <c r="D69" s="1581"/>
      <c r="E69" s="30" t="s">
        <v>489</v>
      </c>
      <c r="F69" s="1914">
        <v>-3</v>
      </c>
      <c r="G69" s="30" t="s">
        <v>489</v>
      </c>
      <c r="H69" s="1581"/>
      <c r="I69" s="30" t="s">
        <v>489</v>
      </c>
      <c r="J69" s="1818">
        <v>546</v>
      </c>
      <c r="K69" s="24" t="s">
        <v>31</v>
      </c>
      <c r="L69" s="1583">
        <f>AVERAGE(J69,J65)</f>
        <v>529.5</v>
      </c>
      <c r="N69" s="1581">
        <f>(L69/L62-1)*100</f>
        <v>29.462102689486546</v>
      </c>
      <c r="O69" s="30" t="s">
        <v>489</v>
      </c>
      <c r="P69" s="1589">
        <f>H69/N69*100</f>
        <v>0</v>
      </c>
      <c r="Q69" s="35" t="s">
        <v>489</v>
      </c>
      <c r="S69" s="1916">
        <v>906</v>
      </c>
      <c r="T69" s="1916">
        <f>S69-AQ69</f>
        <v>906</v>
      </c>
      <c r="U69" s="1916"/>
      <c r="V69" s="24">
        <f>T69/L69</f>
        <v>1.7110481586402266</v>
      </c>
      <c r="W69" s="1586">
        <f>S69/L69</f>
        <v>1.7110481586402266</v>
      </c>
      <c r="Y69" s="1587"/>
      <c r="Z69" s="30" t="s">
        <v>489</v>
      </c>
      <c r="AA69" s="1816">
        <v>9.8000000000000007</v>
      </c>
      <c r="AB69" s="1597"/>
      <c r="AC69" s="1588">
        <f>AVERAGE(AA69,AA65)</f>
        <v>9.4</v>
      </c>
      <c r="AD69" s="1588"/>
      <c r="AE69" s="24">
        <f t="shared" ref="AE69:AE73" si="11">AC69/AC62-1</f>
        <v>0.44271352927634111</v>
      </c>
      <c r="AF69" s="1581"/>
      <c r="AG69" s="30" t="s">
        <v>489</v>
      </c>
      <c r="AH69" s="1589"/>
      <c r="AI69" s="35" t="s">
        <v>489</v>
      </c>
      <c r="AJ69" s="1590">
        <f>T69</f>
        <v>906</v>
      </c>
      <c r="AK69" s="1590">
        <f>S69</f>
        <v>906</v>
      </c>
      <c r="AL69" s="1586">
        <f>AJ69/AC69</f>
        <v>96.38297872340425</v>
      </c>
      <c r="AM69" s="1591"/>
      <c r="AO69" s="1587"/>
      <c r="AP69" s="30" t="s">
        <v>489</v>
      </c>
    </row>
    <row r="70" spans="1:42" s="24" customFormat="1" hidden="1" outlineLevel="1">
      <c r="A70" s="24" t="str">
        <f>$A$28</f>
        <v>2Q</v>
      </c>
      <c r="B70" s="29" t="str">
        <f>$B$28</f>
        <v>Jul</v>
      </c>
      <c r="D70" s="1581"/>
      <c r="F70" s="1914">
        <v>-10</v>
      </c>
      <c r="H70" s="1581"/>
      <c r="J70" s="1818">
        <v>580</v>
      </c>
      <c r="K70" s="1913"/>
      <c r="L70" s="1583">
        <f>AVERAGE(J70,J69)</f>
        <v>563</v>
      </c>
      <c r="N70" s="1581">
        <f>(L70/L63-1)*100</f>
        <v>30.626450116009284</v>
      </c>
      <c r="O70" s="30"/>
      <c r="P70" s="1589">
        <f>H70/N70*100</f>
        <v>0</v>
      </c>
      <c r="Q70" s="35"/>
      <c r="S70" s="1917">
        <v>991</v>
      </c>
      <c r="T70" s="1917">
        <f t="shared" ref="T70:T73" si="12">S70-AQ70</f>
        <v>991</v>
      </c>
      <c r="U70" s="1917"/>
      <c r="V70" s="24">
        <f t="shared" ref="V70:V72" si="13">T70/L70</f>
        <v>1.7602131438721136</v>
      </c>
      <c r="W70" s="1602">
        <f>S70/L70</f>
        <v>1.7602131438721136</v>
      </c>
      <c r="Y70" s="1587"/>
      <c r="Z70" s="30"/>
      <c r="AA70" s="1816">
        <v>10.7</v>
      </c>
      <c r="AB70" s="1597"/>
      <c r="AC70" s="1588">
        <f>AVERAGE(AA70,AA69)</f>
        <v>10.25</v>
      </c>
      <c r="AD70" s="1588"/>
      <c r="AE70" s="24">
        <f t="shared" si="11"/>
        <v>0.48228488792480118</v>
      </c>
      <c r="AF70" s="1581"/>
      <c r="AG70" s="30"/>
      <c r="AH70" s="1589"/>
      <c r="AI70" s="35"/>
      <c r="AJ70" s="1590">
        <f t="shared" ref="AJ70:AJ72" si="14">T70</f>
        <v>991</v>
      </c>
      <c r="AK70" s="1603">
        <f>+S70</f>
        <v>991</v>
      </c>
      <c r="AL70" s="1586">
        <f t="shared" ref="AL70:AL72" si="15">AJ70/AC70</f>
        <v>96.682926829268297</v>
      </c>
      <c r="AM70" s="1604"/>
      <c r="AO70" s="1587"/>
      <c r="AP70" s="30"/>
    </row>
    <row r="71" spans="1:42" s="24" customFormat="1" hidden="1" outlineLevel="1">
      <c r="A71" s="24" t="str">
        <f>$A$29</f>
        <v>3Q</v>
      </c>
      <c r="B71" s="29" t="str">
        <f>$B$29</f>
        <v>Oct</v>
      </c>
      <c r="D71" s="1581"/>
      <c r="F71" s="1914">
        <v>-18</v>
      </c>
      <c r="H71" s="1581"/>
      <c r="J71" s="1818">
        <v>648</v>
      </c>
      <c r="K71" s="1913"/>
      <c r="L71" s="1583">
        <f>AVERAGE(J71,J70)</f>
        <v>614</v>
      </c>
      <c r="N71" s="1581">
        <f>(L71/L64-1)*100</f>
        <v>31.056563500533606</v>
      </c>
      <c r="O71" s="30"/>
      <c r="P71" s="1589">
        <f>H71/N71*100</f>
        <v>0</v>
      </c>
      <c r="Q71" s="35"/>
      <c r="S71" s="1917">
        <v>1202</v>
      </c>
      <c r="T71" s="1917">
        <f t="shared" si="12"/>
        <v>1202</v>
      </c>
      <c r="U71" s="1917"/>
      <c r="V71" s="24">
        <f t="shared" si="13"/>
        <v>1.9576547231270358</v>
      </c>
      <c r="W71" s="1602">
        <f>S71/L71</f>
        <v>1.9576547231270358</v>
      </c>
      <c r="Y71" s="1587"/>
      <c r="Z71" s="30"/>
      <c r="AA71" s="1816">
        <v>12.6</v>
      </c>
      <c r="AB71" s="1597"/>
      <c r="AC71" s="1588">
        <f t="shared" ref="AC71:AC72" si="16">AVERAGE(AA71,AA70)</f>
        <v>11.649999999999999</v>
      </c>
      <c r="AD71" s="1588"/>
      <c r="AE71" s="24">
        <f t="shared" si="11"/>
        <v>0.4924417115039712</v>
      </c>
      <c r="AF71" s="1581"/>
      <c r="AG71" s="30"/>
      <c r="AH71" s="1589"/>
      <c r="AI71" s="35"/>
      <c r="AJ71" s="1590">
        <f t="shared" si="14"/>
        <v>1202</v>
      </c>
      <c r="AK71" s="1603">
        <f>+S71</f>
        <v>1202</v>
      </c>
      <c r="AL71" s="1586">
        <f t="shared" si="15"/>
        <v>103.17596566523606</v>
      </c>
      <c r="AM71" s="1604"/>
      <c r="AO71" s="1587"/>
      <c r="AP71" s="30"/>
    </row>
    <row r="72" spans="1:42" s="24" customFormat="1" hidden="1" outlineLevel="1">
      <c r="A72" s="24" t="str">
        <f>$A$30</f>
        <v>4Q</v>
      </c>
      <c r="B72" s="29" t="str">
        <f>$B$30</f>
        <v>Jan</v>
      </c>
      <c r="D72" s="1606"/>
      <c r="F72" s="1915">
        <v>-12</v>
      </c>
      <c r="H72" s="1606"/>
      <c r="J72" s="1818">
        <v>666</v>
      </c>
      <c r="K72" s="1913"/>
      <c r="L72" s="1608">
        <f>AVERAGE(J72,J71)</f>
        <v>657</v>
      </c>
      <c r="N72" s="1606">
        <f>(L72/L65-1)*100</f>
        <v>30.357142857142861</v>
      </c>
      <c r="O72" s="30"/>
      <c r="P72" s="1608">
        <f>H72/N72*100</f>
        <v>0</v>
      </c>
      <c r="Q72" s="35"/>
      <c r="S72" s="1918">
        <v>1632</v>
      </c>
      <c r="T72" s="1918">
        <f t="shared" si="12"/>
        <v>1632</v>
      </c>
      <c r="U72" s="1919"/>
      <c r="V72" s="24">
        <f t="shared" si="13"/>
        <v>2.4840182648401825</v>
      </c>
      <c r="W72" s="1611">
        <f>S72/L72</f>
        <v>2.4840182648401825</v>
      </c>
      <c r="Y72" s="1612"/>
      <c r="Z72" s="30"/>
      <c r="AA72" s="1816">
        <v>13.1</v>
      </c>
      <c r="AB72" s="1597"/>
      <c r="AC72" s="1588">
        <f t="shared" si="16"/>
        <v>12.85</v>
      </c>
      <c r="AD72" s="1613"/>
      <c r="AE72" s="24">
        <f t="shared" si="11"/>
        <v>0.46857142857142864</v>
      </c>
      <c r="AF72" s="1606"/>
      <c r="AG72" s="30"/>
      <c r="AH72" s="1608"/>
      <c r="AI72" s="35"/>
      <c r="AJ72" s="1590">
        <f t="shared" si="14"/>
        <v>1632</v>
      </c>
      <c r="AK72" s="1614">
        <f>+S72</f>
        <v>1632</v>
      </c>
      <c r="AL72" s="1586">
        <f t="shared" si="15"/>
        <v>127.00389105058366</v>
      </c>
      <c r="AM72" s="1615"/>
      <c r="AO72" s="1612"/>
      <c r="AP72" s="30"/>
    </row>
    <row r="73" spans="1:42" s="24" customFormat="1" hidden="1" outlineLevel="1">
      <c r="B73" s="29" t="str">
        <f>$B$31</f>
        <v>Year</v>
      </c>
      <c r="D73" s="1581">
        <f>(S73/S66-1)*100</f>
        <v>21.282051282051274</v>
      </c>
      <c r="F73" s="1920">
        <v>-11</v>
      </c>
      <c r="H73" s="1581">
        <f>D73-F73</f>
        <v>32.28205128205127</v>
      </c>
      <c r="J73" s="1818"/>
      <c r="L73" s="1583">
        <f>AVERAGE(L69:L72)</f>
        <v>590.875</v>
      </c>
      <c r="N73" s="1581">
        <f>(L73/L66-1)*100</f>
        <v>30.400000000000006</v>
      </c>
      <c r="O73" s="30"/>
      <c r="P73" s="1589">
        <f>H73/N73*100</f>
        <v>106.19095816464232</v>
      </c>
      <c r="Q73" s="35"/>
      <c r="S73" s="1590">
        <v>4730</v>
      </c>
      <c r="T73" s="1590">
        <f t="shared" si="12"/>
        <v>4730</v>
      </c>
      <c r="U73" s="1590"/>
      <c r="V73" s="24">
        <f>SUM(V69:V72)</f>
        <v>7.9129342904795585</v>
      </c>
      <c r="W73" s="1586">
        <f>S73/L73</f>
        <v>8.0050772159932304</v>
      </c>
      <c r="X73" s="24">
        <f>(V73/V66-1)*100</f>
        <v>-8.0628628109346128</v>
      </c>
      <c r="Y73" s="1587">
        <f>(W73/W66-1)*100</f>
        <v>-6.9922919616171031</v>
      </c>
      <c r="Z73" s="30"/>
      <c r="AA73" s="1816"/>
      <c r="AC73" s="1588">
        <f>AVERAGE(AC69:AC72)</f>
        <v>11.0375</v>
      </c>
      <c r="AD73" s="1613"/>
      <c r="AE73" s="24">
        <f t="shared" si="11"/>
        <v>0.47232921481333268</v>
      </c>
      <c r="AF73" s="1581"/>
      <c r="AG73" s="30"/>
      <c r="AH73" s="1589">
        <f>+H73/AE73</f>
        <v>68.346505508471097</v>
      </c>
      <c r="AI73" s="35"/>
      <c r="AJ73" s="1590">
        <f>T73</f>
        <v>4730</v>
      </c>
      <c r="AK73" s="1590">
        <f>S73</f>
        <v>4730</v>
      </c>
      <c r="AL73" s="1586">
        <f>AJ73/AC73</f>
        <v>428.53907134767837</v>
      </c>
      <c r="AM73" s="1591"/>
      <c r="AN73" s="24">
        <f>AL73/AL66-1</f>
        <v>-0.17625725237390022</v>
      </c>
      <c r="AO73" s="1587" t="e">
        <f>(AM73/AM66-1)*100</f>
        <v>#DIV/0!</v>
      </c>
      <c r="AP73" s="30"/>
    </row>
    <row r="74" spans="1:42" s="24" customFormat="1" hidden="1" outlineLevel="1">
      <c r="B74" s="29"/>
      <c r="F74" s="1816"/>
      <c r="J74" s="1818"/>
      <c r="O74" s="30"/>
      <c r="P74" s="35"/>
      <c r="Q74" s="35"/>
      <c r="Z74" s="30"/>
      <c r="AA74" s="1816"/>
      <c r="AG74" s="30"/>
      <c r="AH74" s="35"/>
      <c r="AI74" s="35"/>
    </row>
    <row r="75" spans="1:42" s="24" customFormat="1" hidden="1" outlineLevel="1">
      <c r="A75" s="1579"/>
      <c r="B75" s="1908">
        <f>B68+1</f>
        <v>2001</v>
      </c>
      <c r="E75" s="30"/>
      <c r="F75" s="1816"/>
      <c r="G75" s="30"/>
      <c r="I75" s="30"/>
      <c r="J75" s="1818"/>
      <c r="O75" s="30"/>
      <c r="P75" s="35"/>
      <c r="Q75" s="35"/>
      <c r="Z75" s="30"/>
      <c r="AA75" s="1816"/>
      <c r="AG75" s="30"/>
      <c r="AH75" s="35"/>
      <c r="AI75" s="35"/>
      <c r="AP75" s="30"/>
    </row>
    <row r="76" spans="1:42" s="24" customFormat="1" hidden="1" outlineLevel="1">
      <c r="A76" s="24" t="str">
        <f>$A$27</f>
        <v>1Q</v>
      </c>
      <c r="B76" s="29" t="str">
        <f>$B$27</f>
        <v>Apr</v>
      </c>
      <c r="D76" s="1581">
        <f>(S76/S69-1)*100</f>
        <v>29.690949227373075</v>
      </c>
      <c r="E76" s="30" t="s">
        <v>489</v>
      </c>
      <c r="F76" s="1914">
        <v>-9</v>
      </c>
      <c r="G76" s="30" t="s">
        <v>489</v>
      </c>
      <c r="H76" s="1581">
        <f>D76-F76</f>
        <v>38.690949227373075</v>
      </c>
      <c r="I76" s="30" t="s">
        <v>489</v>
      </c>
      <c r="J76" s="1818">
        <v>717</v>
      </c>
      <c r="K76" s="24" t="s">
        <v>31</v>
      </c>
      <c r="L76" s="1583">
        <f>AVERAGE(J76,J72)</f>
        <v>691.5</v>
      </c>
      <c r="N76" s="1581">
        <f>(L76/L69-1)*100</f>
        <v>30.594900849858362</v>
      </c>
      <c r="O76" s="30" t="s">
        <v>489</v>
      </c>
      <c r="P76" s="1589">
        <f>H76/N76*100</f>
        <v>126.46208404872863</v>
      </c>
      <c r="Q76" s="35" t="s">
        <v>489</v>
      </c>
      <c r="S76" s="1916">
        <v>1175</v>
      </c>
      <c r="T76" s="1916">
        <f>S76-AQ76</f>
        <v>1175</v>
      </c>
      <c r="U76" s="1916"/>
      <c r="V76" s="24">
        <f t="shared" ref="V76:V79" si="17">T76/L76</f>
        <v>1.6992046276211135</v>
      </c>
      <c r="W76" s="1586">
        <f>S76/L76</f>
        <v>1.6992046276211135</v>
      </c>
      <c r="X76" s="24">
        <f t="shared" ref="X76:Y80" si="18">(V76/V69-1)*100</f>
        <v>-0.69217987578591433</v>
      </c>
      <c r="Y76" s="1587">
        <f t="shared" si="18"/>
        <v>-0.69217987578591433</v>
      </c>
      <c r="Z76" s="30" t="s">
        <v>489</v>
      </c>
      <c r="AA76" s="1816">
        <v>14.4</v>
      </c>
      <c r="AB76" s="1597"/>
      <c r="AC76" s="1588">
        <f>AVERAGE(AA76,AA72)</f>
        <v>13.75</v>
      </c>
      <c r="AD76" s="1588"/>
      <c r="AE76" s="24">
        <f t="shared" ref="AE76:AE80" si="19">AC76/AC69-1</f>
        <v>0.46276595744680837</v>
      </c>
      <c r="AF76" s="1581"/>
      <c r="AG76" s="30" t="s">
        <v>489</v>
      </c>
      <c r="AH76" s="1589">
        <f>+H76/AE76</f>
        <v>83.608028215472871</v>
      </c>
      <c r="AI76" s="35" t="s">
        <v>489</v>
      </c>
      <c r="AJ76" s="1590">
        <f>T76</f>
        <v>1175</v>
      </c>
      <c r="AK76" s="1590">
        <f>S76</f>
        <v>1175</v>
      </c>
      <c r="AL76" s="1586">
        <f t="shared" ref="AL76:AL80" si="20">AJ76/AC76</f>
        <v>85.454545454545453</v>
      </c>
      <c r="AM76" s="1591"/>
      <c r="AN76" s="24">
        <f>AL76/AL69-1</f>
        <v>-0.11338551073650405</v>
      </c>
      <c r="AO76" s="1587" t="e">
        <f>(AM76/AM69-1)*100</f>
        <v>#DIV/0!</v>
      </c>
      <c r="AP76" s="30" t="s">
        <v>489</v>
      </c>
    </row>
    <row r="77" spans="1:42" s="24" customFormat="1" hidden="1" outlineLevel="1">
      <c r="A77" s="24" t="str">
        <f>$A$28</f>
        <v>2Q</v>
      </c>
      <c r="B77" s="29" t="str">
        <f>$B$28</f>
        <v>Jul</v>
      </c>
      <c r="D77" s="1581">
        <f>(S77/S70-1)*100</f>
        <v>18.567103935418761</v>
      </c>
      <c r="F77" s="1914">
        <v>-14</v>
      </c>
      <c r="H77" s="1581">
        <f>D77-F77</f>
        <v>32.567103935418757</v>
      </c>
      <c r="J77" s="1818">
        <v>748</v>
      </c>
      <c r="K77" s="1913"/>
      <c r="L77" s="1583">
        <f>AVERAGE(J77,J76)</f>
        <v>732.5</v>
      </c>
      <c r="N77" s="1581">
        <f>(L77/L70-1)*100</f>
        <v>30.106571936056838</v>
      </c>
      <c r="O77" s="30"/>
      <c r="P77" s="1589">
        <f>H77/N77*100</f>
        <v>108.17274050525523</v>
      </c>
      <c r="Q77" s="35"/>
      <c r="S77" s="1917">
        <v>1175</v>
      </c>
      <c r="T77" s="1917">
        <f t="shared" ref="T77:T80" si="21">S77-AQ77</f>
        <v>1175</v>
      </c>
      <c r="U77" s="1917"/>
      <c r="V77" s="24">
        <f t="shared" si="17"/>
        <v>1.6040955631399318</v>
      </c>
      <c r="W77" s="1586">
        <f>S77/L77</f>
        <v>1.6040955631399318</v>
      </c>
      <c r="X77" s="24">
        <f t="shared" si="18"/>
        <v>-8.8692429820603778</v>
      </c>
      <c r="Y77" s="1587">
        <f t="shared" si="18"/>
        <v>-8.8692429820603778</v>
      </c>
      <c r="Z77" s="30"/>
      <c r="AA77" s="1816">
        <v>15</v>
      </c>
      <c r="AB77" s="1597"/>
      <c r="AC77" s="1588">
        <f>AVERAGE(AA77,AA76)</f>
        <v>14.7</v>
      </c>
      <c r="AD77" s="1588"/>
      <c r="AE77" s="24">
        <f t="shared" si="19"/>
        <v>0.43414634146341458</v>
      </c>
      <c r="AF77" s="1581"/>
      <c r="AG77" s="30"/>
      <c r="AH77" s="1589">
        <f t="shared" ref="AH77:AH80" si="22">+H77/AE77</f>
        <v>75.014115806301646</v>
      </c>
      <c r="AI77" s="35"/>
      <c r="AJ77" s="1590">
        <f>T77</f>
        <v>1175</v>
      </c>
      <c r="AK77" s="1590">
        <f>S77</f>
        <v>1175</v>
      </c>
      <c r="AL77" s="1586">
        <f t="shared" si="20"/>
        <v>79.931972789115648</v>
      </c>
      <c r="AM77" s="1591"/>
      <c r="AN77" s="24">
        <f>AL77/AL70-1</f>
        <v>-0.17325658820541334</v>
      </c>
      <c r="AO77" s="1587" t="e">
        <f>(AM77/AM70-1)*100</f>
        <v>#DIV/0!</v>
      </c>
      <c r="AP77" s="30"/>
    </row>
    <row r="78" spans="1:42" s="24" customFormat="1" hidden="1" outlineLevel="1">
      <c r="A78" s="24" t="str">
        <f>$A$29</f>
        <v>3Q</v>
      </c>
      <c r="B78" s="29" t="str">
        <f>$B$29</f>
        <v>Oct</v>
      </c>
      <c r="D78" s="1581">
        <f>(S78/S71-1)*100</f>
        <v>4.4093178036605618</v>
      </c>
      <c r="F78" s="1914">
        <v>-18</v>
      </c>
      <c r="H78" s="1581">
        <f>D78-F78</f>
        <v>22.409317803660564</v>
      </c>
      <c r="J78" s="1818">
        <v>796</v>
      </c>
      <c r="K78" s="1913"/>
      <c r="L78" s="1583">
        <f>AVERAGE(J78,J77)</f>
        <v>772</v>
      </c>
      <c r="N78" s="1581">
        <f>(L78/L71-1)*100</f>
        <v>25.732899022801291</v>
      </c>
      <c r="O78" s="30"/>
      <c r="P78" s="1589">
        <f>H78/N78*100</f>
        <v>87.084310958529059</v>
      </c>
      <c r="Q78" s="35"/>
      <c r="S78" s="1917">
        <v>1255</v>
      </c>
      <c r="T78" s="1917">
        <f t="shared" si="21"/>
        <v>1255</v>
      </c>
      <c r="U78" s="1917"/>
      <c r="V78" s="24">
        <f t="shared" si="17"/>
        <v>1.6256476683937824</v>
      </c>
      <c r="W78" s="1586">
        <f>S78/L78</f>
        <v>1.6256476683937824</v>
      </c>
      <c r="X78" s="24">
        <f t="shared" si="18"/>
        <v>-16.959428586207792</v>
      </c>
      <c r="Y78" s="1587">
        <f t="shared" si="18"/>
        <v>-16.959428586207792</v>
      </c>
      <c r="Z78" s="30"/>
      <c r="AA78" s="1816">
        <v>16</v>
      </c>
      <c r="AB78" s="1597"/>
      <c r="AC78" s="1588">
        <f t="shared" ref="AC78:AC79" si="23">AVERAGE(AA78,AA77)</f>
        <v>15.5</v>
      </c>
      <c r="AD78" s="1588"/>
      <c r="AE78" s="24">
        <f t="shared" si="19"/>
        <v>0.33047210300429208</v>
      </c>
      <c r="AF78" s="1581"/>
      <c r="AG78" s="30"/>
      <c r="AH78" s="1589">
        <f t="shared" si="22"/>
        <v>67.81001361367413</v>
      </c>
      <c r="AI78" s="35"/>
      <c r="AJ78" s="1590">
        <f>T78</f>
        <v>1255</v>
      </c>
      <c r="AK78" s="1590">
        <f>S78</f>
        <v>1255</v>
      </c>
      <c r="AL78" s="1586">
        <f t="shared" si="20"/>
        <v>80.967741935483872</v>
      </c>
      <c r="AM78" s="1591"/>
      <c r="AN78" s="24">
        <f>AL78/AL71-1</f>
        <v>-0.21524609521764804</v>
      </c>
      <c r="AO78" s="1587" t="e">
        <f>(AM78/AM71-1)*100</f>
        <v>#DIV/0!</v>
      </c>
      <c r="AP78" s="30"/>
    </row>
    <row r="79" spans="1:42" s="24" customFormat="1" hidden="1" outlineLevel="1">
      <c r="A79" s="24" t="str">
        <f>$A$30</f>
        <v>4Q</v>
      </c>
      <c r="B79" s="29" t="str">
        <f>$B$30</f>
        <v>Jan</v>
      </c>
      <c r="D79" s="1606">
        <f>(S79/S72-1)*100</f>
        <v>-7.1078431372548989</v>
      </c>
      <c r="F79" s="1915">
        <v>-20</v>
      </c>
      <c r="H79" s="1606">
        <f>D79-F79</f>
        <v>12.8921568627451</v>
      </c>
      <c r="J79" s="1818">
        <v>798</v>
      </c>
      <c r="K79" s="1913"/>
      <c r="L79" s="1608">
        <f>AVERAGE(J79,J78)</f>
        <v>797</v>
      </c>
      <c r="N79" s="1606">
        <f>(L79/L72-1)*100</f>
        <v>21.3089802130898</v>
      </c>
      <c r="O79" s="30"/>
      <c r="P79" s="1608">
        <f>H79/N79*100</f>
        <v>60.501050420168077</v>
      </c>
      <c r="Q79" s="35"/>
      <c r="S79" s="1918">
        <v>1516</v>
      </c>
      <c r="T79" s="1918">
        <f t="shared" si="21"/>
        <v>1516</v>
      </c>
      <c r="U79" s="1919"/>
      <c r="V79" s="24">
        <f t="shared" si="17"/>
        <v>1.9021329987452948</v>
      </c>
      <c r="W79" s="1586">
        <f>S79/L79</f>
        <v>1.9021329987452948</v>
      </c>
      <c r="X79" s="24">
        <f t="shared" si="18"/>
        <v>-23.425160528452281</v>
      </c>
      <c r="Y79" s="1587">
        <f t="shared" si="18"/>
        <v>-23.425160528452281</v>
      </c>
      <c r="Z79" s="30"/>
      <c r="AA79" s="1816">
        <v>16</v>
      </c>
      <c r="AB79" s="1597"/>
      <c r="AC79" s="1588">
        <f t="shared" si="23"/>
        <v>16</v>
      </c>
      <c r="AD79" s="1613"/>
      <c r="AE79" s="24">
        <f t="shared" si="19"/>
        <v>0.24513618677042803</v>
      </c>
      <c r="AF79" s="1606"/>
      <c r="AG79" s="30"/>
      <c r="AH79" s="1608">
        <f t="shared" si="22"/>
        <v>52.591814503579215</v>
      </c>
      <c r="AI79" s="35"/>
      <c r="AJ79" s="1590">
        <f>T79</f>
        <v>1516</v>
      </c>
      <c r="AK79" s="1590">
        <f>S79</f>
        <v>1516</v>
      </c>
      <c r="AL79" s="1586">
        <f t="shared" si="20"/>
        <v>94.75</v>
      </c>
      <c r="AM79" s="1591"/>
      <c r="AN79" s="24">
        <f>AL79/AL72-1</f>
        <v>-0.25395986519607849</v>
      </c>
      <c r="AO79" s="1587" t="e">
        <f>(AM79/AM72-1)*100</f>
        <v>#DIV/0!</v>
      </c>
      <c r="AP79" s="30"/>
    </row>
    <row r="80" spans="1:42" s="24" customFormat="1" hidden="1" outlineLevel="1">
      <c r="B80" s="29" t="str">
        <f>$B$31</f>
        <v>Year</v>
      </c>
      <c r="D80" s="1581">
        <f>(S80/S73-1)*100</f>
        <v>8.2663847780126929</v>
      </c>
      <c r="F80" s="1920">
        <v>-16</v>
      </c>
      <c r="H80" s="1581">
        <f>D80-F80</f>
        <v>24.266384778012693</v>
      </c>
      <c r="J80" s="1818"/>
      <c r="L80" s="1583">
        <f>AVERAGE(L76:L79)</f>
        <v>748.25</v>
      </c>
      <c r="N80" s="1581">
        <f>(L80/L73-1)*100</f>
        <v>26.634228897821032</v>
      </c>
      <c r="O80" s="30"/>
      <c r="P80" s="1589">
        <f>H80/N80*100</f>
        <v>91.109770330155669</v>
      </c>
      <c r="Q80" s="35"/>
      <c r="S80" s="1590">
        <v>5121</v>
      </c>
      <c r="T80" s="1590">
        <f t="shared" si="21"/>
        <v>5121</v>
      </c>
      <c r="U80" s="1590"/>
      <c r="V80" s="24">
        <f>SUM(V76:V79)</f>
        <v>6.8310808579001225</v>
      </c>
      <c r="W80" s="1586">
        <f>S80/L80</f>
        <v>6.8439692616104244</v>
      </c>
      <c r="X80" s="24">
        <f t="shared" si="18"/>
        <v>-13.67196279995737</v>
      </c>
      <c r="Y80" s="1587">
        <f t="shared" si="18"/>
        <v>-14.504644028455404</v>
      </c>
      <c r="Z80" s="30"/>
      <c r="AA80" s="1816"/>
      <c r="AC80" s="1588">
        <f>AVERAGE(AC76:AC79)</f>
        <v>14.987500000000001</v>
      </c>
      <c r="AD80" s="1613"/>
      <c r="AE80" s="24">
        <f t="shared" si="19"/>
        <v>0.35787089467723687</v>
      </c>
      <c r="AF80" s="1581"/>
      <c r="AG80" s="30"/>
      <c r="AH80" s="1589">
        <f t="shared" si="22"/>
        <v>67.807651136029108</v>
      </c>
      <c r="AI80" s="35"/>
      <c r="AJ80" s="1590">
        <f>T80</f>
        <v>5121</v>
      </c>
      <c r="AK80" s="1590">
        <f>S80</f>
        <v>5121</v>
      </c>
      <c r="AL80" s="1586">
        <f t="shared" si="20"/>
        <v>341.68473728106756</v>
      </c>
      <c r="AM80" s="1591"/>
      <c r="AN80" s="24">
        <f>AL80/AL73-1</f>
        <v>-0.20267541485416851</v>
      </c>
      <c r="AO80" s="1587" t="e">
        <f>(AM80/AM73-1)*100</f>
        <v>#DIV/0!</v>
      </c>
      <c r="AP80" s="30"/>
    </row>
    <row r="81" spans="1:42" s="24" customFormat="1" hidden="1" outlineLevel="1">
      <c r="B81" s="29"/>
      <c r="F81" s="1816"/>
      <c r="J81" s="1818"/>
      <c r="O81" s="30"/>
      <c r="AA81" s="1816"/>
      <c r="AG81" s="30"/>
    </row>
    <row r="82" spans="1:42" s="24" customFormat="1" hidden="1" outlineLevel="1">
      <c r="A82" s="1579"/>
      <c r="B82" s="1908">
        <v>2002</v>
      </c>
      <c r="E82" s="30"/>
      <c r="F82" s="1816"/>
      <c r="G82" s="30"/>
      <c r="I82" s="30"/>
      <c r="J82" s="1818"/>
      <c r="O82" s="30"/>
      <c r="P82" s="35"/>
      <c r="Q82" s="35"/>
      <c r="Z82" s="30"/>
      <c r="AA82" s="1816"/>
      <c r="AG82" s="30"/>
      <c r="AH82" s="35"/>
      <c r="AI82" s="35"/>
      <c r="AP82" s="30"/>
    </row>
    <row r="83" spans="1:42" s="24" customFormat="1" hidden="1" outlineLevel="1">
      <c r="A83" s="24" t="str">
        <f>$A$27</f>
        <v>1Q</v>
      </c>
      <c r="B83" s="29" t="str">
        <f>$B$27</f>
        <v>Apr</v>
      </c>
      <c r="D83" s="1581">
        <f>(S83/S76-1)*100</f>
        <v>-3.1489361702127683</v>
      </c>
      <c r="E83" s="30" t="s">
        <v>489</v>
      </c>
      <c r="F83" s="1921">
        <v>-18</v>
      </c>
      <c r="G83" s="30" t="s">
        <v>489</v>
      </c>
      <c r="H83" s="1581">
        <f>D83-F83</f>
        <v>14.851063829787233</v>
      </c>
      <c r="I83" s="30" t="s">
        <v>489</v>
      </c>
      <c r="J83" s="1818">
        <v>821</v>
      </c>
      <c r="K83" s="24" t="s">
        <v>31</v>
      </c>
      <c r="L83" s="1583">
        <f>AVERAGE(J83,J79)</f>
        <v>809.5</v>
      </c>
      <c r="N83" s="1581">
        <f>(L83/L76-1)*100</f>
        <v>17.064352856109899</v>
      </c>
      <c r="O83" s="30" t="s">
        <v>489</v>
      </c>
      <c r="P83" s="1589">
        <f>H83/N83*100</f>
        <v>87.029751172015892</v>
      </c>
      <c r="Q83" s="35" t="s">
        <v>489</v>
      </c>
      <c r="S83" s="1916">
        <v>1138</v>
      </c>
      <c r="T83" s="1916">
        <f>S83-AQ83</f>
        <v>1138</v>
      </c>
      <c r="U83" s="1916"/>
      <c r="V83" s="24">
        <f t="shared" ref="V83:V86" si="24">T83/L83</f>
        <v>1.4058060531192094</v>
      </c>
      <c r="W83" s="1586">
        <f>S83/L83</f>
        <v>1.4058060531192094</v>
      </c>
      <c r="X83" s="24">
        <f t="shared" ref="X83:Y87" si="25">(V83/V76-1)*100</f>
        <v>-17.266818235580139</v>
      </c>
      <c r="Y83" s="1587">
        <f t="shared" si="25"/>
        <v>-17.266818235580139</v>
      </c>
      <c r="Z83" s="30" t="s">
        <v>489</v>
      </c>
      <c r="AA83" s="1816">
        <v>16.399999999999999</v>
      </c>
      <c r="AB83" s="1597"/>
      <c r="AC83" s="1588">
        <f>AVERAGE(AA83,AA79)</f>
        <v>16.2</v>
      </c>
      <c r="AD83" s="1588"/>
      <c r="AE83" s="24">
        <f t="shared" ref="AE83:AE87" si="26">AC83/AC76-1</f>
        <v>0.17818181818181822</v>
      </c>
      <c r="AF83" s="1581"/>
      <c r="AG83" s="30" t="s">
        <v>489</v>
      </c>
      <c r="AH83" s="1589">
        <f>+H83/AE83</f>
        <v>83.347807207989547</v>
      </c>
      <c r="AI83" s="35" t="s">
        <v>489</v>
      </c>
      <c r="AJ83" s="1590">
        <f>T83</f>
        <v>1138</v>
      </c>
      <c r="AK83" s="1590">
        <f>S83</f>
        <v>1138</v>
      </c>
      <c r="AL83" s="1586">
        <f t="shared" ref="AL83:AL87" si="27">AJ83/AC83</f>
        <v>70.246913580246911</v>
      </c>
      <c r="AM83" s="1591"/>
      <c r="AN83" s="24">
        <f>AL83/AL76-1</f>
        <v>-0.17796164959285532</v>
      </c>
      <c r="AO83" s="1587" t="e">
        <f>(AM83/AM76-1)*100</f>
        <v>#DIV/0!</v>
      </c>
      <c r="AP83" s="30" t="s">
        <v>489</v>
      </c>
    </row>
    <row r="84" spans="1:42" s="24" customFormat="1" hidden="1" outlineLevel="1">
      <c r="A84" s="24" t="str">
        <f>$A$28</f>
        <v>2Q</v>
      </c>
      <c r="B84" s="29" t="str">
        <f>$B$28</f>
        <v>Jul</v>
      </c>
      <c r="D84" s="1581">
        <f>(S84/S77-1)*100</f>
        <v>12.851063829787224</v>
      </c>
      <c r="F84" s="1921">
        <v>-1</v>
      </c>
      <c r="H84" s="1581">
        <f>D84-F84</f>
        <v>13.851063829787224</v>
      </c>
      <c r="J84" s="1818">
        <v>842</v>
      </c>
      <c r="L84" s="1583">
        <f>AVERAGE(J84,J83)</f>
        <v>831.5</v>
      </c>
      <c r="N84" s="1581">
        <f>(L84/L77-1)*100</f>
        <v>13.515358361774755</v>
      </c>
      <c r="O84" s="30"/>
      <c r="P84" s="1589">
        <f>H84/N84*100</f>
        <v>102.48388136685993</v>
      </c>
      <c r="Q84" s="35"/>
      <c r="S84" s="1917">
        <v>1326</v>
      </c>
      <c r="T84" s="1917">
        <f t="shared" ref="T84:T87" si="28">S84-AQ84</f>
        <v>1326</v>
      </c>
      <c r="U84" s="1917"/>
      <c r="V84" s="24">
        <f t="shared" si="24"/>
        <v>1.5947083583884547</v>
      </c>
      <c r="W84" s="1586">
        <f>S84/L84</f>
        <v>1.5947083583884547</v>
      </c>
      <c r="X84" s="24">
        <f t="shared" si="25"/>
        <v>-0.58520233876230288</v>
      </c>
      <c r="Y84" s="1587">
        <f t="shared" si="25"/>
        <v>-0.58520233876230288</v>
      </c>
      <c r="Z84" s="30"/>
      <c r="AA84" s="1816">
        <v>16.8</v>
      </c>
      <c r="AB84" s="1597"/>
      <c r="AC84" s="1588">
        <f>AVERAGE(AA84,AA83)</f>
        <v>16.600000000000001</v>
      </c>
      <c r="AD84" s="1588"/>
      <c r="AE84" s="24">
        <f t="shared" si="26"/>
        <v>0.12925170068027225</v>
      </c>
      <c r="AF84" s="1581"/>
      <c r="AG84" s="30"/>
      <c r="AH84" s="1589">
        <f t="shared" ref="AH84:AH87" si="29">+H84/AE84</f>
        <v>107.16349384098524</v>
      </c>
      <c r="AI84" s="35"/>
      <c r="AJ84" s="1590">
        <f>T84</f>
        <v>1326</v>
      </c>
      <c r="AK84" s="1590">
        <f>S84</f>
        <v>1326</v>
      </c>
      <c r="AL84" s="1586">
        <f t="shared" si="27"/>
        <v>79.879518072289144</v>
      </c>
      <c r="AM84" s="1591"/>
      <c r="AN84" s="24">
        <f>AL84/AL77-1</f>
        <v>-6.5624198923375232E-4</v>
      </c>
      <c r="AO84" s="1587" t="e">
        <f>(AM84/AM77-1)*100</f>
        <v>#DIV/0!</v>
      </c>
      <c r="AP84" s="30"/>
    </row>
    <row r="85" spans="1:42" s="24" customFormat="1" hidden="1" outlineLevel="1">
      <c r="A85" s="24" t="str">
        <f>$A$29</f>
        <v>3Q</v>
      </c>
      <c r="B85" s="29" t="str">
        <f>$B$29</f>
        <v>Oct</v>
      </c>
      <c r="D85" s="1581">
        <f>(S85/S78-1)*100</f>
        <v>18.40637450199203</v>
      </c>
      <c r="F85" s="1921">
        <v>6</v>
      </c>
      <c r="H85" s="1581">
        <f>D85-F85</f>
        <v>12.40637450199203</v>
      </c>
      <c r="J85" s="1818">
        <v>850</v>
      </c>
      <c r="L85" s="1583">
        <f>AVERAGE(J85,J84)</f>
        <v>846</v>
      </c>
      <c r="N85" s="1581">
        <f>(L85/L78-1)*100</f>
        <v>9.5854922279792643</v>
      </c>
      <c r="O85" s="30"/>
      <c r="P85" s="1589">
        <f>H85/N85*100</f>
        <v>129.42866372348456</v>
      </c>
      <c r="Q85" s="35"/>
      <c r="S85" s="1917">
        <v>1486</v>
      </c>
      <c r="T85" s="1917">
        <f t="shared" si="28"/>
        <v>1486</v>
      </c>
      <c r="U85" s="1917"/>
      <c r="V85" s="24">
        <f t="shared" si="24"/>
        <v>1.7565011820330969</v>
      </c>
      <c r="W85" s="1586">
        <f>S85/L85</f>
        <v>1.7565011820330969</v>
      </c>
      <c r="X85" s="24">
        <f t="shared" si="25"/>
        <v>8.0493157394064383</v>
      </c>
      <c r="Y85" s="1587">
        <f t="shared" si="25"/>
        <v>8.0493157394064383</v>
      </c>
      <c r="Z85" s="30"/>
      <c r="AA85" s="1816">
        <v>16.8</v>
      </c>
      <c r="AB85" s="1597"/>
      <c r="AC85" s="1588">
        <f t="shared" ref="AC85:AC86" si="30">AVERAGE(AA85,AA84)</f>
        <v>16.8</v>
      </c>
      <c r="AD85" s="1588"/>
      <c r="AE85" s="24">
        <f t="shared" si="26"/>
        <v>8.3870967741935587E-2</v>
      </c>
      <c r="AF85" s="1581"/>
      <c r="AG85" s="30"/>
      <c r="AH85" s="1589">
        <f t="shared" si="29"/>
        <v>147.92215752375094</v>
      </c>
      <c r="AI85" s="35"/>
      <c r="AJ85" s="1590">
        <f>T85</f>
        <v>1486</v>
      </c>
      <c r="AK85" s="1590">
        <f>S85</f>
        <v>1486</v>
      </c>
      <c r="AL85" s="1586">
        <f t="shared" si="27"/>
        <v>88.452380952380949</v>
      </c>
      <c r="AM85" s="1591"/>
      <c r="AN85" s="24">
        <f>AL85/AL78-1</f>
        <v>9.2439764750521736E-2</v>
      </c>
      <c r="AO85" s="1587" t="e">
        <f>(AM85/AM78-1)*100</f>
        <v>#DIV/0!</v>
      </c>
      <c r="AP85" s="30"/>
    </row>
    <row r="86" spans="1:42" s="24" customFormat="1" hidden="1" outlineLevel="1">
      <c r="A86" s="24" t="str">
        <f>$A$30</f>
        <v>4Q</v>
      </c>
      <c r="B86" s="29" t="str">
        <f>$B$30</f>
        <v>Jan</v>
      </c>
      <c r="D86" s="1606">
        <f>(S86/S79-1)*100</f>
        <v>22.29551451187335</v>
      </c>
      <c r="F86" s="1921">
        <v>14</v>
      </c>
      <c r="H86" s="1606">
        <f>D86-F86</f>
        <v>8.2955145118733498</v>
      </c>
      <c r="J86" s="1818">
        <v>848</v>
      </c>
      <c r="K86" s="1913"/>
      <c r="L86" s="1608">
        <f>AVERAGE(J86,J85)</f>
        <v>849</v>
      </c>
      <c r="N86" s="1606">
        <f>(L86/L79-1)*100</f>
        <v>6.5244667503136844</v>
      </c>
      <c r="O86" s="30"/>
      <c r="P86" s="1608">
        <f>H86/N86*100</f>
        <v>127.14471280698176</v>
      </c>
      <c r="Q86" s="35"/>
      <c r="S86" s="1918">
        <v>1854</v>
      </c>
      <c r="T86" s="1918">
        <f t="shared" si="28"/>
        <v>1854</v>
      </c>
      <c r="U86" s="1919"/>
      <c r="V86" s="24">
        <f t="shared" si="24"/>
        <v>2.1837455830388692</v>
      </c>
      <c r="W86" s="1586">
        <f>S86/L86</f>
        <v>2.1837455830388692</v>
      </c>
      <c r="X86" s="24">
        <f t="shared" si="25"/>
        <v>14.805094306199118</v>
      </c>
      <c r="Y86" s="1612">
        <f t="shared" si="25"/>
        <v>14.805094306199118</v>
      </c>
      <c r="Z86" s="30"/>
      <c r="AA86" s="1816">
        <v>16.8</v>
      </c>
      <c r="AB86" s="1597"/>
      <c r="AC86" s="1588">
        <f t="shared" si="30"/>
        <v>16.8</v>
      </c>
      <c r="AD86" s="1613"/>
      <c r="AE86" s="24">
        <f t="shared" si="26"/>
        <v>5.0000000000000044E-2</v>
      </c>
      <c r="AF86" s="1606"/>
      <c r="AG86" s="30"/>
      <c r="AH86" s="1608">
        <f t="shared" si="29"/>
        <v>165.91029023746685</v>
      </c>
      <c r="AI86" s="35"/>
      <c r="AJ86" s="1590">
        <f>T86</f>
        <v>1854</v>
      </c>
      <c r="AK86" s="1590">
        <f>S86</f>
        <v>1854</v>
      </c>
      <c r="AL86" s="1586">
        <f t="shared" si="27"/>
        <v>110.35714285714285</v>
      </c>
      <c r="AM86" s="1591"/>
      <c r="AN86" s="24">
        <f>AL86/AL79-1</f>
        <v>0.16471918582736511</v>
      </c>
      <c r="AO86" s="1587" t="e">
        <f>(AM86/AM79-1)*100</f>
        <v>#DIV/0!</v>
      </c>
      <c r="AP86" s="30"/>
    </row>
    <row r="87" spans="1:42" s="24" customFormat="1" hidden="1" outlineLevel="1">
      <c r="B87" s="29" t="str">
        <f>$B$31</f>
        <v>Year</v>
      </c>
      <c r="D87" s="1581">
        <f>(S87/S80-1)*100</f>
        <v>13.337238820542874</v>
      </c>
      <c r="F87" s="1922">
        <v>1</v>
      </c>
      <c r="H87" s="1581">
        <f>D87-F87</f>
        <v>12.337238820542874</v>
      </c>
      <c r="J87" s="1816"/>
      <c r="L87" s="1583">
        <f>AVERAGE(L83:L86)</f>
        <v>834</v>
      </c>
      <c r="N87" s="1581">
        <f>(L87/L80-1)*100</f>
        <v>11.460073504844637</v>
      </c>
      <c r="O87" s="30"/>
      <c r="P87" s="1589">
        <f>H87/N87*100</f>
        <v>107.65409851278373</v>
      </c>
      <c r="Q87" s="35"/>
      <c r="S87" s="1590">
        <v>5804</v>
      </c>
      <c r="T87" s="1590">
        <f t="shared" si="28"/>
        <v>5804</v>
      </c>
      <c r="U87" s="1590"/>
      <c r="V87" s="24">
        <f>SUM(V83:V86)</f>
        <v>6.9407611765796311</v>
      </c>
      <c r="W87" s="1586">
        <f>S87/L87</f>
        <v>6.9592326139088732</v>
      </c>
      <c r="X87" s="24">
        <f t="shared" si="25"/>
        <v>1.6056070914848508</v>
      </c>
      <c r="Y87" s="1587">
        <f t="shared" si="25"/>
        <v>1.6841594094378909</v>
      </c>
      <c r="Z87" s="30"/>
      <c r="AA87" s="1816"/>
      <c r="AC87" s="1588">
        <f>AVERAGE(AC83:AC86)</f>
        <v>16.599999999999998</v>
      </c>
      <c r="AD87" s="1613"/>
      <c r="AE87" s="24">
        <f t="shared" si="26"/>
        <v>0.1075896580483735</v>
      </c>
      <c r="AF87" s="1581"/>
      <c r="AG87" s="30"/>
      <c r="AH87" s="1589">
        <f t="shared" si="29"/>
        <v>114.66937477388313</v>
      </c>
      <c r="AI87" s="35"/>
      <c r="AJ87" s="1590">
        <f>T87</f>
        <v>5804</v>
      </c>
      <c r="AK87" s="1590">
        <f>S87</f>
        <v>5804</v>
      </c>
      <c r="AL87" s="1586">
        <f t="shared" si="27"/>
        <v>349.63855421686753</v>
      </c>
      <c r="AM87" s="1591"/>
      <c r="AN87" s="24">
        <f>AL87/AL80-1</f>
        <v>2.3278233025835204E-2</v>
      </c>
      <c r="AO87" s="1587" t="e">
        <f>(AM87/AM80-1)*100</f>
        <v>#DIV/0!</v>
      </c>
      <c r="AP87" s="30"/>
    </row>
    <row r="88" spans="1:42" s="24" customFormat="1" hidden="1" outlineLevel="1">
      <c r="B88" s="29"/>
      <c r="F88" s="1816"/>
      <c r="J88" s="1816"/>
      <c r="O88" s="30"/>
      <c r="AA88" s="1816"/>
      <c r="AG88" s="30"/>
    </row>
    <row r="89" spans="1:42" s="24" customFormat="1" hidden="1" outlineLevel="1">
      <c r="A89" s="1579"/>
      <c r="B89" s="1908">
        <v>2003</v>
      </c>
      <c r="E89" s="30"/>
      <c r="F89" s="1816"/>
      <c r="G89" s="30"/>
      <c r="I89" s="30"/>
      <c r="J89" s="1816"/>
      <c r="O89" s="30"/>
      <c r="P89" s="35"/>
      <c r="Q89" s="35"/>
      <c r="Z89" s="30"/>
      <c r="AA89" s="1816"/>
      <c r="AG89" s="30"/>
      <c r="AH89" s="35"/>
      <c r="AI89" s="35"/>
      <c r="AP89" s="30"/>
    </row>
    <row r="90" spans="1:42" s="24" customFormat="1" hidden="1" outlineLevel="1">
      <c r="A90" s="24" t="str">
        <f>$A$27</f>
        <v>1Q</v>
      </c>
      <c r="B90" s="29" t="str">
        <f>$B$27</f>
        <v>Apr</v>
      </c>
      <c r="D90" s="1581">
        <f>(S90/S83-1)*100</f>
        <v>20.826010544815475</v>
      </c>
      <c r="E90" s="30" t="s">
        <v>489</v>
      </c>
      <c r="F90" s="1616">
        <v>16</v>
      </c>
      <c r="G90" s="30" t="s">
        <v>489</v>
      </c>
      <c r="H90" s="1581">
        <f>D90-F90</f>
        <v>4.8260105448154746</v>
      </c>
      <c r="I90" s="30" t="s">
        <v>489</v>
      </c>
      <c r="J90" s="1818">
        <v>850</v>
      </c>
      <c r="K90" s="1913"/>
      <c r="L90" s="1583">
        <f>AVERAGE(J90,J86)</f>
        <v>849</v>
      </c>
      <c r="N90" s="1581">
        <f>(L90/L83-1)*100</f>
        <v>4.879555281037673</v>
      </c>
      <c r="O90" s="30" t="s">
        <v>489</v>
      </c>
      <c r="P90" s="1589">
        <f>H90/N90*100</f>
        <v>98.902671798180521</v>
      </c>
      <c r="Q90" s="35" t="s">
        <v>489</v>
      </c>
      <c r="S90" s="1916">
        <v>1375</v>
      </c>
      <c r="T90" s="1916">
        <f>S90-AQ90</f>
        <v>1375</v>
      </c>
      <c r="U90" s="1916"/>
      <c r="V90" s="24">
        <f t="shared" ref="V90:V93" si="31">T90/L90</f>
        <v>1.6195524146054181</v>
      </c>
      <c r="W90" s="1586">
        <f>S90/L90</f>
        <v>1.6195524146054181</v>
      </c>
      <c r="X90" s="24">
        <f t="shared" ref="X90:Y94" si="32">(V90/V83-1)*100</f>
        <v>15.204541267406491</v>
      </c>
      <c r="Y90" s="1587">
        <f t="shared" si="32"/>
        <v>15.204541267406491</v>
      </c>
      <c r="Z90" s="30" t="s">
        <v>489</v>
      </c>
      <c r="AA90" s="1816">
        <v>16.679851599999999</v>
      </c>
      <c r="AB90" s="1597"/>
      <c r="AC90" s="1588">
        <f>AVERAGE(AA90,AA86)</f>
        <v>16.739925800000002</v>
      </c>
      <c r="AD90" s="1588"/>
      <c r="AE90" s="24">
        <f t="shared" ref="AE90:AE94" si="33">AC90/AC83-1</f>
        <v>3.3328753086419916E-2</v>
      </c>
      <c r="AF90" s="1581"/>
      <c r="AG90" s="30" t="s">
        <v>489</v>
      </c>
      <c r="AH90" s="1589">
        <f>+H90/AE90</f>
        <v>144.80021296631926</v>
      </c>
      <c r="AI90" s="35" t="s">
        <v>489</v>
      </c>
      <c r="AJ90" s="1590">
        <f>T90</f>
        <v>1375</v>
      </c>
      <c r="AK90" s="1590">
        <f>S90</f>
        <v>1375</v>
      </c>
      <c r="AL90" s="1586">
        <f t="shared" ref="AL90:AL94" si="34">AJ90/AC90</f>
        <v>82.138954283775846</v>
      </c>
      <c r="AM90" s="1591"/>
      <c r="AN90" s="24">
        <f>AL90/AL83-1</f>
        <v>0.16928915588503402</v>
      </c>
      <c r="AO90" s="1587" t="e">
        <f>(AM90/AM83-1)*100</f>
        <v>#DIV/0!</v>
      </c>
      <c r="AP90" s="30" t="s">
        <v>489</v>
      </c>
    </row>
    <row r="91" spans="1:42" s="24" customFormat="1" hidden="1" outlineLevel="1">
      <c r="A91" s="24" t="str">
        <f>$A$28</f>
        <v>2Q</v>
      </c>
      <c r="B91" s="29" t="str">
        <f>$B$28</f>
        <v>Jul</v>
      </c>
      <c r="D91" s="1581">
        <f>(S91/S84-1)*100</f>
        <v>14.932126696832571</v>
      </c>
      <c r="F91" s="1616">
        <v>11</v>
      </c>
      <c r="H91" s="1581">
        <f>D91-F91</f>
        <v>3.9321266968325705</v>
      </c>
      <c r="J91" s="1818">
        <v>851</v>
      </c>
      <c r="K91" s="1913"/>
      <c r="L91" s="1583">
        <f>AVERAGE(J91,J90)</f>
        <v>850.5</v>
      </c>
      <c r="N91" s="1581">
        <f>(L91/L84-1)*100</f>
        <v>2.2850270595309752</v>
      </c>
      <c r="O91" s="30"/>
      <c r="P91" s="1589">
        <f>H91/N91*100</f>
        <v>172.08228149559329</v>
      </c>
      <c r="Q91" s="35"/>
      <c r="S91" s="1917">
        <v>1524</v>
      </c>
      <c r="T91" s="1917">
        <f t="shared" ref="T91:T94" si="35">S91-AQ91</f>
        <v>1524</v>
      </c>
      <c r="U91" s="1917"/>
      <c r="V91" s="24">
        <f t="shared" si="31"/>
        <v>1.7918871252204585</v>
      </c>
      <c r="W91" s="1586">
        <f>S91/L91</f>
        <v>1.7918871252204585</v>
      </c>
      <c r="X91" s="24">
        <f t="shared" si="32"/>
        <v>12.364565959337192</v>
      </c>
      <c r="Y91" s="1587">
        <f t="shared" si="32"/>
        <v>12.364565959337192</v>
      </c>
      <c r="Z91" s="30"/>
      <c r="AA91" s="1816">
        <v>16.679851599999999</v>
      </c>
      <c r="AB91" s="1597"/>
      <c r="AC91" s="1588">
        <f>AVERAGE(AA91,AA90)</f>
        <v>16.679851599999999</v>
      </c>
      <c r="AD91" s="1588"/>
      <c r="AE91" s="24">
        <f t="shared" si="33"/>
        <v>4.8103373493975088E-3</v>
      </c>
      <c r="AF91" s="1581"/>
      <c r="AG91" s="30"/>
      <c r="AH91" s="1589">
        <f t="shared" ref="AH91:AH94" si="36">+H91/AE91</f>
        <v>817.43262711607258</v>
      </c>
      <c r="AI91" s="35"/>
      <c r="AJ91" s="1590">
        <f>T91</f>
        <v>1524</v>
      </c>
      <c r="AK91" s="1590">
        <f>S91</f>
        <v>1524</v>
      </c>
      <c r="AL91" s="1586">
        <f t="shared" si="34"/>
        <v>91.367719362683061</v>
      </c>
      <c r="AM91" s="1591"/>
      <c r="AN91" s="24">
        <f>AL91/AL84-1</f>
        <v>0.14381911117687718</v>
      </c>
      <c r="AO91" s="1587" t="e">
        <f>(AM91/AM84-1)*100</f>
        <v>#DIV/0!</v>
      </c>
      <c r="AP91" s="30"/>
    </row>
    <row r="92" spans="1:42" s="24" customFormat="1" hidden="1" outlineLevel="1">
      <c r="A92" s="24" t="str">
        <f>$A$29</f>
        <v>3Q</v>
      </c>
      <c r="B92" s="29" t="str">
        <f>$B$29</f>
        <v>Oct</v>
      </c>
      <c r="D92" s="1581">
        <f>(S92/S85-1)*100</f>
        <v>7.7388963660834476</v>
      </c>
      <c r="F92" s="1616">
        <v>6</v>
      </c>
      <c r="H92" s="1581">
        <f>D92-F92</f>
        <v>1.7388963660834476</v>
      </c>
      <c r="J92" s="1818">
        <v>851</v>
      </c>
      <c r="K92" s="1913"/>
      <c r="L92" s="1583">
        <f>AVERAGE(J92,J91)</f>
        <v>851</v>
      </c>
      <c r="N92" s="1581">
        <f>(L92/L85-1)*100</f>
        <v>0.59101654846336338</v>
      </c>
      <c r="O92" s="30"/>
      <c r="P92" s="1584">
        <f t="shared" ref="P92:P93" si="37">H92/N92*100</f>
        <v>294.22126514131611</v>
      </c>
      <c r="Q92" s="35"/>
      <c r="S92" s="1917">
        <v>1601</v>
      </c>
      <c r="T92" s="1917">
        <f t="shared" si="35"/>
        <v>1601</v>
      </c>
      <c r="U92" s="1917"/>
      <c r="V92" s="24">
        <f t="shared" si="31"/>
        <v>1.8813160987074031</v>
      </c>
      <c r="W92" s="1586">
        <f>S92/L92</f>
        <v>1.8813160987074031</v>
      </c>
      <c r="X92" s="24">
        <f t="shared" si="32"/>
        <v>7.1058828739207991</v>
      </c>
      <c r="Y92" s="1587">
        <f t="shared" si="32"/>
        <v>7.1058828739207991</v>
      </c>
      <c r="Z92" s="30"/>
      <c r="AA92" s="1816">
        <v>16.6996614</v>
      </c>
      <c r="AB92" s="1597"/>
      <c r="AC92" s="1588">
        <f t="shared" ref="AC92:AC93" si="38">AVERAGE(AA92,AA91)</f>
        <v>16.689756500000001</v>
      </c>
      <c r="AD92" s="1588"/>
      <c r="AE92" s="24">
        <f t="shared" si="33"/>
        <v>-6.5621130952380202E-3</v>
      </c>
      <c r="AF92" s="1581"/>
      <c r="AG92" s="30"/>
      <c r="AH92" s="1589">
        <f t="shared" si="36"/>
        <v>-264.99030736689468</v>
      </c>
      <c r="AI92" s="35"/>
      <c r="AJ92" s="1590">
        <f>T92</f>
        <v>1601</v>
      </c>
      <c r="AK92" s="1590">
        <f>S92</f>
        <v>1601</v>
      </c>
      <c r="AL92" s="1586">
        <f t="shared" si="34"/>
        <v>95.927103550012845</v>
      </c>
      <c r="AM92" s="1591"/>
      <c r="AN92" s="24">
        <f>AL92/AL85-1</f>
        <v>8.4505612140118425E-2</v>
      </c>
      <c r="AO92" s="1587" t="e">
        <f>(AM92/AM85-1)*100</f>
        <v>#DIV/0!</v>
      </c>
      <c r="AP92" s="30"/>
    </row>
    <row r="93" spans="1:42" s="24" customFormat="1" hidden="1" outlineLevel="1">
      <c r="A93" s="24" t="str">
        <f>$A$30</f>
        <v>4Q</v>
      </c>
      <c r="B93" s="29" t="str">
        <f>$B$30</f>
        <v>Jan</v>
      </c>
      <c r="D93" s="1606">
        <f>(S93/S86-1)*100</f>
        <v>5.5016181229773364</v>
      </c>
      <c r="F93" s="1607">
        <v>3</v>
      </c>
      <c r="H93" s="1606">
        <f>D93-F93</f>
        <v>2.5016181229773364</v>
      </c>
      <c r="J93" s="1818">
        <v>840</v>
      </c>
      <c r="K93" s="1913"/>
      <c r="L93" s="1608">
        <f>AVERAGE(J93,J92)</f>
        <v>845.5</v>
      </c>
      <c r="N93" s="1606">
        <f>(L93/L86-1)*100</f>
        <v>-0.41224970553592755</v>
      </c>
      <c r="O93" s="30"/>
      <c r="P93" s="1609">
        <f t="shared" si="37"/>
        <v>-606.8210818307839</v>
      </c>
      <c r="Q93" s="35"/>
      <c r="S93" s="1918">
        <v>1956</v>
      </c>
      <c r="T93" s="1918">
        <f t="shared" si="35"/>
        <v>1956</v>
      </c>
      <c r="U93" s="1919"/>
      <c r="V93" s="24">
        <f t="shared" si="31"/>
        <v>2.313424009461857</v>
      </c>
      <c r="W93" s="1586">
        <f>S93/L93</f>
        <v>2.313424009461857</v>
      </c>
      <c r="X93" s="24">
        <f t="shared" si="32"/>
        <v>5.9383486533504115</v>
      </c>
      <c r="Y93" s="1612">
        <f t="shared" si="32"/>
        <v>5.9383486533504115</v>
      </c>
      <c r="Z93" s="30"/>
      <c r="AA93" s="1817">
        <v>16.640232000000001</v>
      </c>
      <c r="AB93" s="1597"/>
      <c r="AC93" s="1588">
        <f t="shared" si="38"/>
        <v>16.669946700000001</v>
      </c>
      <c r="AD93" s="1613"/>
      <c r="AE93" s="24">
        <f t="shared" si="33"/>
        <v>-7.7412678571429083E-3</v>
      </c>
      <c r="AF93" s="1606"/>
      <c r="AG93" s="30"/>
      <c r="AH93" s="1608">
        <f t="shared" si="36"/>
        <v>-323.15354140201725</v>
      </c>
      <c r="AI93" s="35"/>
      <c r="AJ93" s="1590">
        <f>T93</f>
        <v>1956</v>
      </c>
      <c r="AK93" s="1590">
        <f>S93</f>
        <v>1956</v>
      </c>
      <c r="AL93" s="1586">
        <f t="shared" si="34"/>
        <v>117.33690786185896</v>
      </c>
      <c r="AM93" s="1591"/>
      <c r="AN93" s="24">
        <f>AL93/AL86-1</f>
        <v>6.3247061531408244E-2</v>
      </c>
      <c r="AO93" s="1587" t="e">
        <f>(AM93/AM86-1)*100</f>
        <v>#DIV/0!</v>
      </c>
      <c r="AP93" s="30"/>
    </row>
    <row r="94" spans="1:42" s="24" customFormat="1" hidden="1" outlineLevel="1">
      <c r="B94" s="29" t="str">
        <f>$B$31</f>
        <v>Year</v>
      </c>
      <c r="D94" s="1581">
        <f>(S94/S87-1)*100</f>
        <v>11.233631977946246</v>
      </c>
      <c r="F94" s="1920">
        <v>8</v>
      </c>
      <c r="H94" s="1581">
        <f>D94-F94</f>
        <v>3.2336319779462457</v>
      </c>
      <c r="J94" s="1816"/>
      <c r="L94" s="1583">
        <f>AVERAGE(L90:L93)</f>
        <v>849</v>
      </c>
      <c r="N94" s="1581">
        <f>(L94/L87-1)*100</f>
        <v>1.7985611510791477</v>
      </c>
      <c r="O94" s="30"/>
      <c r="P94" s="1589">
        <f>H94/N94*100</f>
        <v>179.78993797381014</v>
      </c>
      <c r="Q94" s="35"/>
      <c r="S94" s="1590">
        <v>6456</v>
      </c>
      <c r="T94" s="1590">
        <f t="shared" si="35"/>
        <v>6456</v>
      </c>
      <c r="U94" s="1590"/>
      <c r="V94" s="24">
        <f>SUM(V90:V93)</f>
        <v>7.6061796479951358</v>
      </c>
      <c r="W94" s="1586">
        <f>S94/L94</f>
        <v>7.6042402826855122</v>
      </c>
      <c r="X94" s="24">
        <f t="shared" si="32"/>
        <v>9.5871109016233191</v>
      </c>
      <c r="Y94" s="1587">
        <f t="shared" si="32"/>
        <v>9.2683734624348091</v>
      </c>
      <c r="Z94" s="30"/>
      <c r="AC94" s="1588">
        <f>AVERAGE(AC90:AC93)</f>
        <v>16.69487015</v>
      </c>
      <c r="AD94" s="1613"/>
      <c r="AE94" s="24">
        <f t="shared" si="33"/>
        <v>5.7150692771086309E-3</v>
      </c>
      <c r="AF94" s="1606"/>
      <c r="AG94" s="30"/>
      <c r="AH94" s="1589">
        <f t="shared" si="36"/>
        <v>565.80801056924463</v>
      </c>
      <c r="AI94" s="35"/>
      <c r="AJ94" s="1590">
        <f>T94</f>
        <v>6456</v>
      </c>
      <c r="AK94" s="1590">
        <f>S94</f>
        <v>6456</v>
      </c>
      <c r="AL94" s="1586">
        <f t="shared" si="34"/>
        <v>386.70561328085563</v>
      </c>
      <c r="AM94" s="1591"/>
      <c r="AN94" s="24">
        <f>AL94/AL87-1</f>
        <v>0.10601536534496936</v>
      </c>
      <c r="AO94" s="1587" t="e">
        <f>(AM94/AM87-1)*100</f>
        <v>#DIV/0!</v>
      </c>
      <c r="AP94" s="30"/>
    </row>
    <row r="95" spans="1:42" s="24" customFormat="1" hidden="1" outlineLevel="1">
      <c r="B95" s="29"/>
      <c r="F95" s="1816"/>
      <c r="J95" s="1816"/>
      <c r="O95" s="30"/>
      <c r="AG95" s="30"/>
    </row>
    <row r="96" spans="1:42" s="24" customFormat="1" hidden="1" outlineLevel="1">
      <c r="A96" s="1579"/>
      <c r="B96" s="1580">
        <f>+B89+1</f>
        <v>2004</v>
      </c>
      <c r="E96" s="30"/>
      <c r="F96" s="1816"/>
      <c r="G96" s="30"/>
      <c r="I96" s="30"/>
      <c r="J96" s="1816"/>
      <c r="O96" s="30"/>
      <c r="P96" s="35"/>
      <c r="Q96" s="35"/>
      <c r="Z96" s="30"/>
      <c r="AG96" s="30"/>
      <c r="AH96" s="35"/>
      <c r="AI96" s="35"/>
      <c r="AP96" s="30"/>
    </row>
    <row r="97" spans="1:44" s="24" customFormat="1" hidden="1" outlineLevel="1">
      <c r="A97" s="24" t="str">
        <f>$A$27</f>
        <v>1Q</v>
      </c>
      <c r="B97" s="29" t="str">
        <f>$B$27</f>
        <v>Apr</v>
      </c>
      <c r="D97" s="1581">
        <f>(S97/S90-1)*100</f>
        <v>11.490909090909085</v>
      </c>
      <c r="E97" s="30" t="s">
        <v>489</v>
      </c>
      <c r="F97" s="1616">
        <v>9</v>
      </c>
      <c r="G97" s="30" t="s">
        <v>489</v>
      </c>
      <c r="H97" s="1581">
        <f>D97-F97</f>
        <v>2.490909090909085</v>
      </c>
      <c r="I97" s="30" t="s">
        <v>489</v>
      </c>
      <c r="J97" s="1996">
        <f>'Store New'!B13</f>
        <v>843</v>
      </c>
      <c r="K97" s="1913"/>
      <c r="L97" s="1583">
        <f>AVERAGE(J97,J93)</f>
        <v>841.5</v>
      </c>
      <c r="N97" s="1581">
        <f>(L97/L90-1)*100</f>
        <v>-0.88339222614840507</v>
      </c>
      <c r="O97" s="30" t="s">
        <v>489</v>
      </c>
      <c r="P97" s="1584">
        <f t="shared" ref="P97:P101" si="39">H97/N97*100</f>
        <v>-281.97090909090991</v>
      </c>
      <c r="Q97" s="35" t="s">
        <v>489</v>
      </c>
      <c r="S97" s="1916">
        <v>1533</v>
      </c>
      <c r="T97" s="1916">
        <f>S97-AQ97</f>
        <v>1485</v>
      </c>
      <c r="U97" s="1916"/>
      <c r="V97" s="24">
        <f t="shared" ref="V97:V100" si="40">T97/L97</f>
        <v>1.7647058823529411</v>
      </c>
      <c r="W97" s="1586">
        <f>S97/L97</f>
        <v>1.82174688057041</v>
      </c>
      <c r="X97" s="24">
        <f t="shared" ref="X97:Y101" si="41">(V97/V90-1)*100</f>
        <v>8.9625668449197846</v>
      </c>
      <c r="Y97" s="1587">
        <f t="shared" si="41"/>
        <v>12.484589207583863</v>
      </c>
      <c r="Z97" s="30" t="s">
        <v>489</v>
      </c>
      <c r="AA97" s="1816">
        <v>16.7</v>
      </c>
      <c r="AB97" s="1597"/>
      <c r="AC97" s="1588">
        <f>AVERAGE(AA97,AA93)</f>
        <v>16.670116</v>
      </c>
      <c r="AD97" s="1588"/>
      <c r="AE97" s="24">
        <f t="shared" ref="AE97:AE101" si="42">AC97/AC90-1</f>
        <v>-4.1702574332798115E-3</v>
      </c>
      <c r="AF97" s="1581"/>
      <c r="AG97" s="30" t="s">
        <v>489</v>
      </c>
      <c r="AH97" s="1589">
        <f>+H97/AE97</f>
        <v>-597.30343528218168</v>
      </c>
      <c r="AI97" s="35" t="s">
        <v>489</v>
      </c>
      <c r="AJ97" s="1590">
        <f>T97</f>
        <v>1485</v>
      </c>
      <c r="AK97" s="1590">
        <f>S97</f>
        <v>1533</v>
      </c>
      <c r="AL97" s="1586">
        <f t="shared" ref="AL97:AL101" si="43">AJ97/AC97</f>
        <v>89.081563679580867</v>
      </c>
      <c r="AM97" s="1591"/>
      <c r="AN97" s="24">
        <f>AL97/AL90-1</f>
        <v>8.4522739013933812E-2</v>
      </c>
      <c r="AO97" s="1587" t="e">
        <f>(AM97/AM90-1)*100</f>
        <v>#DIV/0!</v>
      </c>
      <c r="AP97" s="30" t="s">
        <v>489</v>
      </c>
      <c r="AQ97" s="1816">
        <v>48</v>
      </c>
    </row>
    <row r="98" spans="1:44" s="24" customFormat="1" hidden="1" outlineLevel="1">
      <c r="A98" s="24" t="str">
        <f>$A$28</f>
        <v>2Q</v>
      </c>
      <c r="B98" s="29" t="str">
        <f>$B$28</f>
        <v>Jul</v>
      </c>
      <c r="D98" s="1581">
        <f>(S98/S91-1)*100</f>
        <v>1.9028871391076008</v>
      </c>
      <c r="F98" s="1616">
        <v>0</v>
      </c>
      <c r="H98" s="1581">
        <f>D98-F98</f>
        <v>1.9028871391076008</v>
      </c>
      <c r="J98" s="1996">
        <f>'Store New'!C13</f>
        <v>853</v>
      </c>
      <c r="K98" s="1913"/>
      <c r="L98" s="1583">
        <f>AVERAGE(J98,J97)</f>
        <v>848</v>
      </c>
      <c r="N98" s="1581">
        <f>(L98/L91-1)*100</f>
        <v>-0.29394473838918467</v>
      </c>
      <c r="O98" s="30"/>
      <c r="P98" s="1584">
        <f t="shared" si="39"/>
        <v>-647.36220472440175</v>
      </c>
      <c r="Q98" s="35"/>
      <c r="S98" s="1917">
        <v>1553</v>
      </c>
      <c r="T98" s="1917">
        <f t="shared" ref="T98:T101" si="44">S98-AQ98</f>
        <v>1507</v>
      </c>
      <c r="U98" s="1917"/>
      <c r="V98" s="24">
        <f t="shared" si="40"/>
        <v>1.7771226415094339</v>
      </c>
      <c r="W98" s="1586">
        <f>S98/L98</f>
        <v>1.8313679245283019</v>
      </c>
      <c r="X98" s="24">
        <f t="shared" si="41"/>
        <v>-0.823962821274693</v>
      </c>
      <c r="Y98" s="1587">
        <f t="shared" si="41"/>
        <v>2.2033083865696135</v>
      </c>
      <c r="Z98" s="30"/>
      <c r="AA98" s="1997">
        <f>'Store New'!C33</f>
        <v>16.8</v>
      </c>
      <c r="AB98" s="1597"/>
      <c r="AC98" s="1588">
        <f>AVERAGE(AA98,AA97)</f>
        <v>16.75</v>
      </c>
      <c r="AD98" s="1588"/>
      <c r="AE98" s="24">
        <f t="shared" si="42"/>
        <v>4.2055769848696745E-3</v>
      </c>
      <c r="AF98" s="1581"/>
      <c r="AG98" s="30"/>
      <c r="AH98" s="1589">
        <f t="shared" ref="AH98:AH101" si="45">+H98/AE98</f>
        <v>452.46755580829506</v>
      </c>
      <c r="AI98" s="35"/>
      <c r="AJ98" s="1590">
        <f>T98</f>
        <v>1507</v>
      </c>
      <c r="AK98" s="1590">
        <f>S98</f>
        <v>1553</v>
      </c>
      <c r="AL98" s="1586">
        <f t="shared" si="43"/>
        <v>89.97014925373135</v>
      </c>
      <c r="AM98" s="1591"/>
      <c r="AN98" s="24">
        <f>AL98/AL91-1</f>
        <v>-1.5296103686292861E-2</v>
      </c>
      <c r="AO98" s="1587" t="e">
        <f>(AM98/AM91-1)*100</f>
        <v>#DIV/0!</v>
      </c>
      <c r="AP98" s="30"/>
      <c r="AQ98" s="1816">
        <v>46</v>
      </c>
    </row>
    <row r="99" spans="1:44" s="24" customFormat="1" hidden="1" outlineLevel="1">
      <c r="A99" s="24" t="str">
        <f>$A$29</f>
        <v>3Q</v>
      </c>
      <c r="B99" s="29" t="str">
        <f>$B$29</f>
        <v>Oct</v>
      </c>
      <c r="D99" s="1581">
        <f>(S99/S92-1)*100</f>
        <v>4.3098063710181211</v>
      </c>
      <c r="F99" s="1616">
        <v>-1</v>
      </c>
      <c r="H99" s="1581">
        <f>D99-F99</f>
        <v>5.3098063710181211</v>
      </c>
      <c r="J99" s="1996">
        <f>'Store New'!D13</f>
        <v>887</v>
      </c>
      <c r="K99" s="1913"/>
      <c r="L99" s="1583">
        <f>AVERAGE(J99,J98)</f>
        <v>870</v>
      </c>
      <c r="N99" s="1581">
        <f>(L99/L92-1)*100</f>
        <v>2.2326674500587451</v>
      </c>
      <c r="O99" s="30"/>
      <c r="P99" s="1584">
        <f t="shared" si="39"/>
        <v>237.82343272297049</v>
      </c>
      <c r="Q99" s="35"/>
      <c r="S99" s="1917">
        <v>1670</v>
      </c>
      <c r="T99" s="1917">
        <f t="shared" si="44"/>
        <v>1605</v>
      </c>
      <c r="U99" s="1917"/>
      <c r="V99" s="24">
        <f t="shared" si="40"/>
        <v>1.8448275862068966</v>
      </c>
      <c r="W99" s="1586">
        <f>S99/L99</f>
        <v>1.9195402298850575</v>
      </c>
      <c r="X99" s="24">
        <f t="shared" si="41"/>
        <v>-1.9395205582717678</v>
      </c>
      <c r="Y99" s="1587">
        <f t="shared" si="41"/>
        <v>2.0317761169384108</v>
      </c>
      <c r="Z99" s="30"/>
      <c r="AA99" s="1997">
        <f>'Store New'!D33</f>
        <v>17.3</v>
      </c>
      <c r="AB99" s="1597"/>
      <c r="AC99" s="1588">
        <f t="shared" ref="AC99:AC100" si="46">AVERAGE(AA99,AA98)</f>
        <v>17.05</v>
      </c>
      <c r="AD99" s="1588"/>
      <c r="AE99" s="24">
        <f t="shared" si="42"/>
        <v>2.1584706763097428E-2</v>
      </c>
      <c r="AF99" s="1581"/>
      <c r="AG99" s="30"/>
      <c r="AH99" s="1589">
        <f t="shared" si="45"/>
        <v>245.99854097142983</v>
      </c>
      <c r="AI99" s="35"/>
      <c r="AJ99" s="1590">
        <f>T99</f>
        <v>1605</v>
      </c>
      <c r="AK99" s="1590">
        <f>S99</f>
        <v>1670</v>
      </c>
      <c r="AL99" s="1586">
        <f t="shared" si="43"/>
        <v>94.134897360703803</v>
      </c>
      <c r="AM99" s="1591"/>
      <c r="AN99" s="24">
        <f>AL99/AL92-1</f>
        <v>-1.8683001185109793E-2</v>
      </c>
      <c r="AO99" s="1587" t="e">
        <f>(AM99/AM92-1)*100</f>
        <v>#DIV/0!</v>
      </c>
      <c r="AP99" s="30"/>
      <c r="AQ99" s="1816">
        <v>65</v>
      </c>
    </row>
    <row r="100" spans="1:44" s="24" customFormat="1" hidden="1" outlineLevel="1">
      <c r="A100" s="24" t="str">
        <f>$A$30</f>
        <v>4Q</v>
      </c>
      <c r="B100" s="29" t="str">
        <f>$B$30</f>
        <v>Jan</v>
      </c>
      <c r="D100" s="1606">
        <f>(S100/S93-1)*100</f>
        <v>1.8404907975460016</v>
      </c>
      <c r="F100" s="1607">
        <v>-4</v>
      </c>
      <c r="H100" s="1606">
        <f>D100-F100</f>
        <v>5.8404907975460016</v>
      </c>
      <c r="J100" s="1996">
        <f>'Store New'!E13</f>
        <v>889</v>
      </c>
      <c r="K100" s="1913"/>
      <c r="L100" s="1608">
        <f>AVERAGE(J100,J99)</f>
        <v>888</v>
      </c>
      <c r="N100" s="1606">
        <f>(L100/L93-1)*100</f>
        <v>5.0266114725014743</v>
      </c>
      <c r="O100" s="30"/>
      <c r="P100" s="1609">
        <f t="shared" si="39"/>
        <v>116.19141104294467</v>
      </c>
      <c r="Q100" s="35"/>
      <c r="S100" s="1918">
        <v>1992</v>
      </c>
      <c r="T100" s="1918">
        <f t="shared" si="44"/>
        <v>1915</v>
      </c>
      <c r="U100" s="1919"/>
      <c r="V100" s="24">
        <f t="shared" si="40"/>
        <v>2.1565315315315314</v>
      </c>
      <c r="W100" s="1586">
        <f>S100/L100</f>
        <v>2.2432432432432434</v>
      </c>
      <c r="X100" s="24">
        <f t="shared" si="41"/>
        <v>-6.7818297592070698</v>
      </c>
      <c r="Y100" s="1612">
        <f t="shared" si="41"/>
        <v>-3.0336317913004951</v>
      </c>
      <c r="Z100" s="30"/>
      <c r="AA100" s="1997">
        <f>'Store New'!E33</f>
        <v>17.3</v>
      </c>
      <c r="AB100" s="1597"/>
      <c r="AC100" s="1588">
        <f t="shared" si="46"/>
        <v>17.3</v>
      </c>
      <c r="AD100" s="1613"/>
      <c r="AE100" s="24">
        <f t="shared" si="42"/>
        <v>3.7795759718895816E-2</v>
      </c>
      <c r="AF100" s="1606"/>
      <c r="AG100" s="30"/>
      <c r="AH100" s="1608">
        <f t="shared" si="45"/>
        <v>154.52767297136973</v>
      </c>
      <c r="AI100" s="35"/>
      <c r="AJ100" s="1590">
        <f>T100</f>
        <v>1915</v>
      </c>
      <c r="AK100" s="1590">
        <f>S100</f>
        <v>1992</v>
      </c>
      <c r="AL100" s="1586">
        <f t="shared" si="43"/>
        <v>110.69364161849711</v>
      </c>
      <c r="AM100" s="1591"/>
      <c r="AN100" s="24">
        <f>AL100/AL93-1</f>
        <v>-5.6617021569913772E-2</v>
      </c>
      <c r="AO100" s="1587" t="e">
        <f>(AM100/AM93-1)*100</f>
        <v>#DIV/0!</v>
      </c>
      <c r="AP100" s="30"/>
      <c r="AQ100" s="1816">
        <f>AQ101-SUM(AQ97:AQ99)</f>
        <v>77</v>
      </c>
    </row>
    <row r="101" spans="1:44" s="24" customFormat="1" hidden="1" outlineLevel="1">
      <c r="B101" s="29" t="str">
        <f>$B$31</f>
        <v>Year</v>
      </c>
      <c r="D101" s="1581">
        <f>(S101/S94-1)*100</f>
        <v>4.5074349442379091</v>
      </c>
      <c r="F101" s="1616">
        <v>0</v>
      </c>
      <c r="H101" s="1581">
        <f>D101-F101</f>
        <v>4.5074349442379091</v>
      </c>
      <c r="J101" s="1997"/>
      <c r="L101" s="1583">
        <f>AVERAGE(L97:L100)</f>
        <v>861.875</v>
      </c>
      <c r="N101" s="1581">
        <f>(L101/L94-1)*100</f>
        <v>1.5164899882214478</v>
      </c>
      <c r="O101" s="30"/>
      <c r="P101" s="1584">
        <f t="shared" si="39"/>
        <v>297.22813729382199</v>
      </c>
      <c r="Q101" s="35"/>
      <c r="S101" s="1590">
        <v>6747</v>
      </c>
      <c r="T101" s="1590">
        <f t="shared" si="44"/>
        <v>6511</v>
      </c>
      <c r="U101" s="1590"/>
      <c r="V101" s="24">
        <f>SUM(V97:V100)</f>
        <v>7.5431876416008024</v>
      </c>
      <c r="W101" s="1586">
        <f>S101/L101</f>
        <v>7.8282813633067443</v>
      </c>
      <c r="X101" s="24">
        <f t="shared" si="41"/>
        <v>-0.82816879576249613</v>
      </c>
      <c r="Y101" s="1587">
        <f t="shared" si="41"/>
        <v>2.9462651401398032</v>
      </c>
      <c r="Z101" s="30"/>
      <c r="AA101" s="1997"/>
      <c r="AC101" s="1588">
        <f>AVERAGE(AC97:AC100)</f>
        <v>16.942529</v>
      </c>
      <c r="AD101" s="1613"/>
      <c r="AE101" s="24">
        <f t="shared" si="42"/>
        <v>1.4834428047348469E-2</v>
      </c>
      <c r="AF101" s="1581"/>
      <c r="AG101" s="30"/>
      <c r="AH101" s="1589">
        <f t="shared" si="45"/>
        <v>303.84959432551739</v>
      </c>
      <c r="AI101" s="35"/>
      <c r="AJ101" s="1590">
        <f>T101</f>
        <v>6511</v>
      </c>
      <c r="AK101" s="1590">
        <f>S101</f>
        <v>6747</v>
      </c>
      <c r="AL101" s="1586">
        <f t="shared" si="43"/>
        <v>384.29917989221087</v>
      </c>
      <c r="AM101" s="1591"/>
      <c r="AN101" s="24">
        <f>AL101/AL94-1</f>
        <v>-6.2229078296234253E-3</v>
      </c>
      <c r="AO101" s="1587" t="e">
        <f>(AM101/AM94-1)*100</f>
        <v>#DIV/0!</v>
      </c>
      <c r="AP101" s="30"/>
      <c r="AQ101" s="1923">
        <v>236</v>
      </c>
    </row>
    <row r="102" spans="1:44" s="24" customFormat="1" hidden="1" outlineLevel="1">
      <c r="B102" s="29"/>
      <c r="F102" s="1816"/>
      <c r="J102" s="1997"/>
      <c r="O102" s="30"/>
      <c r="AA102" s="1997"/>
      <c r="AG102" s="30"/>
      <c r="AQ102" s="1816"/>
    </row>
    <row r="103" spans="1:44" s="24" customFormat="1" hidden="1" outlineLevel="1">
      <c r="A103" s="1579"/>
      <c r="B103" s="1580">
        <f>+B96+1</f>
        <v>2005</v>
      </c>
      <c r="E103" s="30"/>
      <c r="F103" s="1816"/>
      <c r="G103" s="30"/>
      <c r="I103" s="30"/>
      <c r="J103" s="1997"/>
      <c r="O103" s="30"/>
      <c r="P103" s="35"/>
      <c r="Q103" s="35"/>
      <c r="Z103" s="30"/>
      <c r="AA103" s="1997"/>
      <c r="AG103" s="30"/>
      <c r="AH103" s="35"/>
      <c r="AI103" s="35"/>
      <c r="AP103" s="30"/>
      <c r="AQ103" s="1816"/>
    </row>
    <row r="104" spans="1:44" s="24" customFormat="1" hidden="1" outlineLevel="1">
      <c r="A104" s="24" t="str">
        <f>$A$27</f>
        <v>1Q</v>
      </c>
      <c r="B104" s="29" t="str">
        <f>$B$27</f>
        <v>Apr</v>
      </c>
      <c r="D104" s="1581">
        <f>(S104/S97-1)*100</f>
        <v>2.6744944553163785</v>
      </c>
      <c r="E104" s="30" t="s">
        <v>489</v>
      </c>
      <c r="F104" s="1616">
        <v>-4</v>
      </c>
      <c r="G104" s="30" t="s">
        <v>489</v>
      </c>
      <c r="H104" s="1581">
        <f>D104-F104</f>
        <v>6.6744944553163785</v>
      </c>
      <c r="I104" s="30" t="s">
        <v>489</v>
      </c>
      <c r="J104" s="1996">
        <f>'Store New'!F13</f>
        <v>907</v>
      </c>
      <c r="K104" s="1913"/>
      <c r="L104" s="1583">
        <f>AVERAGE(J104,J100)</f>
        <v>898</v>
      </c>
      <c r="N104" s="1581">
        <f>(L104/L97-1)*100</f>
        <v>6.714200831847883</v>
      </c>
      <c r="O104" s="30" t="s">
        <v>489</v>
      </c>
      <c r="P104" s="1584">
        <f t="shared" ref="P104:P108" si="47">H104/N104*100</f>
        <v>99.408620958384759</v>
      </c>
      <c r="Q104" s="35" t="s">
        <v>489</v>
      </c>
      <c r="S104" s="1916">
        <v>1574</v>
      </c>
      <c r="T104" s="1916">
        <f>S104-AQ104</f>
        <v>1512</v>
      </c>
      <c r="U104" s="1916"/>
      <c r="V104" s="24">
        <f t="shared" ref="V104:V107" si="48">T104/L104</f>
        <v>1.6837416481069043</v>
      </c>
      <c r="W104" s="1586">
        <f>S104/L104</f>
        <v>1.7527839643652561</v>
      </c>
      <c r="X104" s="24">
        <f t="shared" ref="X104:Y108" si="49">(V104/V97-1)*100</f>
        <v>-4.587973273942092</v>
      </c>
      <c r="Y104" s="1587">
        <f t="shared" si="49"/>
        <v>-3.7855377682085467</v>
      </c>
      <c r="Z104" s="30" t="s">
        <v>489</v>
      </c>
      <c r="AA104" s="1997">
        <f>'Store New'!F33</f>
        <v>17.600000000000001</v>
      </c>
      <c r="AB104" s="1597"/>
      <c r="AC104" s="1588">
        <f>AVERAGE(AA104,AA100)</f>
        <v>17.450000000000003</v>
      </c>
      <c r="AD104" s="1588"/>
      <c r="AE104" s="24">
        <f t="shared" ref="AE104:AE108" si="50">AC104/AC97-1</f>
        <v>4.6783357716287277E-2</v>
      </c>
      <c r="AF104" s="1581"/>
      <c r="AG104" s="30" t="s">
        <v>489</v>
      </c>
      <c r="AH104" s="1589">
        <f>+H104/AE104</f>
        <v>142.66813630165547</v>
      </c>
      <c r="AI104" s="35" t="s">
        <v>489</v>
      </c>
      <c r="AJ104" s="1590">
        <f>T104</f>
        <v>1512</v>
      </c>
      <c r="AK104" s="1590">
        <f>S104</f>
        <v>1574</v>
      </c>
      <c r="AL104" s="1586">
        <f t="shared" ref="AL104:AL108" si="51">AJ104/AC104</f>
        <v>86.64756446991403</v>
      </c>
      <c r="AM104" s="1591"/>
      <c r="AN104" s="24">
        <f>AL104/AL97-1</f>
        <v>-2.7323265433706778E-2</v>
      </c>
      <c r="AO104" s="1587" t="e">
        <f>(AM104/AM97-1)*100</f>
        <v>#DIV/0!</v>
      </c>
      <c r="AP104" s="30" t="s">
        <v>489</v>
      </c>
      <c r="AQ104" s="1816">
        <v>62</v>
      </c>
      <c r="AR104" s="1599">
        <f>AQ104/AQ97-1</f>
        <v>0.29166666666666674</v>
      </c>
    </row>
    <row r="105" spans="1:44" s="24" customFormat="1" hidden="1" outlineLevel="1">
      <c r="A105" s="24" t="str">
        <f>$A$28</f>
        <v>2Q</v>
      </c>
      <c r="B105" s="29" t="str">
        <f>$B$28</f>
        <v>Jul</v>
      </c>
      <c r="D105" s="1581">
        <f>(S105/S98-1)*100</f>
        <v>3.7347070186735332</v>
      </c>
      <c r="F105" s="1616">
        <v>-4</v>
      </c>
      <c r="H105" s="1581">
        <f>D105-F105</f>
        <v>7.7347070186735332</v>
      </c>
      <c r="J105" s="1996">
        <f>'Store New'!G13</f>
        <v>921</v>
      </c>
      <c r="K105" s="1913"/>
      <c r="L105" s="1583">
        <f>AVERAGE(J105,J104)</f>
        <v>914</v>
      </c>
      <c r="N105" s="1581">
        <f>(L105/L98-1)*100</f>
        <v>7.7830188679245182</v>
      </c>
      <c r="O105" s="30"/>
      <c r="P105" s="1584">
        <f t="shared" si="47"/>
        <v>99.379265936896431</v>
      </c>
      <c r="Q105" s="35"/>
      <c r="S105" s="1917">
        <v>1611</v>
      </c>
      <c r="T105" s="1917">
        <f t="shared" ref="T105:T108" si="52">S105-AQ105</f>
        <v>1559</v>
      </c>
      <c r="U105" s="1917"/>
      <c r="V105" s="24">
        <f t="shared" si="48"/>
        <v>1.7056892778993435</v>
      </c>
      <c r="W105" s="1586">
        <f>S105/L105</f>
        <v>1.762582056892779</v>
      </c>
      <c r="X105" s="24">
        <f t="shared" si="49"/>
        <v>-4.0196079854914801</v>
      </c>
      <c r="Y105" s="1587">
        <f t="shared" si="49"/>
        <v>-3.7559829848630599</v>
      </c>
      <c r="Z105" s="30"/>
      <c r="AA105" s="1997">
        <f>'Store New'!G33</f>
        <v>17.8</v>
      </c>
      <c r="AB105" s="1597"/>
      <c r="AC105" s="1588">
        <f>AVERAGE(AA105,AA104)</f>
        <v>17.700000000000003</v>
      </c>
      <c r="AD105" s="1588"/>
      <c r="AE105" s="24">
        <f t="shared" si="50"/>
        <v>5.6716417910448014E-2</v>
      </c>
      <c r="AF105" s="1581"/>
      <c r="AG105" s="30"/>
      <c r="AH105" s="1589">
        <f t="shared" ref="AH105:AH108" si="53">+H105/AE105</f>
        <v>136.37509743450642</v>
      </c>
      <c r="AI105" s="35"/>
      <c r="AJ105" s="1590">
        <f>T105</f>
        <v>1559</v>
      </c>
      <c r="AK105" s="1590">
        <f>S105</f>
        <v>1611</v>
      </c>
      <c r="AL105" s="1586">
        <f t="shared" si="51"/>
        <v>88.07909604519773</v>
      </c>
      <c r="AM105" s="1591"/>
      <c r="AN105" s="24">
        <f>AL105/AL98-1</f>
        <v>-2.1018673684763178E-2</v>
      </c>
      <c r="AO105" s="1587" t="e">
        <f>(AM105/AM98-1)*100</f>
        <v>#DIV/0!</v>
      </c>
      <c r="AP105" s="30"/>
      <c r="AQ105" s="1816">
        <v>52</v>
      </c>
      <c r="AR105" s="1599">
        <f>AQ105/AQ98-1</f>
        <v>0.13043478260869557</v>
      </c>
    </row>
    <row r="106" spans="1:44" s="24" customFormat="1" hidden="1" outlineLevel="1">
      <c r="A106" s="24" t="str">
        <f>$A$29</f>
        <v>3Q</v>
      </c>
      <c r="B106" s="29" t="str">
        <f>$B$29</f>
        <v>Oct</v>
      </c>
      <c r="D106" s="1581">
        <f>(S106/S99-1)*100</f>
        <v>-1.3173652694610793</v>
      </c>
      <c r="F106" s="1616">
        <v>-8</v>
      </c>
      <c r="H106" s="1581">
        <f>D106-F106</f>
        <v>6.6826347305389202</v>
      </c>
      <c r="J106" s="1996">
        <f>'Store New'!H13</f>
        <v>958</v>
      </c>
      <c r="K106" s="1913"/>
      <c r="L106" s="1583">
        <f>AVERAGE(J106,J105)</f>
        <v>939.5</v>
      </c>
      <c r="N106" s="1581">
        <f>(L106/L99-1)*100</f>
        <v>7.9885057471264398</v>
      </c>
      <c r="O106" s="30"/>
      <c r="P106" s="1584">
        <f t="shared" si="47"/>
        <v>83.653125403868472</v>
      </c>
      <c r="Q106" s="35"/>
      <c r="S106" s="1917">
        <v>1648</v>
      </c>
      <c r="T106" s="1917">
        <f t="shared" si="52"/>
        <v>1586</v>
      </c>
      <c r="U106" s="1917"/>
      <c r="V106" s="24">
        <f t="shared" si="48"/>
        <v>1.6881319850984566</v>
      </c>
      <c r="W106" s="1586">
        <f>S106/L106</f>
        <v>1.7541245343267695</v>
      </c>
      <c r="X106" s="24">
        <f t="shared" si="49"/>
        <v>-8.4937802469995489</v>
      </c>
      <c r="Y106" s="1587">
        <f t="shared" si="49"/>
        <v>-8.6174643793838648</v>
      </c>
      <c r="Z106" s="30"/>
      <c r="AA106" s="1997">
        <f>'Store New'!H33</f>
        <v>18.399999999999999</v>
      </c>
      <c r="AB106" s="1597"/>
      <c r="AC106" s="1588">
        <f t="shared" ref="AC106:AC107" si="54">AVERAGE(AA106,AA105)</f>
        <v>18.100000000000001</v>
      </c>
      <c r="AD106" s="1588"/>
      <c r="AE106" s="24">
        <f t="shared" si="50"/>
        <v>6.1583577712609916E-2</v>
      </c>
      <c r="AF106" s="1581"/>
      <c r="AG106" s="30"/>
      <c r="AH106" s="1589">
        <f t="shared" si="53"/>
        <v>108.51325919589399</v>
      </c>
      <c r="AI106" s="35"/>
      <c r="AJ106" s="1590">
        <f>T106</f>
        <v>1586</v>
      </c>
      <c r="AK106" s="1590">
        <f>S106</f>
        <v>1648</v>
      </c>
      <c r="AL106" s="1586">
        <f t="shared" si="51"/>
        <v>87.624309392265189</v>
      </c>
      <c r="AM106" s="1591"/>
      <c r="AN106" s="24">
        <f>AL106/AL99-1</f>
        <v>-6.9162320786217091E-2</v>
      </c>
      <c r="AO106" s="1587" t="e">
        <f>(AM106/AM99-1)*100</f>
        <v>#DIV/0!</v>
      </c>
      <c r="AP106" s="30"/>
      <c r="AQ106" s="1816">
        <v>62</v>
      </c>
      <c r="AR106" s="1599">
        <f>AQ106/AQ99-1</f>
        <v>-4.6153846153846101E-2</v>
      </c>
    </row>
    <row r="107" spans="1:44" s="24" customFormat="1" hidden="1" outlineLevel="1">
      <c r="A107" s="24" t="str">
        <f>$A$30</f>
        <v>4Q</v>
      </c>
      <c r="B107" s="29" t="str">
        <f>$B$30</f>
        <v>Jan</v>
      </c>
      <c r="D107" s="1606">
        <f>(S107/S100-1)*100</f>
        <v>1.5562248995983907</v>
      </c>
      <c r="F107" s="1607">
        <v>-6</v>
      </c>
      <c r="H107" s="1606">
        <f>D107-F107</f>
        <v>7.5562248995983907</v>
      </c>
      <c r="J107" s="1996">
        <f>'Store New'!I13</f>
        <v>959</v>
      </c>
      <c r="K107" s="1913"/>
      <c r="L107" s="1608">
        <f>AVERAGE(J107,J106)</f>
        <v>958.5</v>
      </c>
      <c r="N107" s="1606">
        <f>(L107/L100-1)*100</f>
        <v>7.9391891891891886</v>
      </c>
      <c r="O107" s="30"/>
      <c r="P107" s="1609">
        <f t="shared" si="47"/>
        <v>95.176279586430795</v>
      </c>
      <c r="Q107" s="35"/>
      <c r="S107" s="1918">
        <f>S108-SUM(S104:S106)</f>
        <v>2023</v>
      </c>
      <c r="T107" s="1918">
        <f t="shared" si="52"/>
        <v>1966</v>
      </c>
      <c r="U107" s="1919"/>
      <c r="V107" s="24">
        <f t="shared" si="48"/>
        <v>2.0511215440792907</v>
      </c>
      <c r="W107" s="1586">
        <f>S107/L107</f>
        <v>2.1105894627021389</v>
      </c>
      <c r="X107" s="24">
        <f t="shared" si="49"/>
        <v>-4.8879409325112144</v>
      </c>
      <c r="Y107" s="1612">
        <f t="shared" si="49"/>
        <v>-5.9134817831576703</v>
      </c>
      <c r="Z107" s="30"/>
      <c r="AA107" s="1997">
        <f>'Store New'!I33</f>
        <v>18.399999999999999</v>
      </c>
      <c r="AB107" s="1597"/>
      <c r="AC107" s="1588">
        <f t="shared" si="54"/>
        <v>18.399999999999999</v>
      </c>
      <c r="AD107" s="1613"/>
      <c r="AE107" s="24">
        <f t="shared" si="50"/>
        <v>6.3583815028901647E-2</v>
      </c>
      <c r="AF107" s="1606"/>
      <c r="AG107" s="30"/>
      <c r="AH107" s="1608">
        <f t="shared" si="53"/>
        <v>118.83880978459304</v>
      </c>
      <c r="AI107" s="35"/>
      <c r="AJ107" s="1590">
        <f>T107</f>
        <v>1966</v>
      </c>
      <c r="AK107" s="1590">
        <f>S107</f>
        <v>2023</v>
      </c>
      <c r="AL107" s="1586">
        <f t="shared" si="51"/>
        <v>106.84782608695653</v>
      </c>
      <c r="AM107" s="1591"/>
      <c r="AN107" s="24">
        <f>AL107/AL100-1</f>
        <v>-3.4742876603473638E-2</v>
      </c>
      <c r="AO107" s="1587" t="e">
        <f>(AM107/AM100-1)*100</f>
        <v>#DIV/0!</v>
      </c>
      <c r="AP107" s="30"/>
      <c r="AQ107" s="1816">
        <f>AQ108-SUM(AQ104:AQ106)</f>
        <v>57</v>
      </c>
      <c r="AR107" s="1599">
        <f>AQ107/AQ100-1</f>
        <v>-0.25974025974025972</v>
      </c>
    </row>
    <row r="108" spans="1:44" s="24" customFormat="1" hidden="1" outlineLevel="1">
      <c r="B108" s="29" t="str">
        <f>$B$31</f>
        <v>Year</v>
      </c>
      <c r="D108" s="1581">
        <f>(S108/S101-1)*100</f>
        <v>1.6155328294056526</v>
      </c>
      <c r="F108" s="1616">
        <v>-5.5516336056009337</v>
      </c>
      <c r="H108" s="1581">
        <f>D108-F108</f>
        <v>7.1671664350065862</v>
      </c>
      <c r="J108" s="1997"/>
      <c r="L108" s="1583">
        <f>AVERAGE(L104:L107)</f>
        <v>927.5</v>
      </c>
      <c r="N108" s="1581">
        <f>(L108/L101-1)*100</f>
        <v>7.6142131979695327</v>
      </c>
      <c r="O108" s="30"/>
      <c r="P108" s="1584">
        <f t="shared" si="47"/>
        <v>94.128785846419959</v>
      </c>
      <c r="Q108" s="35"/>
      <c r="S108" s="1590">
        <v>6856</v>
      </c>
      <c r="T108" s="1590">
        <f t="shared" si="52"/>
        <v>6623</v>
      </c>
      <c r="U108" s="1590"/>
      <c r="V108" s="24">
        <f>SUM(V104:V107)</f>
        <v>7.1286844551839952</v>
      </c>
      <c r="W108" s="1586">
        <f>S108/L108</f>
        <v>7.3919137466307276</v>
      </c>
      <c r="X108" s="24">
        <f t="shared" si="49"/>
        <v>-5.4950666231715513</v>
      </c>
      <c r="Y108" s="1587">
        <f t="shared" si="49"/>
        <v>-5.5742454368258754</v>
      </c>
      <c r="Z108" s="30"/>
      <c r="AA108" s="1997"/>
      <c r="AC108" s="1588">
        <f>AVERAGE(AC104:AC107)</f>
        <v>17.912500000000001</v>
      </c>
      <c r="AD108" s="1613"/>
      <c r="AE108" s="24">
        <f t="shared" si="50"/>
        <v>5.7250661928924584E-2</v>
      </c>
      <c r="AF108" s="1581"/>
      <c r="AG108" s="30"/>
      <c r="AH108" s="1589">
        <f t="shared" si="53"/>
        <v>125.18923263986822</v>
      </c>
      <c r="AI108" s="35"/>
      <c r="AJ108" s="1590">
        <f>T108</f>
        <v>6623</v>
      </c>
      <c r="AK108" s="1590">
        <f>S108</f>
        <v>6856</v>
      </c>
      <c r="AL108" s="1586">
        <f t="shared" si="51"/>
        <v>369.74180041870198</v>
      </c>
      <c r="AM108" s="1591"/>
      <c r="AN108" s="24">
        <f>AL108/AL101-1</f>
        <v>-3.7880329272604651E-2</v>
      </c>
      <c r="AO108" s="1587" t="e">
        <f>(AM108/AM101-1)*100</f>
        <v>#DIV/0!</v>
      </c>
      <c r="AP108" s="30"/>
      <c r="AQ108" s="1923">
        <v>233</v>
      </c>
      <c r="AR108" s="1599">
        <f>AQ108/AQ101-1</f>
        <v>-1.2711864406779627E-2</v>
      </c>
    </row>
    <row r="109" spans="1:44" s="24" customFormat="1" hidden="1" outlineLevel="1">
      <c r="B109" s="29"/>
      <c r="F109" s="1816"/>
      <c r="J109" s="1997"/>
      <c r="O109" s="30"/>
      <c r="S109" s="1675"/>
      <c r="T109" s="1675"/>
      <c r="U109" s="1675"/>
      <c r="AA109" s="1997"/>
      <c r="AG109" s="30"/>
      <c r="AQ109" s="1816"/>
    </row>
    <row r="110" spans="1:44" s="24" customFormat="1" hidden="1" outlineLevel="1">
      <c r="A110" s="1579"/>
      <c r="B110" s="1580">
        <f>+B103+1</f>
        <v>2006</v>
      </c>
      <c r="E110" s="30"/>
      <c r="F110" s="1816"/>
      <c r="G110" s="30"/>
      <c r="I110" s="30"/>
      <c r="J110" s="1997"/>
      <c r="O110" s="30"/>
      <c r="P110" s="35"/>
      <c r="Q110" s="35"/>
      <c r="Z110" s="30"/>
      <c r="AA110" s="1997"/>
      <c r="AG110" s="30"/>
      <c r="AH110" s="35"/>
      <c r="AI110" s="35"/>
      <c r="AP110" s="30"/>
      <c r="AQ110" s="1816"/>
    </row>
    <row r="111" spans="1:44" s="24" customFormat="1" hidden="1" outlineLevel="1">
      <c r="A111" s="24" t="str">
        <f>$A$27</f>
        <v>1Q</v>
      </c>
      <c r="B111" s="29" t="str">
        <f>$B$27</f>
        <v>Apr</v>
      </c>
      <c r="D111" s="1581">
        <f>(S111/S104-1)*100</f>
        <v>-4.5108005082592157</v>
      </c>
      <c r="E111" s="30" t="s">
        <v>489</v>
      </c>
      <c r="F111" s="1616">
        <v>-11</v>
      </c>
      <c r="G111" s="30" t="s">
        <v>489</v>
      </c>
      <c r="H111" s="1581">
        <f>D111-F111</f>
        <v>6.4891994917407843</v>
      </c>
      <c r="I111" s="30" t="s">
        <v>489</v>
      </c>
      <c r="J111" s="1996">
        <f>'Store New'!J13</f>
        <v>971</v>
      </c>
      <c r="K111" s="1913"/>
      <c r="L111" s="1583">
        <f>AVERAGE(J111,J107)</f>
        <v>965</v>
      </c>
      <c r="N111" s="1581">
        <f>(L111/L104-1)*100</f>
        <v>7.4610244988864149</v>
      </c>
      <c r="O111" s="30" t="s">
        <v>489</v>
      </c>
      <c r="P111" s="1584">
        <f t="shared" ref="P111:P115" si="55">H111/N111*100</f>
        <v>86.97464393407796</v>
      </c>
      <c r="Q111" s="35" t="s">
        <v>489</v>
      </c>
      <c r="S111" s="1916">
        <v>1503</v>
      </c>
      <c r="T111" s="1916">
        <f>S111-AQ111</f>
        <v>1430</v>
      </c>
      <c r="U111" s="1916"/>
      <c r="V111" s="24">
        <f t="shared" ref="V111:V114" si="56">T111/L111</f>
        <v>1.4818652849740932</v>
      </c>
      <c r="W111" s="1586">
        <f>S111/L111</f>
        <v>1.5575129533678755</v>
      </c>
      <c r="X111" s="24">
        <f t="shared" ref="X111:Y115" si="57">(V111/V104-1)*100</f>
        <v>-11.989746963840231</v>
      </c>
      <c r="Y111" s="1587">
        <f t="shared" si="57"/>
        <v>-11.140620576597692</v>
      </c>
      <c r="Z111" s="30" t="s">
        <v>489</v>
      </c>
      <c r="AA111" s="1997">
        <f>'Store New'!J33</f>
        <v>18.600000000000001</v>
      </c>
      <c r="AB111" s="1597"/>
      <c r="AC111" s="1588">
        <f>AVERAGE(AA111,AA107)</f>
        <v>18.5</v>
      </c>
      <c r="AD111" s="1588"/>
      <c r="AE111" s="24">
        <f t="shared" ref="AE111:AE115" si="58">AC111/AC104-1</f>
        <v>6.0171919770773519E-2</v>
      </c>
      <c r="AF111" s="1581"/>
      <c r="AG111" s="30" t="s">
        <v>489</v>
      </c>
      <c r="AH111" s="1589">
        <f>+H111/AE111</f>
        <v>107.84431536273992</v>
      </c>
      <c r="AI111" s="35" t="s">
        <v>489</v>
      </c>
      <c r="AJ111" s="1590">
        <f>T111</f>
        <v>1430</v>
      </c>
      <c r="AK111" s="1590">
        <f>S111</f>
        <v>1503</v>
      </c>
      <c r="AL111" s="1586">
        <f t="shared" ref="AL111:AL115" si="59">AJ111/AC111</f>
        <v>77.297297297297291</v>
      </c>
      <c r="AM111" s="1591"/>
      <c r="AN111" s="24">
        <f>AL111/AL104-1</f>
        <v>-0.10791148291148289</v>
      </c>
      <c r="AO111" s="1587" t="e">
        <f>(AM111/AM104-1)*100</f>
        <v>#DIV/0!</v>
      </c>
      <c r="AP111" s="30" t="s">
        <v>489</v>
      </c>
      <c r="AQ111" s="1816">
        <v>73</v>
      </c>
      <c r="AR111" s="1599">
        <f>AQ111/AQ104-1</f>
        <v>0.17741935483870974</v>
      </c>
    </row>
    <row r="112" spans="1:44" s="24" customFormat="1" hidden="1" outlineLevel="1">
      <c r="A112" s="24" t="str">
        <f>$A$28</f>
        <v>2Q</v>
      </c>
      <c r="B112" s="29" t="str">
        <f>$B$28</f>
        <v>Jul</v>
      </c>
      <c r="D112" s="1581">
        <f>(S112/S105-1)*100</f>
        <v>2.3587833643699652</v>
      </c>
      <c r="F112" s="1616">
        <v>-5</v>
      </c>
      <c r="H112" s="1581">
        <f>D112-F112</f>
        <v>7.3587833643699652</v>
      </c>
      <c r="J112" s="1996">
        <f>'Store New'!K13</f>
        <v>982</v>
      </c>
      <c r="K112" s="1913"/>
      <c r="L112" s="1583">
        <f>AVERAGE(J112,J111)</f>
        <v>976.5</v>
      </c>
      <c r="N112" s="1581">
        <f>(L112/L105-1)*100</f>
        <v>6.8380743982494607</v>
      </c>
      <c r="O112" s="30"/>
      <c r="P112" s="1584">
        <f t="shared" si="55"/>
        <v>107.61484792054625</v>
      </c>
      <c r="Q112" s="35"/>
      <c r="S112" s="1917">
        <v>1649</v>
      </c>
      <c r="T112" s="1917">
        <f t="shared" ref="T112:T115" si="60">S112-AQ112</f>
        <v>1581</v>
      </c>
      <c r="U112" s="1917"/>
      <c r="V112" s="24">
        <f t="shared" si="56"/>
        <v>1.6190476190476191</v>
      </c>
      <c r="W112" s="1586">
        <f>S112/L112</f>
        <v>1.6886840757808499</v>
      </c>
      <c r="X112" s="24">
        <f t="shared" si="57"/>
        <v>-5.0795687101011016</v>
      </c>
      <c r="Y112" s="1587">
        <f t="shared" si="57"/>
        <v>-4.1925980593608418</v>
      </c>
      <c r="Z112" s="30"/>
      <c r="AA112" s="1997">
        <f>'Store New'!K33</f>
        <v>18.8</v>
      </c>
      <c r="AB112" s="1597"/>
      <c r="AC112" s="1588">
        <f>AVERAGE(AA112,AA111)</f>
        <v>18.700000000000003</v>
      </c>
      <c r="AD112" s="1588"/>
      <c r="AE112" s="24">
        <f t="shared" si="58"/>
        <v>5.6497175141242861E-2</v>
      </c>
      <c r="AF112" s="1581"/>
      <c r="AG112" s="30"/>
      <c r="AH112" s="1589">
        <f t="shared" ref="AH112:AH115" si="61">+H112/AE112</f>
        <v>130.25046554934855</v>
      </c>
      <c r="AI112" s="35"/>
      <c r="AJ112" s="1590">
        <f>T112</f>
        <v>1581</v>
      </c>
      <c r="AK112" s="1590">
        <f>S112</f>
        <v>1649</v>
      </c>
      <c r="AL112" s="1586">
        <f t="shared" si="59"/>
        <v>84.545454545454533</v>
      </c>
      <c r="AM112" s="1591"/>
      <c r="AN112" s="24">
        <f>AL112/AL105-1</f>
        <v>-4.0118957373607822E-2</v>
      </c>
      <c r="AO112" s="1587" t="e">
        <f>(AM112/AM105-1)*100</f>
        <v>#DIV/0!</v>
      </c>
      <c r="AP112" s="30"/>
      <c r="AQ112" s="1816">
        <v>68</v>
      </c>
      <c r="AR112" s="1599">
        <f>AQ112/AQ105-1</f>
        <v>0.30769230769230771</v>
      </c>
    </row>
    <row r="113" spans="1:46" s="24" customFormat="1" hidden="1" outlineLevel="1">
      <c r="A113" s="24" t="str">
        <f>$A$29</f>
        <v>3Q</v>
      </c>
      <c r="B113" s="29" t="str">
        <f>$B$29</f>
        <v>Oct</v>
      </c>
      <c r="D113" s="1581">
        <f>(S113/S106-1)*100</f>
        <v>-0.24271844660194164</v>
      </c>
      <c r="F113" s="1616">
        <v>-7</v>
      </c>
      <c r="H113" s="1581">
        <f>D113-F113</f>
        <v>6.7572815533980588</v>
      </c>
      <c r="J113" s="1996">
        <f>'Store New'!L13</f>
        <v>1008</v>
      </c>
      <c r="K113" s="1913"/>
      <c r="L113" s="1583">
        <f>AVERAGE(J113,J112)</f>
        <v>995</v>
      </c>
      <c r="N113" s="1581">
        <f>(L113/L106-1)*100</f>
        <v>5.9073975518892929</v>
      </c>
      <c r="O113" s="30"/>
      <c r="P113" s="1584">
        <f t="shared" si="55"/>
        <v>114.3867751246394</v>
      </c>
      <c r="Q113" s="35"/>
      <c r="S113" s="1917">
        <v>1644</v>
      </c>
      <c r="T113" s="1917">
        <f t="shared" si="60"/>
        <v>1556</v>
      </c>
      <c r="U113" s="1917"/>
      <c r="V113" s="24">
        <f t="shared" si="56"/>
        <v>1.563819095477387</v>
      </c>
      <c r="W113" s="1586">
        <f>S113/L113</f>
        <v>1.6522613065326632</v>
      </c>
      <c r="X113" s="24">
        <f t="shared" si="57"/>
        <v>-7.3639318914877077</v>
      </c>
      <c r="Y113" s="1587">
        <f t="shared" si="57"/>
        <v>-5.8070693272186169</v>
      </c>
      <c r="Z113" s="30"/>
      <c r="AA113" s="1997">
        <f>'Store New'!L33</f>
        <v>19.2</v>
      </c>
      <c r="AB113" s="1597"/>
      <c r="AC113" s="1588">
        <f t="shared" ref="AC113:AC114" si="62">AVERAGE(AA113,AA112)</f>
        <v>19</v>
      </c>
      <c r="AD113" s="1588"/>
      <c r="AE113" s="24">
        <f t="shared" si="58"/>
        <v>4.9723756906077332E-2</v>
      </c>
      <c r="AF113" s="1581"/>
      <c r="AG113" s="30"/>
      <c r="AH113" s="1589">
        <f t="shared" si="61"/>
        <v>135.8964401294499</v>
      </c>
      <c r="AI113" s="35"/>
      <c r="AJ113" s="1590">
        <f>T113</f>
        <v>1556</v>
      </c>
      <c r="AK113" s="1590">
        <f>S113</f>
        <v>1644</v>
      </c>
      <c r="AL113" s="1586">
        <f t="shared" si="59"/>
        <v>81.89473684210526</v>
      </c>
      <c r="AM113" s="1591"/>
      <c r="AN113" s="24">
        <f>AL113/AL106-1</f>
        <v>-6.5387933895267758E-2</v>
      </c>
      <c r="AO113" s="1587" t="e">
        <f>(AM113/AM106-1)*100</f>
        <v>#DIV/0!</v>
      </c>
      <c r="AP113" s="30"/>
      <c r="AQ113" s="1816">
        <v>88</v>
      </c>
      <c r="AR113" s="1599">
        <f>AQ113/AQ106-1</f>
        <v>0.41935483870967749</v>
      </c>
    </row>
    <row r="114" spans="1:46" s="24" customFormat="1" hidden="1" outlineLevel="1">
      <c r="A114" s="24" t="str">
        <f>$A$30</f>
        <v>4Q</v>
      </c>
      <c r="B114" s="29" t="str">
        <f>$B$30</f>
        <v>Jan</v>
      </c>
      <c r="D114" s="1606">
        <f>(S114/S107-1)*100</f>
        <v>0.49431537320809849</v>
      </c>
      <c r="F114" s="1607">
        <v>-9</v>
      </c>
      <c r="H114" s="1606">
        <f>D114-F114</f>
        <v>9.4943153732080994</v>
      </c>
      <c r="J114" s="1996">
        <f>'Store New'!M13</f>
        <v>1012</v>
      </c>
      <c r="K114" s="1913"/>
      <c r="L114" s="1608">
        <f>AVERAGE(J114,J113)</f>
        <v>1010</v>
      </c>
      <c r="N114" s="1606">
        <f>(L114/L107-1)*100</f>
        <v>5.3729786124152357</v>
      </c>
      <c r="O114" s="30"/>
      <c r="P114" s="1609">
        <f t="shared" si="55"/>
        <v>176.70487932465937</v>
      </c>
      <c r="Q114" s="35"/>
      <c r="S114" s="1918">
        <f>S115-SUM(S111:S113)</f>
        <v>2033</v>
      </c>
      <c r="T114" s="1918">
        <f t="shared" si="60"/>
        <v>1917</v>
      </c>
      <c r="U114" s="1919"/>
      <c r="V114" s="24">
        <f t="shared" si="56"/>
        <v>1.8980198019801979</v>
      </c>
      <c r="W114" s="1586">
        <f>S114/L114</f>
        <v>2.0128712871287129</v>
      </c>
      <c r="X114" s="24">
        <f t="shared" si="57"/>
        <v>-7.4642939878931998</v>
      </c>
      <c r="Y114" s="1612">
        <f t="shared" si="57"/>
        <v>-4.6298997176039913</v>
      </c>
      <c r="Z114" s="30"/>
      <c r="AA114" s="1997">
        <f>'Store New'!M33</f>
        <v>19.3</v>
      </c>
      <c r="AB114" s="1597"/>
      <c r="AC114" s="1588">
        <f t="shared" si="62"/>
        <v>19.25</v>
      </c>
      <c r="AD114" s="1613"/>
      <c r="AE114" s="24">
        <f t="shared" si="58"/>
        <v>4.6195652173913082E-2</v>
      </c>
      <c r="AF114" s="1606"/>
      <c r="AG114" s="30"/>
      <c r="AH114" s="1608">
        <f t="shared" si="61"/>
        <v>205.52400337297516</v>
      </c>
      <c r="AI114" s="35"/>
      <c r="AJ114" s="1590">
        <f>T114</f>
        <v>1917</v>
      </c>
      <c r="AK114" s="1590">
        <f>S114</f>
        <v>2033</v>
      </c>
      <c r="AL114" s="1586">
        <f t="shared" si="59"/>
        <v>99.584415584415581</v>
      </c>
      <c r="AM114" s="1591"/>
      <c r="AN114" s="24">
        <f>AL114/AL107-1</f>
        <v>-6.7979019962743359E-2</v>
      </c>
      <c r="AO114" s="1587" t="e">
        <f>(AM114/AM107-1)*100</f>
        <v>#DIV/0!</v>
      </c>
      <c r="AP114" s="30"/>
      <c r="AQ114" s="1924">
        <f>AQ115-SUM(AQ111:AQ113)</f>
        <v>116</v>
      </c>
      <c r="AR114" s="1599">
        <f>AQ114/AQ107-1</f>
        <v>1.0350877192982457</v>
      </c>
    </row>
    <row r="115" spans="1:46" s="24" customFormat="1" hidden="1" outlineLevel="1">
      <c r="B115" s="29" t="str">
        <f>$B$31</f>
        <v>Year</v>
      </c>
      <c r="D115" s="1581">
        <f>(S115/S108-1)*100</f>
        <v>-0.39381563593932079</v>
      </c>
      <c r="F115" s="1616">
        <v>-7.9928247181139254</v>
      </c>
      <c r="H115" s="1581">
        <f>D115-F115</f>
        <v>7.5990090821746046</v>
      </c>
      <c r="J115" s="1997"/>
      <c r="L115" s="1583">
        <f>AVERAGE(L111:L114)</f>
        <v>986.625</v>
      </c>
      <c r="N115" s="1581">
        <f>(L115/L108-1)*100</f>
        <v>6.3746630727762765</v>
      </c>
      <c r="O115" s="30"/>
      <c r="P115" s="1584">
        <f t="shared" si="55"/>
        <v>119.20644268443044</v>
      </c>
      <c r="Q115" s="35"/>
      <c r="S115" s="1590">
        <v>6829</v>
      </c>
      <c r="T115" s="1590">
        <f t="shared" si="60"/>
        <v>6484</v>
      </c>
      <c r="U115" s="1590"/>
      <c r="V115" s="24">
        <f>SUM(V111:V114)</f>
        <v>6.5627518014792976</v>
      </c>
      <c r="W115" s="1586">
        <f>S115/L115</f>
        <v>6.9215760800709489</v>
      </c>
      <c r="X115" s="24">
        <f t="shared" si="57"/>
        <v>-7.938809148624193</v>
      </c>
      <c r="Y115" s="1587">
        <f t="shared" si="57"/>
        <v>-6.3628673531825335</v>
      </c>
      <c r="Z115" s="30"/>
      <c r="AA115" s="1997"/>
      <c r="AC115" s="1588">
        <f>AVERAGE(AC111:AC114)</f>
        <v>18.862500000000001</v>
      </c>
      <c r="AD115" s="1613"/>
      <c r="AE115" s="24">
        <f t="shared" si="58"/>
        <v>5.3035589672016714E-2</v>
      </c>
      <c r="AF115" s="1581"/>
      <c r="AG115" s="30"/>
      <c r="AH115" s="1589">
        <f t="shared" si="61"/>
        <v>143.28131598363441</v>
      </c>
      <c r="AI115" s="35"/>
      <c r="AJ115" s="1590">
        <f>T115</f>
        <v>6484</v>
      </c>
      <c r="AK115" s="1590">
        <f>S115</f>
        <v>6829</v>
      </c>
      <c r="AL115" s="1586">
        <f t="shared" si="59"/>
        <v>343.75082836315437</v>
      </c>
      <c r="AM115" s="1591"/>
      <c r="AN115" s="24">
        <f>AL115/AL108-1</f>
        <v>-7.02949247991842E-2</v>
      </c>
      <c r="AO115" s="1587" t="e">
        <f>(AM115/AM108-1)*100</f>
        <v>#DIV/0!</v>
      </c>
      <c r="AP115" s="30"/>
      <c r="AQ115" s="1816">
        <v>345</v>
      </c>
      <c r="AR115" s="1599">
        <f>AQ115/AQ108-1</f>
        <v>0.4806866952789699</v>
      </c>
    </row>
    <row r="116" spans="1:46" s="24" customFormat="1" hidden="1" outlineLevel="1">
      <c r="B116" s="29"/>
      <c r="D116" s="1581"/>
      <c r="F116" s="1616"/>
      <c r="H116" s="1581"/>
      <c r="J116" s="1997"/>
      <c r="L116" s="1583"/>
      <c r="N116" s="1581"/>
      <c r="O116" s="30"/>
      <c r="P116" s="1584"/>
      <c r="Q116" s="35"/>
      <c r="S116" s="1590"/>
      <c r="T116" s="1590"/>
      <c r="U116" s="1590"/>
      <c r="Y116" s="1587"/>
      <c r="Z116" s="30"/>
      <c r="AA116" s="1997"/>
      <c r="AD116" s="1588"/>
      <c r="AF116" s="1581"/>
      <c r="AG116" s="30"/>
      <c r="AH116" s="1589"/>
      <c r="AI116" s="35"/>
      <c r="AP116" s="30"/>
      <c r="AQ116" s="1816"/>
    </row>
    <row r="117" spans="1:46" s="24" customFormat="1" hidden="1" outlineLevel="1">
      <c r="A117" s="1579"/>
      <c r="B117" s="1580">
        <f>+B110+1</f>
        <v>2007</v>
      </c>
      <c r="E117" s="30"/>
      <c r="F117" s="1816"/>
      <c r="G117" s="30"/>
      <c r="I117" s="30"/>
      <c r="J117" s="1997"/>
      <c r="O117" s="30"/>
      <c r="P117" s="35"/>
      <c r="Q117" s="35"/>
      <c r="Z117" s="30"/>
      <c r="AA117" s="1997"/>
      <c r="AG117" s="30"/>
      <c r="AH117" s="35"/>
      <c r="AI117" s="35"/>
      <c r="AP117" s="30"/>
      <c r="AQ117" s="1816"/>
    </row>
    <row r="118" spans="1:46" s="24" customFormat="1" hidden="1" outlineLevel="1">
      <c r="A118" s="24" t="str">
        <f>$A$27</f>
        <v>1Q</v>
      </c>
      <c r="B118" s="29" t="str">
        <f>$B$27</f>
        <v>Apr</v>
      </c>
      <c r="D118" s="1581">
        <f>(S118/S111-1)*100</f>
        <v>2.8609447771124508</v>
      </c>
      <c r="E118" s="30" t="s">
        <v>489</v>
      </c>
      <c r="F118" s="1616">
        <v>-5</v>
      </c>
      <c r="G118" s="30" t="s">
        <v>489</v>
      </c>
      <c r="H118" s="1581">
        <f>D118-F118</f>
        <v>7.8609447771124508</v>
      </c>
      <c r="I118" s="30" t="s">
        <v>489</v>
      </c>
      <c r="J118" s="1996">
        <f>'Store New'!N13</f>
        <v>1021</v>
      </c>
      <c r="K118" s="1913"/>
      <c r="L118" s="1583">
        <f>AVERAGE(J118,J114)</f>
        <v>1016.5</v>
      </c>
      <c r="N118" s="1581">
        <f>(L118/L111-1)*100</f>
        <v>5.3367875647668317</v>
      </c>
      <c r="O118" s="30" t="s">
        <v>489</v>
      </c>
      <c r="P118" s="1584">
        <f t="shared" ref="P118:P122" si="63">H118/N118*100</f>
        <v>147.29731475560243</v>
      </c>
      <c r="Q118" s="35" t="s">
        <v>489</v>
      </c>
      <c r="S118" s="1916">
        <v>1546</v>
      </c>
      <c r="T118" s="1595">
        <f>S118-AQ118</f>
        <v>1453</v>
      </c>
      <c r="U118" s="1916"/>
      <c r="V118" s="24">
        <f t="shared" ref="V118:V121" si="64">T118/L118</f>
        <v>1.4294146581406788</v>
      </c>
      <c r="W118" s="1586">
        <f>S118/L118</f>
        <v>1.5209050664043287</v>
      </c>
      <c r="X118" s="24">
        <f t="shared" ref="X118:Y122" si="65">(V118/V111-1)*100</f>
        <v>-3.5395003422548865</v>
      </c>
      <c r="Y118" s="1587">
        <f t="shared" si="65"/>
        <v>-2.3504065814918707</v>
      </c>
      <c r="Z118" s="30" t="s">
        <v>489</v>
      </c>
      <c r="AA118" s="1997">
        <f>'Store New'!N33</f>
        <v>19.399999999999999</v>
      </c>
      <c r="AB118" s="1597"/>
      <c r="AC118" s="1588">
        <f>AVERAGE(AA118,AA114)</f>
        <v>19.350000000000001</v>
      </c>
      <c r="AD118" s="1588"/>
      <c r="AE118" s="24">
        <f t="shared" ref="AE118:AE122" si="66">AC118/AC111-1</f>
        <v>4.5945945945945921E-2</v>
      </c>
      <c r="AF118" s="1581"/>
      <c r="AG118" s="30" t="s">
        <v>489</v>
      </c>
      <c r="AH118" s="1589">
        <f>+H118/AE118</f>
        <v>171.09115103127107</v>
      </c>
      <c r="AI118" s="35" t="s">
        <v>489</v>
      </c>
      <c r="AJ118" s="1590">
        <f>T118</f>
        <v>1453</v>
      </c>
      <c r="AK118" s="1590">
        <f>S118</f>
        <v>1546</v>
      </c>
      <c r="AL118" s="1586">
        <f t="shared" ref="AL118:AL122" si="67">AJ118/AC118</f>
        <v>75.090439276485782</v>
      </c>
      <c r="AM118" s="1591"/>
      <c r="AN118" s="24">
        <f>AL118/AL111-1</f>
        <v>-2.8550261108400643E-2</v>
      </c>
      <c r="AO118" s="1587" t="e">
        <f>(AM118/AM111-1)*100</f>
        <v>#DIV/0!</v>
      </c>
      <c r="AP118" s="30" t="s">
        <v>489</v>
      </c>
      <c r="AQ118" s="1816">
        <v>93</v>
      </c>
      <c r="AR118" s="1599">
        <f>AQ118/AQ111-1</f>
        <v>0.27397260273972601</v>
      </c>
    </row>
    <row r="119" spans="1:46" s="24" customFormat="1" hidden="1" outlineLevel="1">
      <c r="A119" s="24" t="str">
        <f>$A$28</f>
        <v>2Q</v>
      </c>
      <c r="B119" s="29" t="str">
        <f>$B$28</f>
        <v>Jul</v>
      </c>
      <c r="D119" s="1581">
        <f>(S119/S112-1)*100</f>
        <v>-2.7895694360218326</v>
      </c>
      <c r="F119" s="1616">
        <v>-9</v>
      </c>
      <c r="H119" s="1581">
        <f>D119-F119</f>
        <v>6.2104305639781678</v>
      </c>
      <c r="J119" s="1996">
        <f>'Store New'!O13</f>
        <v>1034</v>
      </c>
      <c r="K119" s="1913"/>
      <c r="L119" s="1583">
        <f>AVERAGE(J119,J118)</f>
        <v>1027.5</v>
      </c>
      <c r="N119" s="1581">
        <f>(L119/L112-1)*100</f>
        <v>5.2227342549923117</v>
      </c>
      <c r="O119" s="30"/>
      <c r="P119" s="1584">
        <f t="shared" si="63"/>
        <v>118.91147932793508</v>
      </c>
      <c r="Q119" s="35"/>
      <c r="S119" s="1917">
        <v>1603</v>
      </c>
      <c r="T119" s="1595">
        <f t="shared" ref="T119:T122" si="68">S119-AQ119</f>
        <v>1520</v>
      </c>
      <c r="U119" s="1917"/>
      <c r="V119" s="24">
        <f t="shared" si="64"/>
        <v>1.4793187347931873</v>
      </c>
      <c r="W119" s="1586">
        <f>S119/L119</f>
        <v>1.5600973236009732</v>
      </c>
      <c r="X119" s="24">
        <f t="shared" si="65"/>
        <v>-8.6303134392443184</v>
      </c>
      <c r="Y119" s="1587">
        <f t="shared" si="65"/>
        <v>-7.6146127048908223</v>
      </c>
      <c r="Z119" s="30"/>
      <c r="AA119" s="1997">
        <f>'Store New'!O33</f>
        <v>19.600000000000001</v>
      </c>
      <c r="AB119" s="1597"/>
      <c r="AC119" s="1588">
        <f>AVERAGE(AA119,AA118)</f>
        <v>19.5</v>
      </c>
      <c r="AD119" s="1588"/>
      <c r="AE119" s="24">
        <f t="shared" si="66"/>
        <v>4.2780748663101553E-2</v>
      </c>
      <c r="AF119" s="1581"/>
      <c r="AG119" s="30"/>
      <c r="AH119" s="1589">
        <f t="shared" ref="AH119:AH122" si="69">+H119/AE119</f>
        <v>145.16881443298985</v>
      </c>
      <c r="AI119" s="35"/>
      <c r="AJ119" s="1590">
        <f>T119</f>
        <v>1520</v>
      </c>
      <c r="AK119" s="1590">
        <f>S119</f>
        <v>1603</v>
      </c>
      <c r="AL119" s="1586">
        <f t="shared" si="67"/>
        <v>77.948717948717942</v>
      </c>
      <c r="AM119" s="1591"/>
      <c r="AN119" s="24">
        <f>AL119/AL112-1</f>
        <v>-7.8025916735594114E-2</v>
      </c>
      <c r="AO119" s="1587" t="e">
        <f>(AM119/AM112-1)*100</f>
        <v>#DIV/0!</v>
      </c>
      <c r="AP119" s="30"/>
      <c r="AQ119" s="1816">
        <v>83</v>
      </c>
      <c r="AR119" s="1599">
        <f>AQ119/AQ112-1</f>
        <v>0.22058823529411775</v>
      </c>
    </row>
    <row r="120" spans="1:46" s="24" customFormat="1" hidden="1" outlineLevel="1">
      <c r="A120" s="24" t="str">
        <f>$A$29</f>
        <v>3Q</v>
      </c>
      <c r="B120" s="29" t="str">
        <f>$B$29</f>
        <v>Oct</v>
      </c>
      <c r="D120" s="1581">
        <f>(S120/S113-1)*100</f>
        <v>-2.7980535279805374</v>
      </c>
      <c r="F120" s="1616">
        <v>-8</v>
      </c>
      <c r="H120" s="1581">
        <f>D120-F120</f>
        <v>5.201946472019463</v>
      </c>
      <c r="J120" s="1996">
        <f>'Store New'!P13</f>
        <v>1062</v>
      </c>
      <c r="K120" s="1913"/>
      <c r="L120" s="1583">
        <f>AVERAGE(J120,J119)</f>
        <v>1048</v>
      </c>
      <c r="N120" s="1581">
        <f>(L120/L113-1)*100</f>
        <v>5.3266331658291532</v>
      </c>
      <c r="O120" s="30"/>
      <c r="P120" s="1584">
        <f t="shared" si="63"/>
        <v>97.659183767157714</v>
      </c>
      <c r="Q120" s="35"/>
      <c r="S120" s="1917">
        <v>1598</v>
      </c>
      <c r="T120" s="1595">
        <f t="shared" si="68"/>
        <v>1480</v>
      </c>
      <c r="U120" s="1917"/>
      <c r="V120" s="24">
        <f t="shared" si="64"/>
        <v>1.4122137404580153</v>
      </c>
      <c r="W120" s="1586">
        <f>S120/L120</f>
        <v>1.5248091603053435</v>
      </c>
      <c r="X120" s="24">
        <f t="shared" si="65"/>
        <v>-9.6945583704546756</v>
      </c>
      <c r="Y120" s="1587">
        <f t="shared" si="65"/>
        <v>-7.7138008209357123</v>
      </c>
      <c r="Z120" s="30"/>
      <c r="AA120" s="1997">
        <f>'Store New'!P33</f>
        <v>20</v>
      </c>
      <c r="AB120" s="1597"/>
      <c r="AC120" s="1588">
        <f t="shared" ref="AC120:AC121" si="70">AVERAGE(AA120,AA119)</f>
        <v>19.8</v>
      </c>
      <c r="AD120" s="1588"/>
      <c r="AE120" s="24">
        <f t="shared" si="66"/>
        <v>4.2105263157894868E-2</v>
      </c>
      <c r="AF120" s="1581"/>
      <c r="AG120" s="30"/>
      <c r="AH120" s="1589">
        <f t="shared" si="69"/>
        <v>123.54622871046186</v>
      </c>
      <c r="AI120" s="35"/>
      <c r="AJ120" s="1590">
        <f>T120</f>
        <v>1480</v>
      </c>
      <c r="AK120" s="1590">
        <f>S120</f>
        <v>1598</v>
      </c>
      <c r="AL120" s="1586">
        <f t="shared" si="67"/>
        <v>74.74747474747474</v>
      </c>
      <c r="AM120" s="1591"/>
      <c r="AN120" s="24">
        <f>AL120/AL113-1</f>
        <v>-8.7273765937005088E-2</v>
      </c>
      <c r="AO120" s="1587" t="e">
        <f>(AM120/AM113-1)*100</f>
        <v>#DIV/0!</v>
      </c>
      <c r="AP120" s="30"/>
      <c r="AQ120" s="1816">
        <v>118</v>
      </c>
      <c r="AR120" s="1599">
        <f>AQ120/AQ113-1</f>
        <v>0.34090909090909083</v>
      </c>
    </row>
    <row r="121" spans="1:46" s="24" customFormat="1" hidden="1" outlineLevel="1">
      <c r="A121" s="24" t="str">
        <f>$A$30</f>
        <v>4Q</v>
      </c>
      <c r="B121" s="29" t="str">
        <f>$B$30</f>
        <v>Jan</v>
      </c>
      <c r="D121" s="1606">
        <f>(S121/S114-1)*100</f>
        <v>-5.6566650270536201</v>
      </c>
      <c r="F121" s="1607">
        <v>-5</v>
      </c>
      <c r="H121" s="1606">
        <f>D121-F121</f>
        <v>-0.65666502705362007</v>
      </c>
      <c r="J121" s="1996">
        <f>'Store New'!Q13</f>
        <v>1059</v>
      </c>
      <c r="K121" s="1913"/>
      <c r="L121" s="1608">
        <f>AVERAGE(J121,J120)</f>
        <v>1060.5</v>
      </c>
      <c r="N121" s="1606">
        <f>(L121/L114-1)*100</f>
        <v>5.0000000000000044</v>
      </c>
      <c r="O121" s="30"/>
      <c r="P121" s="1609">
        <f t="shared" si="63"/>
        <v>-13.133300541072391</v>
      </c>
      <c r="Q121" s="35"/>
      <c r="S121" s="1918">
        <v>1918</v>
      </c>
      <c r="T121" s="1595">
        <f t="shared" si="68"/>
        <v>1784</v>
      </c>
      <c r="U121" s="1919"/>
      <c r="V121" s="24">
        <f t="shared" si="64"/>
        <v>1.6822253653936823</v>
      </c>
      <c r="W121" s="1586">
        <f>S121/L121</f>
        <v>1.8085808580858085</v>
      </c>
      <c r="X121" s="24">
        <f t="shared" si="65"/>
        <v>-11.369451275554553</v>
      </c>
      <c r="Y121" s="1612">
        <f t="shared" si="65"/>
        <v>-10.149204787670119</v>
      </c>
      <c r="Z121" s="30"/>
      <c r="AA121" s="1997">
        <f>'Store New'!Q33</f>
        <v>20</v>
      </c>
      <c r="AB121" s="1597"/>
      <c r="AC121" s="1588">
        <f t="shared" si="70"/>
        <v>20</v>
      </c>
      <c r="AD121" s="1613"/>
      <c r="AE121" s="24">
        <f t="shared" si="66"/>
        <v>3.8961038961038863E-2</v>
      </c>
      <c r="AF121" s="1606"/>
      <c r="AG121" s="30"/>
      <c r="AH121" s="1608">
        <f t="shared" si="69"/>
        <v>-16.854402361042958</v>
      </c>
      <c r="AI121" s="35"/>
      <c r="AJ121" s="1590">
        <f>T121</f>
        <v>1784</v>
      </c>
      <c r="AK121" s="1590">
        <f>S121</f>
        <v>1918</v>
      </c>
      <c r="AL121" s="1586">
        <f t="shared" si="67"/>
        <v>89.2</v>
      </c>
      <c r="AM121" s="1591"/>
      <c r="AN121" s="24">
        <f>AL121/AL114-1</f>
        <v>-0.10427751695357323</v>
      </c>
      <c r="AO121" s="1587" t="e">
        <f>(AM121/AM114-1)*100</f>
        <v>#DIV/0!</v>
      </c>
      <c r="AP121" s="30"/>
      <c r="AQ121" s="1924">
        <v>134</v>
      </c>
      <c r="AR121" s="1599">
        <f>AQ121/AQ114-1</f>
        <v>0.15517241379310343</v>
      </c>
    </row>
    <row r="122" spans="1:46" s="24" customFormat="1" hidden="1" outlineLevel="1">
      <c r="B122" s="29" t="str">
        <f>$B$31</f>
        <v>Year</v>
      </c>
      <c r="D122" s="1581">
        <f>(S122/S115-1)*100</f>
        <v>-2.4015229169717434</v>
      </c>
      <c r="F122" s="1616">
        <v>-6.6813203300825208</v>
      </c>
      <c r="H122" s="1581">
        <f>D122-F122</f>
        <v>4.2797974131107779</v>
      </c>
      <c r="J122" s="1997"/>
      <c r="L122" s="1583">
        <f>AVERAGE(L118:L121)</f>
        <v>1038.125</v>
      </c>
      <c r="N122" s="1581">
        <f>(L122/L115-1)*100</f>
        <v>5.2198150259723741</v>
      </c>
      <c r="O122" s="30"/>
      <c r="P122" s="1584">
        <f t="shared" si="63"/>
        <v>81.991361606027695</v>
      </c>
      <c r="Q122" s="35"/>
      <c r="S122" s="1590">
        <v>6665</v>
      </c>
      <c r="T122" s="1925">
        <f t="shared" si="68"/>
        <v>6237</v>
      </c>
      <c r="U122" s="1590"/>
      <c r="V122" s="24">
        <f>SUM(V118:V121)</f>
        <v>6.0031724987855632</v>
      </c>
      <c r="W122" s="1586">
        <f>S122/L122</f>
        <v>6.4202287778446721</v>
      </c>
      <c r="X122" s="24">
        <f t="shared" si="65"/>
        <v>-8.5265955443812551</v>
      </c>
      <c r="Y122" s="1587">
        <f t="shared" si="65"/>
        <v>-7.2432535079660294</v>
      </c>
      <c r="Z122" s="30"/>
      <c r="AA122" s="1997"/>
      <c r="AC122" s="1588">
        <f>AVERAGE(AC118:AC121)</f>
        <v>19.662500000000001</v>
      </c>
      <c r="AD122" s="1613"/>
      <c r="AE122" s="24">
        <f t="shared" si="66"/>
        <v>4.2412193505632967E-2</v>
      </c>
      <c r="AF122" s="1581"/>
      <c r="AG122" s="30"/>
      <c r="AH122" s="1589">
        <f t="shared" si="69"/>
        <v>100.90959838100233</v>
      </c>
      <c r="AI122" s="35"/>
      <c r="AJ122" s="1590">
        <f>T122</f>
        <v>6237</v>
      </c>
      <c r="AK122" s="1590">
        <f>S122</f>
        <v>6665</v>
      </c>
      <c r="AL122" s="1586">
        <f t="shared" si="67"/>
        <v>317.20279720279717</v>
      </c>
      <c r="AM122" s="1591"/>
      <c r="AN122" s="24">
        <f>AL122/AL115-1</f>
        <v>-7.7230449994176054E-2</v>
      </c>
      <c r="AO122" s="1587" t="e">
        <f>(AM122/AM115-1)*100</f>
        <v>#DIV/0!</v>
      </c>
      <c r="AP122" s="30"/>
      <c r="AQ122" s="1816">
        <v>428</v>
      </c>
      <c r="AR122" s="1599">
        <f>AQ122/AQ115-1</f>
        <v>0.24057971014492763</v>
      </c>
    </row>
    <row r="123" spans="1:46" s="24" customFormat="1" hidden="1" outlineLevel="1">
      <c r="B123" s="29"/>
      <c r="F123" s="1816"/>
      <c r="J123" s="1997"/>
      <c r="O123" s="30"/>
      <c r="S123" s="1630"/>
      <c r="T123" s="1630"/>
      <c r="U123" s="1630"/>
      <c r="AA123" s="1997"/>
      <c r="AG123" s="30"/>
      <c r="AQ123" s="1816"/>
    </row>
    <row r="124" spans="1:46" s="24" customFormat="1" collapsed="1">
      <c r="A124" s="1579"/>
      <c r="B124" s="1580">
        <f>+B117+1</f>
        <v>2008</v>
      </c>
      <c r="E124" s="30"/>
      <c r="F124" s="1816"/>
      <c r="G124" s="30"/>
      <c r="I124" s="30"/>
      <c r="J124" s="1997"/>
      <c r="O124" s="30"/>
      <c r="P124" s="35"/>
      <c r="Q124" s="35"/>
      <c r="Z124" s="30"/>
      <c r="AA124" s="1997"/>
      <c r="AG124" s="30"/>
      <c r="AH124" s="35"/>
      <c r="AI124" s="35"/>
      <c r="AP124" s="30"/>
      <c r="AQ124" s="1926"/>
      <c r="AT124" s="40"/>
    </row>
    <row r="125" spans="1:46" s="24" customFormat="1">
      <c r="A125" s="24" t="str">
        <f>$A$27</f>
        <v>1Q</v>
      </c>
      <c r="B125" s="29" t="str">
        <f>$B$27</f>
        <v>Apr</v>
      </c>
      <c r="D125" s="1581">
        <f>(S125/S118-1)*100</f>
        <v>-12.483829236739973</v>
      </c>
      <c r="E125" s="30" t="s">
        <v>489</v>
      </c>
      <c r="F125" s="1616">
        <v>-18</v>
      </c>
      <c r="G125" s="30" t="s">
        <v>489</v>
      </c>
      <c r="H125" s="1581">
        <f>D125-F125</f>
        <v>5.5161707632600265</v>
      </c>
      <c r="I125" s="30" t="s">
        <v>489</v>
      </c>
      <c r="J125" s="1996">
        <f>'Store New'!R13</f>
        <v>1065</v>
      </c>
      <c r="K125" s="1913"/>
      <c r="L125" s="1583">
        <f>AVERAGE(J125,J121)</f>
        <v>1062</v>
      </c>
      <c r="N125" s="1581">
        <f>(L125/L118-1)*100</f>
        <v>4.4761436301032909</v>
      </c>
      <c r="O125" s="30" t="s">
        <v>489</v>
      </c>
      <c r="P125" s="1584">
        <f t="shared" ref="P125:P129" si="71">H125/N125*100</f>
        <v>123.2348918868972</v>
      </c>
      <c r="Q125" s="35" t="s">
        <v>489</v>
      </c>
      <c r="S125" s="1916">
        <f>117+1236</f>
        <v>1353</v>
      </c>
      <c r="T125" s="1595">
        <f>S125-AQ125</f>
        <v>1236</v>
      </c>
      <c r="U125" s="1916"/>
      <c r="V125" s="24">
        <f t="shared" ref="V125:V128" si="72">T125/L125</f>
        <v>1.1638418079096045</v>
      </c>
      <c r="W125" s="1586">
        <f>S125/L125</f>
        <v>1.2740112994350283</v>
      </c>
      <c r="X125" s="24">
        <f t="shared" ref="X125:Y129" si="73">(V125/V118-1)*100</f>
        <v>-18.579132984162904</v>
      </c>
      <c r="Y125" s="1587">
        <f t="shared" si="73"/>
        <v>-16.233345027444614</v>
      </c>
      <c r="Z125" s="30" t="s">
        <v>489</v>
      </c>
      <c r="AA125" s="1997">
        <f>'Store New'!R33</f>
        <v>20.100000000000001</v>
      </c>
      <c r="AB125" s="1597"/>
      <c r="AC125" s="1588">
        <f>AVERAGE(AA125,AA121)</f>
        <v>20.05</v>
      </c>
      <c r="AD125" s="1588"/>
      <c r="AE125" s="24">
        <f t="shared" ref="AE125:AE129" si="74">AC125/AC118-1</f>
        <v>3.6175710594315236E-2</v>
      </c>
      <c r="AF125" s="1581"/>
      <c r="AG125" s="30" t="s">
        <v>489</v>
      </c>
      <c r="AH125" s="1589">
        <f>+H125/AE125</f>
        <v>152.4827203844022</v>
      </c>
      <c r="AI125" s="35" t="s">
        <v>489</v>
      </c>
      <c r="AJ125" s="1590">
        <f>T125</f>
        <v>1236</v>
      </c>
      <c r="AK125" s="1590">
        <f>S125</f>
        <v>1353</v>
      </c>
      <c r="AL125" s="1586">
        <f t="shared" ref="AL125:AL129" si="75">AJ125/AC125</f>
        <v>61.645885286783042</v>
      </c>
      <c r="AM125" s="1591"/>
      <c r="AN125" s="24">
        <f>AL125/AL118-1</f>
        <v>-0.17904481741276534</v>
      </c>
      <c r="AO125" s="1587"/>
      <c r="AP125" s="30" t="s">
        <v>489</v>
      </c>
      <c r="AQ125" s="1816">
        <v>117</v>
      </c>
      <c r="AR125" s="1599">
        <f>AQ125/AQ118-1</f>
        <v>0.25806451612903225</v>
      </c>
      <c r="AT125" s="1603"/>
    </row>
    <row r="126" spans="1:46" s="24" customFormat="1">
      <c r="A126" s="24" t="str">
        <f>$A$28</f>
        <v>2Q</v>
      </c>
      <c r="B126" s="29" t="str">
        <f>$B$28</f>
        <v>Jul</v>
      </c>
      <c r="D126" s="1581">
        <f>(S126/S119-1)*100</f>
        <v>-13.287585776668742</v>
      </c>
      <c r="F126" s="1616">
        <v>-16</v>
      </c>
      <c r="H126" s="1581">
        <f>D126-F126</f>
        <v>2.7124142233312583</v>
      </c>
      <c r="J126" s="1996">
        <f>'Store New'!S13</f>
        <v>1066</v>
      </c>
      <c r="K126" s="1913"/>
      <c r="L126" s="1583">
        <f>AVERAGE(J126,J125)</f>
        <v>1065.5</v>
      </c>
      <c r="N126" s="1581">
        <f>(L126/L119-1)*100</f>
        <v>3.6982968369829727</v>
      </c>
      <c r="O126" s="30"/>
      <c r="P126" s="1584">
        <f t="shared" si="71"/>
        <v>73.342253012443805</v>
      </c>
      <c r="Q126" s="35"/>
      <c r="S126" s="1917">
        <f>1298+92</f>
        <v>1390</v>
      </c>
      <c r="T126" s="1927">
        <f t="shared" ref="T126:T129" si="76">S126-AQ126</f>
        <v>1298</v>
      </c>
      <c r="U126" s="1917"/>
      <c r="V126" s="24">
        <f t="shared" si="72"/>
        <v>1.2182074143594557</v>
      </c>
      <c r="W126" s="1586">
        <f>S126/L126</f>
        <v>1.3045518535898639</v>
      </c>
      <c r="X126" s="24">
        <f t="shared" si="73"/>
        <v>-17.65078169379337</v>
      </c>
      <c r="Y126" s="1587">
        <f t="shared" si="73"/>
        <v>-16.380097968584828</v>
      </c>
      <c r="Z126" s="30"/>
      <c r="AA126" s="1997">
        <f>'Store New'!S33</f>
        <v>20.100000000000001</v>
      </c>
      <c r="AB126" s="1597"/>
      <c r="AC126" s="1588">
        <f>AVERAGE(AA126,AA125)</f>
        <v>20.100000000000001</v>
      </c>
      <c r="AD126" s="1588"/>
      <c r="AE126" s="24">
        <f t="shared" si="74"/>
        <v>3.0769230769230882E-2</v>
      </c>
      <c r="AF126" s="1581"/>
      <c r="AG126" s="30"/>
      <c r="AH126" s="1589">
        <f t="shared" ref="AH126:AH129" si="77">+H126/AE126</f>
        <v>88.153462258265577</v>
      </c>
      <c r="AI126" s="35"/>
      <c r="AJ126" s="1590">
        <f>T126</f>
        <v>1298</v>
      </c>
      <c r="AK126" s="1590">
        <f>S126</f>
        <v>1390</v>
      </c>
      <c r="AL126" s="1586">
        <f t="shared" si="75"/>
        <v>64.577114427860693</v>
      </c>
      <c r="AM126" s="1591"/>
      <c r="AN126" s="24">
        <f>AL126/AL119-1</f>
        <v>-0.17154359780047135</v>
      </c>
      <c r="AO126" s="1587"/>
      <c r="AP126" s="30"/>
      <c r="AQ126" s="1816">
        <v>92</v>
      </c>
      <c r="AR126" s="1599">
        <f>AQ126/AQ119-1</f>
        <v>0.10843373493975905</v>
      </c>
      <c r="AT126" s="1603"/>
    </row>
    <row r="127" spans="1:46" s="24" customFormat="1">
      <c r="A127" s="24" t="str">
        <f>$A$29</f>
        <v>3Q</v>
      </c>
      <c r="B127" s="29" t="str">
        <f>$B$29</f>
        <v>Oct</v>
      </c>
      <c r="D127" s="1581">
        <f>(S127/S120-1)*100</f>
        <v>-14.705882352941179</v>
      </c>
      <c r="F127" s="1616">
        <v>-18</v>
      </c>
      <c r="H127" s="1581">
        <f>D127-F127</f>
        <v>3.2941176470588207</v>
      </c>
      <c r="J127" s="1996">
        <f>'Store New'!T13</f>
        <v>1076</v>
      </c>
      <c r="K127" s="1913"/>
      <c r="L127" s="1583">
        <f>AVERAGE(J127,J126)</f>
        <v>1071</v>
      </c>
      <c r="N127" s="1581">
        <f>(L127/L120-1)*100</f>
        <v>2.1946564885496178</v>
      </c>
      <c r="O127" s="30"/>
      <c r="P127" s="1584">
        <f t="shared" si="71"/>
        <v>150.09718670076717</v>
      </c>
      <c r="Q127" s="35"/>
      <c r="S127" s="1917">
        <f>1232+131</f>
        <v>1363</v>
      </c>
      <c r="T127" s="1927">
        <f t="shared" si="76"/>
        <v>1232</v>
      </c>
      <c r="U127" s="1917"/>
      <c r="V127" s="24">
        <f t="shared" si="72"/>
        <v>1.1503267973856208</v>
      </c>
      <c r="W127" s="1586">
        <f>S127/L127</f>
        <v>1.272642390289449</v>
      </c>
      <c r="X127" s="24">
        <f t="shared" si="73"/>
        <v>-18.544426779720901</v>
      </c>
      <c r="Y127" s="1587">
        <f t="shared" si="73"/>
        <v>-16.537595430328999</v>
      </c>
      <c r="Z127" s="30"/>
      <c r="AA127" s="1997">
        <f>'Store New'!T33</f>
        <v>20.2</v>
      </c>
      <c r="AB127" s="1597"/>
      <c r="AC127" s="1588">
        <f t="shared" ref="AC127:AC128" si="78">AVERAGE(AA127,AA126)</f>
        <v>20.149999999999999</v>
      </c>
      <c r="AD127" s="1588"/>
      <c r="AE127" s="24">
        <f t="shared" si="74"/>
        <v>1.7676767676767513E-2</v>
      </c>
      <c r="AF127" s="1581"/>
      <c r="AG127" s="30"/>
      <c r="AH127" s="1589">
        <f t="shared" si="77"/>
        <v>186.35294117647214</v>
      </c>
      <c r="AI127" s="35"/>
      <c r="AJ127" s="1590">
        <f>T127</f>
        <v>1232</v>
      </c>
      <c r="AK127" s="1590">
        <f>S127</f>
        <v>1363</v>
      </c>
      <c r="AL127" s="1586">
        <f t="shared" si="75"/>
        <v>61.141439205955336</v>
      </c>
      <c r="AM127" s="1591"/>
      <c r="AN127" s="24">
        <f>AL127/AL120-1</f>
        <v>-0.18202669170411101</v>
      </c>
      <c r="AO127" s="1587"/>
      <c r="AP127" s="30"/>
      <c r="AQ127" s="1816">
        <v>131</v>
      </c>
      <c r="AR127" s="1599">
        <f>AQ127/AQ120-1</f>
        <v>0.11016949152542366</v>
      </c>
      <c r="AT127" s="1603"/>
    </row>
    <row r="128" spans="1:46" s="24" customFormat="1">
      <c r="A128" s="24" t="str">
        <f>$A$30</f>
        <v>4Q</v>
      </c>
      <c r="B128" s="29" t="str">
        <f>$B$30</f>
        <v>Jan</v>
      </c>
      <c r="D128" s="1606">
        <f>(S128/S121-1)*100</f>
        <v>-16.527632950990611</v>
      </c>
      <c r="F128" s="1607">
        <v>-17</v>
      </c>
      <c r="H128" s="1606">
        <f>D128-F128</f>
        <v>0.47236704900938875</v>
      </c>
      <c r="J128" s="1996">
        <f>'Store New'!U13</f>
        <v>1067</v>
      </c>
      <c r="K128" s="1913"/>
      <c r="L128" s="1608">
        <f>AVERAGE(J128,J127)</f>
        <v>1071.5</v>
      </c>
      <c r="N128" s="1606">
        <f>(L128/L121-1)*100</f>
        <v>1.0372465818010435</v>
      </c>
      <c r="O128" s="30"/>
      <c r="P128" s="1609">
        <f t="shared" si="71"/>
        <v>45.540477770404884</v>
      </c>
      <c r="Q128" s="35"/>
      <c r="S128" s="1918">
        <f>S129-SUM(S125:S127)</f>
        <v>1601</v>
      </c>
      <c r="T128" s="1610">
        <f t="shared" si="76"/>
        <v>1466</v>
      </c>
      <c r="U128" s="1919"/>
      <c r="V128" s="24">
        <f t="shared" si="72"/>
        <v>1.3681754549696687</v>
      </c>
      <c r="W128" s="1586">
        <f>S128/L128</f>
        <v>1.4941670555296314</v>
      </c>
      <c r="X128" s="24">
        <f t="shared" si="73"/>
        <v>-18.668718049588918</v>
      </c>
      <c r="Y128" s="1612">
        <f t="shared" si="73"/>
        <v>-17.384558790971106</v>
      </c>
      <c r="Z128" s="30"/>
      <c r="AA128" s="1997">
        <f>'Store New'!U33</f>
        <v>20.100000000000001</v>
      </c>
      <c r="AB128" s="1597"/>
      <c r="AC128" s="1588">
        <f t="shared" si="78"/>
        <v>20.149999999999999</v>
      </c>
      <c r="AD128" s="1613"/>
      <c r="AE128" s="24">
        <f t="shared" si="74"/>
        <v>7.4999999999998401E-3</v>
      </c>
      <c r="AF128" s="1606"/>
      <c r="AG128" s="30"/>
      <c r="AH128" s="1608">
        <f t="shared" si="77"/>
        <v>62.982273201253179</v>
      </c>
      <c r="AI128" s="35"/>
      <c r="AJ128" s="1590">
        <f>T128</f>
        <v>1466</v>
      </c>
      <c r="AK128" s="1590">
        <f>S128</f>
        <v>1601</v>
      </c>
      <c r="AL128" s="1586">
        <f t="shared" si="75"/>
        <v>72.754342431761785</v>
      </c>
      <c r="AM128" s="1591"/>
      <c r="AN128" s="24">
        <f>AL128/AL121-1</f>
        <v>-0.18436835838832077</v>
      </c>
      <c r="AO128" s="1587"/>
      <c r="AP128" s="30"/>
      <c r="AQ128" s="1924">
        <v>135</v>
      </c>
      <c r="AR128" s="1599">
        <f>AQ128/AQ121-1</f>
        <v>7.4626865671640896E-3</v>
      </c>
      <c r="AT128" s="1614"/>
    </row>
    <row r="129" spans="1:46" s="24" customFormat="1">
      <c r="B129" s="29" t="str">
        <f>$B$31</f>
        <v>Year</v>
      </c>
      <c r="D129" s="1581">
        <f>(S129/S122-1)*100</f>
        <v>-14.373593398349582</v>
      </c>
      <c r="F129" s="1616">
        <v>-17.223623853211009</v>
      </c>
      <c r="H129" s="1581">
        <f>D129-F129</f>
        <v>2.850030454861427</v>
      </c>
      <c r="J129" s="1997"/>
      <c r="L129" s="1583">
        <f>AVERAGE(L125:L128)</f>
        <v>1067.5</v>
      </c>
      <c r="N129" s="1581">
        <f>(L129/L122-1)*100</f>
        <v>2.8296207104154147</v>
      </c>
      <c r="O129" s="30"/>
      <c r="P129" s="1584">
        <f t="shared" si="71"/>
        <v>100.72128905371972</v>
      </c>
      <c r="Q129" s="35"/>
      <c r="S129" s="1590">
        <v>5707</v>
      </c>
      <c r="T129" s="1595">
        <f t="shared" si="76"/>
        <v>5232</v>
      </c>
      <c r="U129" s="1590"/>
      <c r="V129" s="24">
        <f>SUM(V125:V128)</f>
        <v>4.9005514746243497</v>
      </c>
      <c r="W129" s="1586">
        <f>S129/L129</f>
        <v>5.3461358313817327</v>
      </c>
      <c r="X129" s="24">
        <f t="shared" si="73"/>
        <v>-18.367305360361918</v>
      </c>
      <c r="Y129" s="1587">
        <f t="shared" si="73"/>
        <v>-16.729823556591729</v>
      </c>
      <c r="Z129" s="30"/>
      <c r="AA129" s="1997"/>
      <c r="AC129" s="1588">
        <f>AVERAGE(AC125:AC128)</f>
        <v>20.112500000000001</v>
      </c>
      <c r="AD129" s="1613"/>
      <c r="AE129" s="24">
        <f t="shared" si="74"/>
        <v>2.2886204704386515E-2</v>
      </c>
      <c r="AF129" s="1581"/>
      <c r="AG129" s="30"/>
      <c r="AH129" s="1589">
        <f t="shared" si="77"/>
        <v>124.5304973749174</v>
      </c>
      <c r="AI129" s="35"/>
      <c r="AJ129" s="1590">
        <f>T129</f>
        <v>5232</v>
      </c>
      <c r="AK129" s="1590">
        <f>S129</f>
        <v>5707</v>
      </c>
      <c r="AL129" s="1586">
        <f t="shared" si="75"/>
        <v>260.13673088875078</v>
      </c>
      <c r="AM129" s="1591"/>
      <c r="AN129" s="24">
        <f>AL129/AL122-1</f>
        <v>-0.17990404503766833</v>
      </c>
      <c r="AO129" s="1587"/>
      <c r="AP129" s="30"/>
      <c r="AQ129" s="1816">
        <v>475</v>
      </c>
      <c r="AR129" s="1599">
        <f>AQ129/AQ122-1</f>
        <v>0.10981308411214963</v>
      </c>
      <c r="AT129" s="1603"/>
    </row>
    <row r="130" spans="1:46" s="24" customFormat="1">
      <c r="B130" s="29"/>
      <c r="D130" s="1581"/>
      <c r="F130" s="1616"/>
      <c r="H130" s="1581"/>
      <c r="J130" s="1997"/>
      <c r="L130" s="1583"/>
      <c r="N130" s="1581"/>
      <c r="O130" s="30"/>
      <c r="P130" s="1584"/>
      <c r="Q130" s="35"/>
      <c r="S130" s="1590"/>
      <c r="T130" s="1590"/>
      <c r="U130" s="1590"/>
      <c r="W130" s="1586"/>
      <c r="Y130" s="1587"/>
      <c r="Z130" s="30"/>
      <c r="AA130" s="1997"/>
      <c r="AD130" s="1588"/>
      <c r="AF130" s="1581"/>
      <c r="AG130" s="30"/>
      <c r="AH130" s="1589"/>
      <c r="AI130" s="35"/>
      <c r="AK130" s="1590"/>
      <c r="AM130" s="1591"/>
      <c r="AO130" s="1587"/>
      <c r="AP130" s="30"/>
      <c r="AQ130" s="1816"/>
    </row>
    <row r="131" spans="1:46" s="24" customFormat="1">
      <c r="A131" s="1579"/>
      <c r="B131" s="1580">
        <f>+B124+1</f>
        <v>2009</v>
      </c>
      <c r="E131" s="30"/>
      <c r="F131" s="1816"/>
      <c r="G131" s="30"/>
      <c r="I131" s="30"/>
      <c r="J131" s="1997"/>
      <c r="O131" s="30"/>
      <c r="P131" s="35"/>
      <c r="Q131" s="35"/>
      <c r="Z131" s="30"/>
      <c r="AA131" s="1997"/>
      <c r="AG131" s="30"/>
      <c r="AH131" s="35"/>
      <c r="AI131" s="35"/>
      <c r="AP131" s="30"/>
      <c r="AQ131" s="1816"/>
    </row>
    <row r="132" spans="1:46" s="24" customFormat="1">
      <c r="A132" s="24" t="str">
        <f>$A$27</f>
        <v>1Q</v>
      </c>
      <c r="B132" s="29" t="str">
        <f>$B$27</f>
        <v>Apr</v>
      </c>
      <c r="D132" s="1581">
        <f>(S132/S125-1)*100</f>
        <v>-4.0650406504065035</v>
      </c>
      <c r="E132" s="30" t="s">
        <v>489</v>
      </c>
      <c r="F132" s="1616">
        <v>-3</v>
      </c>
      <c r="G132" s="30" t="s">
        <v>489</v>
      </c>
      <c r="H132" s="1581">
        <f>D132-F132</f>
        <v>-1.0650406504065035</v>
      </c>
      <c r="I132" s="30" t="s">
        <v>489</v>
      </c>
      <c r="J132" s="1996">
        <f>'Store New'!V13</f>
        <v>1066</v>
      </c>
      <c r="K132" s="1913"/>
      <c r="L132" s="1583">
        <f>AVERAGE(J132,J128)</f>
        <v>1066.5</v>
      </c>
      <c r="N132" s="1581">
        <f>(L132/L125-1)*100</f>
        <v>0.4237288135593209</v>
      </c>
      <c r="O132" s="30" t="s">
        <v>489</v>
      </c>
      <c r="P132" s="1584">
        <f t="shared" ref="P132:P136" si="79">H132/N132*100</f>
        <v>-251.34959349593549</v>
      </c>
      <c r="Q132" s="35" t="s">
        <v>489</v>
      </c>
      <c r="S132" s="1916">
        <f>1182+116</f>
        <v>1298</v>
      </c>
      <c r="T132" s="1595">
        <f>S132-AQ132</f>
        <v>1182</v>
      </c>
      <c r="U132" s="1916"/>
      <c r="V132" s="24">
        <f t="shared" ref="V132:V135" si="80">T132/L132</f>
        <v>1.1082981715893108</v>
      </c>
      <c r="W132" s="1586">
        <f>S132/L132</f>
        <v>1.2170651664322549</v>
      </c>
      <c r="X132" s="24">
        <f t="shared" ref="X132:Y136" si="81">(V132/V125-1)*100</f>
        <v>-4.772438654704847</v>
      </c>
      <c r="Y132" s="1587">
        <f t="shared" si="81"/>
        <v>-4.4698295084216859</v>
      </c>
      <c r="Z132" s="30" t="s">
        <v>489</v>
      </c>
      <c r="AA132" s="1997">
        <f>'Store New'!Z33</f>
        <v>19.5</v>
      </c>
      <c r="AB132" s="1597"/>
      <c r="AC132" s="1588">
        <f>AVERAGE(AA132,AA128)</f>
        <v>19.8</v>
      </c>
      <c r="AD132" s="1588"/>
      <c r="AE132" s="24">
        <f t="shared" ref="AE132:AE136" si="82">AC132/AC125-1</f>
        <v>-1.2468827930174564E-2</v>
      </c>
      <c r="AF132" s="1581"/>
      <c r="AG132" s="30" t="s">
        <v>489</v>
      </c>
      <c r="AH132" s="1589">
        <f>+H132/AE132</f>
        <v>85.416260162601574</v>
      </c>
      <c r="AI132" s="35" t="s">
        <v>489</v>
      </c>
      <c r="AJ132" s="1590">
        <f>T132</f>
        <v>1182</v>
      </c>
      <c r="AK132" s="1590">
        <f>S132</f>
        <v>1298</v>
      </c>
      <c r="AL132" s="1586">
        <f t="shared" ref="AL132:AL136" si="83">AJ132/AC132</f>
        <v>59.696969696969695</v>
      </c>
      <c r="AM132" s="1591"/>
      <c r="AN132" s="24">
        <f>AL132/AL125-1</f>
        <v>-3.1614690595273109E-2</v>
      </c>
      <c r="AO132" s="1587"/>
      <c r="AP132" s="30" t="s">
        <v>489</v>
      </c>
      <c r="AQ132" s="1816">
        <v>116</v>
      </c>
      <c r="AR132" s="1599">
        <f>AQ132/AQ125-1</f>
        <v>-8.5470085470085166E-3</v>
      </c>
      <c r="AT132" s="1603"/>
    </row>
    <row r="133" spans="1:46" s="24" customFormat="1">
      <c r="A133" s="24" t="str">
        <f>$A$28</f>
        <v>2Q</v>
      </c>
      <c r="B133" s="29" t="str">
        <f>$B$28</f>
        <v>Jul</v>
      </c>
      <c r="D133" s="1581">
        <f>(S133/S126-1)*100</f>
        <v>-4.100719424460431</v>
      </c>
      <c r="F133" s="1616">
        <v>-4</v>
      </c>
      <c r="H133" s="1581">
        <f>D133-F133</f>
        <v>-0.10071942446043103</v>
      </c>
      <c r="J133" s="1996">
        <f>'Store New'!W13</f>
        <v>1062</v>
      </c>
      <c r="K133" s="1913"/>
      <c r="L133" s="1583">
        <f>AVERAGE(J133,J132)</f>
        <v>1064</v>
      </c>
      <c r="N133" s="1581">
        <f>(L133/L126-1)*100</f>
        <v>-0.14077897700609521</v>
      </c>
      <c r="O133" s="30"/>
      <c r="P133" s="1584">
        <f t="shared" si="79"/>
        <v>71.544364508395489</v>
      </c>
      <c r="Q133" s="35"/>
      <c r="S133" s="1919">
        <f>1237+96</f>
        <v>1333</v>
      </c>
      <c r="T133" s="1600">
        <f t="shared" ref="T133:T136" si="84">S133-AQ133</f>
        <v>1237</v>
      </c>
      <c r="U133" s="1919"/>
      <c r="V133" s="24">
        <f t="shared" si="80"/>
        <v>1.1625939849624061</v>
      </c>
      <c r="W133" s="1586">
        <f>S133/L133</f>
        <v>1.2528195488721805</v>
      </c>
      <c r="X133" s="24">
        <f t="shared" si="81"/>
        <v>-4.5651855949581215</v>
      </c>
      <c r="Y133" s="1587">
        <f t="shared" si="81"/>
        <v>-3.9655230702655864</v>
      </c>
      <c r="Z133" s="30"/>
      <c r="AA133" s="1997">
        <f>'Store New'!Z33</f>
        <v>19.5</v>
      </c>
      <c r="AB133" s="1597"/>
      <c r="AC133" s="1588">
        <f>AVERAGE(AA133,AA132)</f>
        <v>19.5</v>
      </c>
      <c r="AD133" s="1588"/>
      <c r="AE133" s="24">
        <f t="shared" si="82"/>
        <v>-2.9850746268656803E-2</v>
      </c>
      <c r="AF133" s="1581"/>
      <c r="AG133" s="30"/>
      <c r="AH133" s="1589">
        <f t="shared" ref="AH133:AH136" si="85">+H133/AE133</f>
        <v>3.3741007194244297</v>
      </c>
      <c r="AI133" s="35"/>
      <c r="AJ133" s="1590">
        <f>T133</f>
        <v>1237</v>
      </c>
      <c r="AK133" s="1590">
        <f>S133</f>
        <v>1333</v>
      </c>
      <c r="AL133" s="1586">
        <f t="shared" si="83"/>
        <v>63.435897435897438</v>
      </c>
      <c r="AM133" s="1591"/>
      <c r="AN133" s="24">
        <f>AL133/AL126-1</f>
        <v>-1.7672158350124367E-2</v>
      </c>
      <c r="AO133" s="1587"/>
      <c r="AP133" s="30"/>
      <c r="AQ133" s="1816">
        <v>96</v>
      </c>
      <c r="AR133" s="1599">
        <f>AQ133/AQ126-1</f>
        <v>4.3478260869565188E-2</v>
      </c>
      <c r="AT133" s="1603"/>
    </row>
    <row r="134" spans="1:46" s="24" customFormat="1">
      <c r="A134" s="24" t="str">
        <f>$A$29</f>
        <v>3Q</v>
      </c>
      <c r="B134" s="29" t="str">
        <f>$B$29</f>
        <v>Oct</v>
      </c>
      <c r="D134" s="1581">
        <f>(S134/S127-1)*100</f>
        <v>8.2171680117388171</v>
      </c>
      <c r="F134" s="1616">
        <v>10</v>
      </c>
      <c r="H134" s="1581">
        <f>D134-F134</f>
        <v>-1.7828319882611829</v>
      </c>
      <c r="J134" s="1996">
        <f>'Store New'!X13</f>
        <v>1059</v>
      </c>
      <c r="K134" s="1913"/>
      <c r="L134" s="1583">
        <f>AVERAGE(J134,J133)</f>
        <v>1060.5</v>
      </c>
      <c r="N134" s="1581">
        <f>(L134/L127-1)*100</f>
        <v>-0.98039215686274161</v>
      </c>
      <c r="O134" s="30"/>
      <c r="P134" s="1584">
        <f t="shared" si="79"/>
        <v>181.84886280264129</v>
      </c>
      <c r="Q134" s="35"/>
      <c r="S134" s="1919">
        <f>1347+128</f>
        <v>1475</v>
      </c>
      <c r="T134" s="1600">
        <f t="shared" si="84"/>
        <v>1347</v>
      </c>
      <c r="U134" s="1919"/>
      <c r="V134" s="24">
        <f t="shared" si="80"/>
        <v>1.27015558698727</v>
      </c>
      <c r="W134" s="1586">
        <f>S134/L134</f>
        <v>1.3908533710513908</v>
      </c>
      <c r="X134" s="24">
        <f t="shared" si="81"/>
        <v>10.416934550597912</v>
      </c>
      <c r="Y134" s="1587">
        <f t="shared" si="81"/>
        <v>9.2886251207659356</v>
      </c>
      <c r="Z134" s="30"/>
      <c r="AA134" s="1997">
        <f>'Store New'!Z33</f>
        <v>19.5</v>
      </c>
      <c r="AB134" s="1597"/>
      <c r="AC134" s="1588">
        <f t="shared" ref="AC134:AC135" si="86">AVERAGE(AA134,AA133)</f>
        <v>19.5</v>
      </c>
      <c r="AD134" s="1588"/>
      <c r="AE134" s="24">
        <f t="shared" si="82"/>
        <v>-3.2258064516129004E-2</v>
      </c>
      <c r="AF134" s="1581"/>
      <c r="AG134" s="30"/>
      <c r="AH134" s="1589">
        <f t="shared" si="85"/>
        <v>55.267791636096717</v>
      </c>
      <c r="AI134" s="35"/>
      <c r="AJ134" s="1590">
        <f>T134</f>
        <v>1347</v>
      </c>
      <c r="AK134" s="1590">
        <f>S134</f>
        <v>1475</v>
      </c>
      <c r="AL134" s="1586">
        <f t="shared" si="83"/>
        <v>69.07692307692308</v>
      </c>
      <c r="AM134" s="1591"/>
      <c r="AN134" s="24">
        <f>AL134/AL127-1</f>
        <v>0.12978896103896109</v>
      </c>
      <c r="AO134" s="1587"/>
      <c r="AP134" s="30"/>
      <c r="AQ134" s="1816">
        <v>128</v>
      </c>
      <c r="AR134" s="1599">
        <f>AQ134/AQ127-1</f>
        <v>-2.2900763358778664E-2</v>
      </c>
      <c r="AT134" s="1603"/>
    </row>
    <row r="135" spans="1:46" s="24" customFormat="1">
      <c r="A135" s="24" t="str">
        <f>$A$30</f>
        <v>4Q</v>
      </c>
      <c r="B135" s="29" t="str">
        <f>$B$30</f>
        <v>Jan</v>
      </c>
      <c r="D135" s="1606">
        <f>(S135/S128-1)*100</f>
        <v>6.3085571517801364</v>
      </c>
      <c r="F135" s="1607">
        <v>7</v>
      </c>
      <c r="H135" s="1606">
        <f>D135-F135</f>
        <v>-0.69144284821986357</v>
      </c>
      <c r="J135" s="1996">
        <f>'Store New'!Y13</f>
        <v>1039</v>
      </c>
      <c r="K135" s="1913"/>
      <c r="L135" s="1608">
        <f>AVERAGE(J135,J134)</f>
        <v>1049</v>
      </c>
      <c r="N135" s="1606">
        <f>(L135/L128-1)*100</f>
        <v>-2.0998600093327102</v>
      </c>
      <c r="O135" s="30"/>
      <c r="P135" s="1609">
        <f t="shared" si="79"/>
        <v>32.928044971892625</v>
      </c>
      <c r="Q135" s="35"/>
      <c r="S135" s="1918">
        <f>S136-SUM(S132:S134)</f>
        <v>1702</v>
      </c>
      <c r="T135" s="1610">
        <f t="shared" si="84"/>
        <v>1569</v>
      </c>
      <c r="U135" s="1919"/>
      <c r="V135" s="24">
        <f t="shared" si="80"/>
        <v>1.4957102001906577</v>
      </c>
      <c r="W135" s="1586">
        <f>S135/L135</f>
        <v>1.6224976167778837</v>
      </c>
      <c r="X135" s="24">
        <f t="shared" si="81"/>
        <v>9.3215197479051604</v>
      </c>
      <c r="Y135" s="1612">
        <f t="shared" si="81"/>
        <v>8.5887692927859138</v>
      </c>
      <c r="Z135" s="30"/>
      <c r="AA135" s="1997">
        <f>'Store New'!Z33</f>
        <v>19.5</v>
      </c>
      <c r="AB135" s="1597"/>
      <c r="AC135" s="1588">
        <f t="shared" si="86"/>
        <v>19.5</v>
      </c>
      <c r="AD135" s="1613"/>
      <c r="AE135" s="24">
        <f t="shared" si="82"/>
        <v>-3.2258064516129004E-2</v>
      </c>
      <c r="AF135" s="1606"/>
      <c r="AG135" s="30"/>
      <c r="AH135" s="1608">
        <f t="shared" si="85"/>
        <v>21.434728294815791</v>
      </c>
      <c r="AI135" s="35"/>
      <c r="AJ135" s="1590">
        <f>T135</f>
        <v>1569</v>
      </c>
      <c r="AK135" s="1590">
        <f>S135</f>
        <v>1702</v>
      </c>
      <c r="AL135" s="1586">
        <f t="shared" si="83"/>
        <v>80.461538461538467</v>
      </c>
      <c r="AM135" s="1591"/>
      <c r="AN135" s="24">
        <f>AL135/AL128-1</f>
        <v>0.10593451568894952</v>
      </c>
      <c r="AO135" s="1587"/>
      <c r="AP135" s="30"/>
      <c r="AQ135" s="1924">
        <v>133</v>
      </c>
      <c r="AR135" s="1599">
        <f>AQ135/AQ128-1</f>
        <v>-1.4814814814814836E-2</v>
      </c>
      <c r="AT135" s="1614"/>
    </row>
    <row r="136" spans="1:46" s="24" customFormat="1">
      <c r="B136" s="29" t="str">
        <f>$B$31</f>
        <v>Year</v>
      </c>
      <c r="D136" s="1581">
        <f>(S136/S129-1)*100</f>
        <v>1.7697564394603127</v>
      </c>
      <c r="F136" s="1616">
        <v>2.991377694470478</v>
      </c>
      <c r="H136" s="1581">
        <f>D136-F136</f>
        <v>-1.2216212550101653</v>
      </c>
      <c r="J136" s="1782"/>
      <c r="L136" s="1583">
        <f>AVERAGE(L132:L135)</f>
        <v>1060</v>
      </c>
      <c r="N136" s="1581">
        <f>(L136/L129-1)*100</f>
        <v>-0.70257611241217877</v>
      </c>
      <c r="O136" s="30"/>
      <c r="P136" s="1584">
        <f t="shared" si="79"/>
        <v>173.87742529644669</v>
      </c>
      <c r="Q136" s="35"/>
      <c r="S136" s="400">
        <v>5808</v>
      </c>
      <c r="T136" s="1617">
        <f t="shared" si="84"/>
        <v>5335</v>
      </c>
      <c r="U136" s="400"/>
      <c r="V136" s="24">
        <f>SUM(V132:V135)</f>
        <v>5.0367579437296444</v>
      </c>
      <c r="W136" s="1586">
        <f>S136/L136</f>
        <v>5.4792452830188676</v>
      </c>
      <c r="X136" s="24">
        <f t="shared" si="81"/>
        <v>2.7794110481358825</v>
      </c>
      <c r="Y136" s="1587">
        <f t="shared" si="81"/>
        <v>2.4898254708715983</v>
      </c>
      <c r="Z136" s="30"/>
      <c r="AA136" s="1997"/>
      <c r="AC136" s="1588">
        <f>AVERAGE(AC132:AC135)</f>
        <v>19.574999999999999</v>
      </c>
      <c r="AD136" s="1613"/>
      <c r="AE136" s="24">
        <f t="shared" si="82"/>
        <v>-2.6724673710379232E-2</v>
      </c>
      <c r="AF136" s="1581"/>
      <c r="AG136" s="30"/>
      <c r="AH136" s="1589">
        <f t="shared" si="85"/>
        <v>45.711362774682499</v>
      </c>
      <c r="AI136" s="35"/>
      <c r="AJ136" s="1590">
        <f>T136</f>
        <v>5335</v>
      </c>
      <c r="AK136" s="1590">
        <f>S136</f>
        <v>5808</v>
      </c>
      <c r="AL136" s="1586">
        <f t="shared" si="83"/>
        <v>272.54150702426563</v>
      </c>
      <c r="AM136" s="1591"/>
      <c r="AN136" s="24">
        <f>AL136/AL129-1</f>
        <v>4.7685600157787222E-2</v>
      </c>
      <c r="AO136" s="1587"/>
      <c r="AP136" s="30"/>
      <c r="AQ136" s="1816">
        <v>473</v>
      </c>
      <c r="AR136" s="1599">
        <f>AQ136/AQ129-1</f>
        <v>-4.2105263157894424E-3</v>
      </c>
      <c r="AT136" s="1603"/>
    </row>
    <row r="137" spans="1:46" s="24" customFormat="1">
      <c r="B137" s="29"/>
      <c r="D137" s="1581"/>
      <c r="F137" s="1616"/>
      <c r="H137" s="1581"/>
      <c r="J137" s="1782"/>
      <c r="L137" s="1583"/>
      <c r="N137" s="1581"/>
      <c r="O137" s="30"/>
      <c r="P137" s="1584"/>
      <c r="Q137" s="35"/>
      <c r="S137" s="1590"/>
      <c r="T137" s="1590"/>
      <c r="U137" s="1590"/>
      <c r="Y137" s="1587"/>
      <c r="Z137" s="30"/>
      <c r="AA137" s="1997"/>
      <c r="AD137" s="1588"/>
      <c r="AF137" s="1581"/>
      <c r="AG137" s="30"/>
      <c r="AH137" s="1589"/>
      <c r="AI137" s="35"/>
      <c r="AP137" s="30"/>
      <c r="AQ137" s="1816"/>
    </row>
    <row r="138" spans="1:46" s="24" customFormat="1">
      <c r="A138" s="1579"/>
      <c r="B138" s="1580">
        <f>+B131+1</f>
        <v>2010</v>
      </c>
      <c r="E138" s="30"/>
      <c r="F138" s="1816"/>
      <c r="G138" s="30"/>
      <c r="I138" s="30"/>
      <c r="J138" s="1782"/>
      <c r="O138" s="30"/>
      <c r="P138" s="35"/>
      <c r="Q138" s="35"/>
      <c r="Z138" s="30"/>
      <c r="AA138" s="1997"/>
      <c r="AG138" s="30"/>
      <c r="AH138" s="35"/>
      <c r="AI138" s="35"/>
      <c r="AP138" s="30"/>
      <c r="AQ138" s="1816"/>
    </row>
    <row r="139" spans="1:46" s="24" customFormat="1">
      <c r="A139" s="24" t="str">
        <f>$A$27</f>
        <v>1Q</v>
      </c>
      <c r="B139" s="29" t="str">
        <f>$B$27</f>
        <v>Apr</v>
      </c>
      <c r="D139" s="1581">
        <f>(S139/S132-1)*100</f>
        <v>6.0862865947611811</v>
      </c>
      <c r="E139" s="30" t="s">
        <v>489</v>
      </c>
      <c r="F139" s="1616">
        <v>7</v>
      </c>
      <c r="G139" s="30" t="s">
        <v>489</v>
      </c>
      <c r="H139" s="1581">
        <f>D139-F139</f>
        <v>-0.91371340523881894</v>
      </c>
      <c r="I139" s="30" t="s">
        <v>489</v>
      </c>
      <c r="J139" s="1798">
        <f>'Store New'!Z13</f>
        <v>1035</v>
      </c>
      <c r="K139" s="1913"/>
      <c r="L139" s="1583">
        <f>AVERAGE(J139,J135)</f>
        <v>1037</v>
      </c>
      <c r="N139" s="1581">
        <f>(L139/L132-1)*100</f>
        <v>-2.766057196436944</v>
      </c>
      <c r="O139" s="30" t="s">
        <v>489</v>
      </c>
      <c r="P139" s="1584">
        <f t="shared" ref="P139:P143" si="87">H139/N139*100</f>
        <v>33.033062599566101</v>
      </c>
      <c r="Q139" s="35" t="s">
        <v>489</v>
      </c>
      <c r="S139" s="1916">
        <f>1255+122</f>
        <v>1377</v>
      </c>
      <c r="T139" s="1595">
        <f>S139-AQ139</f>
        <v>1255</v>
      </c>
      <c r="U139" s="1916"/>
      <c r="V139" s="24">
        <f t="shared" ref="V139:V142" si="88">T139/L139</f>
        <v>1.2102217936354869</v>
      </c>
      <c r="W139" s="1586">
        <f>S139/L139</f>
        <v>1.3278688524590163</v>
      </c>
      <c r="X139" s="24">
        <f t="shared" ref="X139:Y143" si="89">(V139/V132-1)*100</f>
        <v>9.1964080298009065</v>
      </c>
      <c r="Y139" s="1587">
        <f t="shared" si="89"/>
        <v>9.1041703503498503</v>
      </c>
      <c r="Z139" s="30" t="s">
        <v>489</v>
      </c>
      <c r="AA139" s="1997">
        <f>'Store New'!Z33</f>
        <v>19.5</v>
      </c>
      <c r="AB139" s="1597"/>
      <c r="AC139" s="1588">
        <f>AVERAGE(AA139,AA135)</f>
        <v>19.5</v>
      </c>
      <c r="AD139" s="1588"/>
      <c r="AE139" s="24">
        <f t="shared" ref="AE139:AE143" si="90">AC139/AC132-1</f>
        <v>-1.5151515151515138E-2</v>
      </c>
      <c r="AF139" s="1581"/>
      <c r="AG139" s="30" t="s">
        <v>489</v>
      </c>
      <c r="AH139" s="1589">
        <f>+H139/AE139</f>
        <v>60.305084745762102</v>
      </c>
      <c r="AI139" s="35" t="s">
        <v>489</v>
      </c>
      <c r="AJ139" s="1590">
        <f>T139</f>
        <v>1255</v>
      </c>
      <c r="AK139" s="1590">
        <f>S139</f>
        <v>1377</v>
      </c>
      <c r="AL139" s="1586">
        <f t="shared" ref="AL139:AL143" si="91">AJ139/AC139</f>
        <v>64.358974358974365</v>
      </c>
      <c r="AM139" s="1591"/>
      <c r="AN139" s="24">
        <f>AL139/AL132-1</f>
        <v>7.809449433814919E-2</v>
      </c>
      <c r="AO139" s="1587"/>
      <c r="AP139" s="30" t="s">
        <v>489</v>
      </c>
      <c r="AQ139" s="1816">
        <v>122</v>
      </c>
      <c r="AR139" s="1599">
        <f>AQ139/AQ132-1</f>
        <v>5.1724137931034475E-2</v>
      </c>
      <c r="AT139" s="1603"/>
    </row>
    <row r="140" spans="1:46" s="24" customFormat="1">
      <c r="A140" s="24" t="str">
        <f>$A$28</f>
        <v>2Q</v>
      </c>
      <c r="B140" s="29" t="str">
        <f>$B$28</f>
        <v>Jul</v>
      </c>
      <c r="D140" s="1581">
        <f>(S140/S133-1)*100</f>
        <v>1.2003000750187454</v>
      </c>
      <c r="F140" s="1616">
        <v>2</v>
      </c>
      <c r="H140" s="1581">
        <f>D140-F140</f>
        <v>-0.79969992498125464</v>
      </c>
      <c r="J140" s="1798">
        <f>'Store New'!AA13</f>
        <v>1035</v>
      </c>
      <c r="K140" s="1913"/>
      <c r="L140" s="1583">
        <f>AVERAGE(J140,J139)</f>
        <v>1035</v>
      </c>
      <c r="N140" s="1581">
        <f>(L140/L133-1)*100</f>
        <v>-2.7255639097744311</v>
      </c>
      <c r="O140" s="30"/>
      <c r="P140" s="1584">
        <f t="shared" si="87"/>
        <v>29.340714488967468</v>
      </c>
      <c r="Q140" s="35"/>
      <c r="S140" s="1919">
        <f>1246+103</f>
        <v>1349</v>
      </c>
      <c r="T140" s="1600">
        <f t="shared" ref="T140:T143" si="92">S140-AQ140</f>
        <v>1246</v>
      </c>
      <c r="U140" s="1919"/>
      <c r="V140" s="24">
        <f t="shared" si="88"/>
        <v>1.203864734299517</v>
      </c>
      <c r="W140" s="1586">
        <f>S140/L140</f>
        <v>1.3033816425120772</v>
      </c>
      <c r="X140" s="24">
        <f t="shared" si="89"/>
        <v>3.5498849874443072</v>
      </c>
      <c r="Y140" s="1587">
        <f t="shared" si="89"/>
        <v>4.0358640384733802</v>
      </c>
      <c r="Z140" s="30"/>
      <c r="AA140" s="1997">
        <f>'Store New'!AA33</f>
        <v>19.3</v>
      </c>
      <c r="AB140" s="1597"/>
      <c r="AC140" s="1588">
        <f>AVERAGE(AA140,AA139)</f>
        <v>19.399999999999999</v>
      </c>
      <c r="AD140" s="1588"/>
      <c r="AE140" s="24">
        <f t="shared" si="90"/>
        <v>-5.128205128205221E-3</v>
      </c>
      <c r="AF140" s="1581"/>
      <c r="AG140" s="30"/>
      <c r="AH140" s="1589">
        <f t="shared" ref="AH140:AH143" si="93">+H140/AE140</f>
        <v>155.94148537134183</v>
      </c>
      <c r="AI140" s="35"/>
      <c r="AJ140" s="1590">
        <f>T140</f>
        <v>1246</v>
      </c>
      <c r="AK140" s="1590">
        <f>S140</f>
        <v>1349</v>
      </c>
      <c r="AL140" s="1586">
        <f t="shared" si="91"/>
        <v>64.226804123711347</v>
      </c>
      <c r="AM140" s="1591"/>
      <c r="AN140" s="24">
        <f>AL140/AL133-1</f>
        <v>1.2467809549208786E-2</v>
      </c>
      <c r="AO140" s="1587"/>
      <c r="AP140" s="30"/>
      <c r="AQ140" s="1816">
        <v>103</v>
      </c>
      <c r="AR140" s="1599">
        <f>AQ140/AQ133-1</f>
        <v>7.2916666666666741E-2</v>
      </c>
      <c r="AT140" s="1603"/>
    </row>
    <row r="141" spans="1:46" s="24" customFormat="1">
      <c r="A141" s="24" t="str">
        <f>$A$29</f>
        <v>3Q</v>
      </c>
      <c r="B141" s="29" t="str">
        <f>$B$29</f>
        <v>Oct</v>
      </c>
      <c r="D141" s="1581">
        <f>(S141/S134-1)*100</f>
        <v>-1.4237288135593218</v>
      </c>
      <c r="F141" s="1616">
        <v>0</v>
      </c>
      <c r="H141" s="1581">
        <f>D141-F141</f>
        <v>-1.4237288135593218</v>
      </c>
      <c r="J141" s="1798">
        <f>'Store New'!AB13</f>
        <v>1036</v>
      </c>
      <c r="K141" s="1913"/>
      <c r="L141" s="1583">
        <f>AVERAGE(J141,J140)</f>
        <v>1035.5</v>
      </c>
      <c r="N141" s="1581">
        <f>(L141/L134-1)*100</f>
        <v>-2.3573785950023574</v>
      </c>
      <c r="O141" s="30"/>
      <c r="P141" s="1584">
        <f t="shared" si="87"/>
        <v>60.39457627118643</v>
      </c>
      <c r="Q141" s="35"/>
      <c r="S141" s="1919">
        <f>1307+147</f>
        <v>1454</v>
      </c>
      <c r="T141" s="1600">
        <f t="shared" si="92"/>
        <v>1307</v>
      </c>
      <c r="U141" s="1919"/>
      <c r="V141" s="24">
        <f t="shared" si="88"/>
        <v>1.2621921776919363</v>
      </c>
      <c r="W141" s="1586">
        <f>S141/L141</f>
        <v>1.4041525832930952</v>
      </c>
      <c r="X141" s="24">
        <f t="shared" si="89"/>
        <v>-0.62696329307361243</v>
      </c>
      <c r="Y141" s="1587">
        <f t="shared" si="89"/>
        <v>0.95619081914084525</v>
      </c>
      <c r="Z141" s="30"/>
      <c r="AA141" s="1997">
        <f>'Store New'!AB33</f>
        <v>19.3</v>
      </c>
      <c r="AB141" s="1597"/>
      <c r="AC141" s="1588">
        <f t="shared" ref="AC141:AC142" si="94">AVERAGE(AA141,AA140)</f>
        <v>19.3</v>
      </c>
      <c r="AD141" s="1588"/>
      <c r="AE141" s="24">
        <f t="shared" si="90"/>
        <v>-1.025641025641022E-2</v>
      </c>
      <c r="AF141" s="1581"/>
      <c r="AG141" s="30"/>
      <c r="AH141" s="1589">
        <f t="shared" si="93"/>
        <v>138.81355932203437</v>
      </c>
      <c r="AI141" s="35"/>
      <c r="AJ141" s="1590">
        <f>T141</f>
        <v>1307</v>
      </c>
      <c r="AK141" s="1590">
        <f>S141</f>
        <v>1454</v>
      </c>
      <c r="AL141" s="1586">
        <f t="shared" si="91"/>
        <v>67.720207253886002</v>
      </c>
      <c r="AM141" s="1591"/>
      <c r="AN141" s="24">
        <f>AL141/AL134-1</f>
        <v>-1.9640652226594724E-2</v>
      </c>
      <c r="AO141" s="1587"/>
      <c r="AP141" s="30"/>
      <c r="AQ141" s="1816">
        <v>147</v>
      </c>
      <c r="AR141" s="1599">
        <f>AQ141/AQ134-1</f>
        <v>0.1484375</v>
      </c>
      <c r="AT141" s="1603"/>
    </row>
    <row r="142" spans="1:46" s="24" customFormat="1">
      <c r="A142" s="24" t="str">
        <f>$A$30</f>
        <v>4Q</v>
      </c>
      <c r="B142" s="29" t="str">
        <f>$B$30</f>
        <v>Jan</v>
      </c>
      <c r="D142" s="1606">
        <f>(S142/S135-1)*100</f>
        <v>1.3513513513513598</v>
      </c>
      <c r="F142" s="1607">
        <v>2</v>
      </c>
      <c r="H142" s="1606">
        <f>D142-F142</f>
        <v>-0.64864864864864025</v>
      </c>
      <c r="J142" s="1798">
        <f>'Store New'!AC13</f>
        <v>1027</v>
      </c>
      <c r="K142" s="1913"/>
      <c r="L142" s="1608">
        <f>AVERAGE(J142,J141)</f>
        <v>1031.5</v>
      </c>
      <c r="N142" s="1606">
        <f>(L142/L135-1)*100</f>
        <v>-1.668255481410863</v>
      </c>
      <c r="O142" s="30"/>
      <c r="P142" s="1609">
        <f t="shared" si="87"/>
        <v>38.881853281852884</v>
      </c>
      <c r="Q142" s="35"/>
      <c r="S142" s="1918">
        <f>S143-SUM(S139:S141)</f>
        <v>1725</v>
      </c>
      <c r="T142" s="1610">
        <f t="shared" si="92"/>
        <v>1564</v>
      </c>
      <c r="U142" s="1919"/>
      <c r="V142" s="24">
        <f t="shared" si="88"/>
        <v>1.5162384876393602</v>
      </c>
      <c r="W142" s="1586">
        <f>S142/L142</f>
        <v>1.6723218613669413</v>
      </c>
      <c r="X142" s="24">
        <f t="shared" si="89"/>
        <v>1.3724775993428251</v>
      </c>
      <c r="Y142" s="1612">
        <f t="shared" si="89"/>
        <v>3.0708362264348699</v>
      </c>
      <c r="Z142" s="30"/>
      <c r="AA142" s="1997">
        <f>'Store New'!AC33</f>
        <v>19</v>
      </c>
      <c r="AB142" s="1597"/>
      <c r="AC142" s="1588">
        <f t="shared" si="94"/>
        <v>19.149999999999999</v>
      </c>
      <c r="AD142" s="1613"/>
      <c r="AE142" s="24">
        <f t="shared" si="90"/>
        <v>-1.7948717948717996E-2</v>
      </c>
      <c r="AF142" s="1606"/>
      <c r="AG142" s="30"/>
      <c r="AH142" s="1608">
        <f t="shared" si="93"/>
        <v>36.138996138995573</v>
      </c>
      <c r="AI142" s="35"/>
      <c r="AJ142" s="1590">
        <f>T142</f>
        <v>1564</v>
      </c>
      <c r="AK142" s="1590">
        <f>S142</f>
        <v>1725</v>
      </c>
      <c r="AL142" s="1586">
        <f t="shared" si="91"/>
        <v>81.67101827676241</v>
      </c>
      <c r="AM142" s="1591"/>
      <c r="AN142" s="24">
        <f>AL142/AL135-1</f>
        <v>1.5031775906224842E-2</v>
      </c>
      <c r="AO142" s="1587"/>
      <c r="AP142" s="30"/>
      <c r="AQ142" s="1924">
        <v>161</v>
      </c>
      <c r="AR142" s="1599">
        <f>AQ142/AQ135-1</f>
        <v>0.21052631578947367</v>
      </c>
      <c r="AT142" s="1614"/>
    </row>
    <row r="143" spans="1:46" s="24" customFormat="1">
      <c r="B143" s="29" t="str">
        <f>$B$31</f>
        <v>Year</v>
      </c>
      <c r="D143" s="1581">
        <f>(S143/S136-1)*100</f>
        <v>1.6701101928374706</v>
      </c>
      <c r="F143" s="1616">
        <v>2.6814966492926287</v>
      </c>
      <c r="H143" s="1581">
        <f>D143-F143</f>
        <v>-1.011386456455158</v>
      </c>
      <c r="J143" s="1782"/>
      <c r="L143" s="1583">
        <f>AVERAGE(L139:L142)</f>
        <v>1034.75</v>
      </c>
      <c r="N143" s="1581">
        <f>(L143/L136-1)*100</f>
        <v>-2.3820754716981085</v>
      </c>
      <c r="O143" s="30"/>
      <c r="P143" s="1584">
        <f t="shared" si="87"/>
        <v>42.458203716533447</v>
      </c>
      <c r="Q143" s="35"/>
      <c r="S143" s="400">
        <v>5905</v>
      </c>
      <c r="T143" s="1617">
        <f t="shared" si="92"/>
        <v>5372</v>
      </c>
      <c r="U143" s="400"/>
      <c r="V143" s="24">
        <f>SUM(V139:V142)</f>
        <v>5.1925171932663003</v>
      </c>
      <c r="W143" s="1586">
        <f>S143/L143</f>
        <v>5.7066924377869048</v>
      </c>
      <c r="X143" s="24">
        <f t="shared" si="89"/>
        <v>3.0924505659551071</v>
      </c>
      <c r="Y143" s="1587">
        <f t="shared" si="89"/>
        <v>4.1510672185626651</v>
      </c>
      <c r="Z143" s="30"/>
      <c r="AC143" s="1588">
        <f>AVERAGE(AC139:AC142)</f>
        <v>19.337499999999999</v>
      </c>
      <c r="AD143" s="1613"/>
      <c r="AE143" s="24">
        <f t="shared" si="90"/>
        <v>-1.2132822477650129E-2</v>
      </c>
      <c r="AF143" s="1581"/>
      <c r="AG143" s="30"/>
      <c r="AH143" s="1589">
        <f t="shared" si="93"/>
        <v>83.359536358356252</v>
      </c>
      <c r="AI143" s="35"/>
      <c r="AJ143" s="1590">
        <f>T143</f>
        <v>5372</v>
      </c>
      <c r="AK143" s="1590">
        <f>S143</f>
        <v>5905</v>
      </c>
      <c r="AL143" s="1586">
        <f t="shared" si="91"/>
        <v>277.80219780219784</v>
      </c>
      <c r="AM143" s="1591"/>
      <c r="AN143" s="24">
        <f>AL143/AL136-1</f>
        <v>1.9302347137398979E-2</v>
      </c>
      <c r="AO143" s="1587"/>
      <c r="AP143" s="30"/>
      <c r="AQ143" s="1816">
        <v>533</v>
      </c>
      <c r="AR143" s="1599">
        <f>AQ143/AQ136-1</f>
        <v>0.12684989429175486</v>
      </c>
      <c r="AT143" s="1603"/>
    </row>
    <row r="144" spans="1:46" s="24" customFormat="1">
      <c r="B144" s="1928"/>
      <c r="D144" s="1581"/>
      <c r="F144" s="1616"/>
      <c r="H144" s="1581"/>
      <c r="J144" s="1782"/>
      <c r="L144" s="1583"/>
      <c r="N144" s="1581"/>
      <c r="O144" s="30"/>
      <c r="P144" s="1584"/>
      <c r="Q144" s="35"/>
      <c r="S144" s="1590"/>
      <c r="T144" s="1929"/>
      <c r="U144" s="1590"/>
      <c r="Y144" s="1587"/>
      <c r="Z144" s="30"/>
      <c r="AD144" s="1588"/>
      <c r="AF144" s="1581"/>
      <c r="AG144" s="30"/>
      <c r="AH144" s="1589"/>
      <c r="AI144" s="35"/>
      <c r="AP144" s="30"/>
      <c r="AQ144" s="1816"/>
    </row>
    <row r="145" spans="1:46" s="24" customFormat="1">
      <c r="A145" s="1579"/>
      <c r="B145" s="1580">
        <f>+B138+1</f>
        <v>2011</v>
      </c>
      <c r="E145" s="30"/>
      <c r="F145" s="1816"/>
      <c r="G145" s="30"/>
      <c r="I145" s="30"/>
      <c r="J145" s="1782"/>
      <c r="O145" s="30"/>
      <c r="P145" s="35"/>
      <c r="Q145" s="35"/>
      <c r="Z145" s="30"/>
      <c r="AG145" s="30"/>
      <c r="AH145" s="35"/>
      <c r="AI145" s="35"/>
      <c r="AP145" s="30"/>
      <c r="AQ145" s="1816"/>
    </row>
    <row r="146" spans="1:46" s="24" customFormat="1">
      <c r="A146" s="24" t="str">
        <f>$A$27</f>
        <v>1Q</v>
      </c>
      <c r="B146" s="29" t="str">
        <f>$B$27</f>
        <v>Apr</v>
      </c>
      <c r="D146" s="1581">
        <f>(T146/T139-1)*100</f>
        <v>-5.5776892430278835</v>
      </c>
      <c r="E146" s="30" t="s">
        <v>489</v>
      </c>
      <c r="F146" s="1616">
        <v>-2</v>
      </c>
      <c r="G146" s="30" t="s">
        <v>489</v>
      </c>
      <c r="H146" s="1581">
        <f>D146-F146</f>
        <v>-3.5776892430278835</v>
      </c>
      <c r="I146" s="30" t="s">
        <v>489</v>
      </c>
      <c r="J146" s="1798">
        <f>'Store New'!AD13</f>
        <v>1021</v>
      </c>
      <c r="K146" s="1913"/>
      <c r="L146" s="1583">
        <f>AVERAGE(J146,J142)</f>
        <v>1024</v>
      </c>
      <c r="N146" s="1581">
        <f>(L146/L139-1)*100</f>
        <v>-1.2536162005785889</v>
      </c>
      <c r="O146" s="30" t="s">
        <v>489</v>
      </c>
      <c r="P146" s="1584">
        <f t="shared" ref="P146:P150" si="95">H146/N146*100</f>
        <v>285.38951884768647</v>
      </c>
      <c r="Q146" s="35" t="s">
        <v>489</v>
      </c>
      <c r="S146" s="1916">
        <f>1185+140</f>
        <v>1325</v>
      </c>
      <c r="T146" s="1595">
        <f>S146-AQ146</f>
        <v>1185</v>
      </c>
      <c r="U146" s="1916"/>
      <c r="V146" s="24">
        <f t="shared" ref="V146:V149" si="96">T146/L146</f>
        <v>1.1572265625</v>
      </c>
      <c r="W146" s="1586">
        <f>S146/L146</f>
        <v>1.2939453125</v>
      </c>
      <c r="X146" s="24">
        <f t="shared" ref="X146:Y150" si="97">(V146/V139-1)*100</f>
        <v>-4.378968500996006</v>
      </c>
      <c r="Y146" s="1587">
        <f t="shared" si="97"/>
        <v>-2.5547357253086322</v>
      </c>
      <c r="Z146" s="30" t="s">
        <v>489</v>
      </c>
      <c r="AA146" s="24">
        <f>'Store New'!AD33</f>
        <v>18.600000000000001</v>
      </c>
      <c r="AB146" s="1597"/>
      <c r="AC146" s="1588">
        <f>AVERAGE(AA146,AA142)</f>
        <v>18.8</v>
      </c>
      <c r="AD146" s="1588"/>
      <c r="AE146" s="24">
        <f t="shared" ref="AE146:AE150" si="98">AC146/AC139-1</f>
        <v>-3.5897435897435881E-2</v>
      </c>
      <c r="AF146" s="1581"/>
      <c r="AG146" s="30" t="s">
        <v>489</v>
      </c>
      <c r="AH146" s="1589">
        <f>+H146/AE146</f>
        <v>99.664200341491082</v>
      </c>
      <c r="AI146" s="35" t="s">
        <v>489</v>
      </c>
      <c r="AJ146" s="1590">
        <f>T146</f>
        <v>1185</v>
      </c>
      <c r="AK146" s="1590">
        <f>S146</f>
        <v>1325</v>
      </c>
      <c r="AL146" s="1586">
        <f t="shared" ref="AL146:AL150" si="99">AJ146/AC146</f>
        <v>63.031914893617021</v>
      </c>
      <c r="AM146" s="1591"/>
      <c r="AN146" s="24">
        <f>AL146/AL139-1</f>
        <v>-2.0619649063321255E-2</v>
      </c>
      <c r="AO146" s="1587"/>
      <c r="AP146" s="30" t="s">
        <v>489</v>
      </c>
      <c r="AQ146" s="1816">
        <v>140</v>
      </c>
      <c r="AR146" s="1599">
        <f>AQ146/AQ139-1</f>
        <v>0.14754098360655732</v>
      </c>
      <c r="AT146" s="1603"/>
    </row>
    <row r="147" spans="1:46" s="24" customFormat="1">
      <c r="A147" s="24" t="str">
        <f>$A$28</f>
        <v>2Q</v>
      </c>
      <c r="B147" s="29" t="str">
        <f>$B$28</f>
        <v>Jul</v>
      </c>
      <c r="D147" s="1581">
        <f>(T147/T140-1)*100</f>
        <v>-1.4446227929374</v>
      </c>
      <c r="F147" s="1616">
        <v>0</v>
      </c>
      <c r="H147" s="1581">
        <f>D147-F147</f>
        <v>-1.4446227929374</v>
      </c>
      <c r="J147" s="1798">
        <f>'Store New'!AE13</f>
        <v>1022</v>
      </c>
      <c r="K147" s="1913"/>
      <c r="L147" s="1583">
        <f>AVERAGE(J147,J146)</f>
        <v>1021.5</v>
      </c>
      <c r="N147" s="1581">
        <f>(L147/L140-1)*100</f>
        <v>-1.3043478260869601</v>
      </c>
      <c r="O147" s="30"/>
      <c r="P147" s="1584">
        <f t="shared" si="95"/>
        <v>110.75441412520037</v>
      </c>
      <c r="Q147" s="35"/>
      <c r="S147" s="1919">
        <f>122+1228</f>
        <v>1350</v>
      </c>
      <c r="T147" s="38">
        <f t="shared" ref="T147:T150" si="100">S147-AQ147</f>
        <v>1228</v>
      </c>
      <c r="U147" s="1919"/>
      <c r="V147" s="24">
        <f t="shared" si="96"/>
        <v>1.2021536955457661</v>
      </c>
      <c r="W147" s="1586">
        <f>S147/L147</f>
        <v>1.3215859030837005</v>
      </c>
      <c r="X147" s="24">
        <f t="shared" si="97"/>
        <v>-0.14212882103789015</v>
      </c>
      <c r="Y147" s="1587">
        <f t="shared" si="97"/>
        <v>1.3966945657249985</v>
      </c>
      <c r="Z147" s="30"/>
      <c r="AA147" s="24">
        <f>'Store New'!AE33</f>
        <v>18.5</v>
      </c>
      <c r="AB147" s="1597"/>
      <c r="AC147" s="1588">
        <f>AVERAGE(AA147,AA146)</f>
        <v>18.55</v>
      </c>
      <c r="AD147" s="1588"/>
      <c r="AE147" s="24">
        <f t="shared" si="98"/>
        <v>-4.3814432989690566E-2</v>
      </c>
      <c r="AF147" s="1581"/>
      <c r="AG147" s="30"/>
      <c r="AH147" s="1589">
        <f t="shared" ref="AH147:AH150" si="101">+H147/AE147</f>
        <v>32.971390803512541</v>
      </c>
      <c r="AI147" s="35"/>
      <c r="AJ147" s="1590">
        <f>T147</f>
        <v>1228</v>
      </c>
      <c r="AK147" s="1590">
        <f>S147</f>
        <v>1350</v>
      </c>
      <c r="AL147" s="1586">
        <f t="shared" si="99"/>
        <v>66.19946091644205</v>
      </c>
      <c r="AM147" s="1591"/>
      <c r="AN147" s="24">
        <f>AL147/AL140-1</f>
        <v>3.0713917960654591E-2</v>
      </c>
      <c r="AO147" s="1587"/>
      <c r="AP147" s="30"/>
      <c r="AQ147" s="1816">
        <v>122</v>
      </c>
      <c r="AR147" s="1599">
        <f>AQ147/AQ140-1</f>
        <v>0.18446601941747565</v>
      </c>
      <c r="AT147" s="1603"/>
    </row>
    <row r="148" spans="1:46" s="24" customFormat="1">
      <c r="A148" s="24" t="str">
        <f>$A$29</f>
        <v>3Q</v>
      </c>
      <c r="B148" s="29" t="str">
        <f>$B$29</f>
        <v>Oct</v>
      </c>
      <c r="D148" s="1581">
        <f>(T148/T141-1)*100</f>
        <v>-7.8041315990818649</v>
      </c>
      <c r="F148" s="1616">
        <v>-4</v>
      </c>
      <c r="H148" s="1581">
        <f>D148-F148</f>
        <v>-3.8041315990818649</v>
      </c>
      <c r="J148" s="1798">
        <f>'Store New'!AF13</f>
        <v>1022</v>
      </c>
      <c r="K148" s="1913"/>
      <c r="L148" s="1583">
        <f>AVERAGE(J148,J147)</f>
        <v>1022</v>
      </c>
      <c r="N148" s="1581">
        <f>(L148/L141-1)*100</f>
        <v>-1.3037180106228896</v>
      </c>
      <c r="O148" s="30"/>
      <c r="P148" s="1584">
        <f t="shared" si="95"/>
        <v>291.79098302587147</v>
      </c>
      <c r="Q148" s="35"/>
      <c r="S148" s="1919">
        <f>178+1205</f>
        <v>1383</v>
      </c>
      <c r="T148" s="38">
        <f t="shared" si="100"/>
        <v>1205</v>
      </c>
      <c r="U148" s="1919"/>
      <c r="V148" s="24">
        <f t="shared" si="96"/>
        <v>1.1790606653620352</v>
      </c>
      <c r="W148" s="1586">
        <f>S148/L148</f>
        <v>1.3532289628180039</v>
      </c>
      <c r="X148" s="24">
        <f t="shared" si="97"/>
        <v>-6.5862801084630824</v>
      </c>
      <c r="Y148" s="1587">
        <f t="shared" si="97"/>
        <v>-3.6266443605197485</v>
      </c>
      <c r="Z148" s="30"/>
      <c r="AA148" s="24">
        <f>'Store New'!AF33</f>
        <v>18.3</v>
      </c>
      <c r="AB148" s="1597"/>
      <c r="AC148" s="1588">
        <f t="shared" ref="AC148:AC149" si="102">AVERAGE(AA148,AA147)</f>
        <v>18.399999999999999</v>
      </c>
      <c r="AD148" s="1588"/>
      <c r="AE148" s="24">
        <f t="shared" si="98"/>
        <v>-4.6632124352331661E-2</v>
      </c>
      <c r="AF148" s="1581"/>
      <c r="AG148" s="30"/>
      <c r="AH148" s="1589">
        <f t="shared" si="101"/>
        <v>81.577488735866567</v>
      </c>
      <c r="AI148" s="35"/>
      <c r="AJ148" s="1590">
        <f>T148</f>
        <v>1205</v>
      </c>
      <c r="AK148" s="1590">
        <f>S148</f>
        <v>1383</v>
      </c>
      <c r="AL148" s="1586">
        <f t="shared" si="99"/>
        <v>65.489130434782609</v>
      </c>
      <c r="AM148" s="1591"/>
      <c r="AN148" s="24">
        <f>AL148/AL141-1</f>
        <v>-3.2945510794717303E-2</v>
      </c>
      <c r="AO148" s="1587"/>
      <c r="AP148" s="30"/>
      <c r="AQ148" s="1816">
        <v>178</v>
      </c>
      <c r="AR148" s="1599">
        <f>AQ148/AQ141-1</f>
        <v>0.21088435374149661</v>
      </c>
      <c r="AT148" s="1603"/>
    </row>
    <row r="149" spans="1:46" s="24" customFormat="1">
      <c r="A149" s="24" t="str">
        <f>$A$30</f>
        <v>4Q</v>
      </c>
      <c r="B149" s="29" t="str">
        <f>$B$30</f>
        <v>Jan</v>
      </c>
      <c r="D149" s="1606">
        <f>(T149/T142-1)*100</f>
        <v>-9.3350383631713552</v>
      </c>
      <c r="F149" s="1607">
        <v>-6</v>
      </c>
      <c r="H149" s="1606">
        <f>D149-F149</f>
        <v>-3.3350383631713552</v>
      </c>
      <c r="J149" s="1798">
        <f>'Store New'!AG13</f>
        <v>1016</v>
      </c>
      <c r="K149" s="1913"/>
      <c r="L149" s="1608">
        <f>AVERAGE(J149,J148)</f>
        <v>1019</v>
      </c>
      <c r="N149" s="1606">
        <f>(L149/L142-1)*100</f>
        <v>-1.2118274357731496</v>
      </c>
      <c r="O149" s="30"/>
      <c r="P149" s="1609">
        <f t="shared" si="95"/>
        <v>275.20736572889939</v>
      </c>
      <c r="Q149" s="35"/>
      <c r="S149" s="1918">
        <f>S150-SUM(S146:S148)</f>
        <v>1616</v>
      </c>
      <c r="T149" s="1610">
        <f t="shared" si="100"/>
        <v>1418</v>
      </c>
      <c r="U149" s="1919"/>
      <c r="V149" s="24">
        <f t="shared" si="96"/>
        <v>1.3915603532875369</v>
      </c>
      <c r="W149" s="1586">
        <f>S149/L149</f>
        <v>1.5858684985279685</v>
      </c>
      <c r="X149" s="24">
        <f t="shared" si="97"/>
        <v>-8.2228577739070108</v>
      </c>
      <c r="Y149" s="1612">
        <f t="shared" si="97"/>
        <v>-5.1696605083130676</v>
      </c>
      <c r="Z149" s="30"/>
      <c r="AA149" s="24">
        <f>'Store New'!AG33</f>
        <v>18.100000000000001</v>
      </c>
      <c r="AB149" s="1597"/>
      <c r="AC149" s="1588">
        <f t="shared" si="102"/>
        <v>18.200000000000003</v>
      </c>
      <c r="AD149" s="1613"/>
      <c r="AE149" s="24">
        <f t="shared" si="98"/>
        <v>-4.9608355091383616E-2</v>
      </c>
      <c r="AF149" s="1606"/>
      <c r="AG149" s="30"/>
      <c r="AH149" s="1608">
        <f t="shared" si="101"/>
        <v>67.227352268138631</v>
      </c>
      <c r="AI149" s="35"/>
      <c r="AJ149" s="1590">
        <f>T149</f>
        <v>1418</v>
      </c>
      <c r="AK149" s="1590">
        <f>S149</f>
        <v>1616</v>
      </c>
      <c r="AL149" s="1586">
        <f t="shared" si="99"/>
        <v>77.912087912087898</v>
      </c>
      <c r="AM149" s="1591"/>
      <c r="AN149" s="24">
        <f>AL149/AL142-1</f>
        <v>-4.6025266293808764E-2</v>
      </c>
      <c r="AO149" s="1587"/>
      <c r="AP149" s="30"/>
      <c r="AQ149" s="1924">
        <v>198</v>
      </c>
      <c r="AR149" s="1599">
        <f>AQ149/AQ142-1</f>
        <v>0.22981366459627339</v>
      </c>
    </row>
    <row r="150" spans="1:46" s="24" customFormat="1">
      <c r="B150" s="29" t="str">
        <f>$B$31</f>
        <v>Year</v>
      </c>
      <c r="D150" s="1581">
        <f>(T150/T143-1)*100</f>
        <v>-6.2546537602382717</v>
      </c>
      <c r="F150" s="1616">
        <v>-3</v>
      </c>
      <c r="H150" s="1581">
        <f>D150-F150</f>
        <v>-3.2546537602382717</v>
      </c>
      <c r="J150" s="1782"/>
      <c r="L150" s="1583">
        <f>AVERAGE(L146:L149)</f>
        <v>1021.625</v>
      </c>
      <c r="N150" s="1581">
        <f>(L150/L143-1)*100</f>
        <v>-1.2684223242329096</v>
      </c>
      <c r="O150" s="30"/>
      <c r="P150" s="1584">
        <f t="shared" si="95"/>
        <v>256.59070311668899</v>
      </c>
      <c r="Q150" s="35"/>
      <c r="S150" s="400">
        <v>5674</v>
      </c>
      <c r="T150" s="1617">
        <f t="shared" si="100"/>
        <v>5036</v>
      </c>
      <c r="U150" s="400"/>
      <c r="V150" s="24">
        <f>SUM(V146:V149)</f>
        <v>4.9300012766953385</v>
      </c>
      <c r="W150" s="1586">
        <f>S150/L150</f>
        <v>5.5538969778539089</v>
      </c>
      <c r="X150" s="24">
        <f t="shared" si="97"/>
        <v>-5.0556581095464566</v>
      </c>
      <c r="Y150" s="1587">
        <f t="shared" si="97"/>
        <v>-2.6774784448038491</v>
      </c>
      <c r="Z150" s="30"/>
      <c r="AC150" s="1588">
        <f>AVERAGE(AC146:AC149)</f>
        <v>18.487500000000001</v>
      </c>
      <c r="AD150" s="1613"/>
      <c r="AE150" s="24">
        <f t="shared" si="98"/>
        <v>-4.39560439560438E-2</v>
      </c>
      <c r="AF150" s="1581"/>
      <c r="AG150" s="30"/>
      <c r="AH150" s="1589">
        <f t="shared" si="101"/>
        <v>74.04337304542095</v>
      </c>
      <c r="AI150" s="35"/>
      <c r="AJ150" s="1590">
        <f>T150</f>
        <v>5036</v>
      </c>
      <c r="AK150" s="1590">
        <f>S150</f>
        <v>5674</v>
      </c>
      <c r="AL150" s="1586">
        <f t="shared" si="99"/>
        <v>272.40027045300877</v>
      </c>
      <c r="AM150" s="1591"/>
      <c r="AN150" s="24">
        <f>AL150/AL143-1</f>
        <v>-1.9445228986400553E-2</v>
      </c>
      <c r="AO150" s="1587"/>
      <c r="AP150" s="30"/>
      <c r="AQ150" s="1816">
        <v>638</v>
      </c>
      <c r="AR150" s="1599">
        <f>AQ150/AQ143-1</f>
        <v>0.19699812382739212</v>
      </c>
    </row>
    <row r="151" spans="1:46" s="24" customFormat="1">
      <c r="B151" s="29"/>
      <c r="D151" s="1581"/>
      <c r="F151" s="1616"/>
      <c r="H151" s="1581"/>
      <c r="J151" s="1782"/>
      <c r="L151" s="1583"/>
      <c r="N151" s="1581"/>
      <c r="O151" s="30"/>
      <c r="P151" s="1584"/>
      <c r="Q151" s="35"/>
      <c r="S151" s="1590"/>
      <c r="T151" s="1590"/>
      <c r="U151" s="1590"/>
      <c r="Y151" s="1587"/>
      <c r="Z151" s="30"/>
      <c r="AD151" s="1588"/>
      <c r="AF151" s="1581"/>
      <c r="AG151" s="30"/>
      <c r="AH151" s="1589"/>
      <c r="AI151" s="35"/>
      <c r="AK151" s="1590"/>
      <c r="AM151" s="1591"/>
      <c r="AO151" s="1587"/>
      <c r="AP151" s="30"/>
      <c r="AQ151" s="1816"/>
    </row>
    <row r="152" spans="1:46" s="24" customFormat="1">
      <c r="A152" s="1579"/>
      <c r="B152" s="1580">
        <f>+B145+1</f>
        <v>2012</v>
      </c>
      <c r="E152" s="30"/>
      <c r="F152" s="1816"/>
      <c r="G152" s="30"/>
      <c r="I152" s="30"/>
      <c r="J152" s="1782"/>
      <c r="O152" s="30"/>
      <c r="P152" s="35"/>
      <c r="Q152" s="35"/>
      <c r="Z152" s="30"/>
      <c r="AG152" s="30"/>
      <c r="AH152" s="35"/>
      <c r="AI152" s="35"/>
      <c r="AP152" s="30"/>
      <c r="AQ152" s="1816"/>
    </row>
    <row r="153" spans="1:46" s="24" customFormat="1">
      <c r="A153" s="24" t="str">
        <f>$A$27</f>
        <v>1Q</v>
      </c>
      <c r="B153" s="29" t="str">
        <f>$B$27</f>
        <v>Apr</v>
      </c>
      <c r="D153" s="1581">
        <f>(T153/T146-1)*100</f>
        <v>2.8691983122362874</v>
      </c>
      <c r="E153" s="30" t="s">
        <v>489</v>
      </c>
      <c r="F153" s="1616">
        <v>4</v>
      </c>
      <c r="G153" s="30" t="s">
        <v>489</v>
      </c>
      <c r="H153" s="1581">
        <f>D153-F153</f>
        <v>-1.1308016877637126</v>
      </c>
      <c r="I153" s="30" t="s">
        <v>489</v>
      </c>
      <c r="J153" s="1798">
        <f>'Store New'!AH13</f>
        <v>1014</v>
      </c>
      <c r="K153" s="1913"/>
      <c r="L153" s="1583">
        <f>AVERAGE(J153,J149)</f>
        <v>1015</v>
      </c>
      <c r="N153" s="1581">
        <f>(L153/L146-1)*100</f>
        <v>-0.87890625</v>
      </c>
      <c r="O153" s="30" t="s">
        <v>489</v>
      </c>
      <c r="P153" s="1584">
        <f t="shared" ref="P153:P157" si="103">H153/N153*100</f>
        <v>128.66010314111574</v>
      </c>
      <c r="Q153" s="35" t="s">
        <v>489</v>
      </c>
      <c r="S153" s="1916">
        <f>163+1219</f>
        <v>1382</v>
      </c>
      <c r="T153" s="1595">
        <f>S153-AQ153</f>
        <v>1219</v>
      </c>
      <c r="U153" s="1916"/>
      <c r="V153" s="24">
        <f t="shared" ref="V153:V156" si="104">T153/L153</f>
        <v>1.2009852216748769</v>
      </c>
      <c r="W153" s="1586">
        <f>S153/L153</f>
        <v>1.361576354679803</v>
      </c>
      <c r="X153" s="24">
        <f t="shared" ref="X153:Y157" si="105">(V153/V146-1)*100</f>
        <v>3.781338986926075</v>
      </c>
      <c r="Y153" s="1587">
        <f t="shared" si="105"/>
        <v>5.2267311088391111</v>
      </c>
      <c r="Z153" s="30" t="s">
        <v>489</v>
      </c>
      <c r="AA153" s="24">
        <f>'Store New'!AH33</f>
        <v>17.899999999999999</v>
      </c>
      <c r="AB153" s="1597"/>
      <c r="AC153" s="1588">
        <f>AVERAGE(AA153,AA149)</f>
        <v>18</v>
      </c>
      <c r="AD153" s="1588"/>
      <c r="AE153" s="24">
        <f t="shared" ref="AE153:AE157" si="106">AC153/AC146-1</f>
        <v>-4.2553191489361764E-2</v>
      </c>
      <c r="AF153" s="1581"/>
      <c r="AG153" s="30" t="s">
        <v>489</v>
      </c>
      <c r="AH153" s="1589">
        <f>+H153/AE153</f>
        <v>26.573839662447206</v>
      </c>
      <c r="AI153" s="35" t="s">
        <v>489</v>
      </c>
      <c r="AJ153" s="1590">
        <f>T153</f>
        <v>1219</v>
      </c>
      <c r="AK153" s="1590">
        <f>S153</f>
        <v>1382</v>
      </c>
      <c r="AL153" s="1586">
        <f t="shared" ref="AL153:AL157" si="107">AJ153/AC153</f>
        <v>67.722222222222229</v>
      </c>
      <c r="AM153" s="1591"/>
      <c r="AN153" s="24">
        <f>AL153/AL146-1</f>
        <v>7.4411626816690113E-2</v>
      </c>
      <c r="AO153" s="1587"/>
      <c r="AP153" s="30" t="s">
        <v>489</v>
      </c>
      <c r="AQ153" s="1816">
        <v>163</v>
      </c>
      <c r="AR153" s="1599">
        <f>AQ153/AQ146-1</f>
        <v>0.16428571428571437</v>
      </c>
      <c r="AT153" s="1603"/>
    </row>
    <row r="154" spans="1:46" s="24" customFormat="1">
      <c r="A154" s="24" t="str">
        <f>$A$30</f>
        <v>4Q</v>
      </c>
      <c r="B154" s="29" t="str">
        <f>$B$30</f>
        <v>Jan</v>
      </c>
      <c r="D154" s="1581">
        <f>(T154/T147-1)*100</f>
        <v>2.0358306188924979</v>
      </c>
      <c r="F154" s="1616">
        <v>3</v>
      </c>
      <c r="H154" s="1581">
        <f>D154-F154</f>
        <v>-0.96416938110750205</v>
      </c>
      <c r="J154" s="1798">
        <f>'Store New'!AI13</f>
        <v>1011</v>
      </c>
      <c r="K154" s="1913"/>
      <c r="L154" s="1583">
        <f>AVERAGE(J154,J153)</f>
        <v>1012.5</v>
      </c>
      <c r="N154" s="1581">
        <f>(L154/L147-1)*100</f>
        <v>-0.88105726872246271</v>
      </c>
      <c r="O154" s="30"/>
      <c r="P154" s="1584">
        <f t="shared" si="103"/>
        <v>109.43322475570201</v>
      </c>
      <c r="Q154" s="35"/>
      <c r="S154" s="1919">
        <f>138+1253</f>
        <v>1391</v>
      </c>
      <c r="T154" s="1600">
        <f t="shared" ref="T154:T157" si="108">S154-AQ154</f>
        <v>1253</v>
      </c>
      <c r="U154" s="1919"/>
      <c r="V154" s="24">
        <f t="shared" si="104"/>
        <v>1.2375308641975309</v>
      </c>
      <c r="W154" s="1586">
        <f>S154/L154</f>
        <v>1.3738271604938272</v>
      </c>
      <c r="X154" s="24">
        <f t="shared" si="105"/>
        <v>2.942815779949326</v>
      </c>
      <c r="Y154" s="1587">
        <f t="shared" si="105"/>
        <v>3.9529218106995945</v>
      </c>
      <c r="Z154" s="30"/>
      <c r="AA154" s="24">
        <f>'Store New'!AI33</f>
        <v>17.8</v>
      </c>
      <c r="AB154" s="1597"/>
      <c r="AC154" s="1588">
        <f>AVERAGE(AA154,AA153)</f>
        <v>17.850000000000001</v>
      </c>
      <c r="AD154" s="1588"/>
      <c r="AE154" s="24">
        <f t="shared" si="106"/>
        <v>-3.7735849056603765E-2</v>
      </c>
      <c r="AF154" s="1581"/>
      <c r="AG154" s="30"/>
      <c r="AH154" s="1589">
        <f t="shared" ref="AH154:AH157" si="109">+H154/AE154</f>
        <v>25.55048859934881</v>
      </c>
      <c r="AI154" s="35"/>
      <c r="AJ154" s="1590">
        <f>T154</f>
        <v>1253</v>
      </c>
      <c r="AK154" s="1590">
        <f>S154</f>
        <v>1391</v>
      </c>
      <c r="AL154" s="1586">
        <f t="shared" si="107"/>
        <v>70.196078431372541</v>
      </c>
      <c r="AM154" s="1591"/>
      <c r="AN154" s="24">
        <f>AL154/AL147-1</f>
        <v>6.0372357412020072E-2</v>
      </c>
      <c r="AO154" s="1587"/>
      <c r="AP154" s="30"/>
      <c r="AQ154" s="1930">
        <v>138</v>
      </c>
      <c r="AR154" s="1599">
        <f>AQ154/AQ147-1</f>
        <v>0.13114754098360648</v>
      </c>
      <c r="AT154" s="1603"/>
    </row>
    <row r="155" spans="1:46" s="24" customFormat="1">
      <c r="A155" s="24" t="str">
        <f>$A$28</f>
        <v>2Q</v>
      </c>
      <c r="B155" s="29" t="str">
        <f>$B$28</f>
        <v>Jul</v>
      </c>
      <c r="D155" s="1581">
        <f>(T155/T148-1)*100</f>
        <v>8.2157676348547639</v>
      </c>
      <c r="F155" s="1616">
        <v>9</v>
      </c>
      <c r="H155" s="1581">
        <f>D155-F155</f>
        <v>-0.78423236514523609</v>
      </c>
      <c r="J155" s="1798">
        <f>'Store New'!AJ13</f>
        <v>1014</v>
      </c>
      <c r="K155" s="1913"/>
      <c r="L155" s="1583">
        <f>AVERAGE(J155,J154)</f>
        <v>1012.5</v>
      </c>
      <c r="N155" s="1581">
        <f>(L155/L148-1)*100</f>
        <v>-0.92954990215263766</v>
      </c>
      <c r="O155" s="30"/>
      <c r="P155" s="1584">
        <f t="shared" si="103"/>
        <v>84.3668923345721</v>
      </c>
      <c r="Q155" s="35"/>
      <c r="S155" s="1919">
        <f>1194+107+3+210</f>
        <v>1514</v>
      </c>
      <c r="T155" s="1600">
        <f t="shared" si="108"/>
        <v>1304</v>
      </c>
      <c r="U155" s="1919"/>
      <c r="V155" s="24">
        <f t="shared" si="104"/>
        <v>1.2879012345679013</v>
      </c>
      <c r="W155" s="1586">
        <f>S155/L155</f>
        <v>1.4953086419753086</v>
      </c>
      <c r="X155" s="24">
        <f t="shared" si="105"/>
        <v>9.231125454638601</v>
      </c>
      <c r="Y155" s="1587">
        <f t="shared" si="105"/>
        <v>10.499308177784927</v>
      </c>
      <c r="Z155" s="30"/>
      <c r="AA155" s="24">
        <f>'Store New'!AJ33</f>
        <v>17.7</v>
      </c>
      <c r="AB155" s="1597"/>
      <c r="AC155" s="1588">
        <f t="shared" ref="AC155:AC156" si="110">AVERAGE(AA155,AA154)</f>
        <v>17.75</v>
      </c>
      <c r="AD155" s="1588"/>
      <c r="AE155" s="24">
        <f t="shared" si="106"/>
        <v>-3.5326086956521618E-2</v>
      </c>
      <c r="AF155" s="1581"/>
      <c r="AG155" s="30"/>
      <c r="AH155" s="1589">
        <f t="shared" si="109"/>
        <v>22.19980849026522</v>
      </c>
      <c r="AI155" s="35"/>
      <c r="AJ155" s="1590">
        <f>T155</f>
        <v>1304</v>
      </c>
      <c r="AK155" s="1590">
        <f>S155</f>
        <v>1514</v>
      </c>
      <c r="AL155" s="1586">
        <f t="shared" si="107"/>
        <v>73.464788732394368</v>
      </c>
      <c r="AM155" s="1591"/>
      <c r="AN155" s="24">
        <f>AL155/AL148-1</f>
        <v>0.12178598562328324</v>
      </c>
      <c r="AO155" s="1587"/>
      <c r="AP155" s="30"/>
      <c r="AQ155" s="1930">
        <v>210</v>
      </c>
      <c r="AR155" s="1599">
        <f>AQ155/AQ148-1</f>
        <v>0.1797752808988764</v>
      </c>
    </row>
    <row r="156" spans="1:46" s="24" customFormat="1">
      <c r="A156" s="24" t="str">
        <f>$A$29</f>
        <v>3Q</v>
      </c>
      <c r="B156" s="29" t="str">
        <f>$B$29</f>
        <v>Oct</v>
      </c>
      <c r="D156" s="1606">
        <f>(T156/T149-1)*100</f>
        <v>-4.7249647390691152</v>
      </c>
      <c r="F156" s="1607">
        <v>8</v>
      </c>
      <c r="H156" s="1606">
        <f>D156-F156</f>
        <v>-12.724964739069115</v>
      </c>
      <c r="J156" s="1798">
        <f>'Store New'!AK13</f>
        <v>1011</v>
      </c>
      <c r="K156" s="1913"/>
      <c r="L156" s="1608">
        <f>AVERAGE(J156,J155)</f>
        <v>1012.5</v>
      </c>
      <c r="N156" s="1606">
        <f>(L156/L149-1)*100</f>
        <v>-0.63788027477919007</v>
      </c>
      <c r="O156" s="30"/>
      <c r="P156" s="1609">
        <f t="shared" si="103"/>
        <v>1994.8829337094669</v>
      </c>
      <c r="Q156" s="35"/>
      <c r="S156" s="1918">
        <v>1588</v>
      </c>
      <c r="T156" s="1610">
        <f t="shared" si="108"/>
        <v>1351</v>
      </c>
      <c r="U156" s="1919"/>
      <c r="V156" s="24">
        <f t="shared" si="104"/>
        <v>1.3343209876543209</v>
      </c>
      <c r="W156" s="1586">
        <f>S156/L156</f>
        <v>1.568395061728395</v>
      </c>
      <c r="X156" s="24">
        <f t="shared" si="105"/>
        <v>-4.1133225373940157</v>
      </c>
      <c r="Y156" s="1612">
        <f t="shared" si="105"/>
        <v>-1.1018212932404348</v>
      </c>
      <c r="Z156" s="30"/>
      <c r="AA156" s="24">
        <f>'Store New'!AK33</f>
        <v>17.600000000000001</v>
      </c>
      <c r="AB156" s="1597"/>
      <c r="AC156" s="1588">
        <f t="shared" si="110"/>
        <v>17.649999999999999</v>
      </c>
      <c r="AD156" s="1613"/>
      <c r="AE156" s="24">
        <f t="shared" si="106"/>
        <v>-3.0219780219780445E-2</v>
      </c>
      <c r="AF156" s="1606"/>
      <c r="AG156" s="30"/>
      <c r="AH156" s="1608">
        <f t="shared" si="109"/>
        <v>421.08065136555666</v>
      </c>
      <c r="AI156" s="35"/>
      <c r="AJ156" s="1590">
        <f>T156</f>
        <v>1351</v>
      </c>
      <c r="AK156" s="1590">
        <f>S156</f>
        <v>1588</v>
      </c>
      <c r="AL156" s="1586">
        <f t="shared" si="107"/>
        <v>76.543909348441929</v>
      </c>
      <c r="AM156" s="1591"/>
      <c r="AN156" s="24">
        <f>AL156/AL149-1</f>
        <v>-1.7560542918446109E-2</v>
      </c>
      <c r="AO156" s="1587"/>
      <c r="AP156" s="30"/>
      <c r="AQ156" s="1931">
        <v>237</v>
      </c>
      <c r="AR156" s="1599">
        <f>AQ156/AQ149-1</f>
        <v>0.19696969696969702</v>
      </c>
    </row>
    <row r="157" spans="1:46" s="24" customFormat="1">
      <c r="B157" s="29" t="str">
        <f>$B$31</f>
        <v>Year</v>
      </c>
      <c r="D157" s="1581">
        <f>(T157/T150-1)*100</f>
        <v>6.5131056393963549</v>
      </c>
      <c r="F157" s="1616">
        <v>6</v>
      </c>
      <c r="H157" s="1581">
        <f>D157-F157</f>
        <v>0.5131056393963549</v>
      </c>
      <c r="J157" s="1782"/>
      <c r="L157" s="1583">
        <f>AVERAGE(L153:L156)</f>
        <v>1013.125</v>
      </c>
      <c r="N157" s="1581">
        <f>(L157/L150-1)*100</f>
        <v>-0.83200783066194051</v>
      </c>
      <c r="O157" s="30"/>
      <c r="P157" s="1584">
        <f t="shared" si="103"/>
        <v>-61.670770452740939</v>
      </c>
      <c r="Q157" s="35"/>
      <c r="S157" s="400">
        <v>6112</v>
      </c>
      <c r="T157" s="1617">
        <f t="shared" si="108"/>
        <v>5364</v>
      </c>
      <c r="U157" s="400"/>
      <c r="V157" s="24">
        <f>SUM(V153:V156)</f>
        <v>5.0607383080946295</v>
      </c>
      <c r="W157" s="1586">
        <f>S157/L157</f>
        <v>6.0328192473781614</v>
      </c>
      <c r="X157" s="24">
        <f t="shared" si="105"/>
        <v>2.6518660759237367</v>
      </c>
      <c r="Y157" s="1587">
        <f t="shared" si="105"/>
        <v>8.623175248549785</v>
      </c>
      <c r="Z157" s="30"/>
      <c r="AC157" s="1588">
        <f>AVERAGE(AC153:AC156)</f>
        <v>17.8125</v>
      </c>
      <c r="AD157" s="1613"/>
      <c r="AE157" s="24">
        <f t="shared" si="106"/>
        <v>-3.6511156186612603E-2</v>
      </c>
      <c r="AF157" s="1581"/>
      <c r="AG157" s="30"/>
      <c r="AH157" s="1589">
        <f t="shared" si="109"/>
        <v>-14.053393345689043</v>
      </c>
      <c r="AI157" s="35"/>
      <c r="AJ157" s="1590">
        <f>T157</f>
        <v>5364</v>
      </c>
      <c r="AK157" s="1590">
        <f>S157</f>
        <v>6112</v>
      </c>
      <c r="AL157" s="1586">
        <f t="shared" si="107"/>
        <v>301.13684210526316</v>
      </c>
      <c r="AM157" s="1591"/>
      <c r="AN157" s="24">
        <f>AL157/AL150-1</f>
        <v>0.10549391747836645</v>
      </c>
      <c r="AO157" s="1587"/>
      <c r="AP157" s="30"/>
      <c r="AQ157" s="1932">
        <v>748</v>
      </c>
      <c r="AR157" s="1599">
        <f>AQ157/AQ150-1</f>
        <v>0.17241379310344818</v>
      </c>
    </row>
    <row r="158" spans="1:46" s="24" customFormat="1">
      <c r="B158" s="29"/>
      <c r="D158" s="1581"/>
      <c r="F158" s="1616"/>
      <c r="H158" s="1581"/>
      <c r="J158" s="1782"/>
      <c r="L158" s="1583"/>
      <c r="N158" s="1581"/>
      <c r="O158" s="30"/>
      <c r="P158" s="1584"/>
      <c r="Q158" s="35"/>
      <c r="S158" s="400"/>
      <c r="T158" s="400"/>
      <c r="U158" s="400"/>
      <c r="W158" s="1586"/>
      <c r="Y158" s="1587"/>
      <c r="Z158" s="30"/>
      <c r="AD158" s="1588"/>
      <c r="AF158" s="1581"/>
      <c r="AG158" s="30"/>
      <c r="AH158" s="1589"/>
      <c r="AI158" s="35"/>
      <c r="AP158" s="30"/>
      <c r="AQ158" s="1583"/>
      <c r="AR158" s="1599"/>
    </row>
    <row r="159" spans="1:46" s="24" customFormat="1">
      <c r="A159" s="1579"/>
      <c r="B159" s="1580">
        <f>+B152+1</f>
        <v>2013</v>
      </c>
      <c r="D159" s="1581"/>
      <c r="F159" s="1616"/>
      <c r="H159" s="1581"/>
      <c r="J159" s="1782"/>
      <c r="L159" s="1583"/>
      <c r="N159" s="1581"/>
      <c r="O159" s="30"/>
      <c r="P159" s="1584"/>
      <c r="Q159" s="35"/>
      <c r="S159" s="400"/>
      <c r="T159" s="400"/>
      <c r="U159" s="400"/>
      <c r="W159" s="1586"/>
      <c r="Y159" s="1587"/>
      <c r="Z159" s="30"/>
      <c r="AD159" s="1588"/>
      <c r="AF159" s="1581"/>
      <c r="AG159" s="30"/>
      <c r="AH159" s="1589"/>
      <c r="AI159" s="35"/>
      <c r="AP159" s="30"/>
      <c r="AQ159" s="1933"/>
      <c r="AR159" s="1592"/>
    </row>
    <row r="160" spans="1:46" s="24" customFormat="1">
      <c r="A160" s="24" t="str">
        <f>$A$27</f>
        <v>1Q</v>
      </c>
      <c r="B160" s="29" t="str">
        <f>$B$27</f>
        <v>Apr</v>
      </c>
      <c r="D160" s="1581">
        <f>(T160/T153-1)*100</f>
        <v>19.688269073010666</v>
      </c>
      <c r="E160" s="30" t="s">
        <v>489</v>
      </c>
      <c r="F160" s="1616">
        <v>3</v>
      </c>
      <c r="G160" s="30" t="s">
        <v>489</v>
      </c>
      <c r="H160" s="1581">
        <f>D160-F160</f>
        <v>16.688269073010666</v>
      </c>
      <c r="I160" s="30" t="s">
        <v>489</v>
      </c>
      <c r="J160" s="1798">
        <f>'Store New'!AL13</f>
        <v>1015</v>
      </c>
      <c r="L160" s="1583">
        <f>AVERAGE(J160,J156)</f>
        <v>1013</v>
      </c>
      <c r="N160" s="1581">
        <f>(L160/L153-1)*100</f>
        <v>-0.19704433497537144</v>
      </c>
      <c r="O160" s="30" t="s">
        <v>489</v>
      </c>
      <c r="P160" s="1584">
        <f t="shared" ref="P160:P164" si="111">H160/N160*100</f>
        <v>-8469.2965545528277</v>
      </c>
      <c r="Q160" s="35" t="s">
        <v>489</v>
      </c>
      <c r="S160" s="1916">
        <v>1459</v>
      </c>
      <c r="T160" s="1595">
        <f>S160-AQ160</f>
        <v>1459</v>
      </c>
      <c r="U160" s="1596"/>
      <c r="V160" s="24">
        <f t="shared" ref="V160:V163" si="112">T160/L160</f>
        <v>1.4402764067127345</v>
      </c>
      <c r="W160" s="1586">
        <f>S160/L160</f>
        <v>1.4402764067127345</v>
      </c>
      <c r="X160" s="24">
        <f t="shared" ref="X160:Y164" si="113">(V160/V153-1)*100</f>
        <v>19.924573651634581</v>
      </c>
      <c r="Y160" s="1587">
        <f t="shared" si="113"/>
        <v>5.7800689445315134</v>
      </c>
      <c r="Z160" s="30" t="s">
        <v>489</v>
      </c>
      <c r="AA160" s="1782">
        <f>'Store New'!AL33</f>
        <v>17.7</v>
      </c>
      <c r="AB160" s="1597"/>
      <c r="AC160" s="1588">
        <f>AVERAGE(AA160,AA156)</f>
        <v>17.649999999999999</v>
      </c>
      <c r="AD160" s="1588"/>
      <c r="AE160" s="24">
        <f t="shared" ref="AE160:AE164" si="114">AC160/AC153-1</f>
        <v>-1.9444444444444486E-2</v>
      </c>
      <c r="AF160" s="1581"/>
      <c r="AG160" s="30" t="s">
        <v>489</v>
      </c>
      <c r="AH160" s="1589">
        <f>+H160/AE160</f>
        <v>-858.25383804054673</v>
      </c>
      <c r="AI160" s="35" t="s">
        <v>489</v>
      </c>
      <c r="AJ160" s="1590">
        <f>T160</f>
        <v>1459</v>
      </c>
      <c r="AK160" s="1590">
        <f>S160</f>
        <v>1459</v>
      </c>
      <c r="AL160" s="1586">
        <f t="shared" ref="AL160:AL164" si="115">AJ160/AC160</f>
        <v>82.662889518413607</v>
      </c>
      <c r="AM160" s="1591"/>
      <c r="AN160" s="24">
        <f>AL160/AL153-1</f>
        <v>0.22061690839330983</v>
      </c>
      <c r="AO160" s="1587"/>
      <c r="AP160" s="30" t="s">
        <v>489</v>
      </c>
      <c r="AQ160" s="1598"/>
      <c r="AR160" s="1599"/>
    </row>
    <row r="161" spans="1:44" s="24" customFormat="1">
      <c r="A161" s="24" t="str">
        <f>$A$28</f>
        <v>2Q</v>
      </c>
      <c r="B161" s="29" t="str">
        <f>$B$28</f>
        <v>Jul</v>
      </c>
      <c r="D161" s="1581">
        <f>(T161/T154-1)*100</f>
        <v>22.905027932960898</v>
      </c>
      <c r="F161" s="1616">
        <v>6</v>
      </c>
      <c r="H161" s="1581">
        <f>D161-F161</f>
        <v>16.905027932960898</v>
      </c>
      <c r="J161" s="1798">
        <f>'Store New'!AM13</f>
        <v>1013</v>
      </c>
      <c r="L161" s="1583">
        <f>AVERAGE(J161,J160)</f>
        <v>1014</v>
      </c>
      <c r="N161" s="1581">
        <f>(L161/L154-1)*100</f>
        <v>0.1481481481481417</v>
      </c>
      <c r="O161" s="30"/>
      <c r="P161" s="1584">
        <f t="shared" si="111"/>
        <v>11410.893854749103</v>
      </c>
      <c r="Q161" s="35"/>
      <c r="S161" s="1919">
        <v>1540</v>
      </c>
      <c r="T161" s="1600">
        <f t="shared" ref="T161:T164" si="116">S161-AQ161</f>
        <v>1540</v>
      </c>
      <c r="U161" s="1601"/>
      <c r="V161" s="24">
        <f t="shared" si="112"/>
        <v>1.5187376725838264</v>
      </c>
      <c r="W161" s="1586">
        <f>S161/L161</f>
        <v>1.5187376725838264</v>
      </c>
      <c r="X161" s="24">
        <f t="shared" si="113"/>
        <v>22.723215761462434</v>
      </c>
      <c r="Y161" s="1587">
        <f t="shared" si="113"/>
        <v>10.547943457305831</v>
      </c>
      <c r="Z161" s="30"/>
      <c r="AA161" s="24">
        <f>'Store New'!AM33</f>
        <v>17.5</v>
      </c>
      <c r="AB161" s="1597"/>
      <c r="AC161" s="1588">
        <f>AVERAGE(AA161,AA160)</f>
        <v>17.600000000000001</v>
      </c>
      <c r="AD161" s="1588"/>
      <c r="AE161" s="24">
        <f t="shared" si="114"/>
        <v>-1.4005602240896309E-2</v>
      </c>
      <c r="AF161" s="1581"/>
      <c r="AG161" s="30"/>
      <c r="AH161" s="1589">
        <f t="shared" ref="AH161:AH164" si="117">+H161/AE161</f>
        <v>-1207.0189944134124</v>
      </c>
      <c r="AI161" s="35"/>
      <c r="AJ161" s="1590">
        <f>T161</f>
        <v>1540</v>
      </c>
      <c r="AK161" s="1590">
        <f>S161</f>
        <v>1540</v>
      </c>
      <c r="AL161" s="1586">
        <f t="shared" si="115"/>
        <v>87.5</v>
      </c>
      <c r="AM161" s="1591"/>
      <c r="AN161" s="24">
        <f>AL161/AL154-1</f>
        <v>0.24650837988826835</v>
      </c>
      <c r="AO161" s="1587"/>
      <c r="AP161" s="30"/>
      <c r="AQ161" s="1598"/>
      <c r="AR161" s="1599"/>
    </row>
    <row r="162" spans="1:44" s="24" customFormat="1">
      <c r="A162" s="24" t="str">
        <f>$A$29</f>
        <v>3Q</v>
      </c>
      <c r="B162" s="29" t="str">
        <f>$B$29</f>
        <v>Oct</v>
      </c>
      <c r="D162" s="1581">
        <f>(T162/T155-1)*100</f>
        <v>16.334355828220847</v>
      </c>
      <c r="F162" s="1616">
        <v>0</v>
      </c>
      <c r="H162" s="1581">
        <f>D162-F162</f>
        <v>16.334355828220847</v>
      </c>
      <c r="J162" s="1798">
        <f>'Store New'!AN13</f>
        <v>1021</v>
      </c>
      <c r="L162" s="1583">
        <f>AVERAGE(J162,J161)</f>
        <v>1017</v>
      </c>
      <c r="N162" s="1581">
        <f>(L162/L155-1)*100</f>
        <v>0.44444444444444731</v>
      </c>
      <c r="O162" s="30"/>
      <c r="P162" s="1584">
        <f t="shared" si="111"/>
        <v>3675.2300613496673</v>
      </c>
      <c r="Q162" s="35"/>
      <c r="S162" s="1919">
        <v>1517</v>
      </c>
      <c r="T162" s="1600">
        <f t="shared" si="116"/>
        <v>1517</v>
      </c>
      <c r="U162" s="1601"/>
      <c r="V162" s="24">
        <f t="shared" si="112"/>
        <v>1.4916420845624385</v>
      </c>
      <c r="W162" s="1586">
        <f>S162/L162</f>
        <v>1.4916420845624385</v>
      </c>
      <c r="X162" s="24">
        <f t="shared" si="113"/>
        <v>15.819602041370317</v>
      </c>
      <c r="Y162" s="1587">
        <f t="shared" si="113"/>
        <v>-0.24520405419622415</v>
      </c>
      <c r="Z162" s="30"/>
      <c r="AA162" s="24">
        <f>'Store New'!AN33</f>
        <v>17.5</v>
      </c>
      <c r="AB162" s="1597"/>
      <c r="AC162" s="1588">
        <f t="shared" ref="AC162:AC163" si="118">AVERAGE(AA162,AA161)</f>
        <v>17.5</v>
      </c>
      <c r="AD162" s="1588"/>
      <c r="AE162" s="24">
        <f t="shared" si="114"/>
        <v>-1.4084507042253502E-2</v>
      </c>
      <c r="AF162" s="1581"/>
      <c r="AG162" s="30"/>
      <c r="AH162" s="1589">
        <f t="shared" si="117"/>
        <v>-1159.7392638036818</v>
      </c>
      <c r="AI162" s="35"/>
      <c r="AJ162" s="1590">
        <f>T162</f>
        <v>1517</v>
      </c>
      <c r="AK162" s="1590">
        <f>S162</f>
        <v>1517</v>
      </c>
      <c r="AL162" s="1586">
        <f t="shared" si="115"/>
        <v>86.685714285714283</v>
      </c>
      <c r="AM162" s="1591"/>
      <c r="AN162" s="24">
        <f>AL162/AL155-1</f>
        <v>0.17996275197195444</v>
      </c>
      <c r="AO162" s="1587"/>
      <c r="AP162" s="30"/>
      <c r="AQ162" s="1598"/>
      <c r="AR162" s="1599"/>
    </row>
    <row r="163" spans="1:44" s="24" customFormat="1">
      <c r="A163" s="24" t="str">
        <f>$A$30</f>
        <v>4Q</v>
      </c>
      <c r="B163" s="29" t="str">
        <f>$B$30</f>
        <v>Jan</v>
      </c>
      <c r="D163" s="1606">
        <f>(T163/T156-1)*100</f>
        <v>28.867505551443372</v>
      </c>
      <c r="F163" s="1607">
        <v>0</v>
      </c>
      <c r="H163" s="1606">
        <f>D163-F163</f>
        <v>28.867505551443372</v>
      </c>
      <c r="J163" s="1798">
        <f>'Store New'!AO13</f>
        <v>1022</v>
      </c>
      <c r="L163" s="1608">
        <f>AVERAGE(J163,J162)</f>
        <v>1021.5</v>
      </c>
      <c r="N163" s="1606">
        <f>(L163/L156-1)*100</f>
        <v>0.88888888888889461</v>
      </c>
      <c r="O163" s="30"/>
      <c r="P163" s="1609">
        <f t="shared" si="111"/>
        <v>3247.5943745373584</v>
      </c>
      <c r="Q163" s="35"/>
      <c r="S163" s="1918">
        <v>1741</v>
      </c>
      <c r="T163" s="1610">
        <f t="shared" si="116"/>
        <v>1741</v>
      </c>
      <c r="U163" s="1601"/>
      <c r="V163" s="24">
        <f t="shared" si="112"/>
        <v>1.7043563387175722</v>
      </c>
      <c r="W163" s="1586">
        <f>S163/L163</f>
        <v>1.7043563387175722</v>
      </c>
      <c r="X163" s="24">
        <f t="shared" si="113"/>
        <v>27.732109026761066</v>
      </c>
      <c r="Y163" s="1612">
        <f t="shared" si="113"/>
        <v>8.6688156770492455</v>
      </c>
      <c r="Z163" s="30"/>
      <c r="AA163" s="24">
        <f>'Store New'!AO33</f>
        <v>17.399999999999999</v>
      </c>
      <c r="AB163" s="1597"/>
      <c r="AC163" s="1588">
        <f t="shared" si="118"/>
        <v>17.45</v>
      </c>
      <c r="AD163" s="1613"/>
      <c r="AE163" s="24">
        <f t="shared" si="114"/>
        <v>-1.1331444759206777E-2</v>
      </c>
      <c r="AF163" s="1606"/>
      <c r="AG163" s="30"/>
      <c r="AH163" s="1608">
        <f t="shared" si="117"/>
        <v>-2547.5573649148823</v>
      </c>
      <c r="AI163" s="35"/>
      <c r="AJ163" s="1590">
        <f>T163</f>
        <v>1741</v>
      </c>
      <c r="AK163" s="1590">
        <f>S163</f>
        <v>1741</v>
      </c>
      <c r="AL163" s="1586">
        <f t="shared" si="115"/>
        <v>99.770773638968492</v>
      </c>
      <c r="AM163" s="1591"/>
      <c r="AN163" s="24">
        <f>AL163/AL156-1</f>
        <v>0.30344497019081706</v>
      </c>
      <c r="AO163" s="1587"/>
      <c r="AP163" s="30"/>
      <c r="AQ163" s="1934"/>
      <c r="AR163" s="1599"/>
    </row>
    <row r="164" spans="1:44" s="24" customFormat="1">
      <c r="B164" s="29" t="str">
        <f>$B$31</f>
        <v>Year</v>
      </c>
      <c r="D164" s="1581">
        <f>(T164/T157-1)*100</f>
        <v>16.648023862788964</v>
      </c>
      <c r="F164" s="1616">
        <v>2</v>
      </c>
      <c r="H164" s="1581">
        <f>D164-F164</f>
        <v>14.648023862788964</v>
      </c>
      <c r="J164" s="1782"/>
      <c r="L164" s="1583">
        <f>AVERAGE(L160:L163)</f>
        <v>1016.375</v>
      </c>
      <c r="N164" s="1581">
        <f>(L164/L157-1)*100</f>
        <v>0.32078963602715227</v>
      </c>
      <c r="O164" s="30"/>
      <c r="P164" s="1584">
        <f t="shared" si="111"/>
        <v>4566.2397464577462</v>
      </c>
      <c r="Q164" s="35"/>
      <c r="S164" s="400">
        <v>6257</v>
      </c>
      <c r="T164" s="1617">
        <f t="shared" si="116"/>
        <v>6257</v>
      </c>
      <c r="U164" s="1585"/>
      <c r="V164" s="24">
        <f>SUM(V160:V163)</f>
        <v>6.1550125025765716</v>
      </c>
      <c r="W164" s="1586">
        <f>S164/L164</f>
        <v>6.15619235026442</v>
      </c>
      <c r="X164" s="24">
        <f t="shared" si="113"/>
        <v>21.622817222768752</v>
      </c>
      <c r="Y164" s="1587">
        <f t="shared" si="113"/>
        <v>2.0450323112179536</v>
      </c>
      <c r="Z164" s="30"/>
      <c r="AC164" s="1588">
        <f>AVERAGE(AC160:AC163)</f>
        <v>17.55</v>
      </c>
      <c r="AD164" s="1613"/>
      <c r="AE164" s="24">
        <f t="shared" si="114"/>
        <v>-1.4736842105263159E-2</v>
      </c>
      <c r="AF164" s="1581"/>
      <c r="AG164" s="30"/>
      <c r="AH164" s="1589">
        <f t="shared" si="117"/>
        <v>-993.97304783210814</v>
      </c>
      <c r="AI164" s="35"/>
      <c r="AJ164" s="1590">
        <f>T164</f>
        <v>6257</v>
      </c>
      <c r="AK164" s="1590">
        <f>S164</f>
        <v>6257</v>
      </c>
      <c r="AL164" s="1586">
        <f t="shared" si="115"/>
        <v>356.52421652421651</v>
      </c>
      <c r="AM164" s="1591"/>
      <c r="AN164" s="24">
        <f>AL164/AL157-1</f>
        <v>0.18392759262446057</v>
      </c>
      <c r="AO164" s="1587"/>
      <c r="AP164" s="30"/>
      <c r="AQ164" s="1583"/>
      <c r="AR164" s="1599"/>
    </row>
    <row r="165" spans="1:44" s="24" customFormat="1">
      <c r="B165" s="29"/>
      <c r="D165" s="1581"/>
      <c r="F165" s="1616"/>
      <c r="H165" s="1581"/>
      <c r="J165" s="1782"/>
      <c r="L165" s="1583"/>
      <c r="N165" s="1581"/>
      <c r="O165" s="30"/>
      <c r="P165" s="1584"/>
      <c r="Q165" s="35"/>
      <c r="S165" s="1585"/>
      <c r="T165" s="400"/>
      <c r="U165" s="1585"/>
      <c r="Y165" s="1587"/>
      <c r="Z165" s="30"/>
      <c r="AD165" s="1588"/>
      <c r="AF165" s="1581"/>
      <c r="AG165" s="30"/>
      <c r="AH165" s="1589"/>
      <c r="AI165" s="35"/>
      <c r="AP165" s="30"/>
      <c r="AQ165" s="1583"/>
      <c r="AR165" s="1599"/>
    </row>
    <row r="166" spans="1:44" s="24" customFormat="1">
      <c r="A166" s="1579"/>
      <c r="B166" s="1580">
        <f>+B159+1</f>
        <v>2014</v>
      </c>
      <c r="D166" s="1581"/>
      <c r="F166" s="1616"/>
      <c r="H166" s="1581"/>
      <c r="J166" s="1782"/>
      <c r="L166" s="1583"/>
      <c r="N166" s="1581"/>
      <c r="O166" s="30"/>
      <c r="P166" s="1584"/>
      <c r="Q166" s="35"/>
      <c r="S166" s="1585"/>
      <c r="T166" s="400"/>
      <c r="U166" s="1585"/>
      <c r="Y166" s="1587"/>
      <c r="Z166" s="30"/>
      <c r="AD166" s="1588"/>
      <c r="AF166" s="1581"/>
      <c r="AG166" s="30"/>
      <c r="AH166" s="1589"/>
      <c r="AI166" s="35"/>
      <c r="AP166" s="30"/>
      <c r="AQ166" s="1583"/>
      <c r="AR166" s="1592"/>
    </row>
    <row r="167" spans="1:44" s="24" customFormat="1">
      <c r="A167" s="24" t="str">
        <f>$A$27</f>
        <v>1Q</v>
      </c>
      <c r="B167" s="29" t="str">
        <f>$B$27</f>
        <v>Apr</v>
      </c>
      <c r="D167" s="1581">
        <f>(T167/T160-1)*100</f>
        <v>1.5078821110349638</v>
      </c>
      <c r="E167" s="30" t="s">
        <v>489</v>
      </c>
      <c r="F167" s="1616">
        <v>1</v>
      </c>
      <c r="G167" s="30" t="s">
        <v>489</v>
      </c>
      <c r="H167" s="1581">
        <f>D167-F167</f>
        <v>0.50788211103496383</v>
      </c>
      <c r="I167" s="30" t="s">
        <v>489</v>
      </c>
      <c r="J167" s="1798">
        <f>'Store New'!AP13</f>
        <v>1028</v>
      </c>
      <c r="L167" s="1583">
        <f>AVERAGE(J167,J163)</f>
        <v>1025</v>
      </c>
      <c r="N167" s="1581">
        <f>(L167/L160-1)*100</f>
        <v>1.1846001974333609</v>
      </c>
      <c r="O167" s="30" t="s">
        <v>489</v>
      </c>
      <c r="P167" s="1584">
        <f t="shared" ref="P167:P171" si="119">H167/N167*100</f>
        <v>42.87371487320172</v>
      </c>
      <c r="Q167" s="35" t="s">
        <v>489</v>
      </c>
      <c r="S167" s="1916">
        <v>1481</v>
      </c>
      <c r="T167" s="1595">
        <f>S167-AQ167</f>
        <v>1481</v>
      </c>
      <c r="U167" s="1596"/>
      <c r="V167" s="24">
        <f t="shared" ref="V167:V170" si="120">T167/L167</f>
        <v>1.4448780487804878</v>
      </c>
      <c r="W167" s="1586">
        <f>S167/L167</f>
        <v>1.4448780487804878</v>
      </c>
      <c r="X167" s="24">
        <f t="shared" ref="X167:Y171" si="121">(V167/V160-1)*100</f>
        <v>0.3194971497350263</v>
      </c>
      <c r="Y167" s="1587">
        <f t="shared" si="121"/>
        <v>0.3194971497350263</v>
      </c>
      <c r="Z167" s="30" t="s">
        <v>489</v>
      </c>
      <c r="AA167" s="24">
        <f>'Store New'!AP33</f>
        <v>17.5</v>
      </c>
      <c r="AB167" s="1597"/>
      <c r="AC167" s="1588">
        <f>AVERAGE(AA167,AA163)</f>
        <v>17.45</v>
      </c>
      <c r="AD167" s="1588"/>
      <c r="AE167" s="24">
        <f t="shared" ref="AE167:AE171" si="122">AC167/AC160-1</f>
        <v>-1.1331444759206777E-2</v>
      </c>
      <c r="AF167" s="1581"/>
      <c r="AG167" s="30" t="s">
        <v>489</v>
      </c>
      <c r="AH167" s="1589">
        <f>+H167/AE167</f>
        <v>-44.820596298835646</v>
      </c>
      <c r="AI167" s="35" t="s">
        <v>489</v>
      </c>
      <c r="AJ167" s="1590">
        <f>T167</f>
        <v>1481</v>
      </c>
      <c r="AK167" s="1590">
        <f>S167</f>
        <v>1481</v>
      </c>
      <c r="AL167" s="1586">
        <f t="shared" ref="AL167:AL171" si="123">AJ167/AC167</f>
        <v>84.87106017191978</v>
      </c>
      <c r="AM167" s="1591"/>
      <c r="AN167" s="24">
        <f>AL167/AL160-1</f>
        <v>2.67129623265141E-2</v>
      </c>
      <c r="AO167" s="1587"/>
      <c r="AP167" s="30" t="s">
        <v>489</v>
      </c>
      <c r="AQ167" s="1598"/>
      <c r="AR167" s="1599"/>
    </row>
    <row r="168" spans="1:44" s="24" customFormat="1">
      <c r="A168" s="24" t="str">
        <f>$A$28</f>
        <v>2Q</v>
      </c>
      <c r="B168" s="29" t="str">
        <f>$B$28</f>
        <v>Jul</v>
      </c>
      <c r="D168" s="1581">
        <f>(T168/T161-1)*100</f>
        <v>5.324675324675332</v>
      </c>
      <c r="F168" s="1616">
        <v>4</v>
      </c>
      <c r="H168" s="1581">
        <f>D168-F168</f>
        <v>1.324675324675332</v>
      </c>
      <c r="J168" s="1798">
        <f>'Store New'!AQ13</f>
        <v>1034</v>
      </c>
      <c r="L168" s="1583">
        <f>AVERAGE(J168,J167)</f>
        <v>1031</v>
      </c>
      <c r="N168" s="1581">
        <f>(L168/L161-1)*100</f>
        <v>1.6765285996055201</v>
      </c>
      <c r="O168" s="30"/>
      <c r="P168" s="1584">
        <f t="shared" si="119"/>
        <v>79.012987012987566</v>
      </c>
      <c r="Q168" s="35"/>
      <c r="S168" s="1919">
        <v>1622</v>
      </c>
      <c r="T168" s="1600">
        <f t="shared" ref="T168:T171" si="124">S168-AQ168</f>
        <v>1622</v>
      </c>
      <c r="U168" s="1596"/>
      <c r="V168" s="24">
        <f t="shared" si="120"/>
        <v>1.5732298739088264</v>
      </c>
      <c r="W168" s="1586">
        <f>S168/L168</f>
        <v>1.5732298739088264</v>
      </c>
      <c r="X168" s="24">
        <f t="shared" si="121"/>
        <v>3.5879929963344104</v>
      </c>
      <c r="Y168" s="1587">
        <f t="shared" si="121"/>
        <v>3.5879929963344104</v>
      </c>
      <c r="Z168" s="30"/>
      <c r="AA168" s="24">
        <f>'Store New'!AQ33</f>
        <v>17.599999999999998</v>
      </c>
      <c r="AB168" s="1597"/>
      <c r="AC168" s="1588">
        <f>AVERAGE(AA168,AA167)</f>
        <v>17.549999999999997</v>
      </c>
      <c r="AD168" s="1588"/>
      <c r="AE168" s="24">
        <f t="shared" si="122"/>
        <v>-2.8409090909092827E-3</v>
      </c>
      <c r="AF168" s="1581"/>
      <c r="AG168" s="30"/>
      <c r="AH168" s="1589">
        <f t="shared" ref="AH168:AH171" si="125">+H168/AE168</f>
        <v>-466.2857142856854</v>
      </c>
      <c r="AI168" s="35"/>
      <c r="AJ168" s="1590">
        <f>T168</f>
        <v>1622</v>
      </c>
      <c r="AK168" s="1590">
        <f>S168</f>
        <v>1622</v>
      </c>
      <c r="AL168" s="1586">
        <f t="shared" si="123"/>
        <v>92.421652421652439</v>
      </c>
      <c r="AM168" s="1591"/>
      <c r="AN168" s="24">
        <f>AL168/AL161-1</f>
        <v>5.6247456247456418E-2</v>
      </c>
      <c r="AO168" s="1587"/>
      <c r="AP168" s="30"/>
      <c r="AQ168" s="1598"/>
      <c r="AR168" s="1599"/>
    </row>
    <row r="169" spans="1:44" s="24" customFormat="1">
      <c r="A169" s="24" t="str">
        <f>$A$29</f>
        <v>3Q</v>
      </c>
      <c r="B169" s="29" t="str">
        <f>$B$29</f>
        <v>Oct</v>
      </c>
      <c r="D169" s="1581">
        <f>(T169/T162-1)*100</f>
        <v>2.7027027027026973</v>
      </c>
      <c r="F169" s="1616">
        <v>1</v>
      </c>
      <c r="H169" s="1581">
        <f>D169-F169</f>
        <v>1.7027027027026973</v>
      </c>
      <c r="J169" s="1798">
        <f>'Store New'!AR13</f>
        <v>1051</v>
      </c>
      <c r="L169" s="1583">
        <f>AVERAGE(J169,J168)</f>
        <v>1042.5</v>
      </c>
      <c r="N169" s="1581">
        <f>(L169/L162-1)*100</f>
        <v>2.5073746312684442</v>
      </c>
      <c r="O169" s="30"/>
      <c r="P169" s="1584">
        <f t="shared" si="119"/>
        <v>67.90779014308383</v>
      </c>
      <c r="Q169" s="35"/>
      <c r="S169" s="1919">
        <v>1558</v>
      </c>
      <c r="T169" s="1600">
        <f t="shared" si="124"/>
        <v>1558</v>
      </c>
      <c r="U169" s="1596"/>
      <c r="V169" s="24">
        <f t="shared" si="120"/>
        <v>1.4944844124700241</v>
      </c>
      <c r="W169" s="1586">
        <f>S169/L169</f>
        <v>1.4944844124700241</v>
      </c>
      <c r="X169" s="24">
        <f t="shared" si="121"/>
        <v>0.19055026249270579</v>
      </c>
      <c r="Y169" s="1587">
        <f t="shared" si="121"/>
        <v>0.19055026249270579</v>
      </c>
      <c r="Z169" s="30"/>
      <c r="AA169" s="24">
        <f>'Store New'!AR33</f>
        <v>17.8</v>
      </c>
      <c r="AB169" s="1597"/>
      <c r="AC169" s="1588">
        <f t="shared" ref="AC169:AC170" si="126">AVERAGE(AA169,AA168)</f>
        <v>17.7</v>
      </c>
      <c r="AD169" s="1588"/>
      <c r="AE169" s="24">
        <f t="shared" si="122"/>
        <v>1.1428571428571344E-2</v>
      </c>
      <c r="AF169" s="1581"/>
      <c r="AG169" s="30"/>
      <c r="AH169" s="1589">
        <f t="shared" si="125"/>
        <v>148.98648648648711</v>
      </c>
      <c r="AI169" s="35"/>
      <c r="AJ169" s="1590">
        <f>T169</f>
        <v>1558</v>
      </c>
      <c r="AK169" s="1590">
        <f>S169</f>
        <v>1558</v>
      </c>
      <c r="AL169" s="1586">
        <f t="shared" si="123"/>
        <v>88.022598870056498</v>
      </c>
      <c r="AM169" s="1591"/>
      <c r="AN169" s="24">
        <f>AL169/AL162-1</f>
        <v>1.5422201862879792E-2</v>
      </c>
      <c r="AO169" s="1587"/>
      <c r="AP169" s="30"/>
      <c r="AQ169" s="1605"/>
      <c r="AR169" s="1599"/>
    </row>
    <row r="170" spans="1:44" s="24" customFormat="1">
      <c r="A170" s="24" t="str">
        <f>$A$30</f>
        <v>4Q</v>
      </c>
      <c r="B170" s="29" t="str">
        <f>$B$30</f>
        <v>Jan</v>
      </c>
      <c r="D170" s="1606">
        <f>(T170/T163-1)*100</f>
        <v>12.464101091326828</v>
      </c>
      <c r="F170" s="1607">
        <v>11</v>
      </c>
      <c r="H170" s="1606">
        <f>D170-F170</f>
        <v>1.4641010913268282</v>
      </c>
      <c r="J170" s="1798">
        <f>'Store New'!AS13</f>
        <v>1056</v>
      </c>
      <c r="L170" s="1608">
        <f>AVERAGE(J170,J169)</f>
        <v>1053.5</v>
      </c>
      <c r="N170" s="1606">
        <f>(L170/L163-1)*100</f>
        <v>3.1326480665687662</v>
      </c>
      <c r="O170" s="30"/>
      <c r="P170" s="1609">
        <f t="shared" si="119"/>
        <v>46.736852024698671</v>
      </c>
      <c r="Q170" s="35"/>
      <c r="S170" s="1918">
        <v>1958</v>
      </c>
      <c r="T170" s="1610">
        <f t="shared" si="124"/>
        <v>1958</v>
      </c>
      <c r="U170" s="1601"/>
      <c r="V170" s="24">
        <f t="shared" si="120"/>
        <v>1.8585666824869482</v>
      </c>
      <c r="W170" s="1586">
        <f>S170/L170</f>
        <v>1.8585666824869482</v>
      </c>
      <c r="X170" s="24">
        <f t="shared" si="121"/>
        <v>9.0480106927293349</v>
      </c>
      <c r="Y170" s="1612">
        <f t="shared" si="121"/>
        <v>9.0480106927293349</v>
      </c>
      <c r="Z170" s="30"/>
      <c r="AA170" s="24">
        <f>'Store New'!AS33</f>
        <v>17.899999999999999</v>
      </c>
      <c r="AB170" s="1597"/>
      <c r="AC170" s="1588">
        <f t="shared" si="126"/>
        <v>17.850000000000001</v>
      </c>
      <c r="AD170" s="1613"/>
      <c r="AE170" s="24">
        <f t="shared" si="122"/>
        <v>2.2922636103152039E-2</v>
      </c>
      <c r="AF170" s="1606"/>
      <c r="AG170" s="30"/>
      <c r="AH170" s="1608">
        <f t="shared" si="125"/>
        <v>63.871410109132391</v>
      </c>
      <c r="AI170" s="35"/>
      <c r="AJ170" s="1590">
        <f>T170</f>
        <v>1958</v>
      </c>
      <c r="AK170" s="1590">
        <f>S170</f>
        <v>1958</v>
      </c>
      <c r="AL170" s="1586">
        <f t="shared" si="123"/>
        <v>109.69187675070027</v>
      </c>
      <c r="AM170" s="1591"/>
      <c r="AN170" s="24">
        <f>AL170/AL163-1</f>
        <v>9.9438971453026825E-2</v>
      </c>
      <c r="AO170" s="1587"/>
      <c r="AP170" s="30"/>
      <c r="AQ170" s="1608"/>
      <c r="AR170" s="1592"/>
    </row>
    <row r="171" spans="1:44" s="24" customFormat="1">
      <c r="B171" s="29" t="str">
        <f>$B$31</f>
        <v>Year</v>
      </c>
      <c r="D171" s="1581">
        <f>(T171/T164-1)*100</f>
        <v>5.7855202173565656</v>
      </c>
      <c r="F171" s="1616">
        <v>5</v>
      </c>
      <c r="H171" s="1581">
        <f>D171-F171</f>
        <v>0.78552021735656563</v>
      </c>
      <c r="J171" s="1782"/>
      <c r="L171" s="1583">
        <f>AVERAGE(L167:L170)</f>
        <v>1038</v>
      </c>
      <c r="N171" s="1581">
        <f>(L171/L164-1)*100</f>
        <v>2.1276595744680771</v>
      </c>
      <c r="O171" s="30"/>
      <c r="P171" s="1584">
        <f t="shared" si="119"/>
        <v>36.919450215758722</v>
      </c>
      <c r="Q171" s="35"/>
      <c r="S171" s="400">
        <v>6619</v>
      </c>
      <c r="T171" s="1617">
        <f t="shared" si="124"/>
        <v>6619</v>
      </c>
      <c r="U171" s="1618"/>
      <c r="V171" s="24">
        <f>SUM(V167:V170)</f>
        <v>6.3711590176462867</v>
      </c>
      <c r="W171" s="1586">
        <f>S171/L171</f>
        <v>6.3766859344894025</v>
      </c>
      <c r="X171" s="24">
        <f t="shared" si="121"/>
        <v>3.5117152886242398</v>
      </c>
      <c r="Y171" s="1587">
        <f t="shared" si="121"/>
        <v>3.5816552128282941</v>
      </c>
      <c r="Z171" s="30"/>
      <c r="AC171" s="1588">
        <f>AVERAGE(AC167:AC170)</f>
        <v>17.637500000000003</v>
      </c>
      <c r="AD171" s="1613"/>
      <c r="AE171" s="24">
        <f t="shared" si="122"/>
        <v>4.9857549857550421E-3</v>
      </c>
      <c r="AF171" s="1581"/>
      <c r="AG171" s="30"/>
      <c r="AH171" s="1589">
        <f t="shared" si="125"/>
        <v>157.55291216694366</v>
      </c>
      <c r="AI171" s="35"/>
      <c r="AJ171" s="1590">
        <f>T171</f>
        <v>6619</v>
      </c>
      <c r="AK171" s="1590">
        <f>S171</f>
        <v>6619</v>
      </c>
      <c r="AL171" s="1586">
        <f t="shared" si="123"/>
        <v>375.2799433026222</v>
      </c>
      <c r="AM171" s="1591"/>
      <c r="AN171" s="24">
        <f>AL171/AL164-1</f>
        <v>5.2607160773696648E-2</v>
      </c>
      <c r="AO171" s="1587"/>
      <c r="AP171" s="30"/>
      <c r="AQ171" s="1583"/>
      <c r="AR171" s="1599"/>
    </row>
    <row r="172" spans="1:44" s="24" customFormat="1">
      <c r="B172" s="29"/>
      <c r="D172" s="1581"/>
      <c r="F172" s="1616"/>
      <c r="H172" s="1581"/>
      <c r="J172" s="1782"/>
      <c r="L172" s="1583"/>
      <c r="N172" s="1581"/>
      <c r="O172" s="30"/>
      <c r="P172" s="1584"/>
      <c r="Q172" s="35"/>
      <c r="S172" s="1618"/>
      <c r="T172" s="1935"/>
      <c r="U172" s="1618"/>
      <c r="Y172" s="1587"/>
      <c r="Z172" s="30"/>
      <c r="AD172" s="1588"/>
      <c r="AF172" s="1581"/>
      <c r="AG172" s="30"/>
      <c r="AH172" s="1589"/>
      <c r="AI172" s="35"/>
      <c r="AK172" s="1590"/>
      <c r="AM172" s="1591"/>
      <c r="AO172" s="1587"/>
      <c r="AP172" s="30"/>
      <c r="AQ172" s="1583"/>
      <c r="AR172" s="1599"/>
    </row>
    <row r="173" spans="1:44" s="24" customFormat="1">
      <c r="A173" s="1579"/>
      <c r="B173" s="1580">
        <f>+B166+1</f>
        <v>2015</v>
      </c>
      <c r="D173" s="1581"/>
      <c r="F173" s="1616"/>
      <c r="H173" s="1581"/>
      <c r="J173" s="1782"/>
      <c r="L173" s="1583"/>
      <c r="N173" s="1581"/>
      <c r="O173" s="30"/>
      <c r="P173" s="1584"/>
      <c r="Q173" s="35"/>
      <c r="S173" s="1585"/>
      <c r="T173" s="400"/>
      <c r="U173" s="1585"/>
      <c r="Y173" s="1587"/>
      <c r="Z173" s="30"/>
      <c r="AD173" s="1588"/>
      <c r="AF173" s="1581"/>
      <c r="AG173" s="30"/>
      <c r="AH173" s="1589"/>
      <c r="AI173" s="35"/>
      <c r="AK173" s="1590"/>
      <c r="AM173" s="1591"/>
      <c r="AO173" s="1587"/>
      <c r="AP173" s="30"/>
      <c r="AQ173" s="1583"/>
      <c r="AR173" s="1592"/>
    </row>
    <row r="174" spans="1:44" s="24" customFormat="1">
      <c r="A174" s="24" t="str">
        <f>$A$27</f>
        <v>1Q</v>
      </c>
      <c r="B174" s="29" t="str">
        <f>$B$27</f>
        <v>Apr</v>
      </c>
      <c r="D174" s="1581">
        <f>(T174/T167-1)*100</f>
        <v>4.7940580688723866</v>
      </c>
      <c r="E174" s="30" t="s">
        <v>489</v>
      </c>
      <c r="F174" s="1813">
        <v>3</v>
      </c>
      <c r="G174" s="30" t="s">
        <v>489</v>
      </c>
      <c r="H174" s="1581">
        <f>D174-F174</f>
        <v>1.7940580688723866</v>
      </c>
      <c r="I174" s="30" t="s">
        <v>489</v>
      </c>
      <c r="J174" s="1798">
        <f>'Store New'!AT13</f>
        <v>1060</v>
      </c>
      <c r="L174" s="1583">
        <f>AVERAGE(J174,J170)</f>
        <v>1058</v>
      </c>
      <c r="N174" s="1581">
        <f>(L174/L167-1)*100</f>
        <v>3.2195121951219541</v>
      </c>
      <c r="O174" s="30" t="s">
        <v>489</v>
      </c>
      <c r="P174" s="1584">
        <f t="shared" ref="P174:P178" si="127">H174/N174*100</f>
        <v>55.724530927096808</v>
      </c>
      <c r="Q174" s="35" t="s">
        <v>489</v>
      </c>
      <c r="S174" s="1916">
        <v>1552</v>
      </c>
      <c r="T174" s="1595">
        <f>S174-AQ174</f>
        <v>1552</v>
      </c>
      <c r="U174" s="1596"/>
      <c r="V174" s="24">
        <f t="shared" ref="V174:V177" si="128">T174/L174</f>
        <v>1.4669187145557656</v>
      </c>
      <c r="W174" s="1586">
        <f>S174/L174</f>
        <v>1.4669187145557656</v>
      </c>
      <c r="X174" s="24">
        <f t="shared" ref="X174:Y178" si="129">(V174/V167-1)*100</f>
        <v>1.52543432948411</v>
      </c>
      <c r="Y174" s="1587">
        <f t="shared" si="129"/>
        <v>1.52543432948411</v>
      </c>
      <c r="Z174" s="30" t="s">
        <v>489</v>
      </c>
      <c r="AA174" s="24">
        <f>'Store New'!AT33</f>
        <v>17.900000000000002</v>
      </c>
      <c r="AB174" s="1597"/>
      <c r="AC174" s="1588">
        <f>AVERAGE(AA174,AA170)</f>
        <v>17.899999999999999</v>
      </c>
      <c r="AD174" s="1588"/>
      <c r="AE174" s="24">
        <f t="shared" ref="AE174:AE178" si="130">AC174/AC167-1</f>
        <v>2.5787965616045794E-2</v>
      </c>
      <c r="AF174" s="1581"/>
      <c r="AG174" s="30" t="s">
        <v>489</v>
      </c>
      <c r="AH174" s="1589">
        <f>+H174/AE174</f>
        <v>69.569585115162681</v>
      </c>
      <c r="AI174" s="35" t="s">
        <v>489</v>
      </c>
      <c r="AJ174" s="1590">
        <f>T174</f>
        <v>1552</v>
      </c>
      <c r="AK174" s="1590">
        <f>S174</f>
        <v>1552</v>
      </c>
      <c r="AL174" s="1586">
        <f t="shared" ref="AL174:AL178" si="131">AJ174/AC174</f>
        <v>86.703910614525142</v>
      </c>
      <c r="AM174" s="1591"/>
      <c r="AN174" s="24">
        <f>AL174/AL167-1</f>
        <v>2.1595705755208305E-2</v>
      </c>
      <c r="AO174" s="1587"/>
      <c r="AP174" s="30" t="s">
        <v>489</v>
      </c>
      <c r="AQ174" s="1598"/>
      <c r="AR174" s="1599"/>
    </row>
    <row r="175" spans="1:44" s="24" customFormat="1">
      <c r="A175" s="24" t="str">
        <f>$A$28</f>
        <v>2Q</v>
      </c>
      <c r="B175" s="29" t="str">
        <f>$B$28</f>
        <v>Jul</v>
      </c>
      <c r="D175" s="1581">
        <f>(T175/T168-1)*100</f>
        <v>3.2675709001233066</v>
      </c>
      <c r="F175" s="1813">
        <v>3</v>
      </c>
      <c r="H175" s="1581">
        <f>D175-F175</f>
        <v>0.26757090012330664</v>
      </c>
      <c r="J175" s="1798">
        <f>'Store New'!AU13</f>
        <v>1064</v>
      </c>
      <c r="L175" s="1583">
        <f>AVERAGE(J175,J174)</f>
        <v>1062</v>
      </c>
      <c r="N175" s="1581">
        <f>(L175/L168-1)*100</f>
        <v>3.0067895247332777</v>
      </c>
      <c r="O175" s="30"/>
      <c r="P175" s="1584">
        <f t="shared" si="127"/>
        <v>8.8988902589396233</v>
      </c>
      <c r="Q175" s="35"/>
      <c r="S175" s="1919">
        <v>1675</v>
      </c>
      <c r="T175" s="1600">
        <f t="shared" ref="T175:T178" si="132">S175-AQ175</f>
        <v>1675</v>
      </c>
      <c r="U175" s="1601"/>
      <c r="V175" s="24">
        <f t="shared" si="128"/>
        <v>1.5772128060263653</v>
      </c>
      <c r="W175" s="1586">
        <f>S175/L175</f>
        <v>1.5772128060263653</v>
      </c>
      <c r="X175" s="24">
        <f t="shared" si="129"/>
        <v>0.25316911301989098</v>
      </c>
      <c r="Y175" s="1587">
        <f t="shared" si="129"/>
        <v>0.25316911301989098</v>
      </c>
      <c r="Z175" s="30"/>
      <c r="AA175" s="24">
        <f>'Store New'!AU33</f>
        <v>17.900000000000002</v>
      </c>
      <c r="AB175" s="1597"/>
      <c r="AC175" s="1588">
        <f>AVERAGE(AA175,AA174)</f>
        <v>17.900000000000002</v>
      </c>
      <c r="AD175" s="1588"/>
      <c r="AE175" s="24">
        <f t="shared" si="130"/>
        <v>1.9943019943020168E-2</v>
      </c>
      <c r="AF175" s="1581"/>
      <c r="AG175" s="30"/>
      <c r="AH175" s="1589">
        <f t="shared" ref="AH175:AH178" si="133">+H175/AE175</f>
        <v>13.41676942046851</v>
      </c>
      <c r="AI175" s="35"/>
      <c r="AJ175" s="1590">
        <f>T175</f>
        <v>1675</v>
      </c>
      <c r="AK175" s="1590">
        <f>S175</f>
        <v>1675</v>
      </c>
      <c r="AL175" s="1586">
        <f t="shared" si="131"/>
        <v>93.575418994413397</v>
      </c>
      <c r="AM175" s="1591"/>
      <c r="AN175" s="24">
        <f>AL175/AL168-1</f>
        <v>1.2483725864337103E-2</v>
      </c>
      <c r="AO175" s="1587"/>
      <c r="AP175" s="30"/>
      <c r="AQ175" s="1598"/>
      <c r="AR175" s="1599"/>
    </row>
    <row r="176" spans="1:44" s="24" customFormat="1">
      <c r="A176" s="24" t="str">
        <f>$A$29</f>
        <v>3Q</v>
      </c>
      <c r="B176" s="29" t="str">
        <f>$B$29</f>
        <v>Oct</v>
      </c>
      <c r="D176" s="1581">
        <f>(T176/T169-1)*100</f>
        <v>4.1720154043645596</v>
      </c>
      <c r="F176" s="1813">
        <v>4</v>
      </c>
      <c r="H176" s="1581">
        <f>D176-F176</f>
        <v>0.17201540436455964</v>
      </c>
      <c r="J176" s="1798">
        <f>'Store New'!AV13</f>
        <v>1084</v>
      </c>
      <c r="L176" s="1583">
        <f>AVERAGE(J176,J175)</f>
        <v>1074</v>
      </c>
      <c r="N176" s="1581">
        <f>(L176/L169-1)*100</f>
        <v>3.0215827338129442</v>
      </c>
      <c r="O176" s="30"/>
      <c r="P176" s="1584">
        <f t="shared" si="127"/>
        <v>5.6928907634937698</v>
      </c>
      <c r="Q176" s="35"/>
      <c r="S176" s="1919">
        <v>1623</v>
      </c>
      <c r="T176" s="1600">
        <f t="shared" si="132"/>
        <v>1623</v>
      </c>
      <c r="U176" s="1601"/>
      <c r="V176" s="24">
        <f t="shared" si="128"/>
        <v>1.511173184357542</v>
      </c>
      <c r="W176" s="1586">
        <f>S176/L176</f>
        <v>1.511173184357542</v>
      </c>
      <c r="X176" s="24">
        <f t="shared" si="129"/>
        <v>1.1166909302142036</v>
      </c>
      <c r="Y176" s="1587">
        <f t="shared" si="129"/>
        <v>1.1166909302142036</v>
      </c>
      <c r="Z176" s="30"/>
      <c r="AA176" s="24">
        <f>'Store New'!AV33</f>
        <v>18.2</v>
      </c>
      <c r="AB176" s="1597"/>
      <c r="AC176" s="1588">
        <f t="shared" ref="AC176:AC177" si="134">AVERAGE(AA176,AA175)</f>
        <v>18.05</v>
      </c>
      <c r="AD176" s="1588"/>
      <c r="AE176" s="24">
        <f t="shared" si="130"/>
        <v>1.9774011299435124E-2</v>
      </c>
      <c r="AF176" s="1581"/>
      <c r="AG176" s="30"/>
      <c r="AH176" s="1589">
        <f t="shared" si="133"/>
        <v>8.6990647350076884</v>
      </c>
      <c r="AI176" s="35"/>
      <c r="AJ176" s="1590">
        <f>T176</f>
        <v>1623</v>
      </c>
      <c r="AK176" s="1590">
        <f>S176</f>
        <v>1623</v>
      </c>
      <c r="AL176" s="1586">
        <f t="shared" si="131"/>
        <v>89.91689750692521</v>
      </c>
      <c r="AM176" s="1591"/>
      <c r="AN176" s="24">
        <f>AL176/AL169-1</f>
        <v>2.1520594269946125E-2</v>
      </c>
      <c r="AO176" s="1587"/>
      <c r="AP176" s="30"/>
      <c r="AQ176" s="1605"/>
      <c r="AR176" s="1599"/>
    </row>
    <row r="177" spans="1:48" s="24" customFormat="1">
      <c r="A177" s="24" t="str">
        <f>$A$30</f>
        <v>4Q</v>
      </c>
      <c r="B177" s="29" t="str">
        <f>$B$30</f>
        <v>Jan</v>
      </c>
      <c r="D177" s="1606">
        <f>(T177/T170-1)*100</f>
        <v>-6.792645556690502</v>
      </c>
      <c r="F177" s="1607">
        <v>-8</v>
      </c>
      <c r="H177" s="1606">
        <f>D177-F177</f>
        <v>1.207354443309498</v>
      </c>
      <c r="J177" s="1798">
        <f>'Store New'!AW13</f>
        <v>1095</v>
      </c>
      <c r="L177" s="1608">
        <f>AVERAGE(J177,J176)</f>
        <v>1089.5</v>
      </c>
      <c r="N177" s="1606">
        <f>(L177/L170-1)*100</f>
        <v>3.4171808258186998</v>
      </c>
      <c r="O177" s="30"/>
      <c r="P177" s="1609">
        <f t="shared" si="127"/>
        <v>35.331886278515448</v>
      </c>
      <c r="Q177" s="35"/>
      <c r="S177" s="1918">
        <v>1825</v>
      </c>
      <c r="T177" s="1610">
        <f t="shared" si="132"/>
        <v>1825</v>
      </c>
      <c r="U177" s="1601"/>
      <c r="V177" s="24">
        <f t="shared" si="128"/>
        <v>1.6750803120697568</v>
      </c>
      <c r="W177" s="1586">
        <f>S177/L177</f>
        <v>1.6750803120697568</v>
      </c>
      <c r="X177" s="24">
        <f t="shared" si="129"/>
        <v>-9.8724663551844287</v>
      </c>
      <c r="Y177" s="1612">
        <f t="shared" si="129"/>
        <v>-9.8724663551844287</v>
      </c>
      <c r="Z177" s="30"/>
      <c r="AA177" s="24">
        <f>'Store New'!AW33</f>
        <v>18.3</v>
      </c>
      <c r="AB177" s="1597"/>
      <c r="AC177" s="1588">
        <f t="shared" si="134"/>
        <v>18.25</v>
      </c>
      <c r="AD177" s="1613"/>
      <c r="AE177" s="24">
        <f t="shared" si="130"/>
        <v>2.2408963585434094E-2</v>
      </c>
      <c r="AF177" s="1606"/>
      <c r="AG177" s="30"/>
      <c r="AH177" s="1608">
        <f t="shared" si="133"/>
        <v>53.878192032686542</v>
      </c>
      <c r="AI177" s="35"/>
      <c r="AJ177" s="1590">
        <f>T177</f>
        <v>1825</v>
      </c>
      <c r="AK177" s="1590">
        <f>S177</f>
        <v>1825</v>
      </c>
      <c r="AL177" s="1586">
        <f t="shared" si="131"/>
        <v>100</v>
      </c>
      <c r="AM177" s="1591"/>
      <c r="AN177" s="24">
        <f>AL177/AL170-1</f>
        <v>-8.8355464759959146E-2</v>
      </c>
      <c r="AO177" s="1587"/>
      <c r="AP177" s="30"/>
      <c r="AQ177" s="1608"/>
      <c r="AR177" s="1592"/>
    </row>
    <row r="178" spans="1:48" s="24" customFormat="1">
      <c r="B178" s="29" t="str">
        <f>$B$31</f>
        <v>Year</v>
      </c>
      <c r="D178" s="1581">
        <f>(T178/T171-1)*100</f>
        <v>0.84604925215290283</v>
      </c>
      <c r="F178" s="1616">
        <v>0</v>
      </c>
      <c r="H178" s="1581">
        <f>D178-F178</f>
        <v>0.84604925215290283</v>
      </c>
      <c r="J178" s="1782"/>
      <c r="L178" s="1583">
        <f>AVERAGE(L174:L177)</f>
        <v>1070.875</v>
      </c>
      <c r="N178" s="1581">
        <f>(L178/L171-1)*100</f>
        <v>3.1671483622350616</v>
      </c>
      <c r="O178" s="30"/>
      <c r="P178" s="1584">
        <f t="shared" si="127"/>
        <v>26.713281330333526</v>
      </c>
      <c r="Q178" s="35"/>
      <c r="S178" s="400">
        <v>6675</v>
      </c>
      <c r="T178" s="1617">
        <f t="shared" si="132"/>
        <v>6675</v>
      </c>
      <c r="U178" s="1618"/>
      <c r="V178" s="24">
        <f>SUM(V174:V177)</f>
        <v>6.2303850170094295</v>
      </c>
      <c r="W178" s="1586">
        <f>S178/L178</f>
        <v>6.2332204972569158</v>
      </c>
      <c r="X178" s="24">
        <f t="shared" si="129"/>
        <v>-2.2095508877890691</v>
      </c>
      <c r="Y178" s="1587">
        <f t="shared" si="129"/>
        <v>-2.2498432368533217</v>
      </c>
      <c r="Z178" s="30"/>
      <c r="AC178" s="1588">
        <f>AVERAGE(AC174:AC177)</f>
        <v>18.024999999999999</v>
      </c>
      <c r="AD178" s="1588"/>
      <c r="AE178" s="24">
        <f t="shared" si="130"/>
        <v>2.1970233876682954E-2</v>
      </c>
      <c r="AF178" s="1581"/>
      <c r="AG178" s="30"/>
      <c r="AH178" s="1589">
        <f t="shared" si="133"/>
        <v>38.508886928637402</v>
      </c>
      <c r="AI178" s="35"/>
      <c r="AJ178" s="1590">
        <f>T178</f>
        <v>6675</v>
      </c>
      <c r="AK178" s="1590">
        <f>S178</f>
        <v>6675</v>
      </c>
      <c r="AL178" s="1586">
        <f t="shared" si="131"/>
        <v>370.31900138696255</v>
      </c>
      <c r="AM178" s="1591"/>
      <c r="AN178" s="24">
        <f>AL178/AL171-1</f>
        <v>-1.3219310022276276E-2</v>
      </c>
      <c r="AO178" s="1587"/>
      <c r="AP178" s="30"/>
      <c r="AQ178" s="1583"/>
      <c r="AR178" s="1599"/>
      <c r="AV178" s="1590">
        <f>S178-S150</f>
        <v>1001</v>
      </c>
    </row>
    <row r="179" spans="1:48" s="24" customFormat="1">
      <c r="B179" s="29"/>
      <c r="D179" s="1581"/>
      <c r="F179" s="1616"/>
      <c r="H179" s="1581"/>
      <c r="J179" s="1782"/>
      <c r="L179" s="1583"/>
      <c r="N179" s="1581"/>
      <c r="O179" s="30"/>
      <c r="P179" s="1584"/>
      <c r="Q179" s="35"/>
      <c r="S179" s="1618"/>
      <c r="T179" s="1617"/>
      <c r="U179" s="1618"/>
      <c r="Y179" s="1587"/>
      <c r="Z179" s="30"/>
      <c r="AD179" s="1588"/>
      <c r="AF179" s="1581"/>
      <c r="AG179" s="30"/>
      <c r="AH179" s="1589"/>
      <c r="AI179" s="35"/>
      <c r="AP179" s="30"/>
      <c r="AQ179" s="1583"/>
      <c r="AR179" s="1599"/>
    </row>
    <row r="180" spans="1:48" s="24" customFormat="1">
      <c r="A180" s="1579"/>
      <c r="B180" s="1580">
        <f>+B173+1</f>
        <v>2016</v>
      </c>
      <c r="D180" s="1581"/>
      <c r="F180" s="1616"/>
      <c r="H180" s="1581"/>
      <c r="J180" s="1782"/>
      <c r="L180" s="1583"/>
      <c r="N180" s="1581"/>
      <c r="O180" s="30"/>
      <c r="P180" s="1584"/>
      <c r="Q180" s="35"/>
      <c r="S180" s="1585"/>
      <c r="T180" s="400"/>
      <c r="U180" s="1585"/>
      <c r="Y180" s="1587"/>
      <c r="Z180" s="30"/>
      <c r="AD180" s="1588"/>
      <c r="AF180" s="1581"/>
      <c r="AG180" s="30"/>
      <c r="AH180" s="1589"/>
      <c r="AI180" s="35"/>
      <c r="AP180" s="30"/>
      <c r="AQ180" s="1583"/>
      <c r="AR180" s="1592"/>
    </row>
    <row r="181" spans="1:48" s="24" customFormat="1">
      <c r="A181" s="24" t="str">
        <f>$A$27</f>
        <v>1Q</v>
      </c>
      <c r="B181" s="29" t="str">
        <f>$B$27</f>
        <v>Apr</v>
      </c>
      <c r="D181" s="1581">
        <f>(T181/T174-1)*100</f>
        <v>-4.2525773195876244</v>
      </c>
      <c r="E181" s="30" t="s">
        <v>489</v>
      </c>
      <c r="F181" s="1813">
        <v>-6</v>
      </c>
      <c r="G181" s="30" t="s">
        <v>489</v>
      </c>
      <c r="H181" s="1581">
        <f>D181-F181</f>
        <v>1.7474226804123756</v>
      </c>
      <c r="I181" s="30" t="s">
        <v>489</v>
      </c>
      <c r="J181" s="1798">
        <f>'Store New'!AX13</f>
        <v>1098</v>
      </c>
      <c r="L181" s="1583">
        <f>AVERAGE(J181,J177)</f>
        <v>1096.5</v>
      </c>
      <c r="N181" s="1581">
        <f>(L181/L174-1)*100</f>
        <v>3.6389413988657804</v>
      </c>
      <c r="O181" s="30" t="s">
        <v>489</v>
      </c>
      <c r="P181" s="1584">
        <f t="shared" ref="P181:P185" si="135">H181/N181*100</f>
        <v>48.020083009773906</v>
      </c>
      <c r="Q181" s="35" t="s">
        <v>489</v>
      </c>
      <c r="S181" s="1916">
        <v>1486</v>
      </c>
      <c r="T181" s="1595">
        <f>S181-AQ181</f>
        <v>1486</v>
      </c>
      <c r="U181" s="1596"/>
      <c r="V181" s="24">
        <f t="shared" ref="V181:V184" si="136">T181/L181</f>
        <v>1.3552211582307341</v>
      </c>
      <c r="W181" s="1586">
        <f>S181/L181</f>
        <v>1.3552211582307341</v>
      </c>
      <c r="X181" s="24">
        <f t="shared" ref="X181:Y185" si="137">(V181/V174-1)*100</f>
        <v>-7.6144339298893975</v>
      </c>
      <c r="Y181" s="1587">
        <f t="shared" si="137"/>
        <v>-7.6144339298893975</v>
      </c>
      <c r="Z181" s="30" t="s">
        <v>489</v>
      </c>
      <c r="AA181" s="24">
        <f>'Store New'!AX33</f>
        <v>18.3</v>
      </c>
      <c r="AB181" s="1597"/>
      <c r="AC181" s="1588">
        <f>AVERAGE(AA181,AA177)</f>
        <v>18.3</v>
      </c>
      <c r="AD181" s="1588"/>
      <c r="AE181" s="24">
        <f t="shared" ref="AE181:AE185" si="138">AC181/AC174-1</f>
        <v>2.2346368715083997E-2</v>
      </c>
      <c r="AF181" s="1581"/>
      <c r="AG181" s="30" t="s">
        <v>489</v>
      </c>
      <c r="AH181" s="1589">
        <f>+H181/AE181</f>
        <v>78.197164948453107</v>
      </c>
      <c r="AI181" s="35" t="s">
        <v>489</v>
      </c>
      <c r="AJ181" s="1590">
        <f>T181</f>
        <v>1486</v>
      </c>
      <c r="AK181" s="1590">
        <f>S181</f>
        <v>1486</v>
      </c>
      <c r="AL181" s="1586">
        <f t="shared" ref="AL181:AL185" si="139">AJ181/AC181</f>
        <v>81.202185792349724</v>
      </c>
      <c r="AM181" s="1591"/>
      <c r="AN181" s="24">
        <f>AL181/AL174-1</f>
        <v>-6.3454171595966447E-2</v>
      </c>
      <c r="AO181" s="1587"/>
      <c r="AP181" s="30" t="s">
        <v>489</v>
      </c>
      <c r="AQ181" s="1598"/>
      <c r="AR181" s="1599"/>
    </row>
    <row r="182" spans="1:48" s="24" customFormat="1">
      <c r="A182" s="24" t="str">
        <f>$A$28</f>
        <v>2Q</v>
      </c>
      <c r="B182" s="29" t="str">
        <f>$B$28</f>
        <v>Jul</v>
      </c>
      <c r="D182" s="1581">
        <f>(T182/T175-1)*100</f>
        <v>1.7910447761193993</v>
      </c>
      <c r="F182" s="1813">
        <v>0</v>
      </c>
      <c r="H182" s="1581">
        <f>D182-F182</f>
        <v>1.7910447761193993</v>
      </c>
      <c r="J182" s="1798">
        <f>'Store New'!AY13</f>
        <v>1101</v>
      </c>
      <c r="L182" s="1583">
        <f>AVERAGE(J182,J181)</f>
        <v>1099.5</v>
      </c>
      <c r="N182" s="1581">
        <f>(L182/L175-1)*100</f>
        <v>3.5310734463276816</v>
      </c>
      <c r="O182" s="30"/>
      <c r="P182" s="1584">
        <f t="shared" si="135"/>
        <v>50.722388059701416</v>
      </c>
      <c r="Q182" s="35"/>
      <c r="S182" s="1919">
        <v>1705</v>
      </c>
      <c r="T182" s="1600">
        <f t="shared" ref="T182:T185" si="140">S182-AQ182</f>
        <v>1705</v>
      </c>
      <c r="U182" s="1601"/>
      <c r="V182" s="24">
        <f t="shared" si="136"/>
        <v>1.5507048658481128</v>
      </c>
      <c r="W182" s="1586">
        <f>S182/L182</f>
        <v>1.5507048658481128</v>
      </c>
      <c r="X182" s="24">
        <f t="shared" si="137"/>
        <v>-1.6806825354808375</v>
      </c>
      <c r="Y182" s="1587">
        <f t="shared" si="137"/>
        <v>-1.6806825354808375</v>
      </c>
      <c r="Z182" s="30"/>
      <c r="AA182" s="24">
        <f>'Store New'!AY33</f>
        <v>18.399999999999999</v>
      </c>
      <c r="AB182" s="1597"/>
      <c r="AC182" s="1588">
        <f>AVERAGE(AA182,AA181)</f>
        <v>18.350000000000001</v>
      </c>
      <c r="AD182" s="1588"/>
      <c r="AE182" s="24">
        <f t="shared" si="138"/>
        <v>2.5139664804469275E-2</v>
      </c>
      <c r="AF182" s="1581"/>
      <c r="AG182" s="30"/>
      <c r="AH182" s="1589">
        <f t="shared" ref="AH182:AH185" si="141">+H182/AE182</f>
        <v>71.243781094527208</v>
      </c>
      <c r="AI182" s="35"/>
      <c r="AJ182" s="1590">
        <f>T182</f>
        <v>1705</v>
      </c>
      <c r="AK182" s="1590">
        <f>S182</f>
        <v>1705</v>
      </c>
      <c r="AL182" s="1586">
        <f t="shared" si="139"/>
        <v>92.915531335149851</v>
      </c>
      <c r="AM182" s="1591"/>
      <c r="AN182" s="24">
        <f>AL182/AL175-1</f>
        <v>-7.051933791532794E-3</v>
      </c>
      <c r="AO182" s="1587"/>
      <c r="AP182" s="30"/>
      <c r="AQ182" s="1598"/>
      <c r="AR182" s="1599"/>
    </row>
    <row r="183" spans="1:48" s="24" customFormat="1">
      <c r="A183" s="24" t="str">
        <f>$A$29</f>
        <v>3Q</v>
      </c>
      <c r="B183" s="29" t="str">
        <f>$B$29</f>
        <v>Oct</v>
      </c>
      <c r="D183" s="1581">
        <f t="shared" ref="D183:D184" si="142">(T183/T176-1)*100</f>
        <v>5.0523721503388686</v>
      </c>
      <c r="F183" s="1813">
        <v>3</v>
      </c>
      <c r="H183" s="1581">
        <f t="shared" ref="H183:H184" si="143">D183-F183</f>
        <v>2.0523721503388686</v>
      </c>
      <c r="J183" s="1798">
        <f>'Store New'!AZ13</f>
        <v>1099</v>
      </c>
      <c r="L183" s="1583">
        <f>AVERAGE(J183,J182)</f>
        <v>1100</v>
      </c>
      <c r="N183" s="1581">
        <f>(L183/L176-1)*100</f>
        <v>2.4208566108007368</v>
      </c>
      <c r="O183" s="30"/>
      <c r="P183" s="1584">
        <f t="shared" si="135"/>
        <v>84.778757287075081</v>
      </c>
      <c r="Q183" s="35"/>
      <c r="S183" s="1919">
        <v>1705</v>
      </c>
      <c r="T183" s="1600">
        <f t="shared" si="140"/>
        <v>1705</v>
      </c>
      <c r="U183" s="1601"/>
      <c r="V183" s="24">
        <f t="shared" si="136"/>
        <v>1.55</v>
      </c>
      <c r="W183" s="1586">
        <f>S183/L183</f>
        <v>1.55</v>
      </c>
      <c r="X183" s="24">
        <f t="shared" si="137"/>
        <v>2.5693160813308635</v>
      </c>
      <c r="Y183" s="1587">
        <f t="shared" si="137"/>
        <v>2.5693160813308635</v>
      </c>
      <c r="Z183" s="30"/>
      <c r="AA183" s="24">
        <f>'Store New'!AZ33</f>
        <v>18.299999999999997</v>
      </c>
      <c r="AB183" s="1597"/>
      <c r="AC183" s="1588">
        <f t="shared" ref="AC183:AC184" si="144">AVERAGE(AA183,AA182)</f>
        <v>18.349999999999998</v>
      </c>
      <c r="AD183" s="1588"/>
      <c r="AE183" s="24">
        <f t="shared" si="138"/>
        <v>1.662049861495829E-2</v>
      </c>
      <c r="AF183" s="1581"/>
      <c r="AG183" s="30"/>
      <c r="AH183" s="1589">
        <f t="shared" si="141"/>
        <v>123.48439104538977</v>
      </c>
      <c r="AI183" s="35"/>
      <c r="AJ183" s="1590">
        <f>T183</f>
        <v>1705</v>
      </c>
      <c r="AK183" s="1590">
        <f>S183</f>
        <v>1705</v>
      </c>
      <c r="AL183" s="1586">
        <f t="shared" si="139"/>
        <v>92.915531335149879</v>
      </c>
      <c r="AM183" s="1591"/>
      <c r="AN183" s="24">
        <f>AL183/AL176-1</f>
        <v>3.3348946764913956E-2</v>
      </c>
      <c r="AO183" s="1587"/>
      <c r="AP183" s="30"/>
      <c r="AQ183" s="1605"/>
      <c r="AR183" s="1599"/>
    </row>
    <row r="184" spans="1:48" s="24" customFormat="1">
      <c r="A184" s="24" t="str">
        <f>$A$30</f>
        <v>4Q</v>
      </c>
      <c r="B184" s="29" t="str">
        <f>$B$30</f>
        <v>Jan</v>
      </c>
      <c r="D184" s="1606">
        <f t="shared" si="142"/>
        <v>5.0958904109589032</v>
      </c>
      <c r="F184" s="1607">
        <v>5</v>
      </c>
      <c r="H184" s="1606">
        <f t="shared" si="143"/>
        <v>9.5890410958903161E-2</v>
      </c>
      <c r="J184" s="1798">
        <f>'Store New'!BA13</f>
        <v>1056</v>
      </c>
      <c r="L184" s="1608">
        <f>AVERAGE(J184,J183)</f>
        <v>1077.5</v>
      </c>
      <c r="N184" s="1606">
        <f>(L184/L177-1)*100</f>
        <v>-1.1014226709499808</v>
      </c>
      <c r="O184" s="30"/>
      <c r="P184" s="1609">
        <f t="shared" si="135"/>
        <v>-8.7060502283103851</v>
      </c>
      <c r="Q184" s="35"/>
      <c r="S184" s="1918">
        <v>1918</v>
      </c>
      <c r="T184" s="1610">
        <f t="shared" si="140"/>
        <v>1918</v>
      </c>
      <c r="U184" s="1716"/>
      <c r="V184" s="24">
        <f t="shared" si="136"/>
        <v>1.7800464037122969</v>
      </c>
      <c r="W184" s="1586">
        <f>S184/L184</f>
        <v>1.7800464037122969</v>
      </c>
      <c r="X184" s="24">
        <f t="shared" si="137"/>
        <v>6.2663318818930058</v>
      </c>
      <c r="Y184" s="1612">
        <f t="shared" si="137"/>
        <v>6.2663318818930058</v>
      </c>
      <c r="Z184" s="30"/>
      <c r="AA184" s="24">
        <f>'Store New'!BA33</f>
        <v>17.599999999999998</v>
      </c>
      <c r="AB184" s="1597"/>
      <c r="AC184" s="1588">
        <f t="shared" si="144"/>
        <v>17.949999999999996</v>
      </c>
      <c r="AD184" s="1613"/>
      <c r="AE184" s="24">
        <f t="shared" si="138"/>
        <v>-1.6438356164383827E-2</v>
      </c>
      <c r="AF184" s="1606"/>
      <c r="AG184" s="30"/>
      <c r="AH184" s="1608">
        <f t="shared" si="141"/>
        <v>-5.8333333333331812</v>
      </c>
      <c r="AI184" s="35"/>
      <c r="AJ184" s="1590">
        <f>T184</f>
        <v>1918</v>
      </c>
      <c r="AK184" s="1590">
        <f>S184</f>
        <v>1918</v>
      </c>
      <c r="AL184" s="1586">
        <f t="shared" si="139"/>
        <v>106.85236768802231</v>
      </c>
      <c r="AM184" s="1591"/>
      <c r="AN184" s="24">
        <f>AL184/AL177-1</f>
        <v>6.8523676880223094E-2</v>
      </c>
      <c r="AO184" s="1587"/>
      <c r="AP184" s="30"/>
      <c r="AQ184" s="1608"/>
      <c r="AR184" s="1592"/>
    </row>
    <row r="185" spans="1:48" s="24" customFormat="1">
      <c r="B185" s="29" t="str">
        <f>$B$31</f>
        <v>Year</v>
      </c>
      <c r="D185" s="1581">
        <f>(T185/T178-1)*100</f>
        <v>2.0823970037453288</v>
      </c>
      <c r="F185" s="1616">
        <v>1</v>
      </c>
      <c r="H185" s="1581">
        <f>D185-F185</f>
        <v>1.0823970037453288</v>
      </c>
      <c r="J185" s="1798"/>
      <c r="L185" s="1583">
        <f>AVERAGE(L181:L184)</f>
        <v>1093.375</v>
      </c>
      <c r="N185" s="1581">
        <f>(L185/L178-1)*100</f>
        <v>2.1010855608731172</v>
      </c>
      <c r="O185" s="30"/>
      <c r="P185" s="1584">
        <f t="shared" si="135"/>
        <v>51.516084061590192</v>
      </c>
      <c r="Q185" s="35"/>
      <c r="S185" s="400">
        <v>6814</v>
      </c>
      <c r="T185" s="1617">
        <f t="shared" si="140"/>
        <v>6814</v>
      </c>
      <c r="U185" s="1618"/>
      <c r="V185" s="24">
        <f>SUM(V181:V184)</f>
        <v>6.2359724277911441</v>
      </c>
      <c r="W185" s="1586">
        <f>S185/L185</f>
        <v>6.2320795701383336</v>
      </c>
      <c r="X185" s="24">
        <f t="shared" si="137"/>
        <v>8.9680024050853291E-2</v>
      </c>
      <c r="Y185" s="1587">
        <f t="shared" si="137"/>
        <v>-1.8303974952982305E-2</v>
      </c>
      <c r="Z185" s="30"/>
      <c r="AC185" s="1588">
        <f>AVERAGE(AC181:AC184)</f>
        <v>18.237499999999997</v>
      </c>
      <c r="AD185" s="1588"/>
      <c r="AE185" s="24">
        <f t="shared" si="138"/>
        <v>1.1789181692094308E-2</v>
      </c>
      <c r="AF185" s="1581"/>
      <c r="AG185" s="30"/>
      <c r="AH185" s="1589">
        <f t="shared" si="141"/>
        <v>91.812734082397924</v>
      </c>
      <c r="AI185" s="35"/>
      <c r="AJ185" s="1590">
        <f>T185</f>
        <v>6814</v>
      </c>
      <c r="AK185" s="1590">
        <f>S185</f>
        <v>6814</v>
      </c>
      <c r="AL185" s="1586">
        <f t="shared" si="139"/>
        <v>373.62577107607956</v>
      </c>
      <c r="AM185" s="1591"/>
      <c r="AN185" s="24">
        <f>AL185/AL178-1</f>
        <v>8.9295166511362822E-3</v>
      </c>
      <c r="AO185" s="1587"/>
      <c r="AP185" s="30"/>
      <c r="AQ185" s="1583"/>
      <c r="AR185" s="1599"/>
    </row>
    <row r="186" spans="1:48" s="24" customFormat="1">
      <c r="B186" s="29"/>
      <c r="D186" s="1675"/>
      <c r="F186" s="1616"/>
      <c r="H186" s="1581"/>
      <c r="J186" s="1782"/>
      <c r="L186" s="1583"/>
      <c r="N186" s="1581"/>
      <c r="O186" s="30"/>
      <c r="P186" s="1584"/>
      <c r="Q186" s="35"/>
      <c r="S186" s="1618"/>
      <c r="T186" s="1617"/>
      <c r="U186" s="1618"/>
      <c r="W186" s="1586"/>
      <c r="Y186" s="1587"/>
      <c r="Z186" s="30"/>
      <c r="AD186" s="1588"/>
      <c r="AF186" s="1581"/>
      <c r="AG186" s="30"/>
      <c r="AH186" s="1589"/>
      <c r="AI186" s="35"/>
      <c r="AP186" s="30"/>
      <c r="AQ186" s="1583"/>
      <c r="AR186" s="1599"/>
    </row>
    <row r="187" spans="1:48" s="24" customFormat="1">
      <c r="A187" s="1579"/>
      <c r="B187" s="1715">
        <f>+B180+1</f>
        <v>2017</v>
      </c>
      <c r="D187" s="1581"/>
      <c r="F187" s="1616"/>
      <c r="H187" s="1581"/>
      <c r="J187" s="1782"/>
      <c r="L187" s="1583"/>
      <c r="N187" s="1581"/>
      <c r="O187" s="30"/>
      <c r="P187" s="1584"/>
      <c r="Q187" s="35"/>
      <c r="S187" s="1585"/>
      <c r="T187" s="400"/>
      <c r="U187" s="1585"/>
      <c r="W187" s="1586"/>
      <c r="Y187" s="1587"/>
      <c r="Z187" s="30"/>
      <c r="AD187" s="1588"/>
      <c r="AF187" s="1581"/>
      <c r="AG187" s="30"/>
      <c r="AH187" s="1589"/>
      <c r="AI187" s="35"/>
      <c r="AP187" s="30"/>
      <c r="AQ187" s="1583"/>
      <c r="AR187" s="1592"/>
    </row>
    <row r="188" spans="1:48" s="24" customFormat="1">
      <c r="A188" s="24" t="str">
        <f>$A$27</f>
        <v>1Q</v>
      </c>
      <c r="B188" s="29" t="str">
        <f>$B$27</f>
        <v>Apr</v>
      </c>
      <c r="D188" s="1581">
        <f>(T188/T181-1)*100</f>
        <v>5.1144010767160131</v>
      </c>
      <c r="E188" s="30" t="s">
        <v>489</v>
      </c>
      <c r="F188" s="1813">
        <v>8</v>
      </c>
      <c r="G188" s="30" t="s">
        <v>489</v>
      </c>
      <c r="H188" s="1581">
        <f>D188-F188</f>
        <v>-2.8855989232839869</v>
      </c>
      <c r="I188" s="30" t="s">
        <v>489</v>
      </c>
      <c r="J188" s="1798">
        <f>'Store New'!BB13</f>
        <v>1060</v>
      </c>
      <c r="L188" s="1583">
        <f>AVERAGE(J188,J184)</f>
        <v>1058</v>
      </c>
      <c r="N188" s="1581">
        <f>(L188/L181-1)*100</f>
        <v>-3.5111719106247108</v>
      </c>
      <c r="O188" s="30" t="s">
        <v>489</v>
      </c>
      <c r="P188" s="1584">
        <f t="shared" ref="P188:P192" si="145">H188/N188*100</f>
        <v>82.18335634755573</v>
      </c>
      <c r="Q188" s="35" t="s">
        <v>489</v>
      </c>
      <c r="S188" s="1916">
        <v>1562</v>
      </c>
      <c r="T188" s="1595">
        <f>S188-AQ188</f>
        <v>1562</v>
      </c>
      <c r="U188" s="1596"/>
      <c r="V188" s="24">
        <f t="shared" ref="V188:V191" si="146">T188/L188</f>
        <v>1.4763705103969755</v>
      </c>
      <c r="W188" s="1586">
        <f>S188/L188</f>
        <v>1.4763705103969755</v>
      </c>
      <c r="X188" s="24">
        <f t="shared" ref="X188:Y192" si="147">(V188/V181-1)*100</f>
        <v>8.939452533666481</v>
      </c>
      <c r="Y188" s="1587">
        <f t="shared" si="147"/>
        <v>8.939452533666481</v>
      </c>
      <c r="Z188" s="30" t="s">
        <v>489</v>
      </c>
      <c r="AA188" s="24">
        <f>'Store New'!BB33</f>
        <v>17.7</v>
      </c>
      <c r="AB188" s="1597"/>
      <c r="AC188" s="1588">
        <f>AVERAGE(AA188,AA184)</f>
        <v>17.649999999999999</v>
      </c>
      <c r="AD188" s="1588"/>
      <c r="AE188" s="24">
        <f t="shared" ref="AE188:AE192" si="148">AC188/AC181-1</f>
        <v>-3.551912568306026E-2</v>
      </c>
      <c r="AF188" s="1581"/>
      <c r="AG188" s="30" t="s">
        <v>489</v>
      </c>
      <c r="AH188" s="1589">
        <f>+H188/AE188</f>
        <v>81.240708147841133</v>
      </c>
      <c r="AI188" s="35" t="s">
        <v>489</v>
      </c>
      <c r="AJ188" s="1590">
        <f>T188</f>
        <v>1562</v>
      </c>
      <c r="AK188" s="1590">
        <f>S188</f>
        <v>1562</v>
      </c>
      <c r="AL188" s="1586">
        <f t="shared" ref="AL188:AL192" si="149">AJ188/AC188</f>
        <v>88.498583569405113</v>
      </c>
      <c r="AM188" s="1591"/>
      <c r="AN188" s="24">
        <f>AL188/AL181-1</f>
        <v>8.9854696716092697E-2</v>
      </c>
      <c r="AO188" s="1587"/>
      <c r="AP188" s="30" t="s">
        <v>489</v>
      </c>
      <c r="AQ188" s="1598"/>
      <c r="AR188" s="1599"/>
    </row>
    <row r="189" spans="1:48" s="24" customFormat="1">
      <c r="A189" s="24" t="str">
        <f>$A$28</f>
        <v>2Q</v>
      </c>
      <c r="B189" s="29" t="str">
        <f>$B$28</f>
        <v>Jul</v>
      </c>
      <c r="D189" s="1581">
        <f>(T189/T182-1)*100</f>
        <v>3.0498533724340193</v>
      </c>
      <c r="F189" s="1813">
        <v>5</v>
      </c>
      <c r="H189" s="1581">
        <f>D189-F189</f>
        <v>-1.9501466275659807</v>
      </c>
      <c r="J189" s="1798">
        <f>'Store New'!BC13</f>
        <v>1064</v>
      </c>
      <c r="L189" s="1583">
        <f>AVERAGE(J189,J188)</f>
        <v>1062</v>
      </c>
      <c r="N189" s="1581">
        <f>(L189/L182-1)*100</f>
        <v>-3.4106412005457054</v>
      </c>
      <c r="O189" s="30"/>
      <c r="P189" s="1584">
        <f t="shared" si="145"/>
        <v>57.178299120234513</v>
      </c>
      <c r="Q189" s="35"/>
      <c r="S189" s="1919">
        <v>1757</v>
      </c>
      <c r="T189" s="1595">
        <f t="shared" ref="T189:T192" si="150">S189-AQ189</f>
        <v>1757</v>
      </c>
      <c r="U189" s="1716"/>
      <c r="V189" s="24">
        <f t="shared" si="146"/>
        <v>1.6544256120527308</v>
      </c>
      <c r="W189" s="1586">
        <f>S189/L189</f>
        <v>1.6544256120527308</v>
      </c>
      <c r="X189" s="24">
        <f t="shared" si="147"/>
        <v>6.688619381347638</v>
      </c>
      <c r="Y189" s="1587">
        <f t="shared" si="147"/>
        <v>6.688619381347638</v>
      </c>
      <c r="Z189" s="30"/>
      <c r="AA189" s="24">
        <f>'Store New'!BC33</f>
        <v>17.7</v>
      </c>
      <c r="AB189" s="1597"/>
      <c r="AC189" s="1588">
        <f>AVERAGE(AA189,AA188)</f>
        <v>17.7</v>
      </c>
      <c r="AD189" s="1588"/>
      <c r="AE189" s="24">
        <f t="shared" si="148"/>
        <v>-3.542234332425076E-2</v>
      </c>
      <c r="AF189" s="1581"/>
      <c r="AG189" s="30"/>
      <c r="AH189" s="1589">
        <f t="shared" ref="AH189:AH192" si="151">+H189/AE189</f>
        <v>55.054139408977946</v>
      </c>
      <c r="AI189" s="35"/>
      <c r="AJ189" s="1590">
        <f>T189</f>
        <v>1757</v>
      </c>
      <c r="AK189" s="1590">
        <f>S189</f>
        <v>1757</v>
      </c>
      <c r="AL189" s="1586">
        <f t="shared" si="149"/>
        <v>99.265536723163848</v>
      </c>
      <c r="AM189" s="1591"/>
      <c r="AN189" s="24">
        <f>AL189/AL182-1</f>
        <v>6.8341700217042112E-2</v>
      </c>
      <c r="AO189" s="1587"/>
      <c r="AP189" s="30"/>
      <c r="AQ189" s="1598"/>
      <c r="AR189" s="1599"/>
    </row>
    <row r="190" spans="1:48" s="24" customFormat="1">
      <c r="A190" s="24" t="str">
        <f>$A$29</f>
        <v>3Q</v>
      </c>
      <c r="B190" s="29" t="str">
        <f>$B$29</f>
        <v>Oct</v>
      </c>
      <c r="D190" s="1581">
        <f>(T190/T183-1)*100</f>
        <v>3.1085043988269723</v>
      </c>
      <c r="F190" s="1813">
        <v>4</v>
      </c>
      <c r="H190" s="1581">
        <f>D190-F190</f>
        <v>-0.89149560117302773</v>
      </c>
      <c r="J190" s="1798">
        <f>'Store New'!BD13</f>
        <v>1070</v>
      </c>
      <c r="K190" s="1582"/>
      <c r="L190" s="1583">
        <f>AVERAGE(J190,J189)</f>
        <v>1067</v>
      </c>
      <c r="N190" s="1581">
        <f>(L190/L183-1)*100</f>
        <v>-3.0000000000000027</v>
      </c>
      <c r="O190" s="30"/>
      <c r="P190" s="1584">
        <f t="shared" si="145"/>
        <v>29.716520039100896</v>
      </c>
      <c r="Q190" s="35"/>
      <c r="S190" s="1919">
        <v>1758</v>
      </c>
      <c r="T190" s="1595">
        <f t="shared" si="150"/>
        <v>1758</v>
      </c>
      <c r="U190" s="1716"/>
      <c r="V190" s="24">
        <f t="shared" si="146"/>
        <v>1.6476101218369259</v>
      </c>
      <c r="W190" s="1586">
        <f>S190/L190</f>
        <v>1.6476101218369259</v>
      </c>
      <c r="X190" s="24">
        <f t="shared" si="147"/>
        <v>6.2974272152855448</v>
      </c>
      <c r="Y190" s="1587">
        <f t="shared" si="147"/>
        <v>6.2974272152855448</v>
      </c>
      <c r="Z190" s="30"/>
      <c r="AA190" s="24">
        <f>'Store New'!BD33</f>
        <v>17.8</v>
      </c>
      <c r="AB190" s="1597"/>
      <c r="AC190" s="1588">
        <f t="shared" ref="AC190:AC191" si="152">AVERAGE(AA190,AA189)</f>
        <v>17.75</v>
      </c>
      <c r="AD190" s="1588"/>
      <c r="AE190" s="24">
        <f t="shared" si="148"/>
        <v>-3.2697547683923633E-2</v>
      </c>
      <c r="AF190" s="1581"/>
      <c r="AG190" s="30"/>
      <c r="AH190" s="1589">
        <f t="shared" si="151"/>
        <v>27.264907135875159</v>
      </c>
      <c r="AI190" s="35"/>
      <c r="AJ190" s="1590">
        <f>T190</f>
        <v>1758</v>
      </c>
      <c r="AK190" s="1590">
        <f>S190</f>
        <v>1758</v>
      </c>
      <c r="AL190" s="1586">
        <f t="shared" si="149"/>
        <v>99.042253521126767</v>
      </c>
      <c r="AM190" s="1591"/>
      <c r="AN190" s="24">
        <f>AL190/AL183-1</f>
        <v>6.5938622939985869E-2</v>
      </c>
      <c r="AO190" s="1587"/>
      <c r="AP190" s="30"/>
      <c r="AQ190" s="1605"/>
      <c r="AR190" s="1599"/>
    </row>
    <row r="191" spans="1:48" s="24" customFormat="1">
      <c r="A191" s="24" t="str">
        <f>$A$30</f>
        <v>4Q</v>
      </c>
      <c r="B191" s="29" t="str">
        <f>$B$30</f>
        <v>Jan</v>
      </c>
      <c r="D191" s="1606">
        <f>(T191/T184-1)*100</f>
        <v>12.669447340980188</v>
      </c>
      <c r="F191" s="1607">
        <v>9</v>
      </c>
      <c r="H191" s="1718">
        <f>D191-F191</f>
        <v>3.669447340980188</v>
      </c>
      <c r="J191" s="1798">
        <f>'Store New'!BE13</f>
        <v>1080</v>
      </c>
      <c r="K191" s="1582"/>
      <c r="L191" s="1608">
        <f>AVERAGE(J191,J190)</f>
        <v>1075</v>
      </c>
      <c r="N191" s="1606">
        <f>(L191/L184-1)*100</f>
        <v>-0.23201856148491462</v>
      </c>
      <c r="O191" s="30"/>
      <c r="P191" s="2118">
        <f t="shared" si="145"/>
        <v>-1581.5318039624894</v>
      </c>
      <c r="Q191" s="35"/>
      <c r="S191" s="1951">
        <v>2161</v>
      </c>
      <c r="T191" s="1610">
        <f t="shared" si="150"/>
        <v>2161</v>
      </c>
      <c r="U191" s="1618"/>
      <c r="V191" s="24">
        <f t="shared" si="146"/>
        <v>2.0102325581395348</v>
      </c>
      <c r="W191" s="1586">
        <f>S191/L191</f>
        <v>2.0102325581395348</v>
      </c>
      <c r="X191" s="24">
        <f t="shared" si="147"/>
        <v>12.93146931154061</v>
      </c>
      <c r="Y191" s="1612">
        <f t="shared" si="147"/>
        <v>12.93146931154061</v>
      </c>
      <c r="Z191" s="30"/>
      <c r="AA191" s="24">
        <f>'Store New'!BE33</f>
        <v>17.899999999999999</v>
      </c>
      <c r="AB191" s="1597"/>
      <c r="AC191" s="1588">
        <f t="shared" si="152"/>
        <v>17.850000000000001</v>
      </c>
      <c r="AD191" s="1613"/>
      <c r="AE191" s="24">
        <f t="shared" si="148"/>
        <v>-5.5710306406682175E-3</v>
      </c>
      <c r="AF191" s="1606"/>
      <c r="AG191" s="30"/>
      <c r="AH191" s="1608">
        <f t="shared" si="151"/>
        <v>-658.66579770597991</v>
      </c>
      <c r="AI191" s="35"/>
      <c r="AJ191" s="1590">
        <f>T191</f>
        <v>2161</v>
      </c>
      <c r="AK191" s="1590">
        <f>S191</f>
        <v>2161</v>
      </c>
      <c r="AL191" s="1586">
        <f t="shared" si="149"/>
        <v>121.06442577030812</v>
      </c>
      <c r="AM191" s="1591"/>
      <c r="AN191" s="24">
        <f>AL191/AL184-1</f>
        <v>0.13300648726643916</v>
      </c>
      <c r="AO191" s="1587"/>
      <c r="AP191" s="30"/>
      <c r="AQ191" s="1608"/>
      <c r="AR191" s="1592"/>
    </row>
    <row r="192" spans="1:48" s="24" customFormat="1">
      <c r="B192" s="29" t="str">
        <f>$B$31</f>
        <v>Year</v>
      </c>
      <c r="D192" s="1581">
        <f>(T192/T185-1)*100</f>
        <v>6.2224831229821032</v>
      </c>
      <c r="F192" s="1616">
        <v>6</v>
      </c>
      <c r="H192" s="1838">
        <f>D192-F192</f>
        <v>0.22248312298210315</v>
      </c>
      <c r="J192" s="1798"/>
      <c r="L192" s="1583">
        <f>AVERAGE(L188:L191)</f>
        <v>1065.5</v>
      </c>
      <c r="N192" s="1581">
        <f>(L192/L185-1)*100</f>
        <v>-2.5494455241797165</v>
      </c>
      <c r="O192" s="30"/>
      <c r="P192" s="1821">
        <f t="shared" si="145"/>
        <v>-8.726725904593982</v>
      </c>
      <c r="Q192" s="35"/>
      <c r="S192" s="400">
        <f>SUM(S188:S191)</f>
        <v>7238</v>
      </c>
      <c r="T192" s="1617">
        <f t="shared" si="150"/>
        <v>7238</v>
      </c>
      <c r="U192" s="1618"/>
      <c r="V192" s="24">
        <f>SUM(V188:V191)</f>
        <v>6.788638802426167</v>
      </c>
      <c r="W192" s="1586">
        <f>S192/L192</f>
        <v>6.7930549038010319</v>
      </c>
      <c r="X192" s="24">
        <f t="shared" si="147"/>
        <v>8.8625532109798613</v>
      </c>
      <c r="Y192" s="1587">
        <f t="shared" si="147"/>
        <v>9.0014148142567141</v>
      </c>
      <c r="Z192" s="30"/>
      <c r="AC192" s="1588">
        <f>AVERAGE(AC188:AC191)</f>
        <v>17.737499999999997</v>
      </c>
      <c r="AD192" s="1588"/>
      <c r="AE192" s="24">
        <f t="shared" si="148"/>
        <v>-2.7416038382453767E-2</v>
      </c>
      <c r="AF192" s="1581"/>
      <c r="AG192" s="30"/>
      <c r="AH192" s="1589">
        <f t="shared" si="151"/>
        <v>-8.1150719107722029</v>
      </c>
      <c r="AI192" s="35"/>
      <c r="AJ192" s="1590">
        <f>T192</f>
        <v>7238</v>
      </c>
      <c r="AK192" s="1590">
        <f>S192</f>
        <v>7238</v>
      </c>
      <c r="AL192" s="1586">
        <f t="shared" si="149"/>
        <v>408.06201550387601</v>
      </c>
      <c r="AM192" s="1591"/>
      <c r="AN192" s="24">
        <f>AL192/AL185-1</f>
        <v>9.216774401994976E-2</v>
      </c>
      <c r="AO192" s="1587"/>
      <c r="AP192" s="30"/>
      <c r="AQ192" s="1583"/>
      <c r="AR192" s="1599"/>
    </row>
    <row r="193" spans="1:50" s="24" customFormat="1">
      <c r="B193" s="29"/>
      <c r="D193" s="1581"/>
      <c r="F193" s="1582"/>
      <c r="H193" s="1838"/>
      <c r="J193" s="1798"/>
      <c r="L193" s="1583"/>
      <c r="N193" s="1581"/>
      <c r="O193" s="30"/>
      <c r="P193" s="1584"/>
      <c r="Q193" s="35"/>
      <c r="S193" s="1618"/>
      <c r="T193" s="1617"/>
      <c r="U193" s="1618"/>
      <c r="Y193" s="1587"/>
      <c r="Z193" s="30"/>
      <c r="AD193" s="1588"/>
      <c r="AF193" s="1581"/>
      <c r="AG193" s="30"/>
      <c r="AH193" s="1589"/>
      <c r="AI193" s="35"/>
      <c r="AK193" s="1590"/>
      <c r="AM193" s="1591"/>
      <c r="AO193" s="1587"/>
      <c r="AP193" s="30"/>
      <c r="AQ193" s="1583"/>
      <c r="AR193" s="1599"/>
    </row>
    <row r="194" spans="1:50" s="24" customFormat="1">
      <c r="A194" s="1579"/>
      <c r="B194" s="1715">
        <f>+B187+1</f>
        <v>2018</v>
      </c>
      <c r="D194" s="1581"/>
      <c r="F194" s="1582"/>
      <c r="H194" s="1838"/>
      <c r="J194" s="1782"/>
      <c r="L194" s="1583"/>
      <c r="N194" s="1581"/>
      <c r="O194" s="30"/>
      <c r="P194" s="1584"/>
      <c r="Q194" s="35"/>
      <c r="S194" s="1585"/>
      <c r="T194" s="400"/>
      <c r="U194" s="1585"/>
      <c r="Y194" s="1587"/>
      <c r="Z194" s="30"/>
      <c r="AD194" s="1588"/>
      <c r="AF194" s="1581"/>
      <c r="AG194" s="30"/>
      <c r="AH194" s="1589"/>
      <c r="AI194" s="35"/>
      <c r="AK194" s="1590"/>
      <c r="AM194" s="1591"/>
      <c r="AO194" s="1587"/>
      <c r="AP194" s="30"/>
      <c r="AQ194" s="1583"/>
      <c r="AR194" s="1592"/>
    </row>
    <row r="195" spans="1:50" s="24" customFormat="1">
      <c r="A195" s="24" t="str">
        <f>$A$27</f>
        <v>1Q</v>
      </c>
      <c r="B195" s="29" t="str">
        <f>$B$27</f>
        <v>Apr</v>
      </c>
      <c r="D195" s="1581">
        <f t="shared" ref="D195:D198" si="153">F195+H195</f>
        <v>3.6928166351606748</v>
      </c>
      <c r="E195" s="30" t="s">
        <v>489</v>
      </c>
      <c r="F195" s="1937">
        <v>0.5</v>
      </c>
      <c r="G195" s="30" t="s">
        <v>489</v>
      </c>
      <c r="H195" s="1838">
        <f>N195*P195/100+1</f>
        <v>3.1928166351606748</v>
      </c>
      <c r="I195" s="30" t="s">
        <v>489</v>
      </c>
      <c r="J195" s="1798">
        <f>'Store New'!BF13</f>
        <v>1094</v>
      </c>
      <c r="L195" s="1583">
        <f>AVERAGE(J195,J191)</f>
        <v>1087</v>
      </c>
      <c r="N195" s="1581">
        <f>(L195/L188-1)*100</f>
        <v>2.7410207939508435</v>
      </c>
      <c r="O195" s="30" t="s">
        <v>489</v>
      </c>
      <c r="P195" s="1814">
        <v>80</v>
      </c>
      <c r="Q195" s="35" t="s">
        <v>489</v>
      </c>
      <c r="S195" s="1824">
        <f>S188*(1+D195/100)</f>
        <v>1619.6817958412098</v>
      </c>
      <c r="T195" s="1595">
        <f>S195-AQ195</f>
        <v>1619.6817958412098</v>
      </c>
      <c r="U195" s="1596"/>
      <c r="V195" s="24">
        <f t="shared" ref="V195:V198" si="154">T195/L195</f>
        <v>1.4900476502679023</v>
      </c>
      <c r="W195" s="1586">
        <f>S195/L195</f>
        <v>1.4900476502679023</v>
      </c>
      <c r="X195" s="24">
        <f t="shared" ref="X195:Y199" si="155">(V195/V188-1)*100</f>
        <v>0.92640294388224298</v>
      </c>
      <c r="Y195" s="1587">
        <f t="shared" si="155"/>
        <v>0.92640294388224298</v>
      </c>
      <c r="Z195" s="30" t="s">
        <v>489</v>
      </c>
      <c r="AA195" s="24">
        <f>'Store New'!BD33</f>
        <v>17.8</v>
      </c>
      <c r="AB195" s="1597"/>
      <c r="AC195" s="1588">
        <f>AVERAGE(AA195,AA191)</f>
        <v>17.850000000000001</v>
      </c>
      <c r="AD195" s="1588"/>
      <c r="AE195" s="24">
        <f t="shared" ref="AE195:AE199" si="156">AC195/AC188-1</f>
        <v>1.1331444759206999E-2</v>
      </c>
      <c r="AF195" s="1581"/>
      <c r="AG195" s="30" t="s">
        <v>489</v>
      </c>
      <c r="AH195" s="1589">
        <f>+H195/AE195</f>
        <v>281.7660680529246</v>
      </c>
      <c r="AI195" s="35" t="s">
        <v>489</v>
      </c>
      <c r="AJ195" s="1590">
        <f>T195</f>
        <v>1619.6817958412098</v>
      </c>
      <c r="AK195" s="1590">
        <f>S195</f>
        <v>1619.6817958412098</v>
      </c>
      <c r="AL195" s="1586">
        <f t="shared" ref="AL195:AL199" si="157">AJ195/AC195</f>
        <v>90.738475957490735</v>
      </c>
      <c r="AM195" s="1591"/>
      <c r="AN195" s="24">
        <f>AL195/AL188-1</f>
        <v>2.5309923591364525E-2</v>
      </c>
      <c r="AO195" s="1587"/>
      <c r="AP195" s="30" t="s">
        <v>489</v>
      </c>
      <c r="AQ195" s="1598"/>
      <c r="AR195" s="1599"/>
    </row>
    <row r="196" spans="1:50" s="24" customFormat="1">
      <c r="A196" s="24" t="str">
        <f>$A$28</f>
        <v>2Q</v>
      </c>
      <c r="B196" s="29" t="str">
        <f>$B$28</f>
        <v>Jul</v>
      </c>
      <c r="D196" s="1581">
        <f t="shared" si="153"/>
        <v>6.4001883239171455</v>
      </c>
      <c r="F196" s="1937">
        <v>3.5</v>
      </c>
      <c r="H196" s="1838">
        <f t="shared" ref="H196:H197" si="158">N196*P196/100</f>
        <v>2.9001883239171455</v>
      </c>
      <c r="J196" s="1798">
        <f>'Store New'!BG13</f>
        <v>1107</v>
      </c>
      <c r="L196" s="1583">
        <f>AVERAGE(J196,J195)</f>
        <v>1100.5</v>
      </c>
      <c r="N196" s="1581">
        <f>(L196/L189-1)*100</f>
        <v>3.6252354048964319</v>
      </c>
      <c r="O196" s="30"/>
      <c r="P196" s="1814">
        <v>80</v>
      </c>
      <c r="Q196" s="35"/>
      <c r="S196" s="1825">
        <f t="shared" ref="S196:S198" si="159">S189*(1+D196/100)</f>
        <v>1869.4513088512244</v>
      </c>
      <c r="T196" s="1595">
        <f t="shared" ref="T196:T199" si="160">S196-AQ196</f>
        <v>1869.4513088512244</v>
      </c>
      <c r="U196" s="1716"/>
      <c r="V196" s="24">
        <f t="shared" si="154"/>
        <v>1.6987290403009763</v>
      </c>
      <c r="W196" s="1586">
        <f>S196/L196</f>
        <v>1.6987290403009763</v>
      </c>
      <c r="X196" s="24">
        <f t="shared" si="155"/>
        <v>2.6778736937755676</v>
      </c>
      <c r="Y196" s="1587">
        <f t="shared" si="155"/>
        <v>2.6778736937755676</v>
      </c>
      <c r="Z196" s="30"/>
      <c r="AA196" s="24">
        <f>'Store New'!BD33</f>
        <v>17.8</v>
      </c>
      <c r="AB196" s="1597"/>
      <c r="AC196" s="1588">
        <f>AVERAGE(AA196,AA195)</f>
        <v>17.8</v>
      </c>
      <c r="AD196" s="1588"/>
      <c r="AE196" s="24">
        <f t="shared" si="156"/>
        <v>5.6497175141243527E-3</v>
      </c>
      <c r="AF196" s="1581"/>
      <c r="AG196" s="30"/>
      <c r="AH196" s="1589">
        <f t="shared" ref="AH196:AH199" si="161">+H196/AE196</f>
        <v>513.33333333332939</v>
      </c>
      <c r="AI196" s="35"/>
      <c r="AJ196" s="1590">
        <f>T196</f>
        <v>1869.4513088512244</v>
      </c>
      <c r="AK196" s="1590">
        <f>S196</f>
        <v>1869.4513088512244</v>
      </c>
      <c r="AL196" s="1586">
        <f t="shared" si="157"/>
        <v>105.02535442984407</v>
      </c>
      <c r="AM196" s="1591"/>
      <c r="AN196" s="24">
        <f>AL196/AL189-1</f>
        <v>5.8024344569288511E-2</v>
      </c>
      <c r="AO196" s="1587"/>
      <c r="AP196" s="30"/>
      <c r="AQ196" s="1598"/>
      <c r="AR196" s="1599"/>
    </row>
    <row r="197" spans="1:50" s="24" customFormat="1">
      <c r="A197" s="24" t="str">
        <f>$A$29</f>
        <v>3Q</v>
      </c>
      <c r="B197" s="29" t="str">
        <f>$B$29</f>
        <v>Oct</v>
      </c>
      <c r="D197" s="1581">
        <f t="shared" si="153"/>
        <v>6.986410496719774</v>
      </c>
      <c r="F197" s="1937">
        <v>3.5</v>
      </c>
      <c r="H197" s="1838">
        <f t="shared" si="158"/>
        <v>3.486410496719774</v>
      </c>
      <c r="J197" s="1798">
        <f>'Store New'!BH13</f>
        <v>1120</v>
      </c>
      <c r="L197" s="1583">
        <f>AVERAGE(J197,J196)</f>
        <v>1113.5</v>
      </c>
      <c r="N197" s="1581">
        <f>(L197/L190-1)*100</f>
        <v>4.3580131208997175</v>
      </c>
      <c r="O197" s="30"/>
      <c r="P197" s="1814">
        <v>80</v>
      </c>
      <c r="Q197" s="35"/>
      <c r="S197" s="1825">
        <f t="shared" si="159"/>
        <v>1880.8210965323337</v>
      </c>
      <c r="T197" s="1595">
        <f t="shared" si="160"/>
        <v>1880.8210965323337</v>
      </c>
      <c r="U197" s="1716"/>
      <c r="V197" s="24">
        <f t="shared" si="154"/>
        <v>1.6891074059562943</v>
      </c>
      <c r="W197" s="1586">
        <f>S197/L197</f>
        <v>1.6891074059562943</v>
      </c>
      <c r="X197" s="24">
        <f t="shared" si="155"/>
        <v>2.5186349348899961</v>
      </c>
      <c r="Y197" s="1587">
        <f t="shared" si="155"/>
        <v>2.5186349348899961</v>
      </c>
      <c r="Z197" s="30"/>
      <c r="AA197" s="24">
        <f>'Store New'!BD33</f>
        <v>17.8</v>
      </c>
      <c r="AB197" s="1597"/>
      <c r="AC197" s="1588">
        <f t="shared" ref="AC197:AC198" si="162">AVERAGE(AA197,AA196)</f>
        <v>17.8</v>
      </c>
      <c r="AD197" s="1588"/>
      <c r="AE197" s="24">
        <f t="shared" si="156"/>
        <v>2.8169014084507005E-3</v>
      </c>
      <c r="AF197" s="1581"/>
      <c r="AG197" s="30"/>
      <c r="AH197" s="1589">
        <f t="shared" si="161"/>
        <v>1237.6757263355214</v>
      </c>
      <c r="AI197" s="35"/>
      <c r="AJ197" s="1590">
        <f>T197</f>
        <v>1880.8210965323337</v>
      </c>
      <c r="AK197" s="1590">
        <f>S197</f>
        <v>1880.8210965323337</v>
      </c>
      <c r="AL197" s="1586">
        <f t="shared" si="157"/>
        <v>105.66410654676032</v>
      </c>
      <c r="AM197" s="1591"/>
      <c r="AN197" s="24">
        <f>AL197/AL190-1</f>
        <v>6.6858868717289965E-2</v>
      </c>
      <c r="AO197" s="1587"/>
      <c r="AP197" s="30"/>
      <c r="AQ197" s="1605"/>
      <c r="AR197" s="1599"/>
    </row>
    <row r="198" spans="1:50" s="24" customFormat="1">
      <c r="A198" s="24" t="str">
        <f>$A$30</f>
        <v>4Q</v>
      </c>
      <c r="B198" s="29" t="str">
        <f>$B$30</f>
        <v>Jan</v>
      </c>
      <c r="D198" s="1606">
        <f t="shared" si="153"/>
        <v>2.2209302325581461</v>
      </c>
      <c r="F198" s="1938">
        <v>0.5</v>
      </c>
      <c r="H198" s="1718">
        <f>N198*P198/100-2</f>
        <v>1.7209302325581461</v>
      </c>
      <c r="J198" s="1798">
        <f>'Store New'!BI13</f>
        <v>1130</v>
      </c>
      <c r="L198" s="1608">
        <f>AVERAGE(J198,J197)</f>
        <v>1125</v>
      </c>
      <c r="N198" s="1606">
        <f>(L198/L191-1)*100</f>
        <v>4.6511627906976827</v>
      </c>
      <c r="O198" s="30"/>
      <c r="P198" s="1815">
        <v>80</v>
      </c>
      <c r="Q198" s="35"/>
      <c r="S198" s="1826">
        <f t="shared" si="159"/>
        <v>2208.9943023255814</v>
      </c>
      <c r="T198" s="1610">
        <f t="shared" si="160"/>
        <v>2208.9943023255814</v>
      </c>
      <c r="U198" s="1618"/>
      <c r="V198" s="24">
        <f t="shared" si="154"/>
        <v>1.9635504909560724</v>
      </c>
      <c r="W198" s="1586">
        <f>S198/L198</f>
        <v>1.9635504909560724</v>
      </c>
      <c r="X198" s="24">
        <f t="shared" si="155"/>
        <v>-2.3222222222222144</v>
      </c>
      <c r="Y198" s="1612">
        <f t="shared" si="155"/>
        <v>-2.3222222222222144</v>
      </c>
      <c r="Z198" s="30"/>
      <c r="AA198" s="24">
        <f>'Store New'!BD33</f>
        <v>17.8</v>
      </c>
      <c r="AB198" s="1597"/>
      <c r="AC198" s="1588">
        <f t="shared" si="162"/>
        <v>17.8</v>
      </c>
      <c r="AD198" s="1613"/>
      <c r="AE198" s="24">
        <f t="shared" si="156"/>
        <v>-2.8011204481792618E-3</v>
      </c>
      <c r="AF198" s="1606"/>
      <c r="AG198" s="30"/>
      <c r="AH198" s="1608">
        <f t="shared" si="161"/>
        <v>-614.37209302326039</v>
      </c>
      <c r="AI198" s="35"/>
      <c r="AJ198" s="1590">
        <f>T198</f>
        <v>2208.9943023255814</v>
      </c>
      <c r="AK198" s="1590">
        <f>S198</f>
        <v>2208.9943023255814</v>
      </c>
      <c r="AL198" s="1586">
        <f t="shared" si="157"/>
        <v>124.10080350143716</v>
      </c>
      <c r="AM198" s="1591"/>
      <c r="AN198" s="24">
        <f>AL198/AL191-1</f>
        <v>2.5080676770316224E-2</v>
      </c>
      <c r="AO198" s="1587"/>
      <c r="AP198" s="30"/>
      <c r="AQ198" s="1608"/>
      <c r="AR198" s="1592"/>
    </row>
    <row r="199" spans="1:50" s="24" customFormat="1">
      <c r="B199" s="29" t="str">
        <f>$B$31</f>
        <v>Year</v>
      </c>
      <c r="D199" s="1581">
        <f>(T199/T192-1)*100</f>
        <v>4.7105347271394038</v>
      </c>
      <c r="F199" s="1582">
        <f>F195*T195/$T199+F196*T196/$T199+F197*T197/$T199+F198*T198/$T199</f>
        <v>1.9844826047940876</v>
      </c>
      <c r="H199" s="1838">
        <f>D199-F199</f>
        <v>2.7260521223453162</v>
      </c>
      <c r="J199" s="1798"/>
      <c r="L199" s="1583">
        <f>AVERAGE(L195:L198)</f>
        <v>1106.5</v>
      </c>
      <c r="N199" s="1581">
        <f>(L199/L192-1)*100</f>
        <v>3.8479587048334096</v>
      </c>
      <c r="O199" s="30"/>
      <c r="P199" s="1821">
        <f t="shared" ref="P199" si="163">H199/N199*100</f>
        <v>70.844110642900873</v>
      </c>
      <c r="Q199" s="35"/>
      <c r="S199" s="400">
        <f>SUM(S195:S198)</f>
        <v>7578.9485035503494</v>
      </c>
      <c r="T199" s="1617">
        <f t="shared" si="160"/>
        <v>7578.9485035503494</v>
      </c>
      <c r="U199" s="1618"/>
      <c r="V199" s="24">
        <f>SUM(V195:V198)</f>
        <v>6.8414345874812454</v>
      </c>
      <c r="W199" s="1586">
        <f>S199/L199</f>
        <v>6.8494789910079978</v>
      </c>
      <c r="X199" s="24">
        <f t="shared" si="155"/>
        <v>0.77770797050227269</v>
      </c>
      <c r="Y199" s="1587">
        <f t="shared" si="155"/>
        <v>0.83061432604341068</v>
      </c>
      <c r="Z199" s="30"/>
      <c r="AC199" s="1588">
        <f>AVERAGE(AC195:AC198)</f>
        <v>17.8125</v>
      </c>
      <c r="AD199" s="1588"/>
      <c r="AE199" s="24">
        <f t="shared" si="156"/>
        <v>4.2283298097254285E-3</v>
      </c>
      <c r="AF199" s="1581"/>
      <c r="AG199" s="30"/>
      <c r="AH199" s="1589">
        <f t="shared" si="161"/>
        <v>644.71132693462619</v>
      </c>
      <c r="AI199" s="35"/>
      <c r="AJ199" s="1590">
        <f>T199</f>
        <v>7578.9485035503494</v>
      </c>
      <c r="AK199" s="1590">
        <f>S199</f>
        <v>7578.9485035503494</v>
      </c>
      <c r="AL199" s="1586">
        <f t="shared" si="157"/>
        <v>425.48482826949328</v>
      </c>
      <c r="AM199" s="1591"/>
      <c r="AN199" s="24">
        <f>AL199/AL192-1</f>
        <v>4.2696482651303658E-2</v>
      </c>
      <c r="AO199" s="1587"/>
      <c r="AP199" s="30"/>
      <c r="AQ199" s="1583"/>
      <c r="AR199" s="1599"/>
    </row>
    <row r="200" spans="1:50">
      <c r="B200" s="1786"/>
      <c r="D200" s="1745"/>
      <c r="F200" s="1743"/>
      <c r="H200" s="1745"/>
      <c r="L200" s="1736"/>
      <c r="N200" s="1745"/>
      <c r="O200" s="5"/>
      <c r="P200" s="1736"/>
      <c r="T200" s="1741"/>
      <c r="V200" s="1746"/>
      <c r="X200" s="1737"/>
      <c r="Y200" s="5"/>
      <c r="AA200" s="1785"/>
      <c r="AC200" s="1747"/>
      <c r="AE200" s="1745"/>
      <c r="AF200" s="5"/>
      <c r="AG200" s="1736"/>
      <c r="AJ200" s="1748"/>
      <c r="AL200" s="1749"/>
      <c r="AN200" s="1737"/>
      <c r="AO200" s="5"/>
      <c r="AQ200" s="1742"/>
      <c r="AR200" s="1742"/>
      <c r="AS200" s="1742"/>
      <c r="AU200" s="1730"/>
      <c r="AV200" s="1744"/>
      <c r="AW200" s="1742"/>
      <c r="AX200" s="1735"/>
    </row>
    <row r="201" spans="1:50">
      <c r="B201" s="1786"/>
      <c r="D201" s="1745"/>
      <c r="F201" s="1743"/>
      <c r="H201" s="1745"/>
      <c r="L201" s="1736"/>
      <c r="N201" s="1745"/>
      <c r="O201" s="5"/>
      <c r="P201" s="1736"/>
      <c r="T201" s="1741"/>
      <c r="V201" s="1746"/>
      <c r="X201" s="1737"/>
      <c r="Y201" s="5"/>
      <c r="AA201" s="1785"/>
      <c r="AC201" s="1747"/>
      <c r="AE201" s="1745"/>
      <c r="AF201" s="5"/>
      <c r="AG201" s="1736"/>
      <c r="AJ201" s="1748"/>
      <c r="AL201" s="1749"/>
      <c r="AN201" s="1737"/>
      <c r="AO201" s="5"/>
      <c r="AQ201" s="1742"/>
      <c r="AR201" s="1742"/>
      <c r="AS201" s="1742"/>
      <c r="AU201" s="1730"/>
      <c r="AV201" s="1744"/>
      <c r="AW201" s="1742"/>
      <c r="AX201" s="1735"/>
    </row>
    <row r="202" spans="1:50">
      <c r="A202" s="26" t="s">
        <v>93</v>
      </c>
      <c r="B202" s="1786"/>
      <c r="D202" s="1745"/>
      <c r="F202" s="1743"/>
      <c r="H202" s="1745"/>
      <c r="L202" s="1736"/>
      <c r="N202" s="1745"/>
      <c r="O202" s="5"/>
      <c r="P202" s="1736"/>
      <c r="T202" s="1741"/>
      <c r="V202" s="1746"/>
      <c r="X202" s="1737"/>
      <c r="Y202" s="5"/>
      <c r="AA202" s="1785"/>
      <c r="AC202" s="1747"/>
      <c r="AE202" s="1745"/>
      <c r="AF202" s="5"/>
      <c r="AG202" s="1736"/>
      <c r="AJ202" s="1748"/>
      <c r="AL202" s="1749"/>
      <c r="AN202" s="1737"/>
      <c r="AO202" s="5"/>
      <c r="AQ202" s="1742"/>
      <c r="AR202" s="1742"/>
      <c r="AS202" s="1742"/>
      <c r="AU202" s="1730"/>
      <c r="AV202" s="1744"/>
      <c r="AW202" s="1742"/>
      <c r="AX202" s="1735"/>
    </row>
    <row r="203" spans="1:50" s="1788" customFormat="1">
      <c r="A203" s="1939" t="s">
        <v>800</v>
      </c>
      <c r="B203" s="1787"/>
      <c r="D203" s="1789"/>
      <c r="F203" s="1790"/>
      <c r="H203" s="1789"/>
      <c r="J203" s="1739"/>
      <c r="L203" s="1791"/>
      <c r="N203" s="1789"/>
      <c r="O203" s="1792"/>
      <c r="P203" s="1791"/>
      <c r="T203" s="1740"/>
      <c r="V203" s="1793"/>
      <c r="X203" s="1790"/>
      <c r="Y203" s="1792"/>
      <c r="AC203" s="1794"/>
      <c r="AE203" s="1789"/>
      <c r="AF203" s="1792"/>
      <c r="AG203" s="1791"/>
      <c r="AJ203" s="1740"/>
      <c r="AL203" s="1795"/>
      <c r="AN203" s="1790"/>
      <c r="AO203" s="1792"/>
      <c r="AQ203" s="1740"/>
      <c r="AR203" s="1796"/>
    </row>
    <row r="204" spans="1:50" s="1" customFormat="1">
      <c r="A204" s="1940"/>
      <c r="B204" s="1786"/>
      <c r="D204" s="1745"/>
      <c r="F204" s="1737"/>
      <c r="H204" s="1745"/>
      <c r="J204" s="1743"/>
      <c r="L204" s="1736"/>
      <c r="N204" s="1745"/>
      <c r="O204" s="5"/>
      <c r="P204" s="1736"/>
      <c r="T204" s="1738"/>
      <c r="V204" s="1783"/>
      <c r="X204" s="1737"/>
      <c r="Y204" s="5"/>
      <c r="AC204" s="1747"/>
      <c r="AE204" s="1745"/>
      <c r="AF204" s="5"/>
      <c r="AG204" s="1736"/>
      <c r="AJ204" s="1738"/>
      <c r="AL204" s="1784"/>
      <c r="AN204" s="1737"/>
      <c r="AO204" s="5"/>
      <c r="AQ204" s="1738"/>
      <c r="AR204" s="798"/>
    </row>
    <row r="205" spans="1:50" hidden="1" outlineLevel="1">
      <c r="A205" s="1907"/>
      <c r="B205" s="1908">
        <v>1990</v>
      </c>
      <c r="C205" s="24"/>
      <c r="D205" s="24"/>
      <c r="E205" s="24"/>
      <c r="F205" s="24"/>
      <c r="G205" s="24"/>
      <c r="H205" s="24"/>
      <c r="I205" s="24"/>
      <c r="J205" s="1782"/>
      <c r="K205" s="24"/>
      <c r="L205" s="24"/>
      <c r="M205" s="24"/>
      <c r="N205" s="24"/>
      <c r="O205" s="24"/>
      <c r="P205" s="35"/>
      <c r="Q205" s="35"/>
      <c r="R205" s="24"/>
      <c r="S205" s="24"/>
      <c r="T205" s="24"/>
      <c r="U205" s="24"/>
      <c r="V205" s="24"/>
      <c r="W205" s="24"/>
      <c r="X205" s="24"/>
      <c r="Y205" s="24"/>
      <c r="Z205" s="30"/>
      <c r="AA205" s="24"/>
      <c r="AB205" s="24"/>
      <c r="AC205" s="24"/>
      <c r="AD205" s="24"/>
      <c r="AE205" s="24"/>
      <c r="AF205" s="24"/>
      <c r="AG205" s="24"/>
      <c r="AH205" s="35"/>
      <c r="AI205" s="35"/>
      <c r="AJ205" s="24"/>
      <c r="AK205" s="24"/>
      <c r="AL205" s="24"/>
      <c r="AM205" s="24"/>
      <c r="AN205" s="24"/>
      <c r="AO205" s="24"/>
      <c r="AP205" s="30"/>
      <c r="AQ205" s="1738"/>
      <c r="AR205" s="798"/>
      <c r="AS205" s="1"/>
    </row>
    <row r="206" spans="1:50" hidden="1" outlineLevel="1">
      <c r="A206" s="24" t="s">
        <v>525</v>
      </c>
      <c r="B206" s="29" t="s">
        <v>510</v>
      </c>
      <c r="C206" s="24"/>
      <c r="D206" s="1581"/>
      <c r="E206" s="24" t="s">
        <v>489</v>
      </c>
      <c r="F206" s="1910"/>
      <c r="G206" s="24" t="s">
        <v>489</v>
      </c>
      <c r="H206" s="1581"/>
      <c r="I206" s="30" t="s">
        <v>489</v>
      </c>
      <c r="J206" s="1782"/>
      <c r="K206" s="24"/>
      <c r="L206" s="24"/>
      <c r="M206" s="24"/>
      <c r="N206" s="1581"/>
      <c r="O206" s="30" t="s">
        <v>489</v>
      </c>
      <c r="P206" s="1589"/>
      <c r="Q206" s="35" t="s">
        <v>489</v>
      </c>
      <c r="R206" s="24"/>
      <c r="S206" s="1590"/>
      <c r="T206" s="1590"/>
      <c r="U206" s="1590"/>
      <c r="V206" s="24"/>
      <c r="W206" s="1586"/>
      <c r="X206" s="24"/>
      <c r="Y206" s="1910"/>
      <c r="Z206" s="30" t="s">
        <v>489</v>
      </c>
      <c r="AA206" s="24"/>
      <c r="AB206" s="1911"/>
      <c r="AC206" s="24"/>
      <c r="AD206" s="1588"/>
      <c r="AE206" s="24"/>
      <c r="AF206" s="1581"/>
      <c r="AG206" s="30" t="s">
        <v>489</v>
      </c>
      <c r="AH206" s="1589"/>
      <c r="AI206" s="35" t="s">
        <v>489</v>
      </c>
      <c r="AJ206" s="24"/>
      <c r="AK206" s="1590"/>
      <c r="AL206" s="24"/>
      <c r="AM206" s="1591"/>
      <c r="AN206" s="24"/>
      <c r="AO206" s="1581"/>
      <c r="AP206" s="30" t="s">
        <v>489</v>
      </c>
      <c r="AQ206" s="1742"/>
      <c r="AR206" s="1742"/>
      <c r="AS206" s="1742"/>
      <c r="AU206" s="1730"/>
      <c r="AV206" s="1744"/>
      <c r="AW206" s="1742"/>
      <c r="AX206" s="1735"/>
    </row>
    <row r="207" spans="1:50" hidden="1" outlineLevel="1">
      <c r="A207" s="24" t="s">
        <v>526</v>
      </c>
      <c r="B207" s="29" t="s">
        <v>511</v>
      </c>
      <c r="C207" s="24"/>
      <c r="D207" s="1581"/>
      <c r="E207" s="24"/>
      <c r="F207" s="1910"/>
      <c r="G207" s="24"/>
      <c r="H207" s="1581"/>
      <c r="I207" s="30"/>
      <c r="J207" s="1782"/>
      <c r="K207" s="24"/>
      <c r="L207" s="1583"/>
      <c r="M207" s="24"/>
      <c r="N207" s="1581"/>
      <c r="O207" s="30"/>
      <c r="P207" s="1589"/>
      <c r="Q207" s="35"/>
      <c r="R207" s="24"/>
      <c r="S207" s="1603"/>
      <c r="T207" s="1603"/>
      <c r="U207" s="1603"/>
      <c r="V207" s="24"/>
      <c r="W207" s="1602"/>
      <c r="X207" s="24"/>
      <c r="Y207" s="1910"/>
      <c r="Z207" s="30"/>
      <c r="AA207" s="24"/>
      <c r="AB207" s="1911"/>
      <c r="AC207" s="24"/>
      <c r="AD207" s="1588"/>
      <c r="AE207" s="24"/>
      <c r="AF207" s="1581"/>
      <c r="AG207" s="30"/>
      <c r="AH207" s="1589"/>
      <c r="AI207" s="35"/>
      <c r="AJ207" s="24"/>
      <c r="AK207" s="1603"/>
      <c r="AL207" s="24"/>
      <c r="AM207" s="1604"/>
      <c r="AN207" s="24"/>
      <c r="AO207" s="1910"/>
      <c r="AP207" s="30"/>
      <c r="AQ207" s="1742"/>
      <c r="AR207" s="1742"/>
      <c r="AS207" s="1742"/>
      <c r="AU207" s="1730"/>
      <c r="AV207" s="1744"/>
      <c r="AW207" s="1742"/>
      <c r="AX207" s="1735"/>
    </row>
    <row r="208" spans="1:50" hidden="1" outlineLevel="1">
      <c r="A208" s="24" t="s">
        <v>527</v>
      </c>
      <c r="B208" s="29" t="s">
        <v>512</v>
      </c>
      <c r="C208" s="24"/>
      <c r="D208" s="1581"/>
      <c r="E208" s="24"/>
      <c r="F208" s="1910"/>
      <c r="G208" s="24"/>
      <c r="H208" s="1581"/>
      <c r="I208" s="30"/>
      <c r="J208" s="1782"/>
      <c r="K208" s="24"/>
      <c r="L208" s="1583"/>
      <c r="M208" s="24"/>
      <c r="N208" s="1581"/>
      <c r="O208" s="30"/>
      <c r="P208" s="1589"/>
      <c r="Q208" s="35"/>
      <c r="R208" s="24"/>
      <c r="S208" s="1603"/>
      <c r="T208" s="1603"/>
      <c r="U208" s="1603"/>
      <c r="V208" s="24"/>
      <c r="W208" s="1602"/>
      <c r="X208" s="24"/>
      <c r="Y208" s="1910"/>
      <c r="Z208" s="30"/>
      <c r="AA208" s="24"/>
      <c r="AB208" s="1911"/>
      <c r="AC208" s="24"/>
      <c r="AD208" s="1588"/>
      <c r="AE208" s="24"/>
      <c r="AF208" s="1581"/>
      <c r="AG208" s="30"/>
      <c r="AH208" s="1589"/>
      <c r="AI208" s="35"/>
      <c r="AJ208" s="24"/>
      <c r="AK208" s="1603"/>
      <c r="AL208" s="24"/>
      <c r="AM208" s="1604"/>
      <c r="AN208" s="24"/>
      <c r="AO208" s="1910"/>
      <c r="AP208" s="30"/>
      <c r="AQ208" s="1742"/>
      <c r="AR208" s="1742"/>
      <c r="AS208" s="1742"/>
      <c r="AU208" s="1730"/>
      <c r="AV208" s="1744"/>
      <c r="AW208" s="1742"/>
      <c r="AX208" s="1735"/>
    </row>
    <row r="209" spans="1:50" hidden="1" outlineLevel="1">
      <c r="A209" s="24" t="s">
        <v>528</v>
      </c>
      <c r="B209" s="29" t="s">
        <v>514</v>
      </c>
      <c r="C209" s="24"/>
      <c r="D209" s="1606"/>
      <c r="E209" s="24"/>
      <c r="F209" s="1612"/>
      <c r="G209" s="24"/>
      <c r="H209" s="1606"/>
      <c r="I209" s="30"/>
      <c r="J209" s="1782"/>
      <c r="K209" s="24"/>
      <c r="L209" s="1608"/>
      <c r="M209" s="24"/>
      <c r="N209" s="1606"/>
      <c r="O209" s="30"/>
      <c r="P209" s="1608"/>
      <c r="Q209" s="35"/>
      <c r="R209" s="24"/>
      <c r="S209" s="1614"/>
      <c r="T209" s="1614"/>
      <c r="U209" s="38"/>
      <c r="V209" s="24"/>
      <c r="W209" s="1611"/>
      <c r="X209" s="24"/>
      <c r="Y209" s="1612"/>
      <c r="Z209" s="30"/>
      <c r="AA209" s="24"/>
      <c r="AB209" s="1597"/>
      <c r="AC209" s="24"/>
      <c r="AD209" s="1613"/>
      <c r="AE209" s="24"/>
      <c r="AF209" s="1606"/>
      <c r="AG209" s="30"/>
      <c r="AH209" s="1608"/>
      <c r="AI209" s="35"/>
      <c r="AJ209" s="24"/>
      <c r="AK209" s="1614"/>
      <c r="AL209" s="24"/>
      <c r="AM209" s="1615"/>
      <c r="AN209" s="24"/>
      <c r="AO209" s="1612"/>
      <c r="AP209" s="30"/>
      <c r="AQ209" s="1742"/>
      <c r="AR209" s="1742"/>
      <c r="AS209" s="1742"/>
      <c r="AU209" s="1730"/>
      <c r="AV209" s="1744"/>
      <c r="AW209" s="1742"/>
      <c r="AX209" s="1735"/>
    </row>
    <row r="210" spans="1:50" hidden="1" outlineLevel="1">
      <c r="A210" s="24"/>
      <c r="B210" s="29" t="s">
        <v>529</v>
      </c>
      <c r="C210" s="24"/>
      <c r="D210" s="1581"/>
      <c r="E210" s="24"/>
      <c r="F210" s="1910"/>
      <c r="G210" s="24"/>
      <c r="H210" s="1581"/>
      <c r="I210" s="30"/>
      <c r="J210" s="1782"/>
      <c r="K210" s="24"/>
      <c r="L210" s="1583"/>
      <c r="M210" s="24"/>
      <c r="N210" s="1912"/>
      <c r="O210" s="30"/>
      <c r="P210" s="1589"/>
      <c r="Q210" s="35"/>
      <c r="R210" s="24"/>
      <c r="S210" s="1824" t="s">
        <v>812</v>
      </c>
      <c r="T210" s="1590"/>
      <c r="U210" s="1590"/>
      <c r="V210" s="24"/>
      <c r="W210" s="1586" t="e">
        <f>S210/L210</f>
        <v>#VALUE!</v>
      </c>
      <c r="X210" s="24"/>
      <c r="Y210" s="1910"/>
      <c r="Z210" s="30"/>
      <c r="AA210" s="24"/>
      <c r="AB210" s="1913"/>
      <c r="AC210" s="24"/>
      <c r="AD210" s="1588"/>
      <c r="AE210" s="24"/>
      <c r="AF210" s="1581"/>
      <c r="AG210" s="30"/>
      <c r="AH210" s="1589"/>
      <c r="AI210" s="35"/>
      <c r="AJ210" s="1590">
        <f>T210</f>
        <v>0</v>
      </c>
      <c r="AK210" s="1590" t="str">
        <f>S210</f>
        <v>`</v>
      </c>
      <c r="AL210" s="1586"/>
      <c r="AM210" s="1591"/>
      <c r="AN210" s="24"/>
      <c r="AO210" s="1910"/>
      <c r="AP210" s="30"/>
      <c r="AQ210" s="1738"/>
      <c r="AR210" s="798"/>
      <c r="AS210" s="1"/>
    </row>
    <row r="211" spans="1:50" s="1" customFormat="1" hidden="1" outlineLevel="1">
      <c r="A211" s="1940"/>
      <c r="B211" s="1786"/>
      <c r="D211" s="1745"/>
      <c r="F211" s="1737"/>
      <c r="H211" s="1745"/>
      <c r="J211" s="1743"/>
      <c r="L211" s="1736"/>
      <c r="N211" s="1745"/>
      <c r="O211" s="5"/>
      <c r="P211" s="1736"/>
      <c r="T211" s="1738"/>
      <c r="V211" s="1783"/>
      <c r="X211" s="1737"/>
      <c r="Y211" s="5"/>
      <c r="AC211" s="1747"/>
      <c r="AE211" s="1745"/>
      <c r="AF211" s="5"/>
      <c r="AG211" s="1736"/>
      <c r="AJ211" s="1738"/>
      <c r="AL211" s="1784"/>
      <c r="AN211" s="1737"/>
      <c r="AO211" s="5"/>
      <c r="AQ211" s="1738"/>
      <c r="AR211" s="798"/>
    </row>
    <row r="212" spans="1:50" hidden="1" outlineLevel="1">
      <c r="A212" s="1907"/>
      <c r="B212" s="1908">
        <f>+B205+1</f>
        <v>1991</v>
      </c>
      <c r="C212" s="24"/>
      <c r="D212" s="24"/>
      <c r="E212" s="24"/>
      <c r="F212" s="24"/>
      <c r="G212" s="24"/>
      <c r="H212" s="24"/>
      <c r="I212" s="24"/>
      <c r="J212" s="1782"/>
      <c r="K212" s="24"/>
      <c r="L212" s="24"/>
      <c r="M212" s="24"/>
      <c r="N212" s="24"/>
      <c r="O212" s="24"/>
      <c r="P212" s="35"/>
      <c r="Q212" s="35"/>
      <c r="R212" s="24"/>
      <c r="S212" s="24"/>
      <c r="T212" s="24"/>
      <c r="U212" s="24"/>
      <c r="V212" s="24"/>
      <c r="W212" s="24"/>
      <c r="X212" s="24"/>
      <c r="Y212" s="24"/>
      <c r="Z212" s="30"/>
      <c r="AA212" s="24"/>
      <c r="AB212" s="24"/>
      <c r="AC212" s="24"/>
      <c r="AD212" s="24"/>
      <c r="AE212" s="24"/>
      <c r="AF212" s="24"/>
      <c r="AG212" s="24"/>
      <c r="AH212" s="35"/>
      <c r="AI212" s="35"/>
      <c r="AJ212" s="24"/>
      <c r="AK212" s="24"/>
      <c r="AL212" s="24"/>
      <c r="AM212" s="24"/>
      <c r="AN212" s="24"/>
      <c r="AO212" s="24"/>
      <c r="AP212" s="30"/>
      <c r="AQ212" s="1738"/>
      <c r="AR212" s="798"/>
      <c r="AS212" s="1"/>
    </row>
    <row r="213" spans="1:50" hidden="1" outlineLevel="1">
      <c r="A213" s="24" t="s">
        <v>525</v>
      </c>
      <c r="B213" s="29" t="s">
        <v>510</v>
      </c>
      <c r="C213" s="24"/>
      <c r="D213" s="1581"/>
      <c r="E213" s="24" t="s">
        <v>489</v>
      </c>
      <c r="F213" s="1910"/>
      <c r="G213" s="24" t="s">
        <v>489</v>
      </c>
      <c r="H213" s="1581"/>
      <c r="I213" s="30" t="s">
        <v>489</v>
      </c>
      <c r="J213" s="1782"/>
      <c r="K213" s="24"/>
      <c r="L213" s="24"/>
      <c r="M213" s="24"/>
      <c r="N213" s="1581"/>
      <c r="O213" s="30" t="s">
        <v>489</v>
      </c>
      <c r="P213" s="1589"/>
      <c r="Q213" s="35" t="s">
        <v>489</v>
      </c>
      <c r="R213" s="24"/>
      <c r="S213" s="1590"/>
      <c r="T213" s="1590"/>
      <c r="U213" s="1590"/>
      <c r="V213" s="24"/>
      <c r="W213" s="1586"/>
      <c r="X213" s="24"/>
      <c r="Y213" s="1910"/>
      <c r="Z213" s="30" t="s">
        <v>489</v>
      </c>
      <c r="AA213" s="24"/>
      <c r="AB213" s="1911"/>
      <c r="AC213" s="24"/>
      <c r="AD213" s="1588"/>
      <c r="AE213" s="24"/>
      <c r="AF213" s="1581"/>
      <c r="AG213" s="30" t="s">
        <v>489</v>
      </c>
      <c r="AH213" s="1589"/>
      <c r="AI213" s="35" t="s">
        <v>489</v>
      </c>
      <c r="AJ213" s="24"/>
      <c r="AK213" s="1590"/>
      <c r="AL213" s="24"/>
      <c r="AM213" s="1591"/>
      <c r="AN213" s="24"/>
      <c r="AO213" s="1581"/>
      <c r="AP213" s="30" t="s">
        <v>489</v>
      </c>
      <c r="AQ213" s="1742"/>
      <c r="AR213" s="1742"/>
      <c r="AS213" s="1742"/>
      <c r="AU213" s="1730"/>
      <c r="AV213" s="1744"/>
      <c r="AW213" s="1742"/>
      <c r="AX213" s="1735"/>
    </row>
    <row r="214" spans="1:50" hidden="1" outlineLevel="1">
      <c r="A214" s="24" t="s">
        <v>526</v>
      </c>
      <c r="B214" s="29" t="s">
        <v>511</v>
      </c>
      <c r="C214" s="24"/>
      <c r="D214" s="1581"/>
      <c r="E214" s="24"/>
      <c r="F214" s="1910"/>
      <c r="G214" s="24"/>
      <c r="H214" s="1581"/>
      <c r="I214" s="30"/>
      <c r="J214" s="1782"/>
      <c r="K214" s="24"/>
      <c r="L214" s="1583"/>
      <c r="M214" s="24"/>
      <c r="N214" s="1581"/>
      <c r="O214" s="30"/>
      <c r="P214" s="1589"/>
      <c r="Q214" s="35"/>
      <c r="R214" s="24"/>
      <c r="S214" s="1603"/>
      <c r="T214" s="1603"/>
      <c r="U214" s="1603"/>
      <c r="V214" s="24"/>
      <c r="W214" s="1602"/>
      <c r="X214" s="24"/>
      <c r="Y214" s="1910"/>
      <c r="Z214" s="30"/>
      <c r="AA214" s="24"/>
      <c r="AB214" s="1911"/>
      <c r="AC214" s="24"/>
      <c r="AD214" s="1588"/>
      <c r="AE214" s="24"/>
      <c r="AF214" s="1581"/>
      <c r="AG214" s="30"/>
      <c r="AH214" s="1589"/>
      <c r="AI214" s="35"/>
      <c r="AJ214" s="24"/>
      <c r="AK214" s="1603"/>
      <c r="AL214" s="24"/>
      <c r="AM214" s="1604"/>
      <c r="AN214" s="24"/>
      <c r="AO214" s="1910"/>
      <c r="AP214" s="30"/>
      <c r="AQ214" s="1742"/>
      <c r="AR214" s="1742"/>
      <c r="AS214" s="1742"/>
      <c r="AU214" s="1730"/>
      <c r="AV214" s="1744"/>
      <c r="AW214" s="1742"/>
      <c r="AX214" s="1735"/>
    </row>
    <row r="215" spans="1:50" hidden="1" outlineLevel="1">
      <c r="A215" s="24" t="s">
        <v>527</v>
      </c>
      <c r="B215" s="29" t="s">
        <v>512</v>
      </c>
      <c r="C215" s="24"/>
      <c r="D215" s="1581"/>
      <c r="E215" s="24"/>
      <c r="F215" s="1910"/>
      <c r="G215" s="24"/>
      <c r="H215" s="1581"/>
      <c r="I215" s="30"/>
      <c r="J215" s="1816">
        <v>143</v>
      </c>
      <c r="K215" s="24"/>
      <c r="L215" s="1583">
        <f>AVERAGE(J215,J214)</f>
        <v>143</v>
      </c>
      <c r="M215" s="24"/>
      <c r="N215" s="1581"/>
      <c r="O215" s="30"/>
      <c r="P215" s="1589"/>
      <c r="Q215" s="35"/>
      <c r="R215" s="24"/>
      <c r="S215" s="1603"/>
      <c r="T215" s="1603"/>
      <c r="U215" s="1603"/>
      <c r="V215" s="24"/>
      <c r="W215" s="1602"/>
      <c r="X215" s="24"/>
      <c r="Y215" s="1910"/>
      <c r="Z215" s="30"/>
      <c r="AA215" s="24"/>
      <c r="AB215" s="1911"/>
      <c r="AC215" s="24"/>
      <c r="AD215" s="1588"/>
      <c r="AE215" s="24"/>
      <c r="AF215" s="1581"/>
      <c r="AG215" s="30"/>
      <c r="AH215" s="1589"/>
      <c r="AI215" s="35"/>
      <c r="AJ215" s="24"/>
      <c r="AK215" s="1603"/>
      <c r="AL215" s="24"/>
      <c r="AM215" s="1604"/>
      <c r="AN215" s="24"/>
      <c r="AO215" s="1910"/>
      <c r="AP215" s="30"/>
      <c r="AQ215" s="1742"/>
      <c r="AR215" s="1742"/>
      <c r="AS215" s="1742"/>
      <c r="AU215" s="1730"/>
      <c r="AV215" s="1744"/>
      <c r="AW215" s="1742"/>
      <c r="AX215" s="1735"/>
    </row>
    <row r="216" spans="1:50" hidden="1" outlineLevel="1">
      <c r="A216" s="24" t="s">
        <v>528</v>
      </c>
      <c r="B216" s="29" t="s">
        <v>514</v>
      </c>
      <c r="C216" s="24"/>
      <c r="D216" s="1606"/>
      <c r="E216" s="24"/>
      <c r="F216" s="1612"/>
      <c r="G216" s="24"/>
      <c r="H216" s="1606"/>
      <c r="I216" s="30"/>
      <c r="J216" s="1816">
        <v>149</v>
      </c>
      <c r="K216" s="24"/>
      <c r="L216" s="1608">
        <f>AVERAGE(J216,J215)</f>
        <v>146</v>
      </c>
      <c r="M216" s="24"/>
      <c r="N216" s="1606"/>
      <c r="O216" s="30"/>
      <c r="P216" s="1608"/>
      <c r="Q216" s="35"/>
      <c r="R216" s="24"/>
      <c r="S216" s="1614"/>
      <c r="T216" s="1614"/>
      <c r="U216" s="38"/>
      <c r="V216" s="24"/>
      <c r="W216" s="1611"/>
      <c r="X216" s="24"/>
      <c r="Y216" s="1612"/>
      <c r="Z216" s="30"/>
      <c r="AA216" s="24"/>
      <c r="AB216" s="1597"/>
      <c r="AC216" s="24"/>
      <c r="AD216" s="1613"/>
      <c r="AE216" s="24"/>
      <c r="AF216" s="1606"/>
      <c r="AG216" s="30"/>
      <c r="AH216" s="1608"/>
      <c r="AI216" s="35"/>
      <c r="AJ216" s="24"/>
      <c r="AK216" s="1614"/>
      <c r="AL216" s="24"/>
      <c r="AM216" s="1615"/>
      <c r="AN216" s="24"/>
      <c r="AO216" s="1612"/>
      <c r="AP216" s="30"/>
      <c r="AQ216" s="1742"/>
      <c r="AR216" s="1742"/>
      <c r="AS216" s="1742"/>
      <c r="AU216" s="1730"/>
      <c r="AV216" s="1744"/>
      <c r="AW216" s="1742"/>
      <c r="AX216" s="1735"/>
    </row>
    <row r="217" spans="1:50" hidden="1" outlineLevel="1">
      <c r="A217" s="24"/>
      <c r="B217" s="29" t="s">
        <v>529</v>
      </c>
      <c r="C217" s="24"/>
      <c r="D217" s="1581"/>
      <c r="E217" s="24"/>
      <c r="F217" s="1910"/>
      <c r="G217" s="24"/>
      <c r="H217" s="1581"/>
      <c r="I217" s="30"/>
      <c r="J217" s="1816"/>
      <c r="K217" s="24"/>
      <c r="L217" s="1583">
        <f>AVERAGE(L213:L216)</f>
        <v>144.5</v>
      </c>
      <c r="M217" s="24"/>
      <c r="N217" s="1912"/>
      <c r="O217" s="30"/>
      <c r="P217" s="1589"/>
      <c r="Q217" s="35"/>
      <c r="R217" s="24"/>
      <c r="S217" s="1590">
        <v>314</v>
      </c>
      <c r="T217" s="1590">
        <f>S217-AQ217</f>
        <v>314</v>
      </c>
      <c r="U217" s="1590"/>
      <c r="V217" s="24">
        <f>T217/L217</f>
        <v>2.1730103806228374</v>
      </c>
      <c r="W217" s="1586">
        <f>S217/L217</f>
        <v>2.1730103806228374</v>
      </c>
      <c r="X217" s="24"/>
      <c r="Y217" s="1910"/>
      <c r="Z217" s="30"/>
      <c r="AA217" s="24"/>
      <c r="AB217" s="1913"/>
      <c r="AC217" s="24"/>
      <c r="AD217" s="1588"/>
      <c r="AE217" s="24"/>
      <c r="AF217" s="1581"/>
      <c r="AG217" s="30"/>
      <c r="AH217" s="1589"/>
      <c r="AI217" s="35"/>
      <c r="AJ217" s="1590">
        <f>T217</f>
        <v>314</v>
      </c>
      <c r="AK217" s="1590">
        <f>S217</f>
        <v>314</v>
      </c>
      <c r="AL217" s="1586"/>
      <c r="AM217" s="1591"/>
      <c r="AN217" s="24"/>
      <c r="AO217" s="1910"/>
      <c r="AP217" s="30"/>
      <c r="AQ217" s="1738"/>
      <c r="AR217" s="798"/>
      <c r="AS217" s="1"/>
    </row>
    <row r="218" spans="1:50" hidden="1" outlineLevel="1">
      <c r="A218" s="24"/>
      <c r="B218" s="29"/>
      <c r="C218" s="24"/>
      <c r="D218" s="24"/>
      <c r="E218" s="24"/>
      <c r="F218" s="24"/>
      <c r="G218" s="24"/>
      <c r="H218" s="24"/>
      <c r="I218" s="24"/>
      <c r="J218" s="1816"/>
      <c r="K218" s="24"/>
      <c r="L218" s="24"/>
      <c r="M218" s="24"/>
      <c r="N218" s="24"/>
      <c r="O218" s="24"/>
      <c r="P218" s="35"/>
      <c r="Q218" s="35"/>
      <c r="R218" s="24"/>
      <c r="S218" s="24"/>
      <c r="T218" s="24"/>
      <c r="U218" s="24"/>
      <c r="V218" s="24"/>
      <c r="W218" s="24"/>
      <c r="X218" s="24"/>
      <c r="Y218" s="24"/>
      <c r="Z218" s="30"/>
      <c r="AA218" s="24"/>
      <c r="AB218" s="24"/>
      <c r="AC218" s="24"/>
      <c r="AD218" s="24"/>
      <c r="AE218" s="24"/>
      <c r="AF218" s="24"/>
      <c r="AG218" s="24"/>
      <c r="AH218" s="35"/>
      <c r="AI218" s="35"/>
      <c r="AJ218" s="24"/>
      <c r="AK218" s="24"/>
      <c r="AL218" s="24"/>
      <c r="AM218" s="24"/>
      <c r="AN218" s="24"/>
      <c r="AO218" s="24"/>
      <c r="AP218" s="30"/>
      <c r="AQ218" s="1738"/>
      <c r="AR218" s="798"/>
      <c r="AS218" s="1"/>
    </row>
    <row r="219" spans="1:50" hidden="1" outlineLevel="1">
      <c r="A219" s="1579"/>
      <c r="B219" s="1908">
        <f>B212+1</f>
        <v>1992</v>
      </c>
      <c r="C219" s="24"/>
      <c r="D219" s="24"/>
      <c r="E219" s="24"/>
      <c r="F219" s="24"/>
      <c r="G219" s="24"/>
      <c r="H219" s="24"/>
      <c r="I219" s="24"/>
      <c r="J219" s="1816"/>
      <c r="K219" s="24"/>
      <c r="L219" s="24"/>
      <c r="M219" s="24"/>
      <c r="N219" s="24"/>
      <c r="O219" s="24"/>
      <c r="P219" s="35"/>
      <c r="Q219" s="35"/>
      <c r="R219" s="24"/>
      <c r="S219" s="24"/>
      <c r="T219" s="24"/>
      <c r="U219" s="24"/>
      <c r="V219" s="24"/>
      <c r="W219" s="24"/>
      <c r="X219" s="24"/>
      <c r="Y219" s="24"/>
      <c r="Z219" s="30"/>
      <c r="AA219" s="24"/>
      <c r="AB219" s="24"/>
      <c r="AC219" s="24"/>
      <c r="AD219" s="24"/>
      <c r="AE219" s="24"/>
      <c r="AF219" s="24"/>
      <c r="AG219" s="24"/>
      <c r="AH219" s="35"/>
      <c r="AI219" s="35"/>
      <c r="AJ219" s="24"/>
      <c r="AK219" s="24"/>
      <c r="AL219" s="24"/>
      <c r="AM219" s="24"/>
      <c r="AN219" s="24"/>
      <c r="AO219" s="24"/>
      <c r="AP219" s="30"/>
      <c r="AQ219" s="1738"/>
      <c r="AR219" s="798"/>
      <c r="AS219" s="1"/>
    </row>
    <row r="220" spans="1:50" hidden="1" outlineLevel="1">
      <c r="A220" s="24" t="str">
        <f>$A$27</f>
        <v>1Q</v>
      </c>
      <c r="B220" s="29" t="str">
        <f>$B$27</f>
        <v>Apr</v>
      </c>
      <c r="C220" s="24"/>
      <c r="D220" s="1581"/>
      <c r="E220" s="24" t="s">
        <v>489</v>
      </c>
      <c r="F220" s="1910"/>
      <c r="G220" s="24" t="s">
        <v>489</v>
      </c>
      <c r="H220" s="1581"/>
      <c r="I220" s="30" t="s">
        <v>489</v>
      </c>
      <c r="J220" s="1816">
        <v>151</v>
      </c>
      <c r="K220" s="24"/>
      <c r="L220" s="1583">
        <f>AVERAGE(J220,J216)</f>
        <v>150</v>
      </c>
      <c r="M220" s="24"/>
      <c r="N220" s="1581"/>
      <c r="O220" s="30" t="s">
        <v>489</v>
      </c>
      <c r="P220" s="1589"/>
      <c r="Q220" s="35" t="s">
        <v>489</v>
      </c>
      <c r="R220" s="24"/>
      <c r="S220" s="1590"/>
      <c r="T220" s="1590"/>
      <c r="U220" s="1590"/>
      <c r="V220" s="24"/>
      <c r="W220" s="1586"/>
      <c r="X220" s="24"/>
      <c r="Y220" s="1910"/>
      <c r="Z220" s="30" t="s">
        <v>489</v>
      </c>
      <c r="AA220" s="1816">
        <v>0.64900000000000002</v>
      </c>
      <c r="AB220" s="1913"/>
      <c r="AC220" s="24"/>
      <c r="AD220" s="1588"/>
      <c r="AE220" s="24"/>
      <c r="AF220" s="1581"/>
      <c r="AG220" s="30" t="s">
        <v>489</v>
      </c>
      <c r="AH220" s="1589"/>
      <c r="AI220" s="35" t="s">
        <v>489</v>
      </c>
      <c r="AJ220" s="24"/>
      <c r="AK220" s="1590"/>
      <c r="AL220" s="24"/>
      <c r="AM220" s="1591"/>
      <c r="AN220" s="24"/>
      <c r="AO220" s="1581"/>
      <c r="AP220" s="30" t="s">
        <v>489</v>
      </c>
      <c r="AQ220" s="1742"/>
      <c r="AR220" s="1742"/>
      <c r="AS220" s="1742"/>
      <c r="AU220" s="1730"/>
      <c r="AV220" s="1744"/>
      <c r="AW220" s="1742"/>
      <c r="AX220" s="1735"/>
    </row>
    <row r="221" spans="1:50" hidden="1" outlineLevel="1">
      <c r="A221" s="24" t="str">
        <f>$A$28</f>
        <v>2Q</v>
      </c>
      <c r="B221" s="29" t="str">
        <f>$B$28</f>
        <v>Jul</v>
      </c>
      <c r="C221" s="24"/>
      <c r="D221" s="1581"/>
      <c r="E221" s="24"/>
      <c r="F221" s="1910"/>
      <c r="G221" s="24"/>
      <c r="H221" s="1581"/>
      <c r="I221" s="30"/>
      <c r="J221" s="1816">
        <v>154</v>
      </c>
      <c r="K221" s="24"/>
      <c r="L221" s="1583">
        <f>AVERAGE(J221,J220)</f>
        <v>152.5</v>
      </c>
      <c r="M221" s="24"/>
      <c r="N221" s="1581"/>
      <c r="O221" s="30"/>
      <c r="P221" s="1589"/>
      <c r="Q221" s="35"/>
      <c r="R221" s="24"/>
      <c r="S221" s="1603"/>
      <c r="T221" s="1603"/>
      <c r="U221" s="1603"/>
      <c r="V221" s="24"/>
      <c r="W221" s="1602"/>
      <c r="X221" s="24"/>
      <c r="Y221" s="1910"/>
      <c r="Z221" s="30"/>
      <c r="AA221" s="1816">
        <v>0.67700000000000005</v>
      </c>
      <c r="AB221" s="1913"/>
      <c r="AC221" s="1588">
        <f>AVERAGE(AA221,AA220)</f>
        <v>0.66300000000000003</v>
      </c>
      <c r="AD221" s="1588"/>
      <c r="AE221" s="24"/>
      <c r="AF221" s="1581"/>
      <c r="AG221" s="30"/>
      <c r="AH221" s="1589"/>
      <c r="AI221" s="35"/>
      <c r="AJ221" s="24"/>
      <c r="AK221" s="1603"/>
      <c r="AL221" s="24"/>
      <c r="AM221" s="1604"/>
      <c r="AN221" s="24"/>
      <c r="AO221" s="1910"/>
      <c r="AP221" s="30"/>
      <c r="AQ221" s="1742"/>
      <c r="AR221" s="1742"/>
      <c r="AS221" s="1742"/>
      <c r="AU221" s="1730"/>
      <c r="AV221" s="1744"/>
      <c r="AW221" s="1742"/>
      <c r="AX221" s="1735"/>
    </row>
    <row r="222" spans="1:50" hidden="1" outlineLevel="1">
      <c r="A222" s="24" t="str">
        <f>$A$29</f>
        <v>3Q</v>
      </c>
      <c r="B222" s="29" t="str">
        <f>$B$29</f>
        <v>Oct</v>
      </c>
      <c r="C222" s="24"/>
      <c r="D222" s="1581"/>
      <c r="E222" s="24"/>
      <c r="F222" s="1910"/>
      <c r="G222" s="24"/>
      <c r="H222" s="1581"/>
      <c r="I222" s="30"/>
      <c r="J222" s="1816">
        <v>160</v>
      </c>
      <c r="K222" s="24"/>
      <c r="L222" s="1583">
        <f>AVERAGE(J222,J221)</f>
        <v>157</v>
      </c>
      <c r="M222" s="24"/>
      <c r="N222" s="1581">
        <f>(L222/L215-1)*100</f>
        <v>9.7902097902097918</v>
      </c>
      <c r="O222" s="30"/>
      <c r="P222" s="1589"/>
      <c r="Q222" s="35"/>
      <c r="R222" s="24"/>
      <c r="S222" s="1603"/>
      <c r="T222" s="1603"/>
      <c r="U222" s="1603"/>
      <c r="V222" s="24"/>
      <c r="W222" s="1602"/>
      <c r="X222" s="24"/>
      <c r="Y222" s="1910"/>
      <c r="Z222" s="30"/>
      <c r="AA222" s="1816">
        <v>0.72699999999999998</v>
      </c>
      <c r="AB222" s="1913"/>
      <c r="AC222" s="1588">
        <f t="shared" ref="AC222:AC223" si="164">AVERAGE(AA222,AA221)</f>
        <v>0.70199999999999996</v>
      </c>
      <c r="AD222" s="1588"/>
      <c r="AE222" s="24"/>
      <c r="AF222" s="1581"/>
      <c r="AG222" s="30"/>
      <c r="AH222" s="1589"/>
      <c r="AI222" s="35"/>
      <c r="AJ222" s="24"/>
      <c r="AK222" s="1603"/>
      <c r="AL222" s="24"/>
      <c r="AM222" s="1604"/>
      <c r="AN222" s="24"/>
      <c r="AO222" s="1910"/>
      <c r="AP222" s="30"/>
      <c r="AQ222" s="1742"/>
      <c r="AR222" s="1742"/>
      <c r="AS222" s="1742"/>
      <c r="AU222" s="1730"/>
      <c r="AV222" s="1744"/>
      <c r="AW222" s="1742"/>
      <c r="AX222" s="1735"/>
    </row>
    <row r="223" spans="1:50" hidden="1" outlineLevel="1">
      <c r="A223" s="24" t="str">
        <f>$A$30</f>
        <v>4Q</v>
      </c>
      <c r="B223" s="29" t="str">
        <f>$B$30</f>
        <v>Jan</v>
      </c>
      <c r="C223" s="24"/>
      <c r="D223" s="1606"/>
      <c r="E223" s="24"/>
      <c r="F223" s="1612"/>
      <c r="G223" s="24"/>
      <c r="H223" s="1606"/>
      <c r="I223" s="30"/>
      <c r="J223" s="1816">
        <v>164</v>
      </c>
      <c r="K223" s="24"/>
      <c r="L223" s="1608">
        <f>AVERAGE(J223,J222)</f>
        <v>162</v>
      </c>
      <c r="M223" s="24"/>
      <c r="N223" s="1606">
        <f>(L223/L216-1)*100</f>
        <v>10.95890410958904</v>
      </c>
      <c r="O223" s="30"/>
      <c r="P223" s="1608"/>
      <c r="Q223" s="35"/>
      <c r="R223" s="24"/>
      <c r="S223" s="1614"/>
      <c r="T223" s="1614"/>
      <c r="U223" s="38"/>
      <c r="V223" s="24"/>
      <c r="W223" s="1611"/>
      <c r="X223" s="24"/>
      <c r="Y223" s="1612"/>
      <c r="Z223" s="30"/>
      <c r="AA223" s="1816">
        <v>0.76500000000000001</v>
      </c>
      <c r="AB223" s="1597"/>
      <c r="AC223" s="1588">
        <f t="shared" si="164"/>
        <v>0.746</v>
      </c>
      <c r="AD223" s="1613"/>
      <c r="AE223" s="24"/>
      <c r="AF223" s="1606"/>
      <c r="AG223" s="30"/>
      <c r="AH223" s="1608"/>
      <c r="AI223" s="35"/>
      <c r="AJ223" s="24"/>
      <c r="AK223" s="1614"/>
      <c r="AL223" s="24"/>
      <c r="AM223" s="1615"/>
      <c r="AN223" s="24"/>
      <c r="AO223" s="1612"/>
      <c r="AP223" s="30"/>
      <c r="AQ223" s="1742"/>
      <c r="AR223" s="1742"/>
      <c r="AS223" s="1742"/>
      <c r="AU223" s="1730"/>
      <c r="AV223" s="1744"/>
      <c r="AW223" s="1742"/>
      <c r="AX223" s="1735"/>
    </row>
    <row r="224" spans="1:50" hidden="1" outlineLevel="1">
      <c r="A224" s="24"/>
      <c r="B224" s="29" t="str">
        <f>$B$31</f>
        <v>Year</v>
      </c>
      <c r="C224" s="24"/>
      <c r="D224" s="1581">
        <f>(S224/S217-1)*100</f>
        <v>22.929936305732479</v>
      </c>
      <c r="E224" s="24"/>
      <c r="F224" s="1910"/>
      <c r="G224" s="24"/>
      <c r="H224" s="1581"/>
      <c r="I224" s="30"/>
      <c r="J224" s="1816"/>
      <c r="K224" s="24"/>
      <c r="L224" s="1583">
        <f>AVERAGE(L220:L223)</f>
        <v>155.375</v>
      </c>
      <c r="M224" s="24"/>
      <c r="N224" s="1581">
        <f>(L224/L217-1)*100</f>
        <v>7.5259515570934354</v>
      </c>
      <c r="O224" s="30"/>
      <c r="P224" s="1589"/>
      <c r="Q224" s="35"/>
      <c r="R224" s="24"/>
      <c r="S224" s="1590">
        <v>386</v>
      </c>
      <c r="T224" s="1590">
        <f>S224-AQ224</f>
        <v>386</v>
      </c>
      <c r="U224" s="1590"/>
      <c r="V224" s="24">
        <f>T224/L224</f>
        <v>2.4843121480289621</v>
      </c>
      <c r="W224" s="1586">
        <f>S224/L224</f>
        <v>2.4843121480289621</v>
      </c>
      <c r="X224" s="24">
        <f>(V224/V217-1)*100</f>
        <v>14.325829742097129</v>
      </c>
      <c r="Y224" s="1910">
        <f>(W224/W217-1)*100</f>
        <v>14.325829742097129</v>
      </c>
      <c r="Z224" s="30"/>
      <c r="AA224" s="1816"/>
      <c r="AB224" s="1913"/>
      <c r="AC224" s="1588">
        <f>AVERAGE(AC220:AC223)</f>
        <v>0.70366666666666655</v>
      </c>
      <c r="AD224" s="1588"/>
      <c r="AE224" s="24"/>
      <c r="AF224" s="1581"/>
      <c r="AG224" s="30"/>
      <c r="AH224" s="1589"/>
      <c r="AI224" s="35"/>
      <c r="AJ224" s="1590">
        <f>T224</f>
        <v>386</v>
      </c>
      <c r="AK224" s="1590">
        <f>S224</f>
        <v>386</v>
      </c>
      <c r="AL224" s="1586">
        <f>AJ224/AC224</f>
        <v>548.55518711511138</v>
      </c>
      <c r="AM224" s="1591"/>
      <c r="AN224" s="24"/>
      <c r="AO224" s="1910"/>
      <c r="AP224" s="30"/>
      <c r="AQ224" s="1738"/>
      <c r="AR224" s="798"/>
      <c r="AS224" s="1"/>
    </row>
    <row r="225" spans="1:50" hidden="1" outlineLevel="1">
      <c r="A225" s="24"/>
      <c r="B225" s="29"/>
      <c r="C225" s="24"/>
      <c r="D225" s="24"/>
      <c r="E225" s="24"/>
      <c r="F225" s="24"/>
      <c r="G225" s="24"/>
      <c r="H225" s="24"/>
      <c r="I225" s="30"/>
      <c r="J225" s="1816"/>
      <c r="K225" s="24"/>
      <c r="L225" s="24"/>
      <c r="M225" s="24"/>
      <c r="N225" s="24"/>
      <c r="O225" s="30"/>
      <c r="P225" s="35"/>
      <c r="Q225" s="35"/>
      <c r="R225" s="24"/>
      <c r="S225" s="24"/>
      <c r="T225" s="24"/>
      <c r="U225" s="24"/>
      <c r="V225" s="24"/>
      <c r="W225" s="24"/>
      <c r="X225" s="24"/>
      <c r="Y225" s="24"/>
      <c r="Z225" s="30"/>
      <c r="AA225" s="1816"/>
      <c r="AB225" s="1913"/>
      <c r="AC225" s="24"/>
      <c r="AD225" s="24"/>
      <c r="AE225" s="24"/>
      <c r="AF225" s="24"/>
      <c r="AG225" s="30"/>
      <c r="AH225" s="35"/>
      <c r="AI225" s="35"/>
      <c r="AJ225" s="24"/>
      <c r="AK225" s="24"/>
      <c r="AL225" s="24"/>
      <c r="AM225" s="24"/>
      <c r="AN225" s="24"/>
      <c r="AO225" s="24"/>
      <c r="AP225" s="30"/>
      <c r="AQ225" s="1738"/>
      <c r="AR225" s="798"/>
      <c r="AS225" s="1"/>
    </row>
    <row r="226" spans="1:50" hidden="1" outlineLevel="1">
      <c r="A226" s="1579"/>
      <c r="B226" s="1908">
        <f>B219+1</f>
        <v>1993</v>
      </c>
      <c r="C226" s="24"/>
      <c r="D226" s="24"/>
      <c r="E226" s="24"/>
      <c r="F226" s="24"/>
      <c r="G226" s="24"/>
      <c r="H226" s="24"/>
      <c r="I226" s="30"/>
      <c r="J226" s="1816"/>
      <c r="K226" s="24"/>
      <c r="L226" s="24"/>
      <c r="M226" s="24"/>
      <c r="N226" s="24"/>
      <c r="O226" s="30"/>
      <c r="P226" s="35"/>
      <c r="Q226" s="35"/>
      <c r="R226" s="24"/>
      <c r="S226" s="24"/>
      <c r="T226" s="24"/>
      <c r="U226" s="24"/>
      <c r="V226" s="24"/>
      <c r="W226" s="24"/>
      <c r="X226" s="24"/>
      <c r="Y226" s="24"/>
      <c r="Z226" s="30"/>
      <c r="AA226" s="1816"/>
      <c r="AB226" s="1913"/>
      <c r="AC226" s="24"/>
      <c r="AD226" s="24"/>
      <c r="AE226" s="24"/>
      <c r="AF226" s="24"/>
      <c r="AG226" s="30"/>
      <c r="AH226" s="35"/>
      <c r="AI226" s="35"/>
      <c r="AJ226" s="24"/>
      <c r="AK226" s="24"/>
      <c r="AL226" s="24"/>
      <c r="AM226" s="24"/>
      <c r="AN226" s="24"/>
      <c r="AO226" s="24"/>
      <c r="AP226" s="30"/>
      <c r="AQ226" s="1738"/>
      <c r="AR226" s="798"/>
      <c r="AS226" s="1"/>
    </row>
    <row r="227" spans="1:50" hidden="1" outlineLevel="1">
      <c r="A227" s="24" t="str">
        <f>$A$27</f>
        <v>1Q</v>
      </c>
      <c r="B227" s="29" t="str">
        <f>$B$27</f>
        <v>Apr</v>
      </c>
      <c r="C227" s="24"/>
      <c r="D227" s="1581"/>
      <c r="E227" s="24" t="s">
        <v>489</v>
      </c>
      <c r="F227" s="1910"/>
      <c r="G227" s="24" t="s">
        <v>489</v>
      </c>
      <c r="H227" s="1581"/>
      <c r="I227" s="30" t="s">
        <v>489</v>
      </c>
      <c r="J227" s="1816">
        <v>166</v>
      </c>
      <c r="K227" s="24"/>
      <c r="L227" s="1583">
        <f>AVERAGE(J227,J223)</f>
        <v>165</v>
      </c>
      <c r="M227" s="24"/>
      <c r="N227" s="1581">
        <f>(L227/L220-1)*100</f>
        <v>10.000000000000009</v>
      </c>
      <c r="O227" s="30" t="s">
        <v>489</v>
      </c>
      <c r="P227" s="1589"/>
      <c r="Q227" s="35" t="s">
        <v>489</v>
      </c>
      <c r="R227" s="24"/>
      <c r="S227" s="1590"/>
      <c r="T227" s="1590"/>
      <c r="U227" s="1590"/>
      <c r="V227" s="24"/>
      <c r="W227" s="1586"/>
      <c r="X227" s="24"/>
      <c r="Y227" s="1910"/>
      <c r="Z227" s="30" t="s">
        <v>489</v>
      </c>
      <c r="AA227" s="1816">
        <v>0.78500000000000003</v>
      </c>
      <c r="AB227" s="1911"/>
      <c r="AC227" s="1588">
        <f>AVERAGE(AA227,AA223)</f>
        <v>0.77500000000000002</v>
      </c>
      <c r="AD227" s="1588"/>
      <c r="AE227" s="24"/>
      <c r="AF227" s="1581"/>
      <c r="AG227" s="30" t="s">
        <v>489</v>
      </c>
      <c r="AH227" s="1589"/>
      <c r="AI227" s="35" t="s">
        <v>489</v>
      </c>
      <c r="AJ227" s="24"/>
      <c r="AK227" s="1590"/>
      <c r="AL227" s="24"/>
      <c r="AM227" s="1591"/>
      <c r="AN227" s="24"/>
      <c r="AO227" s="1581"/>
      <c r="AP227" s="30" t="s">
        <v>489</v>
      </c>
      <c r="AQ227" s="1742"/>
      <c r="AR227" s="1742"/>
      <c r="AS227" s="1742"/>
      <c r="AU227" s="1730"/>
      <c r="AV227" s="1744"/>
      <c r="AW227" s="1742"/>
      <c r="AX227" s="1735"/>
    </row>
    <row r="228" spans="1:50" hidden="1" outlineLevel="1">
      <c r="A228" s="24" t="str">
        <f>$A$28</f>
        <v>2Q</v>
      </c>
      <c r="B228" s="29" t="str">
        <f>$B$28</f>
        <v>Jul</v>
      </c>
      <c r="C228" s="24"/>
      <c r="D228" s="1581"/>
      <c r="E228" s="24"/>
      <c r="F228" s="1910"/>
      <c r="G228" s="24"/>
      <c r="H228" s="1581"/>
      <c r="I228" s="30"/>
      <c r="J228" s="1816">
        <v>170</v>
      </c>
      <c r="K228" s="24"/>
      <c r="L228" s="1583">
        <f>AVERAGE(J228,J227)</f>
        <v>168</v>
      </c>
      <c r="M228" s="24"/>
      <c r="N228" s="1581">
        <f>(L228/L221-1)*100</f>
        <v>10.163934426229515</v>
      </c>
      <c r="O228" s="30"/>
      <c r="P228" s="1589"/>
      <c r="Q228" s="35"/>
      <c r="R228" s="24"/>
      <c r="S228" s="1603"/>
      <c r="T228" s="1603"/>
      <c r="U228" s="1603"/>
      <c r="V228" s="24"/>
      <c r="W228" s="1602"/>
      <c r="X228" s="24"/>
      <c r="Y228" s="1910"/>
      <c r="Z228" s="30"/>
      <c r="AA228" s="1816">
        <v>0.82399999999999995</v>
      </c>
      <c r="AB228" s="1911"/>
      <c r="AC228" s="1588">
        <f>AVERAGE(AA228,AA227)</f>
        <v>0.80449999999999999</v>
      </c>
      <c r="AD228" s="1588"/>
      <c r="AE228" s="24">
        <f t="shared" ref="AE228:AE231" si="165">AC228/AC221-1</f>
        <v>0.2134238310708898</v>
      </c>
      <c r="AF228" s="1581"/>
      <c r="AG228" s="30"/>
      <c r="AH228" s="1589"/>
      <c r="AI228" s="35"/>
      <c r="AJ228" s="24"/>
      <c r="AK228" s="1603"/>
      <c r="AL228" s="24"/>
      <c r="AM228" s="1604"/>
      <c r="AN228" s="24"/>
      <c r="AO228" s="1581"/>
      <c r="AP228" s="30"/>
      <c r="AQ228" s="1742"/>
      <c r="AR228" s="1742"/>
      <c r="AS228" s="1742"/>
      <c r="AU228" s="1730"/>
      <c r="AV228" s="1744"/>
      <c r="AW228" s="1742"/>
      <c r="AX228" s="1735"/>
    </row>
    <row r="229" spans="1:50" hidden="1" outlineLevel="1">
      <c r="A229" s="24" t="str">
        <f>$A$29</f>
        <v>3Q</v>
      </c>
      <c r="B229" s="29" t="str">
        <f>$B$29</f>
        <v>Oct</v>
      </c>
      <c r="C229" s="24"/>
      <c r="D229" s="1581"/>
      <c r="E229" s="24"/>
      <c r="F229" s="1910"/>
      <c r="G229" s="24"/>
      <c r="H229" s="1581"/>
      <c r="I229" s="30"/>
      <c r="J229" s="1816">
        <v>178</v>
      </c>
      <c r="K229" s="24"/>
      <c r="L229" s="1583">
        <f>AVERAGE(J229,J228)</f>
        <v>174</v>
      </c>
      <c r="M229" s="24"/>
      <c r="N229" s="1581">
        <f>(L229/L222-1)*100</f>
        <v>10.828025477707005</v>
      </c>
      <c r="O229" s="30"/>
      <c r="P229" s="1589"/>
      <c r="Q229" s="35"/>
      <c r="R229" s="24"/>
      <c r="S229" s="1603"/>
      <c r="T229" s="1603"/>
      <c r="U229" s="1603"/>
      <c r="V229" s="24"/>
      <c r="W229" s="1602"/>
      <c r="X229" s="24"/>
      <c r="Y229" s="1910"/>
      <c r="Z229" s="30"/>
      <c r="AA229" s="1816">
        <v>0.91200000000000003</v>
      </c>
      <c r="AB229" s="1911"/>
      <c r="AC229" s="1588">
        <f t="shared" ref="AC229:AC230" si="166">AVERAGE(AA229,AA228)</f>
        <v>0.86799999999999999</v>
      </c>
      <c r="AD229" s="1588"/>
      <c r="AE229" s="24">
        <f t="shared" si="165"/>
        <v>0.23646723646723644</v>
      </c>
      <c r="AF229" s="1581"/>
      <c r="AG229" s="30"/>
      <c r="AH229" s="1589"/>
      <c r="AI229" s="35"/>
      <c r="AJ229" s="24"/>
      <c r="AK229" s="1603"/>
      <c r="AL229" s="24"/>
      <c r="AM229" s="1604"/>
      <c r="AN229" s="24"/>
      <c r="AO229" s="1581"/>
      <c r="AP229" s="30"/>
      <c r="AQ229" s="1742"/>
      <c r="AR229" s="1742"/>
      <c r="AS229" s="1742"/>
      <c r="AU229" s="1730"/>
      <c r="AV229" s="1744"/>
      <c r="AW229" s="1742"/>
      <c r="AX229" s="1735"/>
    </row>
    <row r="230" spans="1:50" hidden="1" outlineLevel="1">
      <c r="A230" s="24" t="str">
        <f>$A$30</f>
        <v>4Q</v>
      </c>
      <c r="B230" s="29" t="str">
        <f>$B$30</f>
        <v>Jan</v>
      </c>
      <c r="C230" s="24"/>
      <c r="D230" s="1606"/>
      <c r="E230" s="24"/>
      <c r="F230" s="1612"/>
      <c r="G230" s="24"/>
      <c r="H230" s="1606"/>
      <c r="I230" s="30"/>
      <c r="J230" s="1816">
        <v>179</v>
      </c>
      <c r="K230" s="24"/>
      <c r="L230" s="1608">
        <f>AVERAGE(J230,J229)</f>
        <v>178.5</v>
      </c>
      <c r="M230" s="24"/>
      <c r="N230" s="1606">
        <f>(L230/L223-1)*100</f>
        <v>10.185185185185187</v>
      </c>
      <c r="O230" s="30"/>
      <c r="P230" s="1608"/>
      <c r="Q230" s="35"/>
      <c r="R230" s="24"/>
      <c r="S230" s="1614"/>
      <c r="T230" s="1614"/>
      <c r="U230" s="38"/>
      <c r="V230" s="24"/>
      <c r="W230" s="1611"/>
      <c r="X230" s="24"/>
      <c r="Y230" s="1612"/>
      <c r="Z230" s="30"/>
      <c r="AA230" s="1816">
        <v>0.93799999999999994</v>
      </c>
      <c r="AB230" s="1597"/>
      <c r="AC230" s="1588">
        <f t="shared" si="166"/>
        <v>0.92500000000000004</v>
      </c>
      <c r="AD230" s="1613"/>
      <c r="AE230" s="24">
        <f t="shared" si="165"/>
        <v>0.23994638069705099</v>
      </c>
      <c r="AF230" s="1606"/>
      <c r="AG230" s="30"/>
      <c r="AH230" s="1608"/>
      <c r="AI230" s="35"/>
      <c r="AJ230" s="24"/>
      <c r="AK230" s="1614"/>
      <c r="AL230" s="24"/>
      <c r="AM230" s="1615"/>
      <c r="AN230" s="24"/>
      <c r="AO230" s="1606"/>
      <c r="AP230" s="30"/>
      <c r="AQ230" s="1742"/>
      <c r="AR230" s="1742"/>
      <c r="AS230" s="1742"/>
      <c r="AU230" s="1730"/>
      <c r="AV230" s="1744"/>
      <c r="AW230" s="1742"/>
      <c r="AX230" s="1735"/>
    </row>
    <row r="231" spans="1:50" hidden="1" outlineLevel="1">
      <c r="A231" s="24"/>
      <c r="B231" s="29" t="str">
        <f>$B$31</f>
        <v>Year</v>
      </c>
      <c r="C231" s="24"/>
      <c r="D231" s="1581">
        <f>(S231/S224-1)*100</f>
        <v>19.17098445595855</v>
      </c>
      <c r="E231" s="24"/>
      <c r="F231" s="1910"/>
      <c r="G231" s="24"/>
      <c r="H231" s="1581"/>
      <c r="I231" s="30"/>
      <c r="J231" s="1816"/>
      <c r="K231" s="24"/>
      <c r="L231" s="1583">
        <f>AVERAGE(L227:L230)</f>
        <v>171.375</v>
      </c>
      <c r="M231" s="24"/>
      <c r="N231" s="1581">
        <f>(L231/L224-1)*100</f>
        <v>10.297666934835071</v>
      </c>
      <c r="O231" s="30"/>
      <c r="P231" s="1589"/>
      <c r="Q231" s="35"/>
      <c r="R231" s="24"/>
      <c r="S231" s="1590">
        <v>460</v>
      </c>
      <c r="T231" s="1590">
        <f>S231-AQ231</f>
        <v>460</v>
      </c>
      <c r="U231" s="1590"/>
      <c r="V231" s="24">
        <f>T231/L231</f>
        <v>2.6841721371261853</v>
      </c>
      <c r="W231" s="1586">
        <f>S231/L231</f>
        <v>2.6841721371261853</v>
      </c>
      <c r="X231" s="24">
        <f>(V231/V224-1)*100</f>
        <v>8.0448823331557229</v>
      </c>
      <c r="Y231" s="1581">
        <f>(W231/W224-1)*100</f>
        <v>8.0448823331557229</v>
      </c>
      <c r="Z231" s="30"/>
      <c r="AA231" s="1816"/>
      <c r="AB231" s="1913"/>
      <c r="AC231" s="1588">
        <f>AVERAGE(AC227:AC230)</f>
        <v>0.8431249999999999</v>
      </c>
      <c r="AD231" s="1588"/>
      <c r="AE231" s="24">
        <f t="shared" si="165"/>
        <v>0.19818806252960686</v>
      </c>
      <c r="AF231" s="1581"/>
      <c r="AG231" s="30"/>
      <c r="AH231" s="1589"/>
      <c r="AI231" s="35"/>
      <c r="AJ231" s="1590">
        <f>T231</f>
        <v>460</v>
      </c>
      <c r="AK231" s="1590">
        <f>S231</f>
        <v>460</v>
      </c>
      <c r="AL231" s="1586">
        <f>AJ231/AC231</f>
        <v>545.58932542624177</v>
      </c>
      <c r="AM231" s="1591"/>
      <c r="AN231" s="24"/>
      <c r="AO231" s="1581"/>
      <c r="AP231" s="30"/>
      <c r="AQ231" s="1738"/>
      <c r="AR231" s="798"/>
      <c r="AS231" s="1"/>
    </row>
    <row r="232" spans="1:50" hidden="1" outlineLevel="1">
      <c r="B232" s="1786"/>
      <c r="D232" s="1745"/>
      <c r="F232" s="1737"/>
      <c r="H232" s="1745"/>
      <c r="J232" s="1819"/>
      <c r="L232" s="1745"/>
      <c r="N232" s="1745"/>
      <c r="O232" s="5"/>
      <c r="P232" s="1736"/>
      <c r="T232" s="1738"/>
      <c r="V232" s="1783"/>
      <c r="X232" s="1737"/>
      <c r="Y232" s="5"/>
      <c r="AA232" s="1820"/>
      <c r="AC232" s="1747"/>
      <c r="AE232" s="24"/>
      <c r="AF232" s="5"/>
      <c r="AG232" s="1736"/>
      <c r="AJ232" s="1738"/>
      <c r="AL232" s="1784"/>
      <c r="AN232" s="1737"/>
      <c r="AO232" s="5"/>
      <c r="AQ232" s="1738"/>
      <c r="AR232" s="798"/>
      <c r="AS232" s="1"/>
    </row>
    <row r="233" spans="1:50" hidden="1" outlineLevel="1">
      <c r="A233" s="1907"/>
      <c r="B233" s="1908">
        <v>1994</v>
      </c>
      <c r="C233" s="24"/>
      <c r="D233" s="24"/>
      <c r="E233" s="24"/>
      <c r="F233" s="24"/>
      <c r="G233" s="24"/>
      <c r="H233" s="24"/>
      <c r="I233" s="24"/>
      <c r="J233" s="1816"/>
      <c r="K233" s="24"/>
      <c r="L233" s="24"/>
      <c r="M233" s="24"/>
      <c r="N233" s="24"/>
      <c r="O233" s="24"/>
      <c r="P233" s="35"/>
      <c r="Q233" s="35"/>
      <c r="R233" s="24"/>
      <c r="S233" s="24"/>
      <c r="T233" s="24"/>
      <c r="U233" s="24"/>
      <c r="V233" s="24"/>
      <c r="W233" s="24"/>
      <c r="X233" s="24"/>
      <c r="Y233" s="24"/>
      <c r="Z233" s="30"/>
      <c r="AA233" s="1816"/>
      <c r="AB233" s="24"/>
      <c r="AC233" s="24"/>
      <c r="AD233" s="24"/>
      <c r="AE233" s="24"/>
      <c r="AF233" s="24"/>
      <c r="AG233" s="24"/>
      <c r="AH233" s="35"/>
      <c r="AI233" s="35"/>
      <c r="AJ233" s="24"/>
      <c r="AK233" s="24"/>
      <c r="AL233" s="24"/>
      <c r="AM233" s="24"/>
      <c r="AN233" s="24"/>
      <c r="AO233" s="24"/>
      <c r="AP233" s="30"/>
      <c r="AQ233" s="1738"/>
      <c r="AR233" s="798"/>
      <c r="AS233" s="1"/>
    </row>
    <row r="234" spans="1:50" hidden="1" outlineLevel="1">
      <c r="A234" s="24" t="s">
        <v>525</v>
      </c>
      <c r="B234" s="29" t="s">
        <v>510</v>
      </c>
      <c r="C234" s="24"/>
      <c r="D234" s="1581"/>
      <c r="E234" s="24" t="s">
        <v>489</v>
      </c>
      <c r="F234" s="1910"/>
      <c r="G234" s="24" t="s">
        <v>489</v>
      </c>
      <c r="H234" s="1581"/>
      <c r="I234" s="30" t="s">
        <v>489</v>
      </c>
      <c r="J234" s="1816">
        <v>179</v>
      </c>
      <c r="K234" s="24"/>
      <c r="L234" s="1583">
        <f>AVERAGE(J234,J230)</f>
        <v>179</v>
      </c>
      <c r="M234" s="24"/>
      <c r="N234" s="1581">
        <f>(L234/L227-1)*100</f>
        <v>8.4848484848484951</v>
      </c>
      <c r="O234" s="30" t="s">
        <v>489</v>
      </c>
      <c r="P234" s="1589"/>
      <c r="Q234" s="35" t="s">
        <v>489</v>
      </c>
      <c r="R234" s="24"/>
      <c r="S234" s="1590"/>
      <c r="T234" s="1590"/>
      <c r="U234" s="1590"/>
      <c r="V234" s="24"/>
      <c r="W234" s="1586"/>
      <c r="X234" s="24"/>
      <c r="Y234" s="1910"/>
      <c r="Z234" s="30" t="s">
        <v>489</v>
      </c>
      <c r="AA234" s="1816">
        <v>0.95799999999999996</v>
      </c>
      <c r="AB234" s="1911"/>
      <c r="AC234" s="1588">
        <f>AVERAGE(AA234,AA230)</f>
        <v>0.94799999999999995</v>
      </c>
      <c r="AD234" s="1588"/>
      <c r="AE234" s="24">
        <f t="shared" ref="AE234:AE238" si="167">AC234/AC227-1</f>
        <v>0.22322580645161283</v>
      </c>
      <c r="AF234" s="1581"/>
      <c r="AG234" s="30" t="s">
        <v>489</v>
      </c>
      <c r="AH234" s="1589"/>
      <c r="AI234" s="35" t="s">
        <v>489</v>
      </c>
      <c r="AJ234" s="24"/>
      <c r="AK234" s="1590"/>
      <c r="AL234" s="24"/>
      <c r="AM234" s="1591"/>
      <c r="AN234" s="24"/>
      <c r="AO234" s="1581"/>
      <c r="AP234" s="30" t="s">
        <v>489</v>
      </c>
      <c r="AQ234" s="1742"/>
      <c r="AR234" s="1742"/>
      <c r="AS234" s="1742"/>
      <c r="AU234" s="1730"/>
      <c r="AV234" s="1744"/>
      <c r="AW234" s="1742"/>
      <c r="AX234" s="1735"/>
    </row>
    <row r="235" spans="1:50" hidden="1" outlineLevel="1">
      <c r="A235" s="24" t="s">
        <v>526</v>
      </c>
      <c r="B235" s="29" t="s">
        <v>511</v>
      </c>
      <c r="C235" s="24"/>
      <c r="D235" s="1581"/>
      <c r="E235" s="24"/>
      <c r="F235" s="1910"/>
      <c r="G235" s="24"/>
      <c r="H235" s="1581"/>
      <c r="I235" s="30"/>
      <c r="J235" s="1816">
        <v>181</v>
      </c>
      <c r="K235" s="24"/>
      <c r="L235" s="1583">
        <f>AVERAGE(J235,J234)</f>
        <v>180</v>
      </c>
      <c r="M235" s="24"/>
      <c r="N235" s="1581">
        <f>(L235/L228-1)*100</f>
        <v>7.1428571428571397</v>
      </c>
      <c r="O235" s="30"/>
      <c r="P235" s="1589"/>
      <c r="Q235" s="35"/>
      <c r="R235" s="24"/>
      <c r="S235" s="1603"/>
      <c r="T235" s="1603"/>
      <c r="U235" s="1603"/>
      <c r="V235" s="24"/>
      <c r="W235" s="1602"/>
      <c r="X235" s="24"/>
      <c r="Y235" s="1910"/>
      <c r="Z235" s="30"/>
      <c r="AA235" s="1816">
        <v>0.97899999999999998</v>
      </c>
      <c r="AB235" s="1911"/>
      <c r="AC235" s="1588">
        <f>AVERAGE(AA235,AA234)</f>
        <v>0.96849999999999992</v>
      </c>
      <c r="AD235" s="1588"/>
      <c r="AE235" s="24">
        <f t="shared" si="167"/>
        <v>0.2038533250466128</v>
      </c>
      <c r="AF235" s="1581"/>
      <c r="AG235" s="30"/>
      <c r="AH235" s="1589"/>
      <c r="AI235" s="35"/>
      <c r="AJ235" s="24"/>
      <c r="AK235" s="1603"/>
      <c r="AL235" s="24"/>
      <c r="AM235" s="1604"/>
      <c r="AN235" s="24"/>
      <c r="AO235" s="1910"/>
      <c r="AP235" s="30"/>
      <c r="AQ235" s="1742"/>
      <c r="AR235" s="1742"/>
      <c r="AS235" s="1742"/>
      <c r="AU235" s="1730"/>
      <c r="AV235" s="1744"/>
      <c r="AW235" s="1742"/>
      <c r="AX235" s="1735"/>
    </row>
    <row r="236" spans="1:50" hidden="1" outlineLevel="1">
      <c r="A236" s="24" t="s">
        <v>527</v>
      </c>
      <c r="B236" s="29" t="s">
        <v>512</v>
      </c>
      <c r="C236" s="24"/>
      <c r="D236" s="1581"/>
      <c r="E236" s="24"/>
      <c r="F236" s="1910"/>
      <c r="G236" s="24"/>
      <c r="H236" s="1581"/>
      <c r="I236" s="30"/>
      <c r="J236" s="1816">
        <v>184</v>
      </c>
      <c r="K236" s="24"/>
      <c r="L236" s="1583">
        <f>AVERAGE(J236,J235)</f>
        <v>182.5</v>
      </c>
      <c r="M236" s="24"/>
      <c r="N236" s="1581">
        <f>(L236/L229-1)*100</f>
        <v>4.8850574712643757</v>
      </c>
      <c r="O236" s="30"/>
      <c r="P236" s="1589"/>
      <c r="Q236" s="35"/>
      <c r="R236" s="24"/>
      <c r="S236" s="1603"/>
      <c r="T236" s="1603"/>
      <c r="U236" s="1603"/>
      <c r="V236" s="24"/>
      <c r="W236" s="1602"/>
      <c r="X236" s="24"/>
      <c r="Y236" s="1910"/>
      <c r="Z236" s="30"/>
      <c r="AA236" s="1816">
        <v>0.998</v>
      </c>
      <c r="AB236" s="1911"/>
      <c r="AC236" s="1588">
        <f t="shared" ref="AC236:AC237" si="168">AVERAGE(AA236,AA235)</f>
        <v>0.98849999999999993</v>
      </c>
      <c r="AD236" s="1588"/>
      <c r="AE236" s="24">
        <f t="shared" si="167"/>
        <v>0.13882488479262656</v>
      </c>
      <c r="AF236" s="1581"/>
      <c r="AG236" s="30"/>
      <c r="AH236" s="1589"/>
      <c r="AI236" s="35"/>
      <c r="AJ236" s="24"/>
      <c r="AK236" s="1603"/>
      <c r="AL236" s="24"/>
      <c r="AM236" s="1604"/>
      <c r="AN236" s="24"/>
      <c r="AO236" s="1910"/>
      <c r="AP236" s="30"/>
      <c r="AQ236" s="1742"/>
      <c r="AR236" s="1742"/>
      <c r="AS236" s="1742"/>
      <c r="AU236" s="1730"/>
      <c r="AV236" s="1744"/>
      <c r="AW236" s="1742"/>
      <c r="AX236" s="1735"/>
    </row>
    <row r="237" spans="1:50" hidden="1" outlineLevel="1">
      <c r="A237" s="24" t="s">
        <v>528</v>
      </c>
      <c r="B237" s="29" t="s">
        <v>514</v>
      </c>
      <c r="C237" s="24"/>
      <c r="D237" s="1606"/>
      <c r="E237" s="24"/>
      <c r="F237" s="1612"/>
      <c r="G237" s="24"/>
      <c r="H237" s="1606"/>
      <c r="I237" s="30"/>
      <c r="J237" s="1816">
        <v>188</v>
      </c>
      <c r="K237" s="24"/>
      <c r="L237" s="1608">
        <f>AVERAGE(J237,J236)</f>
        <v>186</v>
      </c>
      <c r="M237" s="24"/>
      <c r="N237" s="1606">
        <f>(L237/L230-1)*100</f>
        <v>4.2016806722689148</v>
      </c>
      <c r="O237" s="30"/>
      <c r="P237" s="1608"/>
      <c r="Q237" s="35"/>
      <c r="R237" s="24"/>
      <c r="S237" s="1614"/>
      <c r="T237" s="1614"/>
      <c r="U237" s="38"/>
      <c r="V237" s="24"/>
      <c r="W237" s="1611"/>
      <c r="X237" s="24"/>
      <c r="Y237" s="1612"/>
      <c r="Z237" s="30"/>
      <c r="AA237" s="1816">
        <v>1.0529999999999999</v>
      </c>
      <c r="AB237" s="1597"/>
      <c r="AC237" s="1588">
        <f t="shared" si="168"/>
        <v>1.0255000000000001</v>
      </c>
      <c r="AD237" s="1613"/>
      <c r="AE237" s="24">
        <f t="shared" si="167"/>
        <v>0.10864864864864865</v>
      </c>
      <c r="AF237" s="1606"/>
      <c r="AG237" s="30"/>
      <c r="AH237" s="1608"/>
      <c r="AI237" s="35"/>
      <c r="AJ237" s="24"/>
      <c r="AK237" s="1614"/>
      <c r="AL237" s="24"/>
      <c r="AM237" s="1615"/>
      <c r="AN237" s="24"/>
      <c r="AO237" s="1612"/>
      <c r="AP237" s="30"/>
      <c r="AQ237" s="1742"/>
      <c r="AR237" s="1742"/>
      <c r="AS237" s="1742"/>
      <c r="AU237" s="1730"/>
      <c r="AV237" s="1744"/>
      <c r="AW237" s="1742"/>
      <c r="AX237" s="1735"/>
    </row>
    <row r="238" spans="1:50" hidden="1" outlineLevel="1">
      <c r="A238" s="24"/>
      <c r="B238" s="29" t="s">
        <v>529</v>
      </c>
      <c r="C238" s="24"/>
      <c r="D238" s="1581"/>
      <c r="E238" s="24"/>
      <c r="F238" s="1910"/>
      <c r="G238" s="24"/>
      <c r="H238" s="1581"/>
      <c r="I238" s="30"/>
      <c r="J238" s="1816"/>
      <c r="K238" s="24"/>
      <c r="L238" s="1583">
        <f>AVERAGE(L234:L237)</f>
        <v>181.875</v>
      </c>
      <c r="M238" s="24"/>
      <c r="N238" s="1912">
        <f>(L238/L231-1)*100</f>
        <v>6.1269146608315062</v>
      </c>
      <c r="O238" s="30"/>
      <c r="P238" s="1589"/>
      <c r="Q238" s="35"/>
      <c r="R238" s="24"/>
      <c r="S238" s="1590">
        <v>560</v>
      </c>
      <c r="T238" s="1590">
        <f>S238-AQ238</f>
        <v>560</v>
      </c>
      <c r="U238" s="1590"/>
      <c r="V238" s="24">
        <f>T238/L238</f>
        <v>3.0790378006872854</v>
      </c>
      <c r="W238" s="1586">
        <f>S238/L238</f>
        <v>3.0790378006872854</v>
      </c>
      <c r="X238" s="24">
        <f>(V238/V231-1)*100</f>
        <v>14.710891976692064</v>
      </c>
      <c r="Y238" s="1910"/>
      <c r="Z238" s="30"/>
      <c r="AA238" s="1816"/>
      <c r="AB238" s="1913"/>
      <c r="AC238" s="1588">
        <f>AVERAGE(AC234:AC237)</f>
        <v>0.98262499999999997</v>
      </c>
      <c r="AD238" s="1588"/>
      <c r="AE238" s="24">
        <f t="shared" si="167"/>
        <v>0.16545589325426246</v>
      </c>
      <c r="AF238" s="1581"/>
      <c r="AG238" s="30"/>
      <c r="AH238" s="1589"/>
      <c r="AI238" s="35"/>
      <c r="AJ238" s="1590">
        <f>T238</f>
        <v>560</v>
      </c>
      <c r="AK238" s="1590">
        <f>S238</f>
        <v>560</v>
      </c>
      <c r="AL238" s="1586">
        <f>AJ238/AC238</f>
        <v>569.90204808548538</v>
      </c>
      <c r="AM238" s="1591"/>
      <c r="AN238" s="24"/>
      <c r="AO238" s="1910"/>
      <c r="AP238" s="30"/>
      <c r="AQ238" s="1738"/>
      <c r="AR238" s="798"/>
      <c r="AS238" s="1"/>
    </row>
    <row r="239" spans="1:50" hidden="1" outlineLevel="1">
      <c r="A239" s="24"/>
      <c r="B239" s="29"/>
      <c r="C239" s="24"/>
      <c r="D239" s="24"/>
      <c r="E239" s="24"/>
      <c r="F239" s="24"/>
      <c r="G239" s="24"/>
      <c r="H239" s="24"/>
      <c r="I239" s="24"/>
      <c r="J239" s="1816"/>
      <c r="K239" s="24"/>
      <c r="L239" s="24"/>
      <c r="M239" s="24"/>
      <c r="N239" s="24"/>
      <c r="O239" s="24"/>
      <c r="P239" s="35"/>
      <c r="Q239" s="35"/>
      <c r="R239" s="24"/>
      <c r="S239" s="24"/>
      <c r="T239" s="24"/>
      <c r="U239" s="24"/>
      <c r="V239" s="24"/>
      <c r="W239" s="24"/>
      <c r="X239" s="24"/>
      <c r="Y239" s="24"/>
      <c r="Z239" s="30"/>
      <c r="AA239" s="1816"/>
      <c r="AB239" s="24"/>
      <c r="AC239" s="24"/>
      <c r="AD239" s="24"/>
      <c r="AE239" s="24"/>
      <c r="AF239" s="24"/>
      <c r="AG239" s="24"/>
      <c r="AH239" s="35"/>
      <c r="AI239" s="35"/>
      <c r="AJ239" s="24"/>
      <c r="AK239" s="24"/>
      <c r="AL239" s="24"/>
      <c r="AM239" s="24"/>
      <c r="AN239" s="24"/>
      <c r="AO239" s="24"/>
      <c r="AP239" s="30"/>
      <c r="AQ239" s="1738"/>
      <c r="AR239" s="798"/>
      <c r="AS239" s="1"/>
    </row>
    <row r="240" spans="1:50" hidden="1" outlineLevel="1">
      <c r="A240" s="1579"/>
      <c r="B240" s="1908">
        <f>+B233+1</f>
        <v>1995</v>
      </c>
      <c r="C240" s="24"/>
      <c r="D240" s="24"/>
      <c r="E240" s="24"/>
      <c r="F240" s="24"/>
      <c r="G240" s="24"/>
      <c r="H240" s="24"/>
      <c r="I240" s="24"/>
      <c r="J240" s="1816"/>
      <c r="K240" s="24"/>
      <c r="L240" s="24"/>
      <c r="M240" s="24"/>
      <c r="N240" s="24"/>
      <c r="O240" s="24"/>
      <c r="P240" s="35"/>
      <c r="Q240" s="35"/>
      <c r="R240" s="24"/>
      <c r="S240" s="24"/>
      <c r="T240" s="24"/>
      <c r="U240" s="24"/>
      <c r="V240" s="24"/>
      <c r="W240" s="24"/>
      <c r="X240" s="24"/>
      <c r="Y240" s="24"/>
      <c r="Z240" s="30"/>
      <c r="AA240" s="1816"/>
      <c r="AB240" s="24"/>
      <c r="AC240" s="24"/>
      <c r="AD240" s="24"/>
      <c r="AE240" s="24"/>
      <c r="AF240" s="24"/>
      <c r="AG240" s="24"/>
      <c r="AH240" s="35"/>
      <c r="AI240" s="35"/>
      <c r="AJ240" s="24"/>
      <c r="AK240" s="24"/>
      <c r="AL240" s="24"/>
      <c r="AM240" s="24"/>
      <c r="AN240" s="24"/>
      <c r="AO240" s="24"/>
      <c r="AP240" s="30"/>
      <c r="AQ240" s="1738"/>
      <c r="AR240" s="798"/>
      <c r="AS240" s="1"/>
    </row>
    <row r="241" spans="1:50" hidden="1" outlineLevel="1">
      <c r="A241" s="24" t="str">
        <f>$A$27</f>
        <v>1Q</v>
      </c>
      <c r="B241" s="29" t="str">
        <f>$B$27</f>
        <v>Apr</v>
      </c>
      <c r="C241" s="24"/>
      <c r="D241" s="1581"/>
      <c r="E241" s="24" t="s">
        <v>489</v>
      </c>
      <c r="F241" s="1910"/>
      <c r="G241" s="24" t="s">
        <v>489</v>
      </c>
      <c r="H241" s="1581"/>
      <c r="I241" s="30" t="s">
        <v>489</v>
      </c>
      <c r="J241" s="1816">
        <v>196</v>
      </c>
      <c r="K241" s="24"/>
      <c r="L241" s="1583">
        <f>AVERAGE(J241,J237)</f>
        <v>192</v>
      </c>
      <c r="M241" s="24"/>
      <c r="N241" s="1581">
        <f>(L241/L234-1)*100</f>
        <v>7.2625698324022325</v>
      </c>
      <c r="O241" s="30" t="s">
        <v>489</v>
      </c>
      <c r="P241" s="1589"/>
      <c r="Q241" s="35" t="s">
        <v>489</v>
      </c>
      <c r="R241" s="24"/>
      <c r="S241" s="1590"/>
      <c r="T241" s="1590"/>
      <c r="U241" s="1590"/>
      <c r="V241" s="24"/>
      <c r="W241" s="1586"/>
      <c r="X241" s="24"/>
      <c r="Y241" s="1910"/>
      <c r="Z241" s="30" t="s">
        <v>489</v>
      </c>
      <c r="AA241" s="1816">
        <v>1.1180000000000001</v>
      </c>
      <c r="AB241" s="1913"/>
      <c r="AC241" s="1588">
        <f>AVERAGE(AA241,AA237)</f>
        <v>1.0855000000000001</v>
      </c>
      <c r="AD241" s="1588"/>
      <c r="AE241" s="24">
        <f t="shared" ref="AE241:AE245" si="169">AC241/AC234-1</f>
        <v>0.14504219409282726</v>
      </c>
      <c r="AF241" s="1581"/>
      <c r="AG241" s="30" t="s">
        <v>489</v>
      </c>
      <c r="AH241" s="1589"/>
      <c r="AI241" s="35" t="s">
        <v>489</v>
      </c>
      <c r="AJ241" s="24"/>
      <c r="AK241" s="1590"/>
      <c r="AL241" s="24"/>
      <c r="AM241" s="1591"/>
      <c r="AN241" s="24"/>
      <c r="AO241" s="1581"/>
      <c r="AP241" s="30" t="s">
        <v>489</v>
      </c>
      <c r="AQ241" s="1742"/>
      <c r="AR241" s="1742"/>
      <c r="AS241" s="1742"/>
      <c r="AU241" s="1730"/>
      <c r="AV241" s="1744"/>
      <c r="AW241" s="1742"/>
      <c r="AX241" s="1735"/>
    </row>
    <row r="242" spans="1:50" hidden="1" outlineLevel="1">
      <c r="A242" s="24" t="str">
        <f>$A$28</f>
        <v>2Q</v>
      </c>
      <c r="B242" s="29" t="str">
        <f>$B$28</f>
        <v>Jul</v>
      </c>
      <c r="C242" s="24"/>
      <c r="D242" s="1581"/>
      <c r="E242" s="24"/>
      <c r="F242" s="1910"/>
      <c r="G242" s="24"/>
      <c r="H242" s="1581"/>
      <c r="I242" s="30"/>
      <c r="J242" s="1816">
        <v>200</v>
      </c>
      <c r="K242" s="24"/>
      <c r="L242" s="1583">
        <f>AVERAGE(J242,J241)</f>
        <v>198</v>
      </c>
      <c r="M242" s="24"/>
      <c r="N242" s="1581">
        <f>(L242/L235-1)*100</f>
        <v>10.000000000000009</v>
      </c>
      <c r="O242" s="30"/>
      <c r="P242" s="1589"/>
      <c r="Q242" s="35"/>
      <c r="R242" s="24"/>
      <c r="S242" s="1603"/>
      <c r="T242" s="1603"/>
      <c r="U242" s="1603"/>
      <c r="V242" s="24"/>
      <c r="W242" s="1602"/>
      <c r="X242" s="24"/>
      <c r="Y242" s="1910"/>
      <c r="Z242" s="30"/>
      <c r="AA242" s="1816">
        <v>1.1519999999999999</v>
      </c>
      <c r="AB242" s="1913"/>
      <c r="AC242" s="1588">
        <f>AVERAGE(AA242,AA241)</f>
        <v>1.135</v>
      </c>
      <c r="AD242" s="1588"/>
      <c r="AE242" s="24">
        <f t="shared" si="169"/>
        <v>0.17191533298915851</v>
      </c>
      <c r="AF242" s="1581"/>
      <c r="AG242" s="30"/>
      <c r="AH242" s="1589"/>
      <c r="AI242" s="35"/>
      <c r="AJ242" s="24"/>
      <c r="AK242" s="1603"/>
      <c r="AL242" s="24"/>
      <c r="AM242" s="1604"/>
      <c r="AN242" s="24"/>
      <c r="AO242" s="1910"/>
      <c r="AP242" s="30"/>
      <c r="AQ242" s="1742"/>
      <c r="AR242" s="1742"/>
      <c r="AS242" s="1742"/>
      <c r="AU242" s="1730"/>
      <c r="AV242" s="1744"/>
      <c r="AW242" s="1742"/>
      <c r="AX242" s="1735"/>
    </row>
    <row r="243" spans="1:50" hidden="1" outlineLevel="1">
      <c r="A243" s="24" t="str">
        <f>$A$29</f>
        <v>3Q</v>
      </c>
      <c r="B243" s="29" t="str">
        <f>$B$29</f>
        <v>Oct</v>
      </c>
      <c r="C243" s="24"/>
      <c r="D243" s="1581"/>
      <c r="E243" s="24"/>
      <c r="F243" s="1910"/>
      <c r="G243" s="24"/>
      <c r="H243" s="1581"/>
      <c r="I243" s="30"/>
      <c r="J243" s="1816">
        <v>206</v>
      </c>
      <c r="K243" s="24"/>
      <c r="L243" s="1583">
        <f>AVERAGE(J243,J242)</f>
        <v>203</v>
      </c>
      <c r="M243" s="24"/>
      <c r="N243" s="1581">
        <f>(L243/L236-1)*100</f>
        <v>11.232876712328776</v>
      </c>
      <c r="O243" s="30"/>
      <c r="P243" s="1589"/>
      <c r="Q243" s="35"/>
      <c r="R243" s="24"/>
      <c r="S243" s="1603"/>
      <c r="T243" s="1603"/>
      <c r="U243" s="1603"/>
      <c r="V243" s="24"/>
      <c r="W243" s="1602"/>
      <c r="X243" s="24"/>
      <c r="Y243" s="1910"/>
      <c r="Z243" s="30"/>
      <c r="AA243" s="1816">
        <v>1.202</v>
      </c>
      <c r="AB243" s="1913"/>
      <c r="AC243" s="1588">
        <f t="shared" ref="AC243:AC244" si="170">AVERAGE(AA243,AA242)</f>
        <v>1.177</v>
      </c>
      <c r="AD243" s="1588"/>
      <c r="AE243" s="24">
        <f t="shared" si="169"/>
        <v>0.19069296914516953</v>
      </c>
      <c r="AF243" s="1581"/>
      <c r="AG243" s="30"/>
      <c r="AH243" s="1589"/>
      <c r="AI243" s="35"/>
      <c r="AJ243" s="24"/>
      <c r="AK243" s="1603"/>
      <c r="AL243" s="24"/>
      <c r="AM243" s="1604"/>
      <c r="AN243" s="24"/>
      <c r="AO243" s="1910"/>
      <c r="AP243" s="30"/>
      <c r="AQ243" s="1742"/>
      <c r="AR243" s="1742"/>
      <c r="AS243" s="1742"/>
      <c r="AU243" s="1730"/>
      <c r="AV243" s="1744"/>
      <c r="AW243" s="1742"/>
      <c r="AX243" s="1735"/>
    </row>
    <row r="244" spans="1:50" hidden="1" outlineLevel="1">
      <c r="A244" s="24" t="str">
        <f>$A$30</f>
        <v>4Q</v>
      </c>
      <c r="B244" s="29" t="str">
        <f>$B$30</f>
        <v>Jan</v>
      </c>
      <c r="C244" s="24"/>
      <c r="D244" s="1606"/>
      <c r="E244" s="24"/>
      <c r="F244" s="1612"/>
      <c r="G244" s="24"/>
      <c r="H244" s="1606"/>
      <c r="I244" s="30"/>
      <c r="J244" s="1816">
        <v>210</v>
      </c>
      <c r="K244" s="24"/>
      <c r="L244" s="1608">
        <f>AVERAGE(J244,J243)</f>
        <v>208</v>
      </c>
      <c r="M244" s="24"/>
      <c r="N244" s="1606">
        <f>(L244/L237-1)*100</f>
        <v>11.827956989247301</v>
      </c>
      <c r="O244" s="30"/>
      <c r="P244" s="1608"/>
      <c r="Q244" s="35"/>
      <c r="R244" s="24"/>
      <c r="S244" s="1614"/>
      <c r="T244" s="1614"/>
      <c r="U244" s="38"/>
      <c r="V244" s="24"/>
      <c r="W244" s="1611"/>
      <c r="X244" s="24"/>
      <c r="Y244" s="1612"/>
      <c r="Z244" s="30"/>
      <c r="AA244" s="1816">
        <v>1.2330000000000001</v>
      </c>
      <c r="AB244" s="1597"/>
      <c r="AC244" s="1588">
        <f t="shared" si="170"/>
        <v>1.2175</v>
      </c>
      <c r="AD244" s="1613"/>
      <c r="AE244" s="24">
        <f t="shared" si="169"/>
        <v>0.18722574353973664</v>
      </c>
      <c r="AF244" s="1606"/>
      <c r="AG244" s="30"/>
      <c r="AH244" s="1608"/>
      <c r="AI244" s="35"/>
      <c r="AJ244" s="24"/>
      <c r="AK244" s="1614"/>
      <c r="AL244" s="24"/>
      <c r="AM244" s="1615"/>
      <c r="AN244" s="24"/>
      <c r="AO244" s="1612"/>
      <c r="AP244" s="30"/>
      <c r="AQ244" s="1742"/>
      <c r="AR244" s="1742"/>
      <c r="AS244" s="1742"/>
      <c r="AU244" s="1730"/>
      <c r="AV244" s="1744"/>
      <c r="AW244" s="1742"/>
      <c r="AX244" s="1735"/>
    </row>
    <row r="245" spans="1:50" hidden="1" outlineLevel="1">
      <c r="A245" s="24"/>
      <c r="B245" s="29" t="str">
        <f>$B$31</f>
        <v>Year</v>
      </c>
      <c r="C245" s="24"/>
      <c r="D245" s="1581">
        <f>(S245/S238-1)*100</f>
        <v>12.5</v>
      </c>
      <c r="E245" s="24"/>
      <c r="F245" s="1910"/>
      <c r="G245" s="24"/>
      <c r="H245" s="1581"/>
      <c r="I245" s="30"/>
      <c r="J245" s="1816"/>
      <c r="K245" s="24"/>
      <c r="L245" s="1583">
        <f>AVERAGE(L241:L244)</f>
        <v>200.25</v>
      </c>
      <c r="M245" s="24"/>
      <c r="N245" s="1581">
        <f>(L245/L238-1)*100</f>
        <v>10.103092783505163</v>
      </c>
      <c r="O245" s="30"/>
      <c r="P245" s="1589"/>
      <c r="Q245" s="35"/>
      <c r="R245" s="24"/>
      <c r="S245" s="1590">
        <v>630</v>
      </c>
      <c r="T245" s="1590">
        <f>S245-AQ245</f>
        <v>630</v>
      </c>
      <c r="U245" s="1590"/>
      <c r="V245" s="24">
        <f>T245/L245</f>
        <v>3.1460674157303372</v>
      </c>
      <c r="W245" s="1586">
        <f>S245/L245</f>
        <v>3.1460674157303372</v>
      </c>
      <c r="X245" s="24">
        <f>(V245/V238-1)*100</f>
        <v>2.1769662921348409</v>
      </c>
      <c r="Y245" s="1910">
        <f>(W245/W238-1)*100</f>
        <v>2.1769662921348409</v>
      </c>
      <c r="Z245" s="30"/>
      <c r="AA245" s="1816"/>
      <c r="AB245" s="1913"/>
      <c r="AC245" s="1588">
        <f>AVERAGE(AC241:AC244)</f>
        <v>1.1537500000000001</v>
      </c>
      <c r="AD245" s="1588"/>
      <c r="AE245" s="24">
        <f t="shared" si="169"/>
        <v>0.17415087139040852</v>
      </c>
      <c r="AF245" s="1581"/>
      <c r="AG245" s="30"/>
      <c r="AH245" s="1589"/>
      <c r="AI245" s="35"/>
      <c r="AJ245" s="1590">
        <f>T245</f>
        <v>630</v>
      </c>
      <c r="AK245" s="1590">
        <f>S245</f>
        <v>630</v>
      </c>
      <c r="AL245" s="1586">
        <f>AJ245/AC245</f>
        <v>546.0455037919827</v>
      </c>
      <c r="AM245" s="1591"/>
      <c r="AN245" s="24"/>
      <c r="AO245" s="1910"/>
      <c r="AP245" s="30"/>
      <c r="AQ245" s="1738"/>
      <c r="AR245" s="798"/>
      <c r="AS245" s="1"/>
    </row>
    <row r="246" spans="1:50" hidden="1" outlineLevel="1">
      <c r="A246" s="24"/>
      <c r="B246" s="29"/>
      <c r="C246" s="24"/>
      <c r="D246" s="24"/>
      <c r="E246" s="24"/>
      <c r="F246" s="24"/>
      <c r="G246" s="24"/>
      <c r="H246" s="24"/>
      <c r="I246" s="30"/>
      <c r="J246" s="1816"/>
      <c r="K246" s="24"/>
      <c r="L246" s="24"/>
      <c r="M246" s="24"/>
      <c r="N246" s="24"/>
      <c r="O246" s="30"/>
      <c r="P246" s="35"/>
      <c r="Q246" s="35"/>
      <c r="R246" s="24"/>
      <c r="S246" s="24"/>
      <c r="T246" s="24"/>
      <c r="U246" s="24"/>
      <c r="V246" s="24"/>
      <c r="W246" s="24"/>
      <c r="X246" s="24"/>
      <c r="Y246" s="24"/>
      <c r="Z246" s="30"/>
      <c r="AA246" s="1816"/>
      <c r="AB246" s="1913"/>
      <c r="AC246" s="24"/>
      <c r="AD246" s="24"/>
      <c r="AE246" s="24"/>
      <c r="AF246" s="24"/>
      <c r="AG246" s="30"/>
      <c r="AH246" s="35"/>
      <c r="AI246" s="35"/>
      <c r="AJ246" s="24"/>
      <c r="AK246" s="24"/>
      <c r="AL246" s="24"/>
      <c r="AM246" s="24"/>
      <c r="AN246" s="24"/>
      <c r="AO246" s="24"/>
      <c r="AP246" s="30"/>
      <c r="AQ246" s="1738"/>
      <c r="AR246" s="798"/>
      <c r="AS246" s="1"/>
    </row>
    <row r="247" spans="1:50" hidden="1" outlineLevel="1">
      <c r="A247" s="1579"/>
      <c r="B247" s="1908">
        <f>B240+1</f>
        <v>1996</v>
      </c>
      <c r="C247" s="24"/>
      <c r="D247" s="24"/>
      <c r="E247" s="24"/>
      <c r="F247" s="24"/>
      <c r="G247" s="24"/>
      <c r="H247" s="24"/>
      <c r="I247" s="30"/>
      <c r="J247" s="1816"/>
      <c r="K247" s="24"/>
      <c r="L247" s="24"/>
      <c r="M247" s="24"/>
      <c r="N247" s="24"/>
      <c r="O247" s="30"/>
      <c r="P247" s="35"/>
      <c r="Q247" s="35"/>
      <c r="R247" s="24"/>
      <c r="S247" s="24"/>
      <c r="T247" s="24"/>
      <c r="U247" s="24"/>
      <c r="V247" s="24"/>
      <c r="W247" s="24"/>
      <c r="X247" s="24"/>
      <c r="Y247" s="24"/>
      <c r="Z247" s="30"/>
      <c r="AA247" s="1816"/>
      <c r="AB247" s="1913"/>
      <c r="AC247" s="24"/>
      <c r="AD247" s="24"/>
      <c r="AE247" s="24"/>
      <c r="AF247" s="24"/>
      <c r="AG247" s="30"/>
      <c r="AH247" s="35"/>
      <c r="AI247" s="35"/>
      <c r="AJ247" s="24"/>
      <c r="AK247" s="24"/>
      <c r="AL247" s="24"/>
      <c r="AM247" s="24"/>
      <c r="AN247" s="24"/>
      <c r="AO247" s="24"/>
      <c r="AP247" s="30"/>
      <c r="AQ247" s="1738"/>
      <c r="AR247" s="798"/>
      <c r="AS247" s="1"/>
    </row>
    <row r="248" spans="1:50" hidden="1" outlineLevel="1">
      <c r="A248" s="24" t="str">
        <f>$A$27</f>
        <v>1Q</v>
      </c>
      <c r="B248" s="29" t="str">
        <f>$B$27</f>
        <v>Apr</v>
      </c>
      <c r="C248" s="24"/>
      <c r="D248" s="1581"/>
      <c r="E248" s="24" t="s">
        <v>489</v>
      </c>
      <c r="F248" s="1910"/>
      <c r="G248" s="24" t="s">
        <v>489</v>
      </c>
      <c r="H248" s="1581"/>
      <c r="I248" s="30" t="s">
        <v>489</v>
      </c>
      <c r="J248" s="1816">
        <v>212</v>
      </c>
      <c r="K248" s="24"/>
      <c r="L248" s="1583">
        <f>AVERAGE(J248,J244)</f>
        <v>211</v>
      </c>
      <c r="M248" s="24"/>
      <c r="N248" s="1581">
        <f>(L248/L241-1)*100</f>
        <v>9.895833333333325</v>
      </c>
      <c r="O248" s="30" t="s">
        <v>489</v>
      </c>
      <c r="P248" s="1589"/>
      <c r="Q248" s="35" t="s">
        <v>489</v>
      </c>
      <c r="R248" s="24"/>
      <c r="S248" s="1590"/>
      <c r="T248" s="1590"/>
      <c r="U248" s="1590"/>
      <c r="V248" s="24"/>
      <c r="W248" s="1586"/>
      <c r="X248" s="24"/>
      <c r="Y248" s="1910"/>
      <c r="Z248" s="30" t="s">
        <v>489</v>
      </c>
      <c r="AA248" s="1816">
        <v>1.2470000000000001</v>
      </c>
      <c r="AB248" s="1911"/>
      <c r="AC248" s="1588">
        <f>AVERAGE(AA248,AA244)</f>
        <v>1.2400000000000002</v>
      </c>
      <c r="AD248" s="1588"/>
      <c r="AE248" s="24">
        <f t="shared" ref="AE248:AE252" si="171">AC248/AC241-1</f>
        <v>0.14233072316904649</v>
      </c>
      <c r="AF248" s="1581"/>
      <c r="AG248" s="30" t="s">
        <v>489</v>
      </c>
      <c r="AH248" s="1589"/>
      <c r="AI248" s="35" t="s">
        <v>489</v>
      </c>
      <c r="AJ248" s="24"/>
      <c r="AK248" s="1590"/>
      <c r="AL248" s="24"/>
      <c r="AM248" s="1591"/>
      <c r="AN248" s="24"/>
      <c r="AO248" s="1581"/>
      <c r="AP248" s="30" t="s">
        <v>489</v>
      </c>
      <c r="AQ248" s="1742"/>
      <c r="AR248" s="1742"/>
      <c r="AS248" s="1742"/>
      <c r="AU248" s="1730"/>
      <c r="AV248" s="1744"/>
      <c r="AW248" s="1742"/>
      <c r="AX248" s="1735"/>
    </row>
    <row r="249" spans="1:50" hidden="1" outlineLevel="1">
      <c r="A249" s="24" t="str">
        <f>$A$28</f>
        <v>2Q</v>
      </c>
      <c r="B249" s="29" t="str">
        <f>$B$28</f>
        <v>Jul</v>
      </c>
      <c r="C249" s="24"/>
      <c r="D249" s="1581"/>
      <c r="E249" s="24"/>
      <c r="F249" s="1910"/>
      <c r="G249" s="24"/>
      <c r="H249" s="1581"/>
      <c r="I249" s="30"/>
      <c r="J249" s="1816">
        <v>215</v>
      </c>
      <c r="K249" s="24"/>
      <c r="L249" s="1583">
        <f>AVERAGE(J249,J248)</f>
        <v>213.5</v>
      </c>
      <c r="M249" s="24"/>
      <c r="N249" s="1581">
        <f>(L249/L242-1)*100</f>
        <v>7.8282828282828287</v>
      </c>
      <c r="O249" s="30"/>
      <c r="P249" s="1589"/>
      <c r="Q249" s="35"/>
      <c r="R249" s="24"/>
      <c r="S249" s="1603"/>
      <c r="T249" s="1603"/>
      <c r="U249" s="1603"/>
      <c r="V249" s="24"/>
      <c r="W249" s="1602"/>
      <c r="X249" s="24"/>
      <c r="Y249" s="1910"/>
      <c r="Z249" s="30"/>
      <c r="AA249" s="1816">
        <v>1.248</v>
      </c>
      <c r="AB249" s="1911"/>
      <c r="AC249" s="1588">
        <f>AVERAGE(AA249,AA248)</f>
        <v>1.2475000000000001</v>
      </c>
      <c r="AD249" s="1588"/>
      <c r="AE249" s="24">
        <f t="shared" si="171"/>
        <v>9.9118942731277526E-2</v>
      </c>
      <c r="AF249" s="1581"/>
      <c r="AG249" s="30"/>
      <c r="AH249" s="1589"/>
      <c r="AI249" s="35"/>
      <c r="AJ249" s="24"/>
      <c r="AK249" s="1603"/>
      <c r="AL249" s="24"/>
      <c r="AM249" s="1604"/>
      <c r="AN249" s="24"/>
      <c r="AO249" s="1581"/>
      <c r="AP249" s="30"/>
      <c r="AQ249" s="1742"/>
      <c r="AR249" s="1742"/>
      <c r="AS249" s="1742"/>
      <c r="AU249" s="1730"/>
      <c r="AV249" s="1744"/>
      <c r="AW249" s="1742"/>
      <c r="AX249" s="1735"/>
    </row>
    <row r="250" spans="1:50" hidden="1" outlineLevel="1">
      <c r="A250" s="24" t="str">
        <f>$A$29</f>
        <v>3Q</v>
      </c>
      <c r="B250" s="29" t="str">
        <f>$B$29</f>
        <v>Oct</v>
      </c>
      <c r="C250" s="24"/>
      <c r="D250" s="1581"/>
      <c r="E250" s="24"/>
      <c r="F250" s="1910"/>
      <c r="G250" s="24"/>
      <c r="H250" s="1581"/>
      <c r="I250" s="30"/>
      <c r="J250" s="1816">
        <v>222</v>
      </c>
      <c r="K250" s="24"/>
      <c r="L250" s="1583">
        <f>AVERAGE(J250,J249)</f>
        <v>218.5</v>
      </c>
      <c r="M250" s="24"/>
      <c r="N250" s="1581">
        <f>(L250/L243-1)*100</f>
        <v>7.6354679802955738</v>
      </c>
      <c r="O250" s="30"/>
      <c r="P250" s="1589"/>
      <c r="Q250" s="35"/>
      <c r="R250" s="24"/>
      <c r="S250" s="1603"/>
      <c r="T250" s="1603"/>
      <c r="U250" s="1603"/>
      <c r="V250" s="24"/>
      <c r="W250" s="1602"/>
      <c r="X250" s="24"/>
      <c r="Y250" s="1910"/>
      <c r="Z250" s="30"/>
      <c r="AA250" s="1816">
        <v>1.329</v>
      </c>
      <c r="AB250" s="1911"/>
      <c r="AC250" s="1588">
        <f t="shared" ref="AC250:AC251" si="172">AVERAGE(AA250,AA249)</f>
        <v>1.2885</v>
      </c>
      <c r="AD250" s="1588"/>
      <c r="AE250" s="24">
        <f t="shared" si="171"/>
        <v>9.4732370433304958E-2</v>
      </c>
      <c r="AF250" s="1581"/>
      <c r="AG250" s="30"/>
      <c r="AH250" s="1589"/>
      <c r="AI250" s="35"/>
      <c r="AJ250" s="24"/>
      <c r="AK250" s="1603"/>
      <c r="AL250" s="24"/>
      <c r="AM250" s="1604"/>
      <c r="AN250" s="24"/>
      <c r="AO250" s="1581"/>
      <c r="AP250" s="30"/>
      <c r="AQ250" s="1742"/>
      <c r="AR250" s="1742"/>
      <c r="AS250" s="1742"/>
      <c r="AU250" s="1730"/>
      <c r="AV250" s="1744"/>
      <c r="AW250" s="1742"/>
      <c r="AX250" s="1735"/>
    </row>
    <row r="251" spans="1:50" hidden="1" outlineLevel="1">
      <c r="A251" s="24" t="str">
        <f>$A$30</f>
        <v>4Q</v>
      </c>
      <c r="B251" s="29" t="str">
        <f>$B$30</f>
        <v>Jan</v>
      </c>
      <c r="C251" s="24"/>
      <c r="D251" s="1606"/>
      <c r="E251" s="24"/>
      <c r="F251" s="1612"/>
      <c r="G251" s="24"/>
      <c r="H251" s="1606"/>
      <c r="I251" s="30"/>
      <c r="J251" s="1816">
        <v>226</v>
      </c>
      <c r="K251" s="24"/>
      <c r="L251" s="1608">
        <f>AVERAGE(J251,J250)</f>
        <v>224</v>
      </c>
      <c r="M251" s="24"/>
      <c r="N251" s="1606">
        <f>(L251/L244-1)*100</f>
        <v>7.6923076923076872</v>
      </c>
      <c r="O251" s="30"/>
      <c r="P251" s="1608"/>
      <c r="Q251" s="35"/>
      <c r="R251" s="24"/>
      <c r="S251" s="1614"/>
      <c r="T251" s="1614"/>
      <c r="U251" s="38"/>
      <c r="V251" s="24"/>
      <c r="W251" s="1611"/>
      <c r="X251" s="24"/>
      <c r="Y251" s="1612"/>
      <c r="Z251" s="30"/>
      <c r="AA251" s="1816">
        <v>1.3620000000000001</v>
      </c>
      <c r="AB251" s="1597"/>
      <c r="AC251" s="1588">
        <f t="shared" si="172"/>
        <v>1.3454999999999999</v>
      </c>
      <c r="AD251" s="1613"/>
      <c r="AE251" s="24">
        <f t="shared" si="171"/>
        <v>0.10513347022587261</v>
      </c>
      <c r="AF251" s="1606"/>
      <c r="AG251" s="30"/>
      <c r="AH251" s="1608"/>
      <c r="AI251" s="35"/>
      <c r="AJ251" s="24"/>
      <c r="AK251" s="1614"/>
      <c r="AL251" s="24"/>
      <c r="AM251" s="1615"/>
      <c r="AN251" s="24"/>
      <c r="AO251" s="1606"/>
      <c r="AP251" s="30"/>
      <c r="AQ251" s="1742"/>
      <c r="AR251" s="1742"/>
      <c r="AS251" s="1742"/>
      <c r="AU251" s="1730"/>
      <c r="AV251" s="1744"/>
      <c r="AW251" s="1742"/>
      <c r="AX251" s="1735"/>
    </row>
    <row r="252" spans="1:50" hidden="1" outlineLevel="1">
      <c r="A252" s="24"/>
      <c r="B252" s="29" t="str">
        <f>$B$31</f>
        <v>Year</v>
      </c>
      <c r="C252" s="24"/>
      <c r="D252" s="1581">
        <f>(S252/S245-1)*100</f>
        <v>19.047619047619047</v>
      </c>
      <c r="E252" s="24"/>
      <c r="F252" s="1910"/>
      <c r="G252" s="24"/>
      <c r="H252" s="1581"/>
      <c r="I252" s="30"/>
      <c r="J252" s="1816"/>
      <c r="K252" s="24"/>
      <c r="L252" s="1583">
        <f>AVERAGE(L248:L251)</f>
        <v>216.75</v>
      </c>
      <c r="M252" s="24"/>
      <c r="N252" s="1581">
        <f>(L252/L245-1)*100</f>
        <v>8.2397003745318322</v>
      </c>
      <c r="O252" s="30"/>
      <c r="P252" s="1589"/>
      <c r="Q252" s="35"/>
      <c r="R252" s="24"/>
      <c r="S252" s="1590">
        <v>750</v>
      </c>
      <c r="T252" s="1590">
        <f>S252-AQ252</f>
        <v>750</v>
      </c>
      <c r="U252" s="1590"/>
      <c r="V252" s="24">
        <f>T252/L252</f>
        <v>3.4602076124567476</v>
      </c>
      <c r="W252" s="1586">
        <f>S252/L252</f>
        <v>3.4602076124567476</v>
      </c>
      <c r="X252" s="24">
        <f>(V252/V245-1)*100</f>
        <v>9.9851705388037679</v>
      </c>
      <c r="Y252" s="1581">
        <f>(W252/W245-1)*100</f>
        <v>9.9851705388037679</v>
      </c>
      <c r="Z252" s="30"/>
      <c r="AA252" s="1816"/>
      <c r="AB252" s="1913"/>
      <c r="AC252" s="1588">
        <f>AVERAGE(AC248:AC251)</f>
        <v>1.280375</v>
      </c>
      <c r="AD252" s="1588"/>
      <c r="AE252" s="24">
        <f t="shared" si="171"/>
        <v>0.10975081256771402</v>
      </c>
      <c r="AF252" s="1581"/>
      <c r="AG252" s="30"/>
      <c r="AH252" s="1589"/>
      <c r="AI252" s="35"/>
      <c r="AJ252" s="1590">
        <f>T252</f>
        <v>750</v>
      </c>
      <c r="AK252" s="1590">
        <f>S252</f>
        <v>750</v>
      </c>
      <c r="AL252" s="1586">
        <f>AJ252/AC252</f>
        <v>585.76588889973641</v>
      </c>
      <c r="AM252" s="1591"/>
      <c r="AN252" s="24"/>
      <c r="AO252" s="1581"/>
      <c r="AP252" s="30"/>
      <c r="AQ252" s="1738"/>
      <c r="AR252" s="798"/>
      <c r="AS252" s="1"/>
    </row>
    <row r="253" spans="1:50" hidden="1" outlineLevel="1">
      <c r="A253" s="24"/>
      <c r="B253" s="29"/>
      <c r="C253" s="24"/>
      <c r="D253" s="24"/>
      <c r="E253" s="24"/>
      <c r="F253" s="24"/>
      <c r="G253" s="24"/>
      <c r="H253" s="24"/>
      <c r="I253" s="30"/>
      <c r="J253" s="1816"/>
      <c r="K253" s="24"/>
      <c r="L253" s="24"/>
      <c r="M253" s="24"/>
      <c r="N253" s="24"/>
      <c r="O253" s="30"/>
      <c r="P253" s="35"/>
      <c r="Q253" s="35"/>
      <c r="R253" s="24"/>
      <c r="S253" s="24"/>
      <c r="T253" s="24"/>
      <c r="U253" s="24"/>
      <c r="V253" s="24"/>
      <c r="W253" s="24"/>
      <c r="X253" s="24"/>
      <c r="Y253" s="24"/>
      <c r="Z253" s="30"/>
      <c r="AA253" s="1816"/>
      <c r="AB253" s="1913"/>
      <c r="AC253" s="24"/>
      <c r="AD253" s="24"/>
      <c r="AE253" s="24"/>
      <c r="AF253" s="24"/>
      <c r="AG253" s="30"/>
      <c r="AH253" s="35"/>
      <c r="AI253" s="35"/>
      <c r="AJ253" s="24"/>
      <c r="AK253" s="24"/>
      <c r="AL253" s="24"/>
      <c r="AM253" s="24"/>
      <c r="AN253" s="24"/>
      <c r="AO253" s="24"/>
      <c r="AP253" s="30"/>
      <c r="AQ253" s="1738"/>
      <c r="AR253" s="798"/>
      <c r="AS253" s="1"/>
    </row>
    <row r="254" spans="1:50" hidden="1" outlineLevel="1">
      <c r="A254" s="1579"/>
      <c r="B254" s="1908">
        <f>B247+1</f>
        <v>1997</v>
      </c>
      <c r="C254" s="24"/>
      <c r="D254" s="24"/>
      <c r="E254" s="24"/>
      <c r="F254" s="24"/>
      <c r="G254" s="24"/>
      <c r="H254" s="24"/>
      <c r="I254" s="30"/>
      <c r="J254" s="1816"/>
      <c r="K254" s="24"/>
      <c r="L254" s="24"/>
      <c r="M254" s="24"/>
      <c r="N254" s="24"/>
      <c r="O254" s="30"/>
      <c r="P254" s="35"/>
      <c r="Q254" s="35"/>
      <c r="R254" s="24"/>
      <c r="S254" s="24"/>
      <c r="T254" s="24"/>
      <c r="U254" s="24"/>
      <c r="V254" s="24"/>
      <c r="W254" s="24"/>
      <c r="X254" s="24"/>
      <c r="Y254" s="24"/>
      <c r="Z254" s="30"/>
      <c r="AA254" s="1816"/>
      <c r="AB254" s="1913"/>
      <c r="AC254" s="24"/>
      <c r="AD254" s="24"/>
      <c r="AE254" s="24"/>
      <c r="AF254" s="24"/>
      <c r="AG254" s="30"/>
      <c r="AH254" s="35"/>
      <c r="AI254" s="35"/>
      <c r="AJ254" s="24"/>
      <c r="AK254" s="24"/>
      <c r="AL254" s="24"/>
      <c r="AM254" s="24"/>
      <c r="AN254" s="24"/>
      <c r="AO254" s="24"/>
      <c r="AP254" s="30"/>
      <c r="AQ254" s="1738"/>
      <c r="AR254" s="798"/>
      <c r="AS254" s="1"/>
    </row>
    <row r="255" spans="1:50" hidden="1" outlineLevel="1">
      <c r="A255" s="24" t="str">
        <f>$A$27</f>
        <v>1Q</v>
      </c>
      <c r="B255" s="29" t="str">
        <f>$B$27</f>
        <v>Apr</v>
      </c>
      <c r="C255" s="24"/>
      <c r="D255" s="1581"/>
      <c r="E255" s="24" t="s">
        <v>489</v>
      </c>
      <c r="F255" s="1910"/>
      <c r="G255" s="24" t="s">
        <v>489</v>
      </c>
      <c r="H255" s="1581"/>
      <c r="I255" s="30" t="s">
        <v>489</v>
      </c>
      <c r="J255" s="1816">
        <v>230</v>
      </c>
      <c r="K255" s="24"/>
      <c r="L255" s="24">
        <f>AVERAGE(J255,J251)</f>
        <v>228</v>
      </c>
      <c r="M255" s="24"/>
      <c r="N255" s="1581">
        <f>(L255/L248-1)*100</f>
        <v>8.0568720379146974</v>
      </c>
      <c r="O255" s="30" t="s">
        <v>489</v>
      </c>
      <c r="P255" s="1589"/>
      <c r="Q255" s="35" t="s">
        <v>489</v>
      </c>
      <c r="R255" s="24"/>
      <c r="S255" s="1590"/>
      <c r="T255" s="1590"/>
      <c r="U255" s="1590"/>
      <c r="V255" s="24"/>
      <c r="W255" s="1586"/>
      <c r="X255" s="24"/>
      <c r="Y255" s="1910"/>
      <c r="Z255" s="30" t="s">
        <v>489</v>
      </c>
      <c r="AA255" s="1816">
        <v>1.403</v>
      </c>
      <c r="AB255" s="1911"/>
      <c r="AC255" s="1588">
        <f>AVERAGE(AA255,AA251)</f>
        <v>1.3825000000000001</v>
      </c>
      <c r="AD255" s="1588"/>
      <c r="AE255" s="24">
        <f t="shared" ref="AE255:AE259" si="173">AC255/AC248-1</f>
        <v>0.11491935483870952</v>
      </c>
      <c r="AF255" s="1581"/>
      <c r="AG255" s="30" t="s">
        <v>489</v>
      </c>
      <c r="AH255" s="1589"/>
      <c r="AI255" s="35" t="s">
        <v>489</v>
      </c>
      <c r="AJ255" s="24"/>
      <c r="AK255" s="1590"/>
      <c r="AL255" s="24"/>
      <c r="AM255" s="1591"/>
      <c r="AN255" s="24"/>
      <c r="AO255" s="1581"/>
      <c r="AP255" s="30" t="s">
        <v>489</v>
      </c>
      <c r="AQ255" s="1742"/>
      <c r="AR255" s="1742"/>
      <c r="AS255" s="1742"/>
      <c r="AU255" s="1730"/>
      <c r="AV255" s="1744"/>
      <c r="AW255" s="1742"/>
      <c r="AX255" s="1735"/>
    </row>
    <row r="256" spans="1:50" hidden="1" outlineLevel="1">
      <c r="A256" s="24" t="str">
        <f>$A$28</f>
        <v>2Q</v>
      </c>
      <c r="B256" s="29" t="str">
        <f>$B$28</f>
        <v>Jul</v>
      </c>
      <c r="C256" s="24"/>
      <c r="D256" s="1581"/>
      <c r="E256" s="24"/>
      <c r="F256" s="1910"/>
      <c r="G256" s="24"/>
      <c r="H256" s="1581"/>
      <c r="I256" s="30"/>
      <c r="J256" s="1816">
        <v>240</v>
      </c>
      <c r="K256" s="24"/>
      <c r="L256" s="24">
        <f>AVERAGE(J256,J255)</f>
        <v>235</v>
      </c>
      <c r="M256" s="24"/>
      <c r="N256" s="1581">
        <f>(L256/L249-1)*100</f>
        <v>10.070257611241207</v>
      </c>
      <c r="O256" s="30"/>
      <c r="P256" s="1589"/>
      <c r="Q256" s="35"/>
      <c r="R256" s="24"/>
      <c r="S256" s="1603"/>
      <c r="T256" s="1603"/>
      <c r="U256" s="1603"/>
      <c r="V256" s="24"/>
      <c r="W256" s="1602"/>
      <c r="X256" s="24"/>
      <c r="Y256" s="1910"/>
      <c r="Z256" s="30"/>
      <c r="AA256" s="1816">
        <v>1.4670000000000001</v>
      </c>
      <c r="AB256" s="1911"/>
      <c r="AC256" s="1588">
        <f>AVERAGE(AA256,AA255)</f>
        <v>1.4350000000000001</v>
      </c>
      <c r="AD256" s="1588"/>
      <c r="AE256" s="24">
        <f t="shared" si="173"/>
        <v>0.15030060120240485</v>
      </c>
      <c r="AF256" s="1581"/>
      <c r="AG256" s="30"/>
      <c r="AH256" s="1589"/>
      <c r="AI256" s="35"/>
      <c r="AJ256" s="24"/>
      <c r="AK256" s="1603"/>
      <c r="AL256" s="24"/>
      <c r="AM256" s="1604"/>
      <c r="AN256" s="24"/>
      <c r="AO256" s="1581"/>
      <c r="AP256" s="30"/>
      <c r="AQ256" s="1742"/>
      <c r="AR256" s="1742"/>
      <c r="AS256" s="1742"/>
      <c r="AU256" s="1730"/>
      <c r="AV256" s="1744"/>
      <c r="AW256" s="1742"/>
      <c r="AX256" s="1735"/>
    </row>
    <row r="257" spans="1:50" hidden="1" outlineLevel="1">
      <c r="A257" s="24" t="str">
        <f>$A$29</f>
        <v>3Q</v>
      </c>
      <c r="B257" s="29" t="str">
        <f>$B$29</f>
        <v>Oct</v>
      </c>
      <c r="C257" s="24"/>
      <c r="D257" s="1581"/>
      <c r="E257" s="24"/>
      <c r="F257" s="1910"/>
      <c r="G257" s="24"/>
      <c r="H257" s="1581"/>
      <c r="I257" s="30"/>
      <c r="J257" s="1816">
        <v>251</v>
      </c>
      <c r="K257" s="24"/>
      <c r="L257" s="1583">
        <f>AVERAGE(J257,J256)</f>
        <v>245.5</v>
      </c>
      <c r="M257" s="24"/>
      <c r="N257" s="1581">
        <f>(L257/L250-1)*100</f>
        <v>12.35697940503433</v>
      </c>
      <c r="O257" s="30"/>
      <c r="P257" s="1589"/>
      <c r="Q257" s="35"/>
      <c r="R257" s="24"/>
      <c r="S257" s="1603"/>
      <c r="T257" s="1603"/>
      <c r="U257" s="1603"/>
      <c r="V257" s="24"/>
      <c r="W257" s="1602"/>
      <c r="X257" s="24"/>
      <c r="Y257" s="1910"/>
      <c r="Z257" s="30"/>
      <c r="AA257" s="1816">
        <v>1.5620000000000001</v>
      </c>
      <c r="AB257" s="1911"/>
      <c r="AC257" s="1588">
        <f t="shared" ref="AC257:AC258" si="174">AVERAGE(AA257,AA256)</f>
        <v>1.5145</v>
      </c>
      <c r="AD257" s="1588"/>
      <c r="AE257" s="24">
        <f t="shared" si="173"/>
        <v>0.17539774932091579</v>
      </c>
      <c r="AF257" s="1581"/>
      <c r="AG257" s="30"/>
      <c r="AH257" s="1589"/>
      <c r="AI257" s="35"/>
      <c r="AJ257" s="24"/>
      <c r="AK257" s="1603"/>
      <c r="AL257" s="24"/>
      <c r="AM257" s="1604"/>
      <c r="AN257" s="24"/>
      <c r="AO257" s="1581"/>
      <c r="AP257" s="30"/>
      <c r="AQ257" s="1742"/>
      <c r="AR257" s="1742"/>
      <c r="AS257" s="1742"/>
      <c r="AU257" s="1730"/>
      <c r="AV257" s="1744"/>
      <c r="AW257" s="1742"/>
      <c r="AX257" s="1735"/>
    </row>
    <row r="258" spans="1:50" hidden="1" outlineLevel="1">
      <c r="A258" s="24" t="str">
        <f>$A$30</f>
        <v>4Q</v>
      </c>
      <c r="B258" s="29" t="str">
        <f>$B$30</f>
        <v>Jan</v>
      </c>
      <c r="C258" s="24"/>
      <c r="D258" s="1606"/>
      <c r="E258" s="24"/>
      <c r="F258" s="1612"/>
      <c r="G258" s="24"/>
      <c r="H258" s="1606"/>
      <c r="I258" s="30"/>
      <c r="J258" s="1816">
        <v>258</v>
      </c>
      <c r="K258" s="24"/>
      <c r="L258" s="1762">
        <f>AVERAGE(J258,J257)</f>
        <v>254.5</v>
      </c>
      <c r="M258" s="24"/>
      <c r="N258" s="1606">
        <f>(L258/L251-1)*100</f>
        <v>13.61607142857142</v>
      </c>
      <c r="O258" s="30"/>
      <c r="P258" s="1608"/>
      <c r="Q258" s="35"/>
      <c r="R258" s="24"/>
      <c r="S258" s="1614"/>
      <c r="T258" s="1614"/>
      <c r="U258" s="38"/>
      <c r="V258" s="24"/>
      <c r="W258" s="1611"/>
      <c r="X258" s="24"/>
      <c r="Y258" s="1612"/>
      <c r="Z258" s="30"/>
      <c r="AA258" s="1816">
        <v>1.6990000000000001</v>
      </c>
      <c r="AB258" s="1597"/>
      <c r="AC258" s="1588">
        <f t="shared" si="174"/>
        <v>1.6305000000000001</v>
      </c>
      <c r="AD258" s="1613"/>
      <c r="AE258" s="24">
        <f t="shared" si="173"/>
        <v>0.21181716833890762</v>
      </c>
      <c r="AF258" s="1606"/>
      <c r="AG258" s="30"/>
      <c r="AH258" s="1608"/>
      <c r="AI258" s="35"/>
      <c r="AJ258" s="24"/>
      <c r="AK258" s="1614"/>
      <c r="AL258" s="24"/>
      <c r="AM258" s="1615"/>
      <c r="AN258" s="24"/>
      <c r="AO258" s="1606"/>
      <c r="AP258" s="30"/>
      <c r="AQ258" s="1742"/>
      <c r="AR258" s="1742"/>
      <c r="AS258" s="1742"/>
      <c r="AU258" s="1730"/>
      <c r="AV258" s="1744"/>
      <c r="AW258" s="1742"/>
      <c r="AX258" s="1735"/>
    </row>
    <row r="259" spans="1:50" hidden="1" outlineLevel="1">
      <c r="A259" s="24"/>
      <c r="B259" s="29" t="str">
        <f>$B$31</f>
        <v>Year</v>
      </c>
      <c r="C259" s="24"/>
      <c r="D259" s="1581">
        <f>(S259/S252-1)*100</f>
        <v>18.666666666666675</v>
      </c>
      <c r="E259" s="24"/>
      <c r="F259" s="1910"/>
      <c r="G259" s="24"/>
      <c r="H259" s="1581"/>
      <c r="I259" s="30"/>
      <c r="J259" s="1816"/>
      <c r="K259" s="24"/>
      <c r="L259" s="1583">
        <f>AVERAGE(L255:L258)</f>
        <v>240.75</v>
      </c>
      <c r="M259" s="24"/>
      <c r="N259" s="1581">
        <f>(L259/L252-1)*100</f>
        <v>11.072664359861584</v>
      </c>
      <c r="O259" s="30"/>
      <c r="P259" s="1589"/>
      <c r="Q259" s="35"/>
      <c r="R259" s="24"/>
      <c r="S259" s="1590">
        <v>890</v>
      </c>
      <c r="T259" s="1590">
        <f>S259-AQ259</f>
        <v>890</v>
      </c>
      <c r="U259" s="1590"/>
      <c r="V259" s="24">
        <f>T259/L259</f>
        <v>3.6967808930425754</v>
      </c>
      <c r="W259" s="1586">
        <f>S259/L259</f>
        <v>3.6967808930425754</v>
      </c>
      <c r="X259" s="24">
        <f>(V259/V252-1)*100</f>
        <v>6.8369678089304164</v>
      </c>
      <c r="Y259" s="1587">
        <f>(W259/W252-1)*100</f>
        <v>6.8369678089304164</v>
      </c>
      <c r="Z259" s="30"/>
      <c r="AA259" s="1816"/>
      <c r="AB259" s="1913"/>
      <c r="AC259" s="1588">
        <f>AVERAGE(AC255:AC258)</f>
        <v>1.4906250000000001</v>
      </c>
      <c r="AD259" s="1588"/>
      <c r="AE259" s="24">
        <f t="shared" si="173"/>
        <v>0.16420970418822622</v>
      </c>
      <c r="AF259" s="1581"/>
      <c r="AG259" s="30"/>
      <c r="AH259" s="1589"/>
      <c r="AI259" s="35"/>
      <c r="AJ259" s="1590">
        <f>T259</f>
        <v>890</v>
      </c>
      <c r="AK259" s="1590">
        <f>S259</f>
        <v>890</v>
      </c>
      <c r="AL259" s="1586">
        <f>AJ259/AC259</f>
        <v>597.06498951781964</v>
      </c>
      <c r="AM259" s="1591"/>
      <c r="AN259" s="24"/>
      <c r="AO259" s="1581"/>
      <c r="AP259" s="30"/>
      <c r="AQ259" s="1738"/>
      <c r="AR259" s="798"/>
      <c r="AS259" s="1"/>
    </row>
    <row r="260" spans="1:50" hidden="1" outlineLevel="1">
      <c r="A260" s="24"/>
      <c r="B260" s="29"/>
      <c r="C260" s="24"/>
      <c r="D260" s="24"/>
      <c r="E260" s="24"/>
      <c r="F260" s="24"/>
      <c r="G260" s="24"/>
      <c r="H260" s="24"/>
      <c r="I260" s="30"/>
      <c r="J260" s="1816"/>
      <c r="K260" s="24"/>
      <c r="L260" s="24"/>
      <c r="M260" s="24"/>
      <c r="N260" s="24"/>
      <c r="O260" s="30"/>
      <c r="P260" s="35"/>
      <c r="Q260" s="35"/>
      <c r="R260" s="24"/>
      <c r="S260" s="24"/>
      <c r="T260" s="24"/>
      <c r="U260" s="24"/>
      <c r="V260" s="24"/>
      <c r="W260" s="24"/>
      <c r="X260" s="24"/>
      <c r="Y260" s="24"/>
      <c r="Z260" s="30"/>
      <c r="AA260" s="1816"/>
      <c r="AB260" s="1913"/>
      <c r="AC260" s="24"/>
      <c r="AD260" s="24"/>
      <c r="AE260" s="24"/>
      <c r="AF260" s="24"/>
      <c r="AG260" s="30"/>
      <c r="AH260" s="35"/>
      <c r="AI260" s="35"/>
      <c r="AJ260" s="24"/>
      <c r="AK260" s="24"/>
      <c r="AL260" s="24"/>
      <c r="AM260" s="24"/>
      <c r="AN260" s="24"/>
      <c r="AO260" s="24"/>
      <c r="AP260" s="30"/>
      <c r="AQ260" s="1738"/>
      <c r="AR260" s="798"/>
      <c r="AS260" s="1"/>
    </row>
    <row r="261" spans="1:50" hidden="1" outlineLevel="1">
      <c r="A261" s="1579"/>
      <c r="B261" s="1908">
        <f>B254+1</f>
        <v>1998</v>
      </c>
      <c r="C261" s="24"/>
      <c r="D261" s="24"/>
      <c r="E261" s="24"/>
      <c r="F261" s="24"/>
      <c r="G261" s="24"/>
      <c r="H261" s="24"/>
      <c r="I261" s="30"/>
      <c r="J261" s="1816"/>
      <c r="K261" s="24"/>
      <c r="L261" s="24"/>
      <c r="M261" s="24"/>
      <c r="N261" s="24"/>
      <c r="O261" s="30"/>
      <c r="P261" s="35"/>
      <c r="Q261" s="35"/>
      <c r="R261" s="24"/>
      <c r="S261" s="24"/>
      <c r="T261" s="24"/>
      <c r="U261" s="24"/>
      <c r="V261" s="24"/>
      <c r="W261" s="24"/>
      <c r="X261" s="24"/>
      <c r="Y261" s="24"/>
      <c r="Z261" s="30"/>
      <c r="AA261" s="1816"/>
      <c r="AB261" s="1913"/>
      <c r="AC261" s="24"/>
      <c r="AD261" s="24"/>
      <c r="AE261" s="24"/>
      <c r="AF261" s="24"/>
      <c r="AG261" s="30"/>
      <c r="AH261" s="35"/>
      <c r="AI261" s="35"/>
      <c r="AJ261" s="24"/>
      <c r="AK261" s="24"/>
      <c r="AL261" s="24"/>
      <c r="AM261" s="24"/>
      <c r="AN261" s="24"/>
      <c r="AO261" s="24"/>
      <c r="AP261" s="30"/>
      <c r="AQ261" s="1738"/>
      <c r="AR261" s="798"/>
      <c r="AS261" s="1"/>
    </row>
    <row r="262" spans="1:50" hidden="1" outlineLevel="1">
      <c r="A262" s="24" t="str">
        <f>$A$27</f>
        <v>1Q</v>
      </c>
      <c r="B262" s="29" t="str">
        <f>$B$27</f>
        <v>Apr</v>
      </c>
      <c r="C262" s="24"/>
      <c r="D262" s="1581"/>
      <c r="E262" s="24" t="s">
        <v>489</v>
      </c>
      <c r="F262" s="1910"/>
      <c r="G262" s="24" t="s">
        <v>489</v>
      </c>
      <c r="H262" s="1581"/>
      <c r="I262" s="30" t="s">
        <v>489</v>
      </c>
      <c r="J262" s="1816">
        <v>265</v>
      </c>
      <c r="K262" s="24"/>
      <c r="L262" s="1583">
        <f>AVERAGE(J262,J258)</f>
        <v>261.5</v>
      </c>
      <c r="M262" s="24"/>
      <c r="N262" s="1581">
        <f>(L262/L255-1)*100</f>
        <v>14.692982456140346</v>
      </c>
      <c r="O262" s="30" t="s">
        <v>489</v>
      </c>
      <c r="P262" s="1589"/>
      <c r="Q262" s="35" t="s">
        <v>489</v>
      </c>
      <c r="R262" s="24"/>
      <c r="S262" s="1590"/>
      <c r="T262" s="1590"/>
      <c r="U262" s="1590"/>
      <c r="V262" s="24"/>
      <c r="W262" s="1586"/>
      <c r="X262" s="24"/>
      <c r="Y262" s="1910"/>
      <c r="Z262" s="30" t="s">
        <v>489</v>
      </c>
      <c r="AA262" s="1816">
        <v>1.764</v>
      </c>
      <c r="AB262" s="24"/>
      <c r="AC262" s="1588">
        <f>AVERAGE(AA262,AA258)</f>
        <v>1.7315</v>
      </c>
      <c r="AD262" s="1588"/>
      <c r="AE262" s="24">
        <f t="shared" ref="AE262:AE266" si="175">AC262/AC255-1</f>
        <v>0.25244122965641957</v>
      </c>
      <c r="AF262" s="1581"/>
      <c r="AG262" s="30" t="s">
        <v>489</v>
      </c>
      <c r="AH262" s="1589"/>
      <c r="AI262" s="35" t="s">
        <v>489</v>
      </c>
      <c r="AJ262" s="24"/>
      <c r="AK262" s="1590"/>
      <c r="AL262" s="24"/>
      <c r="AM262" s="1591"/>
      <c r="AN262" s="24"/>
      <c r="AO262" s="1581"/>
      <c r="AP262" s="30" t="s">
        <v>489</v>
      </c>
      <c r="AQ262" s="1740"/>
      <c r="AR262" s="1796"/>
      <c r="AS262" s="1788"/>
      <c r="AT262" s="1788"/>
      <c r="AU262" s="1788"/>
    </row>
    <row r="263" spans="1:50" hidden="1" outlineLevel="2">
      <c r="A263" s="24" t="str">
        <f>$A$28</f>
        <v>2Q</v>
      </c>
      <c r="B263" s="29" t="str">
        <f>$B$28</f>
        <v>Jul</v>
      </c>
      <c r="C263" s="24"/>
      <c r="D263" s="1581"/>
      <c r="E263" s="24"/>
      <c r="F263" s="1910"/>
      <c r="G263" s="24"/>
      <c r="H263" s="1581"/>
      <c r="I263" s="30"/>
      <c r="J263" s="1816">
        <v>271</v>
      </c>
      <c r="K263" s="24"/>
      <c r="L263" s="1583">
        <f>AVERAGE(J263,J262)</f>
        <v>268</v>
      </c>
      <c r="M263" s="24"/>
      <c r="N263" s="1581">
        <f>(L263/L256-1)*100</f>
        <v>14.042553191489372</v>
      </c>
      <c r="O263" s="30"/>
      <c r="P263" s="1589"/>
      <c r="Q263" s="35"/>
      <c r="R263" s="24"/>
      <c r="S263" s="1603"/>
      <c r="T263" s="1603"/>
      <c r="U263" s="1603"/>
      <c r="V263" s="24"/>
      <c r="W263" s="1602"/>
      <c r="X263" s="24"/>
      <c r="Y263" s="1910"/>
      <c r="Z263" s="30"/>
      <c r="AA263" s="1816">
        <v>1.8220000000000001</v>
      </c>
      <c r="AB263" s="24"/>
      <c r="AC263" s="1588">
        <f>AVERAGE(AA263,AA262)</f>
        <v>1.7930000000000001</v>
      </c>
      <c r="AD263" s="1588"/>
      <c r="AE263" s="24">
        <f t="shared" si="175"/>
        <v>0.24947735191637643</v>
      </c>
      <c r="AF263" s="1581"/>
      <c r="AG263" s="30"/>
      <c r="AH263" s="1589"/>
      <c r="AI263" s="35"/>
      <c r="AJ263" s="24"/>
      <c r="AK263" s="1603"/>
      <c r="AL263" s="24"/>
      <c r="AM263" s="1604"/>
      <c r="AN263" s="24"/>
      <c r="AO263" s="1581"/>
      <c r="AP263" s="30"/>
      <c r="AQ263" s="1738"/>
      <c r="AR263" s="798"/>
      <c r="AS263" s="1"/>
    </row>
    <row r="264" spans="1:50" hidden="1" outlineLevel="2">
      <c r="A264" s="24" t="str">
        <f>$A$29</f>
        <v>3Q</v>
      </c>
      <c r="B264" s="29" t="str">
        <f>$B$29</f>
        <v>Oct</v>
      </c>
      <c r="C264" s="24"/>
      <c r="D264" s="1581"/>
      <c r="E264" s="24"/>
      <c r="F264" s="1910"/>
      <c r="G264" s="24"/>
      <c r="H264" s="1581"/>
      <c r="I264" s="30"/>
      <c r="J264" s="1816">
        <v>281</v>
      </c>
      <c r="K264" s="24"/>
      <c r="L264" s="1583">
        <f>AVERAGE(J264,J263)</f>
        <v>276</v>
      </c>
      <c r="M264" s="24"/>
      <c r="N264" s="1581">
        <f>(L264/L257-1)*100</f>
        <v>12.423625254582493</v>
      </c>
      <c r="O264" s="30"/>
      <c r="P264" s="1589"/>
      <c r="Q264" s="35"/>
      <c r="R264" s="24"/>
      <c r="S264" s="1603"/>
      <c r="T264" s="1603"/>
      <c r="U264" s="1603"/>
      <c r="V264" s="24"/>
      <c r="W264" s="1602"/>
      <c r="X264" s="24"/>
      <c r="Y264" s="1910"/>
      <c r="Z264" s="30"/>
      <c r="AA264" s="1816">
        <v>1.9259999999999999</v>
      </c>
      <c r="AB264" s="1597"/>
      <c r="AC264" s="1588">
        <f t="shared" ref="AC264:AC265" si="176">AVERAGE(AA264,AA263)</f>
        <v>1.8740000000000001</v>
      </c>
      <c r="AD264" s="1588"/>
      <c r="AE264" s="24">
        <f t="shared" si="175"/>
        <v>0.23737206999009586</v>
      </c>
      <c r="AF264" s="1581"/>
      <c r="AG264" s="30"/>
      <c r="AH264" s="1589"/>
      <c r="AI264" s="35"/>
      <c r="AJ264" s="24"/>
      <c r="AK264" s="1603"/>
      <c r="AL264" s="24"/>
      <c r="AM264" s="1604"/>
      <c r="AN264" s="24"/>
      <c r="AO264" s="1587"/>
      <c r="AP264" s="30"/>
      <c r="AQ264" s="1738"/>
      <c r="AR264" s="1"/>
      <c r="AS264" s="1"/>
    </row>
    <row r="265" spans="1:50" hidden="1" outlineLevel="2">
      <c r="A265" s="24" t="str">
        <f>$A$30</f>
        <v>4Q</v>
      </c>
      <c r="B265" s="29" t="str">
        <f>$B$30</f>
        <v>Jan</v>
      </c>
      <c r="C265" s="24"/>
      <c r="D265" s="1606"/>
      <c r="E265" s="24"/>
      <c r="F265" s="1612"/>
      <c r="G265" s="24"/>
      <c r="H265" s="1606"/>
      <c r="I265" s="30"/>
      <c r="J265" s="1816">
        <v>292</v>
      </c>
      <c r="K265" s="24"/>
      <c r="L265" s="1608">
        <f>AVERAGE(J265,J264)</f>
        <v>286.5</v>
      </c>
      <c r="M265" s="24"/>
      <c r="N265" s="1606">
        <f>(L265/L258-1)*100</f>
        <v>12.573673870333991</v>
      </c>
      <c r="O265" s="30"/>
      <c r="P265" s="1608"/>
      <c r="Q265" s="35"/>
      <c r="R265" s="24"/>
      <c r="S265" s="1614"/>
      <c r="T265" s="1614"/>
      <c r="U265" s="38"/>
      <c r="V265" s="24"/>
      <c r="W265" s="1611"/>
      <c r="X265" s="24"/>
      <c r="Y265" s="1612"/>
      <c r="Z265" s="30"/>
      <c r="AA265" s="1816">
        <v>2.028</v>
      </c>
      <c r="AB265" s="1597"/>
      <c r="AC265" s="1588">
        <f t="shared" si="176"/>
        <v>1.9769999999999999</v>
      </c>
      <c r="AD265" s="1613"/>
      <c r="AE265" s="24">
        <f t="shared" si="175"/>
        <v>0.21251149954001836</v>
      </c>
      <c r="AF265" s="1606"/>
      <c r="AG265" s="30"/>
      <c r="AH265" s="1608"/>
      <c r="AI265" s="35"/>
      <c r="AJ265" s="24"/>
      <c r="AK265" s="1614"/>
      <c r="AL265" s="24"/>
      <c r="AM265" s="1615"/>
      <c r="AN265" s="24"/>
      <c r="AO265" s="1612"/>
      <c r="AP265" s="30"/>
      <c r="AQ265" s="1742"/>
      <c r="AR265" s="798"/>
      <c r="AS265" s="798"/>
    </row>
    <row r="266" spans="1:50" hidden="1" outlineLevel="2">
      <c r="A266" s="24"/>
      <c r="B266" s="29" t="str">
        <f>$B$31</f>
        <v>Year</v>
      </c>
      <c r="C266" s="24"/>
      <c r="D266" s="1581">
        <f>(S266/S259-1)*100</f>
        <v>38.202247191011239</v>
      </c>
      <c r="E266" s="24"/>
      <c r="F266" s="1910"/>
      <c r="G266" s="24"/>
      <c r="H266" s="1581"/>
      <c r="I266" s="30"/>
      <c r="J266" s="1816"/>
      <c r="K266" s="24"/>
      <c r="L266" s="1583">
        <f>AVERAGE(L262:L265)</f>
        <v>273</v>
      </c>
      <c r="M266" s="24"/>
      <c r="N266" s="1581">
        <f>(L266/L259-1)*100</f>
        <v>13.395638629283479</v>
      </c>
      <c r="O266" s="30"/>
      <c r="P266" s="1589"/>
      <c r="Q266" s="35"/>
      <c r="R266" s="24"/>
      <c r="S266" s="1590">
        <v>1230</v>
      </c>
      <c r="T266" s="1590">
        <f>S266-AQ266</f>
        <v>1230</v>
      </c>
      <c r="U266" s="1590"/>
      <c r="V266" s="24">
        <f>T266/L266</f>
        <v>4.5054945054945055</v>
      </c>
      <c r="W266" s="1586">
        <f>S266/L266</f>
        <v>4.5054945054945055</v>
      </c>
      <c r="X266" s="24">
        <f>(V266/V259-1)*100</f>
        <v>21.876157550314844</v>
      </c>
      <c r="Y266" s="1587">
        <f>(W266/W259-1)*100</f>
        <v>21.876157550314844</v>
      </c>
      <c r="Z266" s="30"/>
      <c r="AA266" s="1816"/>
      <c r="AB266" s="24"/>
      <c r="AC266" s="1588">
        <f>AVERAGE(AC262:AC265)</f>
        <v>1.8438750000000002</v>
      </c>
      <c r="AD266" s="1588"/>
      <c r="AE266" s="24">
        <f t="shared" si="175"/>
        <v>0.23698113207547178</v>
      </c>
      <c r="AF266" s="1581"/>
      <c r="AG266" s="30"/>
      <c r="AH266" s="1589"/>
      <c r="AI266" s="35"/>
      <c r="AJ266" s="1590">
        <f>T266</f>
        <v>1230</v>
      </c>
      <c r="AK266" s="1590">
        <f>S266</f>
        <v>1230</v>
      </c>
      <c r="AL266" s="1586">
        <f>AJ266/AC266</f>
        <v>667.07341875127099</v>
      </c>
      <c r="AM266" s="1591"/>
      <c r="AN266" s="24"/>
      <c r="AO266" s="1587"/>
      <c r="AP266" s="30"/>
      <c r="AQ266" s="1742"/>
      <c r="AR266" s="798"/>
      <c r="AS266" s="798"/>
    </row>
    <row r="267" spans="1:50" hidden="1" outlineLevel="2">
      <c r="A267" s="24"/>
      <c r="B267" s="29"/>
      <c r="C267" s="24"/>
      <c r="D267" s="24"/>
      <c r="E267" s="24"/>
      <c r="F267" s="24"/>
      <c r="G267" s="24"/>
      <c r="H267" s="24"/>
      <c r="I267" s="30"/>
      <c r="J267" s="1816"/>
      <c r="K267" s="24"/>
      <c r="L267" s="24"/>
      <c r="M267" s="24"/>
      <c r="N267" s="24"/>
      <c r="O267" s="30"/>
      <c r="P267" s="35"/>
      <c r="Q267" s="35"/>
      <c r="R267" s="24"/>
      <c r="S267" s="24"/>
      <c r="T267" s="24"/>
      <c r="U267" s="24"/>
      <c r="V267" s="24"/>
      <c r="W267" s="24"/>
      <c r="X267" s="24"/>
      <c r="Y267" s="24"/>
      <c r="Z267" s="30"/>
      <c r="AA267" s="1816"/>
      <c r="AB267" s="24"/>
      <c r="AC267" s="24"/>
      <c r="AD267" s="24"/>
      <c r="AE267" s="24"/>
      <c r="AF267" s="24"/>
      <c r="AG267" s="30"/>
      <c r="AH267" s="35"/>
      <c r="AI267" s="35"/>
      <c r="AJ267" s="24"/>
      <c r="AK267" s="24"/>
      <c r="AL267" s="24"/>
      <c r="AM267" s="24"/>
      <c r="AN267" s="24"/>
      <c r="AO267" s="24"/>
      <c r="AP267" s="30"/>
      <c r="AR267" s="798"/>
      <c r="AS267" s="798"/>
    </row>
    <row r="268" spans="1:50" hidden="1" outlineLevel="2">
      <c r="A268" s="1579"/>
      <c r="B268" s="1908">
        <f>B261+1</f>
        <v>1999</v>
      </c>
      <c r="C268" s="24"/>
      <c r="D268" s="24"/>
      <c r="E268" s="24"/>
      <c r="F268" s="24"/>
      <c r="G268" s="24"/>
      <c r="H268" s="24"/>
      <c r="I268" s="30"/>
      <c r="J268" s="1816"/>
      <c r="K268" s="24"/>
      <c r="L268" s="24"/>
      <c r="M268" s="24"/>
      <c r="N268" s="24"/>
      <c r="O268" s="30"/>
      <c r="P268" s="35"/>
      <c r="Q268" s="35"/>
      <c r="R268" s="24"/>
      <c r="S268" s="24"/>
      <c r="T268" s="24"/>
      <c r="U268" s="24"/>
      <c r="V268" s="24"/>
      <c r="W268" s="24"/>
      <c r="X268" s="24"/>
      <c r="Y268" s="24"/>
      <c r="Z268" s="30"/>
      <c r="AA268" s="1816"/>
      <c r="AB268" s="24"/>
      <c r="AC268" s="24"/>
      <c r="AD268" s="24"/>
      <c r="AE268" s="24"/>
      <c r="AF268" s="24"/>
      <c r="AG268" s="30"/>
      <c r="AH268" s="35"/>
      <c r="AI268" s="35"/>
      <c r="AJ268" s="24"/>
      <c r="AK268" s="24"/>
      <c r="AL268" s="24"/>
      <c r="AM268" s="24"/>
      <c r="AN268" s="24"/>
      <c r="AO268" s="24"/>
      <c r="AP268" s="30"/>
      <c r="AR268" s="798"/>
      <c r="AS268" s="798"/>
    </row>
    <row r="269" spans="1:50" hidden="1" outlineLevel="2">
      <c r="A269" s="24" t="str">
        <f>$A$27</f>
        <v>1Q</v>
      </c>
      <c r="B269" s="29" t="str">
        <f>$B$27</f>
        <v>Apr</v>
      </c>
      <c r="C269" s="24"/>
      <c r="D269" s="1581"/>
      <c r="E269" s="30" t="s">
        <v>489</v>
      </c>
      <c r="F269" s="1914">
        <v>13</v>
      </c>
      <c r="G269" s="30" t="s">
        <v>489</v>
      </c>
      <c r="H269" s="1581"/>
      <c r="I269" s="30" t="s">
        <v>489</v>
      </c>
      <c r="J269" s="1818">
        <v>295</v>
      </c>
      <c r="K269" s="24"/>
      <c r="L269" s="1583">
        <f>AVERAGE(J269,J265)</f>
        <v>293.5</v>
      </c>
      <c r="M269" s="24"/>
      <c r="N269" s="1581">
        <f>(L269/L262-1)*100</f>
        <v>12.237093690248567</v>
      </c>
      <c r="O269" s="30" t="s">
        <v>489</v>
      </c>
      <c r="P269" s="1589"/>
      <c r="Q269" s="35" t="s">
        <v>489</v>
      </c>
      <c r="R269" s="24"/>
      <c r="S269" s="1590"/>
      <c r="T269" s="1590"/>
      <c r="U269" s="1590"/>
      <c r="V269" s="24"/>
      <c r="W269" s="1586"/>
      <c r="X269" s="24"/>
      <c r="Y269" s="1910"/>
      <c r="Z269" s="30" t="s">
        <v>489</v>
      </c>
      <c r="AA269" s="1816">
        <v>2.0870000000000002</v>
      </c>
      <c r="AB269" s="1597"/>
      <c r="AC269" s="1588">
        <f>AVERAGE(AA269,AA265)</f>
        <v>2.0575000000000001</v>
      </c>
      <c r="AD269" s="1588"/>
      <c r="AE269" s="24">
        <f t="shared" ref="AE269:AE273" si="177">AC269/AC262-1</f>
        <v>0.18827606121859652</v>
      </c>
      <c r="AF269" s="1581"/>
      <c r="AG269" s="30" t="s">
        <v>489</v>
      </c>
      <c r="AH269" s="1589"/>
      <c r="AI269" s="35" t="s">
        <v>489</v>
      </c>
      <c r="AJ269" s="24"/>
      <c r="AK269" s="1590"/>
      <c r="AL269" s="24"/>
      <c r="AM269" s="1591"/>
      <c r="AN269" s="24"/>
      <c r="AO269" s="1581"/>
      <c r="AP269" s="30" t="s">
        <v>489</v>
      </c>
      <c r="AR269" s="798"/>
      <c r="AS269" s="1"/>
    </row>
    <row r="270" spans="1:50" hidden="1" outlineLevel="2">
      <c r="A270" s="24" t="str">
        <f>$A$28</f>
        <v>2Q</v>
      </c>
      <c r="B270" s="29" t="str">
        <f>$B$28</f>
        <v>Jul</v>
      </c>
      <c r="C270" s="24"/>
      <c r="D270" s="1581"/>
      <c r="E270" s="30"/>
      <c r="F270" s="1914">
        <v>13</v>
      </c>
      <c r="G270" s="30"/>
      <c r="H270" s="1581"/>
      <c r="I270" s="30"/>
      <c r="J270" s="1818">
        <v>307</v>
      </c>
      <c r="K270" s="24"/>
      <c r="L270" s="1583">
        <f>AVERAGE(J270,J269)</f>
        <v>301</v>
      </c>
      <c r="M270" s="24"/>
      <c r="N270" s="1581">
        <f>(L270/L263-1)*100</f>
        <v>12.313432835820892</v>
      </c>
      <c r="O270" s="30"/>
      <c r="P270" s="1589"/>
      <c r="Q270" s="35"/>
      <c r="R270" s="24"/>
      <c r="S270" s="1603"/>
      <c r="T270" s="1603"/>
      <c r="U270" s="1603"/>
      <c r="V270" s="24"/>
      <c r="W270" s="1602"/>
      <c r="X270" s="24"/>
      <c r="Y270" s="1910"/>
      <c r="Z270" s="30"/>
      <c r="AA270" s="1816">
        <v>2.177</v>
      </c>
      <c r="AB270" s="1597"/>
      <c r="AC270" s="1588">
        <f>AVERAGE(AA270,AA269)</f>
        <v>2.1320000000000001</v>
      </c>
      <c r="AD270" s="1588"/>
      <c r="AE270" s="24">
        <f t="shared" si="177"/>
        <v>0.18906860011154492</v>
      </c>
      <c r="AF270" s="1581"/>
      <c r="AG270" s="30"/>
      <c r="AH270" s="1589"/>
      <c r="AI270" s="35"/>
      <c r="AJ270" s="24"/>
      <c r="AK270" s="1603"/>
      <c r="AL270" s="24"/>
      <c r="AM270" s="1604"/>
      <c r="AN270" s="24"/>
      <c r="AO270" s="1581"/>
      <c r="AP270" s="30"/>
    </row>
    <row r="271" spans="1:50" hidden="1" outlineLevel="2">
      <c r="A271" s="24" t="str">
        <f>$A$29</f>
        <v>3Q</v>
      </c>
      <c r="B271" s="29" t="str">
        <f>$B$29</f>
        <v>Oct</v>
      </c>
      <c r="C271" s="24"/>
      <c r="D271" s="1581"/>
      <c r="E271" s="30"/>
      <c r="F271" s="1914">
        <v>9</v>
      </c>
      <c r="G271" s="30"/>
      <c r="H271" s="1581"/>
      <c r="I271" s="30"/>
      <c r="J271" s="1818">
        <v>329</v>
      </c>
      <c r="K271" s="24"/>
      <c r="L271" s="1583">
        <f>AVERAGE(J271,J270)</f>
        <v>318</v>
      </c>
      <c r="M271" s="24"/>
      <c r="N271" s="1581">
        <f>(L271/L264-1)*100</f>
        <v>15.217391304347828</v>
      </c>
      <c r="O271" s="30"/>
      <c r="P271" s="1589"/>
      <c r="Q271" s="35"/>
      <c r="R271" s="24"/>
      <c r="S271" s="1603"/>
      <c r="T271" s="1603"/>
      <c r="U271" s="1603"/>
      <c r="V271" s="24"/>
      <c r="W271" s="1602"/>
      <c r="X271" s="24"/>
      <c r="Y271" s="1910"/>
      <c r="Z271" s="30"/>
      <c r="AA271" s="1816">
        <v>2.4</v>
      </c>
      <c r="AB271" s="1597"/>
      <c r="AC271" s="1588">
        <f t="shared" ref="AC271:AC272" si="178">AVERAGE(AA271,AA270)</f>
        <v>2.2885</v>
      </c>
      <c r="AD271" s="1588"/>
      <c r="AE271" s="24">
        <f t="shared" si="177"/>
        <v>0.22118463180362857</v>
      </c>
      <c r="AF271" s="1581"/>
      <c r="AG271" s="30"/>
      <c r="AH271" s="1589"/>
      <c r="AI271" s="35"/>
      <c r="AJ271" s="24"/>
      <c r="AK271" s="1603"/>
      <c r="AL271" s="24"/>
      <c r="AM271" s="1604"/>
      <c r="AN271" s="24"/>
      <c r="AO271" s="1587"/>
      <c r="AP271" s="30"/>
      <c r="AR271" s="1"/>
      <c r="AS271" s="1"/>
    </row>
    <row r="272" spans="1:50" hidden="1" outlineLevel="2">
      <c r="A272" s="24" t="str">
        <f>$A$30</f>
        <v>4Q</v>
      </c>
      <c r="B272" s="29" t="str">
        <f>$B$30</f>
        <v>Jan</v>
      </c>
      <c r="C272" s="24"/>
      <c r="D272" s="1606"/>
      <c r="E272" s="30"/>
      <c r="F272" s="1915">
        <v>7</v>
      </c>
      <c r="G272" s="30"/>
      <c r="H272" s="1606"/>
      <c r="I272" s="30"/>
      <c r="J272" s="1818">
        <v>345</v>
      </c>
      <c r="K272" s="24"/>
      <c r="L272" s="1608">
        <f>AVERAGE(J272,J271)</f>
        <v>337</v>
      </c>
      <c r="M272" s="24"/>
      <c r="N272" s="1606">
        <f>(L272/L265-1)*100</f>
        <v>17.626527050610829</v>
      </c>
      <c r="O272" s="30"/>
      <c r="P272" s="1608"/>
      <c r="Q272" s="35"/>
      <c r="R272" s="24"/>
      <c r="S272" s="1614"/>
      <c r="T272" s="1614"/>
      <c r="U272" s="38"/>
      <c r="V272" s="24"/>
      <c r="W272" s="1611"/>
      <c r="X272" s="24"/>
      <c r="Y272" s="1612"/>
      <c r="Z272" s="30"/>
      <c r="AA272" s="1816">
        <v>2.6</v>
      </c>
      <c r="AB272" s="1597"/>
      <c r="AC272" s="1588">
        <f t="shared" si="178"/>
        <v>2.5</v>
      </c>
      <c r="AD272" s="1613"/>
      <c r="AE272" s="24">
        <f t="shared" si="177"/>
        <v>0.26454223571067281</v>
      </c>
      <c r="AF272" s="1606"/>
      <c r="AG272" s="30"/>
      <c r="AH272" s="1608"/>
      <c r="AI272" s="35"/>
      <c r="AJ272" s="24"/>
      <c r="AK272" s="1614"/>
      <c r="AL272" s="24"/>
      <c r="AM272" s="1615"/>
      <c r="AN272" s="24"/>
      <c r="AO272" s="1612"/>
      <c r="AP272" s="30"/>
      <c r="AR272" s="798"/>
      <c r="AS272" s="798"/>
    </row>
    <row r="273" spans="1:45" hidden="1" outlineLevel="2">
      <c r="A273" s="24"/>
      <c r="B273" s="29" t="str">
        <f>$B$31</f>
        <v>Year</v>
      </c>
      <c r="C273" s="24"/>
      <c r="D273" s="1581">
        <f>(S273/S266-1)*100</f>
        <v>21.95121951219512</v>
      </c>
      <c r="E273" s="30"/>
      <c r="F273" s="1914">
        <v>10</v>
      </c>
      <c r="G273" s="30"/>
      <c r="H273" s="1581">
        <f>D273-F273</f>
        <v>11.95121951219512</v>
      </c>
      <c r="I273" s="30"/>
      <c r="J273" s="1818"/>
      <c r="K273" s="24"/>
      <c r="L273" s="1583">
        <f>AVERAGE(L269:L272)</f>
        <v>312.375</v>
      </c>
      <c r="M273" s="24"/>
      <c r="N273" s="1581">
        <f>(L273/L266-1)*100</f>
        <v>14.423076923076916</v>
      </c>
      <c r="O273" s="30"/>
      <c r="P273" s="1589">
        <f>H273/N273*100</f>
        <v>82.861788617886205</v>
      </c>
      <c r="Q273" s="35"/>
      <c r="R273" s="24"/>
      <c r="S273" s="1590">
        <v>1500</v>
      </c>
      <c r="T273" s="1590">
        <f>S273-AQ273</f>
        <v>1500</v>
      </c>
      <c r="U273" s="1590"/>
      <c r="V273" s="24">
        <f>T273/L273</f>
        <v>4.8019207683073226</v>
      </c>
      <c r="W273" s="1586">
        <f>S273/L273</f>
        <v>4.8019207683073226</v>
      </c>
      <c r="X273" s="24">
        <f>(V273/V266-1)*100</f>
        <v>6.579217052674724</v>
      </c>
      <c r="Y273" s="1587">
        <f>(W273/W266-1)*100</f>
        <v>6.579217052674724</v>
      </c>
      <c r="Z273" s="30"/>
      <c r="AA273" s="1816"/>
      <c r="AB273" s="24"/>
      <c r="AC273" s="1588">
        <f>AVERAGE(AC269:AC272)</f>
        <v>2.2445000000000004</v>
      </c>
      <c r="AD273" s="1588"/>
      <c r="AE273" s="24">
        <f t="shared" si="177"/>
        <v>0.21727340519286842</v>
      </c>
      <c r="AF273" s="1581"/>
      <c r="AG273" s="30"/>
      <c r="AH273" s="1589">
        <f>+H273/AE273</f>
        <v>55.00544119325744</v>
      </c>
      <c r="AI273" s="35"/>
      <c r="AJ273" s="1590">
        <f>T273</f>
        <v>1500</v>
      </c>
      <c r="AK273" s="1590">
        <f>S273</f>
        <v>1500</v>
      </c>
      <c r="AL273" s="1586">
        <f>AJ273/AC273</f>
        <v>668.30028959679203</v>
      </c>
      <c r="AM273" s="1591"/>
      <c r="AN273" s="24"/>
      <c r="AO273" s="1587"/>
      <c r="AP273" s="30"/>
      <c r="AR273" s="798"/>
      <c r="AS273" s="798"/>
    </row>
    <row r="274" spans="1:45" hidden="1" outlineLevel="2">
      <c r="A274" s="24"/>
      <c r="B274" s="29"/>
      <c r="C274" s="24"/>
      <c r="D274" s="24"/>
      <c r="E274" s="30"/>
      <c r="F274" s="1816"/>
      <c r="G274" s="30"/>
      <c r="H274" s="24"/>
      <c r="I274" s="30"/>
      <c r="J274" s="1818"/>
      <c r="K274" s="24"/>
      <c r="L274" s="24"/>
      <c r="M274" s="24"/>
      <c r="N274" s="24"/>
      <c r="O274" s="30"/>
      <c r="P274" s="35"/>
      <c r="Q274" s="35"/>
      <c r="R274" s="24"/>
      <c r="S274" s="24"/>
      <c r="T274" s="24"/>
      <c r="U274" s="24"/>
      <c r="V274" s="24"/>
      <c r="W274" s="24"/>
      <c r="X274" s="24"/>
      <c r="Y274" s="24"/>
      <c r="Z274" s="30"/>
      <c r="AA274" s="1816"/>
      <c r="AB274" s="24"/>
      <c r="AC274" s="24"/>
      <c r="AD274" s="24"/>
      <c r="AE274" s="24"/>
      <c r="AF274" s="24"/>
      <c r="AG274" s="30"/>
      <c r="AH274" s="35"/>
      <c r="AI274" s="35"/>
      <c r="AJ274" s="24"/>
      <c r="AK274" s="24"/>
      <c r="AL274" s="24"/>
      <c r="AM274" s="24"/>
      <c r="AN274" s="24"/>
      <c r="AO274" s="24"/>
      <c r="AP274" s="30"/>
      <c r="AR274" s="798"/>
      <c r="AS274" s="798"/>
    </row>
    <row r="275" spans="1:45" hidden="1" outlineLevel="2">
      <c r="A275" s="1579"/>
      <c r="B275" s="1908">
        <f>B268+1</f>
        <v>2000</v>
      </c>
      <c r="C275" s="24"/>
      <c r="D275" s="24"/>
      <c r="E275" s="30"/>
      <c r="F275" s="1816"/>
      <c r="G275" s="30"/>
      <c r="H275" s="24"/>
      <c r="I275" s="30"/>
      <c r="J275" s="1818"/>
      <c r="K275" s="24"/>
      <c r="L275" s="24"/>
      <c r="M275" s="24"/>
      <c r="N275" s="24"/>
      <c r="O275" s="30"/>
      <c r="P275" s="35"/>
      <c r="Q275" s="35"/>
      <c r="R275" s="24"/>
      <c r="S275" s="24"/>
      <c r="T275" s="24"/>
      <c r="U275" s="24"/>
      <c r="V275" s="24"/>
      <c r="W275" s="24"/>
      <c r="X275" s="24"/>
      <c r="Y275" s="24"/>
      <c r="Z275" s="30"/>
      <c r="AA275" s="1816"/>
      <c r="AB275" s="24"/>
      <c r="AC275" s="24"/>
      <c r="AD275" s="24"/>
      <c r="AE275" s="24"/>
      <c r="AF275" s="24"/>
      <c r="AG275" s="30"/>
      <c r="AH275" s="35"/>
      <c r="AI275" s="35"/>
      <c r="AJ275" s="24"/>
      <c r="AK275" s="24"/>
      <c r="AL275" s="24"/>
      <c r="AM275" s="24"/>
      <c r="AN275" s="24"/>
      <c r="AO275" s="24"/>
      <c r="AP275" s="30"/>
      <c r="AR275" s="798"/>
      <c r="AS275" s="798"/>
    </row>
    <row r="276" spans="1:45" hidden="1" outlineLevel="2">
      <c r="A276" s="24" t="str">
        <f>$A$27</f>
        <v>1Q</v>
      </c>
      <c r="B276" s="29" t="str">
        <f>$B$27</f>
        <v>Apr</v>
      </c>
      <c r="C276" s="24"/>
      <c r="D276" s="1581"/>
      <c r="E276" s="30" t="s">
        <v>489</v>
      </c>
      <c r="F276" s="1914">
        <v>5</v>
      </c>
      <c r="G276" s="30" t="s">
        <v>489</v>
      </c>
      <c r="H276" s="1581">
        <f>D276-F276</f>
        <v>-5</v>
      </c>
      <c r="I276" s="30" t="s">
        <v>489</v>
      </c>
      <c r="J276" s="1818">
        <v>354</v>
      </c>
      <c r="K276" s="24" t="s">
        <v>31</v>
      </c>
      <c r="L276" s="1583">
        <f>AVERAGE(J276,J272)</f>
        <v>349.5</v>
      </c>
      <c r="M276" s="24"/>
      <c r="N276" s="1581">
        <f>(L276/L269-1)*100</f>
        <v>19.080068143100505</v>
      </c>
      <c r="O276" s="30" t="s">
        <v>489</v>
      </c>
      <c r="P276" s="1589">
        <f>H276/N276*100</f>
        <v>-26.205357142857149</v>
      </c>
      <c r="Q276" s="35" t="s">
        <v>489</v>
      </c>
      <c r="R276" s="24"/>
      <c r="S276" s="1916">
        <v>373</v>
      </c>
      <c r="T276" s="1916">
        <f t="shared" ref="T276:T280" si="179">S276-AQ276</f>
        <v>373</v>
      </c>
      <c r="U276" s="1916"/>
      <c r="V276" s="24">
        <f t="shared" ref="V276:V279" si="180">T276/L276</f>
        <v>1.0672389127324751</v>
      </c>
      <c r="W276" s="1586">
        <f t="shared" ref="W276:W279" si="181">S276/L276</f>
        <v>1.0672389127324751</v>
      </c>
      <c r="X276" s="24"/>
      <c r="Y276" s="1587"/>
      <c r="Z276" s="30" t="s">
        <v>489</v>
      </c>
      <c r="AA276" s="1816">
        <v>2.7</v>
      </c>
      <c r="AB276" s="1597"/>
      <c r="AC276" s="1588">
        <f>AVERAGE(AA276,AA272)</f>
        <v>2.6500000000000004</v>
      </c>
      <c r="AD276" s="1588"/>
      <c r="AE276" s="24">
        <f t="shared" ref="AE276:AE280" si="182">AC276/AC269-1</f>
        <v>0.28797083839611193</v>
      </c>
      <c r="AF276" s="1581"/>
      <c r="AG276" s="30" t="s">
        <v>489</v>
      </c>
      <c r="AH276" s="1589">
        <f>+H276/AE276</f>
        <v>-17.362869198312229</v>
      </c>
      <c r="AI276" s="35" t="s">
        <v>489</v>
      </c>
      <c r="AJ276" s="1590">
        <f>T276</f>
        <v>373</v>
      </c>
      <c r="AK276" s="1590">
        <f>S276</f>
        <v>373</v>
      </c>
      <c r="AL276" s="1586">
        <f t="shared" ref="AL276:AL280" si="183">AJ276/AC276</f>
        <v>140.75471698113205</v>
      </c>
      <c r="AM276" s="1591"/>
      <c r="AN276" s="24"/>
      <c r="AO276" s="1587"/>
      <c r="AP276" s="30" t="s">
        <v>489</v>
      </c>
      <c r="AR276" s="798"/>
      <c r="AS276" s="1"/>
    </row>
    <row r="277" spans="1:45" hidden="1" outlineLevel="2">
      <c r="A277" s="24" t="str">
        <f>$A$28</f>
        <v>2Q</v>
      </c>
      <c r="B277" s="29" t="str">
        <f>$B$28</f>
        <v>Jul</v>
      </c>
      <c r="C277" s="24"/>
      <c r="D277" s="1581"/>
      <c r="E277" s="24"/>
      <c r="F277" s="1914">
        <v>0</v>
      </c>
      <c r="G277" s="24"/>
      <c r="H277" s="1581">
        <f>D277-F277</f>
        <v>0</v>
      </c>
      <c r="I277" s="24"/>
      <c r="J277" s="1818">
        <v>365</v>
      </c>
      <c r="K277" s="1913"/>
      <c r="L277" s="1583">
        <f>AVERAGE(J277,J276)</f>
        <v>359.5</v>
      </c>
      <c r="M277" s="24"/>
      <c r="N277" s="1581">
        <f>(L277/L270-1)*100</f>
        <v>19.435215946843854</v>
      </c>
      <c r="O277" s="30"/>
      <c r="P277" s="1589">
        <f>H277/N277*100</f>
        <v>0</v>
      </c>
      <c r="Q277" s="35"/>
      <c r="R277" s="24"/>
      <c r="S277" s="1917">
        <v>419</v>
      </c>
      <c r="T277" s="1917">
        <f t="shared" si="179"/>
        <v>419</v>
      </c>
      <c r="U277" s="1917"/>
      <c r="V277" s="24">
        <f t="shared" si="180"/>
        <v>1.1655076495132128</v>
      </c>
      <c r="W277" s="1602">
        <f t="shared" si="181"/>
        <v>1.1655076495132128</v>
      </c>
      <c r="X277" s="24"/>
      <c r="Y277" s="1587"/>
      <c r="Z277" s="30"/>
      <c r="AA277" s="1816">
        <v>2.8</v>
      </c>
      <c r="AB277" s="1597"/>
      <c r="AC277" s="1588">
        <f>AVERAGE(AA277,AA276)</f>
        <v>2.75</v>
      </c>
      <c r="AD277" s="1588"/>
      <c r="AE277" s="24">
        <f t="shared" si="182"/>
        <v>0.28986866791744825</v>
      </c>
      <c r="AF277" s="1581"/>
      <c r="AG277" s="30"/>
      <c r="AH277" s="1589">
        <f>+H277/AE277</f>
        <v>0</v>
      </c>
      <c r="AI277" s="35"/>
      <c r="AJ277" s="1590">
        <f>T277</f>
        <v>419</v>
      </c>
      <c r="AK277" s="1590">
        <f>S277</f>
        <v>419</v>
      </c>
      <c r="AL277" s="1586">
        <f t="shared" si="183"/>
        <v>152.36363636363637</v>
      </c>
      <c r="AM277" s="1591"/>
      <c r="AN277" s="24"/>
      <c r="AO277" s="1587"/>
      <c r="AP277" s="30"/>
    </row>
    <row r="278" spans="1:45" hidden="1" outlineLevel="2">
      <c r="A278" s="24" t="str">
        <f>$A$29</f>
        <v>3Q</v>
      </c>
      <c r="B278" s="29" t="str">
        <f>$B$29</f>
        <v>Oct</v>
      </c>
      <c r="C278" s="24"/>
      <c r="D278" s="1581"/>
      <c r="E278" s="24"/>
      <c r="F278" s="1914">
        <v>-2</v>
      </c>
      <c r="G278" s="24"/>
      <c r="H278" s="1581">
        <f>D278-F278</f>
        <v>2</v>
      </c>
      <c r="I278" s="24"/>
      <c r="J278" s="1818">
        <v>389</v>
      </c>
      <c r="K278" s="1913"/>
      <c r="L278" s="1583">
        <f>AVERAGE(J278,J277)</f>
        <v>377</v>
      </c>
      <c r="M278" s="24"/>
      <c r="N278" s="1581">
        <f>(L278/L271-1)*100</f>
        <v>18.553459119496864</v>
      </c>
      <c r="O278" s="30"/>
      <c r="P278" s="1589">
        <f>H278/N278*100</f>
        <v>10.779661016949147</v>
      </c>
      <c r="Q278" s="35"/>
      <c r="R278" s="24"/>
      <c r="S278" s="1917">
        <v>439</v>
      </c>
      <c r="T278" s="1917">
        <f t="shared" si="179"/>
        <v>439</v>
      </c>
      <c r="U278" s="1917"/>
      <c r="V278" s="24">
        <f t="shared" si="180"/>
        <v>1.1644562334217508</v>
      </c>
      <c r="W278" s="1602">
        <f t="shared" si="181"/>
        <v>1.1644562334217508</v>
      </c>
      <c r="X278" s="24"/>
      <c r="Y278" s="1587"/>
      <c r="Z278" s="30"/>
      <c r="AA278" s="1816">
        <v>3.1</v>
      </c>
      <c r="AB278" s="1597"/>
      <c r="AC278" s="1588">
        <f t="shared" ref="AC278:AC279" si="184">AVERAGE(AA278,AA277)</f>
        <v>2.95</v>
      </c>
      <c r="AD278" s="1588"/>
      <c r="AE278" s="24">
        <f t="shared" si="182"/>
        <v>0.28905396547957185</v>
      </c>
      <c r="AF278" s="1581"/>
      <c r="AG278" s="30"/>
      <c r="AH278" s="1589">
        <f>+H278/AE278</f>
        <v>6.9191232048374891</v>
      </c>
      <c r="AI278" s="35"/>
      <c r="AJ278" s="1590">
        <f>T278</f>
        <v>439</v>
      </c>
      <c r="AK278" s="1590">
        <f>S278</f>
        <v>439</v>
      </c>
      <c r="AL278" s="1586">
        <f t="shared" si="183"/>
        <v>148.81355932203388</v>
      </c>
      <c r="AM278" s="1591"/>
      <c r="AN278" s="24"/>
      <c r="AO278" s="1587"/>
      <c r="AP278" s="30"/>
      <c r="AR278" s="1"/>
      <c r="AS278" s="1"/>
    </row>
    <row r="279" spans="1:45" hidden="1" outlineLevel="2">
      <c r="A279" s="24" t="str">
        <f>$A$30</f>
        <v>4Q</v>
      </c>
      <c r="B279" s="29" t="str">
        <f>$B$30</f>
        <v>Jan</v>
      </c>
      <c r="C279" s="24"/>
      <c r="D279" s="1606"/>
      <c r="E279" s="24"/>
      <c r="F279" s="1915">
        <v>-5</v>
      </c>
      <c r="G279" s="24"/>
      <c r="H279" s="1606">
        <f>D279-F279</f>
        <v>5</v>
      </c>
      <c r="I279" s="24"/>
      <c r="J279" s="1818">
        <v>402</v>
      </c>
      <c r="K279" s="1913"/>
      <c r="L279" s="1608">
        <f>AVERAGE(J279,J278)</f>
        <v>395.5</v>
      </c>
      <c r="M279" s="24"/>
      <c r="N279" s="1606">
        <f>(L279/L272-1)*100</f>
        <v>17.359050445103861</v>
      </c>
      <c r="O279" s="30"/>
      <c r="P279" s="1608">
        <f>H279/N279*100</f>
        <v>28.803418803418797</v>
      </c>
      <c r="Q279" s="35"/>
      <c r="R279" s="24"/>
      <c r="S279" s="1918">
        <v>598</v>
      </c>
      <c r="T279" s="1918">
        <f t="shared" si="179"/>
        <v>598</v>
      </c>
      <c r="U279" s="1919"/>
      <c r="V279" s="24">
        <f t="shared" si="180"/>
        <v>1.5120101137800253</v>
      </c>
      <c r="W279" s="1611">
        <f t="shared" si="181"/>
        <v>1.5120101137800253</v>
      </c>
      <c r="X279" s="24"/>
      <c r="Y279" s="1612"/>
      <c r="Z279" s="30"/>
      <c r="AA279" s="1816">
        <v>3.2</v>
      </c>
      <c r="AB279" s="1597"/>
      <c r="AC279" s="1588">
        <f t="shared" si="184"/>
        <v>3.1500000000000004</v>
      </c>
      <c r="AD279" s="1613"/>
      <c r="AE279" s="24">
        <f t="shared" si="182"/>
        <v>0.26000000000000023</v>
      </c>
      <c r="AF279" s="1606"/>
      <c r="AG279" s="30"/>
      <c r="AH279" s="1608">
        <f>+H279/AE279</f>
        <v>19.230769230769212</v>
      </c>
      <c r="AI279" s="35"/>
      <c r="AJ279" s="1590">
        <f>T279</f>
        <v>598</v>
      </c>
      <c r="AK279" s="1590">
        <f>S279</f>
        <v>598</v>
      </c>
      <c r="AL279" s="1586">
        <f t="shared" si="183"/>
        <v>189.84126984126982</v>
      </c>
      <c r="AM279" s="1591"/>
      <c r="AN279" s="24"/>
      <c r="AO279" s="1612"/>
      <c r="AP279" s="30"/>
      <c r="AR279" s="798"/>
      <c r="AS279" s="798"/>
    </row>
    <row r="280" spans="1:45" hidden="1" outlineLevel="2">
      <c r="A280" s="24"/>
      <c r="B280" s="29" t="str">
        <f>$B$31</f>
        <v>Year</v>
      </c>
      <c r="C280" s="24"/>
      <c r="D280" s="1581">
        <f>(S280/S273-1)*100</f>
        <v>21.933333333333337</v>
      </c>
      <c r="E280" s="24"/>
      <c r="F280" s="1920">
        <v>-2</v>
      </c>
      <c r="G280" s="24"/>
      <c r="H280" s="1581">
        <f>D280-F280</f>
        <v>23.933333333333337</v>
      </c>
      <c r="I280" s="24"/>
      <c r="J280" s="1818"/>
      <c r="K280" s="24"/>
      <c r="L280" s="1583">
        <f>AVERAGE(L276:L279)</f>
        <v>370.375</v>
      </c>
      <c r="M280" s="24"/>
      <c r="N280" s="1581">
        <f>(L280/L273-1)*100</f>
        <v>18.567426970788325</v>
      </c>
      <c r="O280" s="30"/>
      <c r="P280" s="1589">
        <f>H280/N280*100</f>
        <v>128.8995689655172</v>
      </c>
      <c r="Q280" s="35"/>
      <c r="R280" s="24"/>
      <c r="S280" s="1590">
        <v>1829</v>
      </c>
      <c r="T280" s="1590">
        <f t="shared" si="179"/>
        <v>1829</v>
      </c>
      <c r="U280" s="1590"/>
      <c r="V280" s="24">
        <f>T280/L280</f>
        <v>4.9382382720216</v>
      </c>
      <c r="W280" s="1586">
        <f>S280/L280</f>
        <v>4.9382382720216</v>
      </c>
      <c r="X280" s="24">
        <f>(V280/V273-1)*100</f>
        <v>2.8388120148498341</v>
      </c>
      <c r="Y280" s="1587">
        <f>(W280/W273-1)*100</f>
        <v>2.8388120148498341</v>
      </c>
      <c r="Z280" s="30"/>
      <c r="AA280" s="1816"/>
      <c r="AB280" s="24"/>
      <c r="AC280" s="1588">
        <f>AVERAGE(AC276:AC279)</f>
        <v>2.8750000000000004</v>
      </c>
      <c r="AD280" s="1588"/>
      <c r="AE280" s="24">
        <f t="shared" si="182"/>
        <v>0.28090888839385153</v>
      </c>
      <c r="AF280" s="1581"/>
      <c r="AG280" s="30"/>
      <c r="AH280" s="1589">
        <f>+H280/AE280</f>
        <v>85.199629923341305</v>
      </c>
      <c r="AI280" s="35"/>
      <c r="AJ280" s="1590">
        <f>T280</f>
        <v>1829</v>
      </c>
      <c r="AK280" s="1590">
        <f>S280</f>
        <v>1829</v>
      </c>
      <c r="AL280" s="1586">
        <f t="shared" si="183"/>
        <v>636.17391304347814</v>
      </c>
      <c r="AM280" s="1591"/>
      <c r="AN280" s="24"/>
      <c r="AO280" s="1587"/>
      <c r="AP280" s="30"/>
      <c r="AR280" s="798"/>
      <c r="AS280" s="798"/>
    </row>
    <row r="281" spans="1:45" hidden="1" outlineLevel="2">
      <c r="A281" s="24"/>
      <c r="B281" s="29"/>
      <c r="C281" s="24"/>
      <c r="D281" s="24"/>
      <c r="E281" s="24"/>
      <c r="F281" s="1816"/>
      <c r="G281" s="24"/>
      <c r="H281" s="24"/>
      <c r="I281" s="24"/>
      <c r="J281" s="1818"/>
      <c r="K281" s="24"/>
      <c r="L281" s="24"/>
      <c r="M281" s="24"/>
      <c r="N281" s="24"/>
      <c r="O281" s="30"/>
      <c r="P281" s="35"/>
      <c r="Q281" s="35"/>
      <c r="R281" s="24"/>
      <c r="S281" s="24"/>
      <c r="T281" s="24"/>
      <c r="U281" s="24"/>
      <c r="V281" s="24"/>
      <c r="W281" s="24"/>
      <c r="X281" s="24"/>
      <c r="Y281" s="24"/>
      <c r="Z281" s="30"/>
      <c r="AA281" s="1816"/>
      <c r="AB281" s="24"/>
      <c r="AC281" s="24"/>
      <c r="AD281" s="24"/>
      <c r="AE281" s="24"/>
      <c r="AF281" s="24"/>
      <c r="AG281" s="30"/>
      <c r="AH281" s="35"/>
      <c r="AI281" s="35"/>
      <c r="AJ281" s="24"/>
      <c r="AK281" s="24"/>
      <c r="AL281" s="24"/>
      <c r="AM281" s="24"/>
      <c r="AN281" s="24"/>
      <c r="AO281" s="24"/>
      <c r="AP281" s="24"/>
      <c r="AR281" s="798"/>
      <c r="AS281" s="798"/>
    </row>
    <row r="282" spans="1:45" hidden="1" outlineLevel="2">
      <c r="A282" s="1579"/>
      <c r="B282" s="1908">
        <f>B275+1</f>
        <v>2001</v>
      </c>
      <c r="C282" s="24"/>
      <c r="D282" s="24"/>
      <c r="E282" s="30"/>
      <c r="F282" s="1816"/>
      <c r="G282" s="30"/>
      <c r="H282" s="24"/>
      <c r="I282" s="30"/>
      <c r="J282" s="1818"/>
      <c r="K282" s="24"/>
      <c r="L282" s="24"/>
      <c r="M282" s="24"/>
      <c r="N282" s="24"/>
      <c r="O282" s="30"/>
      <c r="P282" s="35"/>
      <c r="Q282" s="35"/>
      <c r="R282" s="24"/>
      <c r="S282" s="24"/>
      <c r="T282" s="24"/>
      <c r="U282" s="24"/>
      <c r="V282" s="24"/>
      <c r="W282" s="24"/>
      <c r="X282" s="24"/>
      <c r="Y282" s="24"/>
      <c r="Z282" s="30"/>
      <c r="AA282" s="1816"/>
      <c r="AB282" s="24"/>
      <c r="AC282" s="24"/>
      <c r="AD282" s="24"/>
      <c r="AE282" s="24"/>
      <c r="AF282" s="24"/>
      <c r="AG282" s="30"/>
      <c r="AH282" s="35"/>
      <c r="AI282" s="35"/>
      <c r="AJ282" s="24"/>
      <c r="AK282" s="24"/>
      <c r="AL282" s="24"/>
      <c r="AM282" s="24"/>
      <c r="AN282" s="24"/>
      <c r="AO282" s="24"/>
      <c r="AP282" s="30"/>
      <c r="AR282" s="798"/>
      <c r="AS282" s="798"/>
    </row>
    <row r="283" spans="1:45" hidden="1" outlineLevel="2">
      <c r="A283" s="24" t="str">
        <f>$A$27</f>
        <v>1Q</v>
      </c>
      <c r="B283" s="29" t="str">
        <f>$B$27</f>
        <v>Apr</v>
      </c>
      <c r="C283" s="24"/>
      <c r="D283" s="1581">
        <f>(S283/S276-1)*100</f>
        <v>9.919571045576415</v>
      </c>
      <c r="E283" s="30" t="s">
        <v>489</v>
      </c>
      <c r="F283" s="1914">
        <v>-8</v>
      </c>
      <c r="G283" s="30" t="s">
        <v>489</v>
      </c>
      <c r="H283" s="1581">
        <f>D283-F283</f>
        <v>17.919571045576415</v>
      </c>
      <c r="I283" s="30" t="s">
        <v>489</v>
      </c>
      <c r="J283" s="1818">
        <v>415</v>
      </c>
      <c r="K283" s="24" t="s">
        <v>31</v>
      </c>
      <c r="L283" s="1583">
        <f>AVERAGE(J283,J279)</f>
        <v>408.5</v>
      </c>
      <c r="M283" s="24"/>
      <c r="N283" s="1581">
        <f>(L283/L276-1)*100</f>
        <v>16.881258941344779</v>
      </c>
      <c r="O283" s="30" t="s">
        <v>489</v>
      </c>
      <c r="P283" s="1589">
        <f>H283/N283*100</f>
        <v>106.15067932930435</v>
      </c>
      <c r="Q283" s="35" t="s">
        <v>489</v>
      </c>
      <c r="R283" s="24"/>
      <c r="S283" s="1916">
        <v>410</v>
      </c>
      <c r="T283" s="1916">
        <f t="shared" ref="T283:T287" si="185">S283-AQ283</f>
        <v>410</v>
      </c>
      <c r="U283" s="1916"/>
      <c r="V283" s="24">
        <f>T283/L283</f>
        <v>1.003671970624235</v>
      </c>
      <c r="W283" s="1586">
        <f>S283/L283</f>
        <v>1.003671970624235</v>
      </c>
      <c r="X283" s="24">
        <f t="shared" ref="X283:Y287" si="186">(V283/V276-1)*100</f>
        <v>-5.956205433466466</v>
      </c>
      <c r="Y283" s="1587">
        <f t="shared" si="186"/>
        <v>-5.956205433466466</v>
      </c>
      <c r="Z283" s="30" t="s">
        <v>489</v>
      </c>
      <c r="AA283" s="1816">
        <v>3.3</v>
      </c>
      <c r="AB283" s="1597"/>
      <c r="AC283" s="1588">
        <f>AVERAGE(AA283,AA279)</f>
        <v>3.25</v>
      </c>
      <c r="AD283" s="1588"/>
      <c r="AE283" s="24">
        <f t="shared" ref="AE283:AE287" si="187">AC283/AC276-1</f>
        <v>0.22641509433962237</v>
      </c>
      <c r="AF283" s="1581"/>
      <c r="AG283" s="30" t="s">
        <v>489</v>
      </c>
      <c r="AH283" s="1589">
        <f>+H283/AE283</f>
        <v>79.144772117962589</v>
      </c>
      <c r="AI283" s="35" t="s">
        <v>489</v>
      </c>
      <c r="AJ283" s="1590">
        <f>T283</f>
        <v>410</v>
      </c>
      <c r="AK283" s="1590">
        <f>S283</f>
        <v>410</v>
      </c>
      <c r="AL283" s="1586">
        <f t="shared" ref="AL283:AL286" si="188">AJ283/AC283</f>
        <v>126.15384615384616</v>
      </c>
      <c r="AM283" s="1591"/>
      <c r="AN283" s="24"/>
      <c r="AO283" s="1587"/>
      <c r="AP283" s="30" t="s">
        <v>489</v>
      </c>
      <c r="AR283" s="798"/>
      <c r="AS283" s="1"/>
    </row>
    <row r="284" spans="1:45" hidden="1" outlineLevel="2">
      <c r="A284" s="24" t="str">
        <f>$A$28</f>
        <v>2Q</v>
      </c>
      <c r="B284" s="29" t="str">
        <f>$B$28</f>
        <v>Jul</v>
      </c>
      <c r="C284" s="24"/>
      <c r="D284" s="1581">
        <f>(S284/S277-1)*100</f>
        <v>10.50119331742243</v>
      </c>
      <c r="E284" s="24"/>
      <c r="F284" s="1914">
        <v>-4</v>
      </c>
      <c r="G284" s="24"/>
      <c r="H284" s="1581">
        <f>D284-F284</f>
        <v>14.50119331742243</v>
      </c>
      <c r="I284" s="24"/>
      <c r="J284" s="1818">
        <v>430</v>
      </c>
      <c r="K284" s="1913"/>
      <c r="L284" s="1583">
        <f>AVERAGE(J284,J283)</f>
        <v>422.5</v>
      </c>
      <c r="M284" s="24"/>
      <c r="N284" s="1581">
        <f>(L284/L277-1)*100</f>
        <v>17.52433936022253</v>
      </c>
      <c r="O284" s="30"/>
      <c r="P284" s="1589">
        <f>H284/N284*100</f>
        <v>82.748872977989905</v>
      </c>
      <c r="Q284" s="35"/>
      <c r="R284" s="24"/>
      <c r="S284" s="1917">
        <v>463</v>
      </c>
      <c r="T284" s="1917">
        <f t="shared" si="185"/>
        <v>463</v>
      </c>
      <c r="U284" s="1917"/>
      <c r="V284" s="24">
        <f>T284/L284</f>
        <v>1.0958579881656805</v>
      </c>
      <c r="W284" s="1586">
        <f>S284/L284</f>
        <v>1.0958579881656805</v>
      </c>
      <c r="X284" s="24">
        <f t="shared" si="186"/>
        <v>-5.97590769795654</v>
      </c>
      <c r="Y284" s="1587">
        <f t="shared" si="186"/>
        <v>-5.97590769795654</v>
      </c>
      <c r="Z284" s="30"/>
      <c r="AA284" s="1816">
        <v>3.5</v>
      </c>
      <c r="AB284" s="1597"/>
      <c r="AC284" s="1588">
        <f>AVERAGE(AA284,AA283)</f>
        <v>3.4</v>
      </c>
      <c r="AD284" s="1588"/>
      <c r="AE284" s="24">
        <f t="shared" si="187"/>
        <v>0.23636363636363633</v>
      </c>
      <c r="AF284" s="1581"/>
      <c r="AG284" s="30"/>
      <c r="AH284" s="1589">
        <f>+H284/AE284</f>
        <v>61.351202496787216</v>
      </c>
      <c r="AI284" s="35"/>
      <c r="AJ284" s="1590">
        <f>T284</f>
        <v>463</v>
      </c>
      <c r="AK284" s="1590">
        <f>S284</f>
        <v>463</v>
      </c>
      <c r="AL284" s="1586">
        <f t="shared" si="188"/>
        <v>136.1764705882353</v>
      </c>
      <c r="AM284" s="1604"/>
      <c r="AN284" s="24"/>
      <c r="AO284" s="1587"/>
      <c r="AP284" s="30"/>
      <c r="AR284" s="798"/>
      <c r="AS284" s="1"/>
    </row>
    <row r="285" spans="1:45" hidden="1" outlineLevel="2">
      <c r="A285" s="24" t="str">
        <f>$A$29</f>
        <v>3Q</v>
      </c>
      <c r="B285" s="29" t="str">
        <f>$B$29</f>
        <v>Oct</v>
      </c>
      <c r="C285" s="24"/>
      <c r="D285" s="1581">
        <f>(S285/S278-1)*100</f>
        <v>-2.277904328018221</v>
      </c>
      <c r="E285" s="24"/>
      <c r="F285" s="1914">
        <v>-13</v>
      </c>
      <c r="G285" s="24"/>
      <c r="H285" s="1581">
        <f>D285-F285</f>
        <v>10.72209567198178</v>
      </c>
      <c r="I285" s="24"/>
      <c r="J285" s="1818">
        <v>442</v>
      </c>
      <c r="K285" s="1913"/>
      <c r="L285" s="1583">
        <f>AVERAGE(J285,J284)</f>
        <v>436</v>
      </c>
      <c r="M285" s="24"/>
      <c r="N285" s="1581">
        <f>(L285/L278-1)*100</f>
        <v>15.649867374005311</v>
      </c>
      <c r="O285" s="30"/>
      <c r="P285" s="1589">
        <f>H285/N285*100</f>
        <v>68.512374039612368</v>
      </c>
      <c r="Q285" s="35"/>
      <c r="R285" s="24"/>
      <c r="S285" s="1917">
        <v>429</v>
      </c>
      <c r="T285" s="1917">
        <f t="shared" si="185"/>
        <v>429</v>
      </c>
      <c r="U285" s="1917"/>
      <c r="V285" s="24">
        <f>T285/L285</f>
        <v>0.98394495412844041</v>
      </c>
      <c r="W285" s="1586">
        <f>S285/L285</f>
        <v>0.98394495412844041</v>
      </c>
      <c r="X285" s="24">
        <f t="shared" si="186"/>
        <v>-15.501765898309339</v>
      </c>
      <c r="Y285" s="1587">
        <f t="shared" si="186"/>
        <v>-15.501765898309339</v>
      </c>
      <c r="Z285" s="30"/>
      <c r="AA285" s="1816">
        <v>3.55</v>
      </c>
      <c r="AB285" s="1597"/>
      <c r="AC285" s="1588">
        <f t="shared" ref="AC285:AC286" si="189">AVERAGE(AA285,AA284)</f>
        <v>3.5249999999999999</v>
      </c>
      <c r="AD285" s="1588"/>
      <c r="AE285" s="24">
        <f t="shared" si="187"/>
        <v>0.19491525423728806</v>
      </c>
      <c r="AF285" s="1581"/>
      <c r="AG285" s="30"/>
      <c r="AH285" s="1589">
        <f>+H285/AE285</f>
        <v>55.009012577993502</v>
      </c>
      <c r="AI285" s="35"/>
      <c r="AJ285" s="1590">
        <f>T285</f>
        <v>429</v>
      </c>
      <c r="AK285" s="1590">
        <f>S285</f>
        <v>429</v>
      </c>
      <c r="AL285" s="1586">
        <f t="shared" si="188"/>
        <v>121.70212765957447</v>
      </c>
      <c r="AM285" s="1604"/>
      <c r="AN285" s="24"/>
      <c r="AO285" s="1587"/>
      <c r="AP285" s="30"/>
      <c r="AR285" s="1"/>
      <c r="AS285" s="1"/>
    </row>
    <row r="286" spans="1:45" hidden="1" outlineLevel="2">
      <c r="A286" s="24" t="str">
        <f>$A$30</f>
        <v>4Q</v>
      </c>
      <c r="B286" s="29" t="str">
        <f>$B$30</f>
        <v>Jan</v>
      </c>
      <c r="C286" s="24"/>
      <c r="D286" s="1606">
        <f>(S286/S279-1)*100</f>
        <v>-5.3511705685618693</v>
      </c>
      <c r="E286" s="24"/>
      <c r="F286" s="1915">
        <v>-7</v>
      </c>
      <c r="G286" s="24"/>
      <c r="H286" s="1606">
        <f>D286-F286</f>
        <v>1.6488294314381307</v>
      </c>
      <c r="I286" s="24"/>
      <c r="J286" s="1818">
        <v>441</v>
      </c>
      <c r="K286" s="1913"/>
      <c r="L286" s="1608">
        <f>AVERAGE(J286,J285)</f>
        <v>441.5</v>
      </c>
      <c r="M286" s="24"/>
      <c r="N286" s="1606">
        <f>(L286/L279-1)*100</f>
        <v>11.630847029077106</v>
      </c>
      <c r="O286" s="30"/>
      <c r="P286" s="1608">
        <f>H286/N286*100</f>
        <v>14.176348698560462</v>
      </c>
      <c r="Q286" s="35"/>
      <c r="R286" s="24"/>
      <c r="S286" s="1918">
        <v>566</v>
      </c>
      <c r="T286" s="1918">
        <f t="shared" si="185"/>
        <v>566</v>
      </c>
      <c r="U286" s="1919"/>
      <c r="V286" s="24">
        <f>T286/L286</f>
        <v>1.2819932049830125</v>
      </c>
      <c r="W286" s="1586">
        <f>S286/L286</f>
        <v>1.2819932049830125</v>
      </c>
      <c r="X286" s="24">
        <f t="shared" si="186"/>
        <v>-15.212656760738884</v>
      </c>
      <c r="Y286" s="1587">
        <f t="shared" si="186"/>
        <v>-15.212656760738884</v>
      </c>
      <c r="Z286" s="30"/>
      <c r="AA286" s="1816">
        <v>3.6</v>
      </c>
      <c r="AB286" s="1597"/>
      <c r="AC286" s="1588">
        <f t="shared" si="189"/>
        <v>3.5750000000000002</v>
      </c>
      <c r="AD286" s="1613"/>
      <c r="AE286" s="24">
        <f t="shared" si="187"/>
        <v>0.13492063492063489</v>
      </c>
      <c r="AF286" s="1606"/>
      <c r="AG286" s="30"/>
      <c r="AH286" s="1608">
        <f>+H286/AE286</f>
        <v>12.220735785953208</v>
      </c>
      <c r="AI286" s="35"/>
      <c r="AJ286" s="1590">
        <f>T286</f>
        <v>566</v>
      </c>
      <c r="AK286" s="1590">
        <f>S286</f>
        <v>566</v>
      </c>
      <c r="AL286" s="1586">
        <f t="shared" si="188"/>
        <v>158.32167832167832</v>
      </c>
      <c r="AM286" s="1615"/>
      <c r="AN286" s="24"/>
      <c r="AO286" s="1612"/>
      <c r="AP286" s="30"/>
      <c r="AR286" s="798"/>
      <c r="AS286" s="798"/>
    </row>
    <row r="287" spans="1:45" hidden="1" outlineLevel="2">
      <c r="A287" s="24"/>
      <c r="B287" s="29" t="str">
        <f>$B$31</f>
        <v>Year</v>
      </c>
      <c r="C287" s="24"/>
      <c r="D287" s="1581">
        <f>(S287/S280-1)*100</f>
        <v>2.1323127392017582</v>
      </c>
      <c r="E287" s="24"/>
      <c r="F287" s="1920">
        <v>-8</v>
      </c>
      <c r="G287" s="24"/>
      <c r="H287" s="1581">
        <f>D287-F287</f>
        <v>10.132312739201758</v>
      </c>
      <c r="I287" s="24"/>
      <c r="J287" s="1818"/>
      <c r="K287" s="24"/>
      <c r="L287" s="1583">
        <f>AVERAGE(L283:L286)</f>
        <v>427.125</v>
      </c>
      <c r="M287" s="24"/>
      <c r="N287" s="1581">
        <f>(L287/L280-1)*100</f>
        <v>15.322308471144108</v>
      </c>
      <c r="O287" s="30"/>
      <c r="P287" s="1589">
        <f>H287/N287*100</f>
        <v>66.127847238446719</v>
      </c>
      <c r="Q287" s="35"/>
      <c r="R287" s="24"/>
      <c r="S287" s="1590">
        <v>1868</v>
      </c>
      <c r="T287" s="1590">
        <f t="shared" si="185"/>
        <v>1868</v>
      </c>
      <c r="U287" s="1590"/>
      <c r="V287" s="24">
        <f>T287/L287</f>
        <v>4.3734269827333918</v>
      </c>
      <c r="W287" s="1586">
        <f>S287/L287</f>
        <v>4.3734269827333918</v>
      </c>
      <c r="X287" s="24">
        <f t="shared" si="186"/>
        <v>-11.437505810285408</v>
      </c>
      <c r="Y287" s="1587">
        <f t="shared" si="186"/>
        <v>-11.437505810285408</v>
      </c>
      <c r="Z287" s="30"/>
      <c r="AA287" s="1816"/>
      <c r="AB287" s="24"/>
      <c r="AC287" s="1588">
        <f>AVERAGE(AC283:AC286)</f>
        <v>3.4375</v>
      </c>
      <c r="AD287" s="1588"/>
      <c r="AE287" s="24">
        <f t="shared" si="187"/>
        <v>0.19565217391304324</v>
      </c>
      <c r="AF287" s="1581"/>
      <c r="AG287" s="30"/>
      <c r="AH287" s="1589">
        <f>+H287/AE287</f>
        <v>51.787376222586829</v>
      </c>
      <c r="AI287" s="35"/>
      <c r="AJ287" s="1590">
        <f>T287</f>
        <v>1868</v>
      </c>
      <c r="AK287" s="1590">
        <f>S287</f>
        <v>1868</v>
      </c>
      <c r="AL287" s="1586">
        <f>AJ287/AC287</f>
        <v>543.41818181818178</v>
      </c>
      <c r="AM287" s="1591"/>
      <c r="AN287" s="24"/>
      <c r="AO287" s="1587"/>
      <c r="AP287" s="30"/>
      <c r="AR287" s="798"/>
      <c r="AS287" s="798"/>
    </row>
    <row r="288" spans="1:45" hidden="1" outlineLevel="2">
      <c r="A288" s="24"/>
      <c r="B288" s="29"/>
      <c r="C288" s="24"/>
      <c r="D288" s="24"/>
      <c r="E288" s="24"/>
      <c r="F288" s="1816"/>
      <c r="G288" s="24"/>
      <c r="H288" s="24"/>
      <c r="I288" s="24"/>
      <c r="J288" s="1818"/>
      <c r="K288" s="24"/>
      <c r="L288" s="24"/>
      <c r="M288" s="24"/>
      <c r="N288" s="24"/>
      <c r="O288" s="30"/>
      <c r="P288" s="24"/>
      <c r="Q288" s="24"/>
      <c r="R288" s="24"/>
      <c r="S288" s="24"/>
      <c r="T288" s="24"/>
      <c r="U288" s="24"/>
      <c r="V288" s="24"/>
      <c r="W288" s="24"/>
      <c r="X288" s="24"/>
      <c r="Y288" s="24"/>
      <c r="Z288" s="24"/>
      <c r="AA288" s="1816"/>
      <c r="AB288" s="24"/>
      <c r="AC288" s="24"/>
      <c r="AD288" s="24"/>
      <c r="AE288" s="24"/>
      <c r="AF288" s="24"/>
      <c r="AG288" s="30"/>
      <c r="AH288" s="24"/>
      <c r="AI288" s="24"/>
      <c r="AJ288" s="24"/>
      <c r="AK288" s="24"/>
      <c r="AL288" s="24"/>
      <c r="AM288" s="24"/>
      <c r="AN288" s="24"/>
      <c r="AO288" s="24"/>
      <c r="AP288" s="24"/>
      <c r="AR288" s="798"/>
      <c r="AS288" s="798"/>
    </row>
    <row r="289" spans="1:45" hidden="1" outlineLevel="2">
      <c r="A289" s="1579"/>
      <c r="B289" s="1908">
        <v>2002</v>
      </c>
      <c r="C289" s="24"/>
      <c r="D289" s="24"/>
      <c r="E289" s="30"/>
      <c r="F289" s="1816"/>
      <c r="G289" s="30"/>
      <c r="H289" s="24"/>
      <c r="I289" s="30"/>
      <c r="J289" s="1818"/>
      <c r="K289" s="24"/>
      <c r="L289" s="24"/>
      <c r="M289" s="24"/>
      <c r="N289" s="24"/>
      <c r="O289" s="30"/>
      <c r="P289" s="35"/>
      <c r="Q289" s="35"/>
      <c r="R289" s="24"/>
      <c r="S289" s="24"/>
      <c r="T289" s="24"/>
      <c r="U289" s="24"/>
      <c r="V289" s="24"/>
      <c r="W289" s="24"/>
      <c r="X289" s="24"/>
      <c r="Y289" s="24"/>
      <c r="Z289" s="30"/>
      <c r="AA289" s="1816"/>
      <c r="AB289" s="24"/>
      <c r="AC289" s="24"/>
      <c r="AD289" s="24"/>
      <c r="AE289" s="24"/>
      <c r="AF289" s="24"/>
      <c r="AG289" s="30"/>
      <c r="AH289" s="35"/>
      <c r="AI289" s="35"/>
      <c r="AJ289" s="24"/>
      <c r="AK289" s="24"/>
      <c r="AL289" s="24"/>
      <c r="AM289" s="24"/>
      <c r="AN289" s="24"/>
      <c r="AO289" s="24"/>
      <c r="AP289" s="30"/>
      <c r="AR289" s="798"/>
      <c r="AS289" s="798"/>
    </row>
    <row r="290" spans="1:45" hidden="1" outlineLevel="2">
      <c r="A290" s="24" t="str">
        <f>$A$27</f>
        <v>1Q</v>
      </c>
      <c r="B290" s="29" t="str">
        <f>$B$27</f>
        <v>Apr</v>
      </c>
      <c r="C290" s="24"/>
      <c r="D290" s="1581">
        <f>(S290/S283-1)*100</f>
        <v>-3.0487804878048808</v>
      </c>
      <c r="E290" s="30" t="s">
        <v>489</v>
      </c>
      <c r="F290" s="1921">
        <v>-9</v>
      </c>
      <c r="G290" s="30" t="s">
        <v>489</v>
      </c>
      <c r="H290" s="1581">
        <f>D290-F290</f>
        <v>5.9512195121951192</v>
      </c>
      <c r="I290" s="30" t="s">
        <v>489</v>
      </c>
      <c r="J290" s="1818">
        <v>441</v>
      </c>
      <c r="K290" s="24" t="s">
        <v>31</v>
      </c>
      <c r="L290" s="1583">
        <f>AVERAGE(J290,J286)</f>
        <v>441</v>
      </c>
      <c r="M290" s="24"/>
      <c r="N290" s="1581">
        <f>(L290/L283-1)*100</f>
        <v>7.9559363525091742</v>
      </c>
      <c r="O290" s="30" t="s">
        <v>489</v>
      </c>
      <c r="P290" s="1589">
        <f>H290/N290*100</f>
        <v>74.802251407129475</v>
      </c>
      <c r="Q290" s="35" t="s">
        <v>489</v>
      </c>
      <c r="R290" s="24"/>
      <c r="S290" s="1916">
        <v>397.5</v>
      </c>
      <c r="T290" s="1916">
        <f t="shared" ref="T290:T294" si="190">S290-AQ290</f>
        <v>397.5</v>
      </c>
      <c r="U290" s="1916"/>
      <c r="V290" s="24">
        <f>T290/L290</f>
        <v>0.90136054421768708</v>
      </c>
      <c r="W290" s="1586">
        <f>S290/L290</f>
        <v>0.90136054421768708</v>
      </c>
      <c r="X290" s="24">
        <f t="shared" ref="X290:Y294" si="191">(V290/V283-1)*100</f>
        <v>-10.193711630993862</v>
      </c>
      <c r="Y290" s="1587">
        <f t="shared" si="191"/>
        <v>-10.193711630993862</v>
      </c>
      <c r="Z290" s="30" t="s">
        <v>489</v>
      </c>
      <c r="AA290" s="1816">
        <v>3.65</v>
      </c>
      <c r="AB290" s="1597"/>
      <c r="AC290" s="1588">
        <f>AVERAGE(AA290,AA286)</f>
        <v>3.625</v>
      </c>
      <c r="AD290" s="1588"/>
      <c r="AE290" s="24">
        <f t="shared" ref="AE290:AE294" si="192">AC290/AC283-1</f>
        <v>0.11538461538461542</v>
      </c>
      <c r="AF290" s="1581"/>
      <c r="AG290" s="30" t="s">
        <v>489</v>
      </c>
      <c r="AH290" s="1589">
        <f>+H290/AE290</f>
        <v>51.577235772357682</v>
      </c>
      <c r="AI290" s="35" t="s">
        <v>489</v>
      </c>
      <c r="AJ290" s="1590">
        <f>T290</f>
        <v>397.5</v>
      </c>
      <c r="AK290" s="1590">
        <f>S290</f>
        <v>397.5</v>
      </c>
      <c r="AL290" s="1586">
        <f t="shared" ref="AL290:AL293" si="193">AJ290/AC290</f>
        <v>109.65517241379311</v>
      </c>
      <c r="AM290" s="1591"/>
      <c r="AN290" s="24"/>
      <c r="AO290" s="1587"/>
      <c r="AP290" s="30" t="s">
        <v>489</v>
      </c>
      <c r="AR290" s="798"/>
      <c r="AS290" s="1"/>
    </row>
    <row r="291" spans="1:45" hidden="1" outlineLevel="2">
      <c r="A291" s="24" t="str">
        <f>$A$28</f>
        <v>2Q</v>
      </c>
      <c r="B291" s="29" t="str">
        <f>$B$28</f>
        <v>Jul</v>
      </c>
      <c r="C291" s="24"/>
      <c r="D291" s="1581">
        <f>(S291/S284-1)*100</f>
        <v>0.32397408207343048</v>
      </c>
      <c r="E291" s="24"/>
      <c r="F291" s="1921">
        <v>-4</v>
      </c>
      <c r="G291" s="24"/>
      <c r="H291" s="1581">
        <f>D291-F291</f>
        <v>4.3239740820734305</v>
      </c>
      <c r="I291" s="24"/>
      <c r="J291" s="1818">
        <v>440</v>
      </c>
      <c r="K291" s="24"/>
      <c r="L291" s="1583">
        <f>AVERAGE(J291,J290)</f>
        <v>440.5</v>
      </c>
      <c r="M291" s="24"/>
      <c r="N291" s="1581">
        <f>(L291/L284-1)*100</f>
        <v>4.2603550295857939</v>
      </c>
      <c r="O291" s="30"/>
      <c r="P291" s="1589">
        <f>H291/N291*100</f>
        <v>101.49328053755701</v>
      </c>
      <c r="Q291" s="35"/>
      <c r="R291" s="24"/>
      <c r="S291" s="1917">
        <v>464.5</v>
      </c>
      <c r="T291" s="1917">
        <f t="shared" si="190"/>
        <v>464.5</v>
      </c>
      <c r="U291" s="1917"/>
      <c r="V291" s="24">
        <f>T291/L291</f>
        <v>1.054483541430193</v>
      </c>
      <c r="W291" s="1586">
        <f>S291/L291</f>
        <v>1.054483541430193</v>
      </c>
      <c r="X291" s="24">
        <f t="shared" si="191"/>
        <v>-3.7755299666832554</v>
      </c>
      <c r="Y291" s="1587">
        <f t="shared" si="191"/>
        <v>-3.7755299666832554</v>
      </c>
      <c r="Z291" s="30"/>
      <c r="AA291" s="1816">
        <v>3.65</v>
      </c>
      <c r="AB291" s="1597"/>
      <c r="AC291" s="1588">
        <f>AVERAGE(AA291,AA290)</f>
        <v>3.65</v>
      </c>
      <c r="AD291" s="1588"/>
      <c r="AE291" s="24">
        <f t="shared" si="192"/>
        <v>7.3529411764705843E-2</v>
      </c>
      <c r="AF291" s="1581"/>
      <c r="AG291" s="30"/>
      <c r="AH291" s="1589">
        <f>+H291/AE291</f>
        <v>58.806047516198689</v>
      </c>
      <c r="AI291" s="35"/>
      <c r="AJ291" s="1590">
        <f>T291</f>
        <v>464.5</v>
      </c>
      <c r="AK291" s="1590">
        <f>S291</f>
        <v>464.5</v>
      </c>
      <c r="AL291" s="1586">
        <f t="shared" si="193"/>
        <v>127.26027397260275</v>
      </c>
      <c r="AM291" s="1604"/>
      <c r="AN291" s="24"/>
      <c r="AO291" s="1587"/>
      <c r="AP291" s="30"/>
      <c r="AR291" s="798"/>
      <c r="AS291" s="1"/>
    </row>
    <row r="292" spans="1:45" hidden="1" outlineLevel="2">
      <c r="A292" s="24" t="str">
        <f>$A$29</f>
        <v>3Q</v>
      </c>
      <c r="B292" s="29" t="str">
        <f>$B$29</f>
        <v>Oct</v>
      </c>
      <c r="C292" s="24"/>
      <c r="D292" s="1581">
        <f>(S292/S285-1)*100</f>
        <v>6.2937062937062915</v>
      </c>
      <c r="E292" s="24"/>
      <c r="F292" s="1616">
        <v>1</v>
      </c>
      <c r="G292" s="24"/>
      <c r="H292" s="1581">
        <f>D292-F292</f>
        <v>5.2937062937062915</v>
      </c>
      <c r="I292" s="24"/>
      <c r="J292" s="1818">
        <v>446</v>
      </c>
      <c r="K292" s="24"/>
      <c r="L292" s="1583">
        <f>AVERAGE(J292,J291)</f>
        <v>443</v>
      </c>
      <c r="M292" s="24"/>
      <c r="N292" s="1581">
        <f>(L292/L285-1)*100</f>
        <v>1.6055045871559592</v>
      </c>
      <c r="O292" s="30"/>
      <c r="P292" s="1589">
        <f>H292/N292*100</f>
        <v>329.72227772227842</v>
      </c>
      <c r="Q292" s="35"/>
      <c r="R292" s="24"/>
      <c r="S292" s="1917">
        <v>456</v>
      </c>
      <c r="T292" s="1917">
        <f t="shared" si="190"/>
        <v>456</v>
      </c>
      <c r="U292" s="1917"/>
      <c r="V292" s="24">
        <f>T292/L292</f>
        <v>1.0293453724604966</v>
      </c>
      <c r="W292" s="1586">
        <f>S292/L292</f>
        <v>1.0293453724604966</v>
      </c>
      <c r="X292" s="24">
        <f t="shared" si="191"/>
        <v>4.6141217698779657</v>
      </c>
      <c r="Y292" s="1587">
        <f t="shared" si="191"/>
        <v>4.6141217698779657</v>
      </c>
      <c r="Z292" s="30"/>
      <c r="AA292" s="1816">
        <v>3.7</v>
      </c>
      <c r="AB292" s="1597"/>
      <c r="AC292" s="1588">
        <f t="shared" ref="AC292:AC293" si="194">AVERAGE(AA292,AA291)</f>
        <v>3.6749999999999998</v>
      </c>
      <c r="AD292" s="1588"/>
      <c r="AE292" s="24">
        <f t="shared" si="192"/>
        <v>4.2553191489361764E-2</v>
      </c>
      <c r="AF292" s="1581"/>
      <c r="AG292" s="30"/>
      <c r="AH292" s="1589">
        <f>+H292/AE292</f>
        <v>124.40209790209767</v>
      </c>
      <c r="AI292" s="35"/>
      <c r="AJ292" s="1590">
        <f>T292</f>
        <v>456</v>
      </c>
      <c r="AK292" s="1590">
        <f>S292</f>
        <v>456</v>
      </c>
      <c r="AL292" s="1586">
        <f t="shared" si="193"/>
        <v>124.08163265306123</v>
      </c>
      <c r="AM292" s="1604"/>
      <c r="AN292" s="24"/>
      <c r="AO292" s="1587"/>
      <c r="AP292" s="30"/>
      <c r="AR292" s="1"/>
      <c r="AS292" s="1"/>
    </row>
    <row r="293" spans="1:45" hidden="1" outlineLevel="2">
      <c r="A293" s="24" t="str">
        <f>$A$30</f>
        <v>4Q</v>
      </c>
      <c r="B293" s="29" t="str">
        <f>$B$30</f>
        <v>Jan</v>
      </c>
      <c r="C293" s="24"/>
      <c r="D293" s="1606">
        <f>(S293/S286-1)*100</f>
        <v>7.7738515901060179</v>
      </c>
      <c r="E293" s="24"/>
      <c r="F293" s="1607">
        <v>5</v>
      </c>
      <c r="G293" s="24"/>
      <c r="H293" s="1606">
        <f>D293-F293</f>
        <v>2.7738515901060179</v>
      </c>
      <c r="I293" s="24"/>
      <c r="J293" s="1818">
        <v>451</v>
      </c>
      <c r="K293" s="1913"/>
      <c r="L293" s="1608">
        <f>AVERAGE(J293,J292)</f>
        <v>448.5</v>
      </c>
      <c r="M293" s="24"/>
      <c r="N293" s="1606">
        <f>(L293/L286-1)*100</f>
        <v>1.5855039637599155</v>
      </c>
      <c r="O293" s="30"/>
      <c r="P293" s="1608">
        <f>H293/N293*100</f>
        <v>174.9507824331146</v>
      </c>
      <c r="Q293" s="35"/>
      <c r="R293" s="24"/>
      <c r="S293" s="1918">
        <v>610</v>
      </c>
      <c r="T293" s="1918">
        <f t="shared" si="190"/>
        <v>610</v>
      </c>
      <c r="U293" s="1919"/>
      <c r="V293" s="24">
        <f>T293/L293</f>
        <v>1.3600891861761426</v>
      </c>
      <c r="W293" s="1586">
        <f>S293/L293</f>
        <v>1.3600891861761426</v>
      </c>
      <c r="X293" s="24">
        <f t="shared" si="191"/>
        <v>6.0917624905948653</v>
      </c>
      <c r="Y293" s="1612">
        <f t="shared" si="191"/>
        <v>6.0917624905948653</v>
      </c>
      <c r="Z293" s="30"/>
      <c r="AA293" s="1816">
        <v>3.7</v>
      </c>
      <c r="AB293" s="1597"/>
      <c r="AC293" s="1588">
        <f t="shared" si="194"/>
        <v>3.7</v>
      </c>
      <c r="AD293" s="1613"/>
      <c r="AE293" s="24">
        <f t="shared" si="192"/>
        <v>3.4965034965035002E-2</v>
      </c>
      <c r="AF293" s="1606"/>
      <c r="AG293" s="30"/>
      <c r="AH293" s="1608">
        <f>+H293/AE293</f>
        <v>79.332155477032032</v>
      </c>
      <c r="AI293" s="35"/>
      <c r="AJ293" s="1590">
        <f>T293</f>
        <v>610</v>
      </c>
      <c r="AK293" s="1590">
        <f>S293</f>
        <v>610</v>
      </c>
      <c r="AL293" s="1586">
        <f t="shared" si="193"/>
        <v>164.86486486486487</v>
      </c>
      <c r="AM293" s="1615"/>
      <c r="AN293" s="24"/>
      <c r="AO293" s="1612"/>
      <c r="AP293" s="30"/>
      <c r="AR293" s="798"/>
      <c r="AS293" s="798"/>
    </row>
    <row r="294" spans="1:45" hidden="1" outlineLevel="2">
      <c r="A294" s="24"/>
      <c r="B294" s="29" t="str">
        <f>$B$31</f>
        <v>Year</v>
      </c>
      <c r="C294" s="24"/>
      <c r="D294" s="1581">
        <f>(S294/S287-1)*100</f>
        <v>3.2119914346895095</v>
      </c>
      <c r="E294" s="24"/>
      <c r="F294" s="1920">
        <v>-1</v>
      </c>
      <c r="G294" s="24"/>
      <c r="H294" s="1581">
        <f>D294-F294</f>
        <v>4.2119914346895095</v>
      </c>
      <c r="I294" s="24"/>
      <c r="J294" s="1816"/>
      <c r="K294" s="24"/>
      <c r="L294" s="1583">
        <f>AVERAGE(L290:L293)</f>
        <v>443.25</v>
      </c>
      <c r="M294" s="24"/>
      <c r="N294" s="1581">
        <f>(L294/L287-1)*100</f>
        <v>3.7752414398595224</v>
      </c>
      <c r="O294" s="30"/>
      <c r="P294" s="1589">
        <f>H294/N294*100</f>
        <v>111.56879637468269</v>
      </c>
      <c r="Q294" s="35"/>
      <c r="R294" s="24"/>
      <c r="S294" s="1590">
        <v>1928</v>
      </c>
      <c r="T294" s="1590">
        <f t="shared" si="190"/>
        <v>1928</v>
      </c>
      <c r="U294" s="1590"/>
      <c r="V294" s="24">
        <f>T294/L294</f>
        <v>4.349689791314157</v>
      </c>
      <c r="W294" s="1586">
        <f>S294/L294</f>
        <v>4.349689791314157</v>
      </c>
      <c r="X294" s="24">
        <f t="shared" si="191"/>
        <v>-0.54275952274842609</v>
      </c>
      <c r="Y294" s="1587">
        <f t="shared" si="191"/>
        <v>-0.54275952274842609</v>
      </c>
      <c r="Z294" s="30"/>
      <c r="AA294" s="1816"/>
      <c r="AB294" s="24"/>
      <c r="AC294" s="1588">
        <f>AVERAGE(AC290:AC293)</f>
        <v>3.6624999999999996</v>
      </c>
      <c r="AD294" s="1588"/>
      <c r="AE294" s="24">
        <f t="shared" si="192"/>
        <v>6.5454545454545432E-2</v>
      </c>
      <c r="AF294" s="1581"/>
      <c r="AG294" s="30"/>
      <c r="AH294" s="1589">
        <f>+H294/AE294</f>
        <v>64.349869141089755</v>
      </c>
      <c r="AI294" s="35"/>
      <c r="AJ294" s="1590">
        <f>T294</f>
        <v>1928</v>
      </c>
      <c r="AK294" s="1590">
        <f>S294</f>
        <v>1928</v>
      </c>
      <c r="AL294" s="1586">
        <f>AJ294/AC294</f>
        <v>526.41638225255974</v>
      </c>
      <c r="AM294" s="1591"/>
      <c r="AN294" s="24"/>
      <c r="AO294" s="1587"/>
      <c r="AP294" s="30"/>
      <c r="AR294" s="798"/>
      <c r="AS294" s="798"/>
    </row>
    <row r="295" spans="1:45" hidden="1" outlineLevel="2">
      <c r="A295" s="24"/>
      <c r="B295" s="29"/>
      <c r="C295" s="24"/>
      <c r="D295" s="24"/>
      <c r="E295" s="24"/>
      <c r="F295" s="1816"/>
      <c r="G295" s="24"/>
      <c r="H295" s="24"/>
      <c r="I295" s="24"/>
      <c r="J295" s="1816"/>
      <c r="K295" s="24"/>
      <c r="L295" s="24"/>
      <c r="M295" s="24"/>
      <c r="N295" s="24"/>
      <c r="O295" s="30"/>
      <c r="P295" s="24"/>
      <c r="Q295" s="24"/>
      <c r="R295" s="24"/>
      <c r="S295" s="24"/>
      <c r="T295" s="24"/>
      <c r="U295" s="24"/>
      <c r="V295" s="24"/>
      <c r="W295" s="24"/>
      <c r="X295" s="24"/>
      <c r="Y295" s="24"/>
      <c r="Z295" s="24"/>
      <c r="AA295" s="1816"/>
      <c r="AB295" s="24"/>
      <c r="AC295" s="24"/>
      <c r="AD295" s="24"/>
      <c r="AE295" s="24"/>
      <c r="AF295" s="24"/>
      <c r="AG295" s="30"/>
      <c r="AH295" s="24"/>
      <c r="AI295" s="24"/>
      <c r="AJ295" s="24"/>
      <c r="AK295" s="24"/>
      <c r="AL295" s="24"/>
      <c r="AM295" s="24"/>
      <c r="AN295" s="24"/>
      <c r="AO295" s="24"/>
      <c r="AP295" s="24"/>
      <c r="AR295" s="798"/>
      <c r="AS295" s="798"/>
    </row>
    <row r="296" spans="1:45" hidden="1" outlineLevel="2">
      <c r="A296" s="1579"/>
      <c r="B296" s="1908">
        <v>2003</v>
      </c>
      <c r="C296" s="24"/>
      <c r="D296" s="24"/>
      <c r="E296" s="30"/>
      <c r="F296" s="1816"/>
      <c r="G296" s="30"/>
      <c r="H296" s="24"/>
      <c r="I296" s="30"/>
      <c r="J296" s="1816"/>
      <c r="K296" s="24"/>
      <c r="L296" s="24"/>
      <c r="M296" s="24"/>
      <c r="N296" s="24"/>
      <c r="O296" s="30"/>
      <c r="P296" s="35"/>
      <c r="Q296" s="35"/>
      <c r="R296" s="24"/>
      <c r="S296" s="24"/>
      <c r="T296" s="24"/>
      <c r="U296" s="24"/>
      <c r="V296" s="24"/>
      <c r="W296" s="24"/>
      <c r="X296" s="24"/>
      <c r="Y296" s="24"/>
      <c r="Z296" s="30"/>
      <c r="AA296" s="1816"/>
      <c r="AB296" s="24"/>
      <c r="AC296" s="24"/>
      <c r="AD296" s="24"/>
      <c r="AE296" s="24"/>
      <c r="AF296" s="24"/>
      <c r="AG296" s="30"/>
      <c r="AH296" s="35"/>
      <c r="AI296" s="35"/>
      <c r="AJ296" s="24"/>
      <c r="AK296" s="24"/>
      <c r="AL296" s="24"/>
      <c r="AM296" s="24"/>
      <c r="AN296" s="24"/>
      <c r="AO296" s="24"/>
      <c r="AP296" s="30"/>
      <c r="AR296" s="798"/>
      <c r="AS296" s="798"/>
    </row>
    <row r="297" spans="1:45" hidden="1" outlineLevel="2">
      <c r="A297" s="24" t="str">
        <f>$A$27</f>
        <v>1Q</v>
      </c>
      <c r="B297" s="29" t="str">
        <f>$B$27</f>
        <v>Apr</v>
      </c>
      <c r="C297" s="24"/>
      <c r="D297" s="1581">
        <f>(S297/S290-1)*100</f>
        <v>3.3962264150943389</v>
      </c>
      <c r="E297" s="30" t="s">
        <v>489</v>
      </c>
      <c r="F297" s="1616">
        <v>1</v>
      </c>
      <c r="G297" s="30" t="s">
        <v>489</v>
      </c>
      <c r="H297" s="1581">
        <f>D297-F297</f>
        <v>2.3962264150943389</v>
      </c>
      <c r="I297" s="30" t="s">
        <v>489</v>
      </c>
      <c r="J297" s="1818">
        <v>451</v>
      </c>
      <c r="K297" s="1913"/>
      <c r="L297" s="1583">
        <f>AVERAGE(J297,J293)</f>
        <v>451</v>
      </c>
      <c r="M297" s="24"/>
      <c r="N297" s="1581">
        <f>(L297/L290-1)*100</f>
        <v>2.2675736961451198</v>
      </c>
      <c r="O297" s="30" t="s">
        <v>489</v>
      </c>
      <c r="P297" s="1589">
        <f>H297/N297*100</f>
        <v>105.67358490566056</v>
      </c>
      <c r="Q297" s="35" t="s">
        <v>489</v>
      </c>
      <c r="R297" s="24"/>
      <c r="S297" s="1916">
        <v>411</v>
      </c>
      <c r="T297" s="1916">
        <f t="shared" ref="T297:T301" si="195">S297-AQ297</f>
        <v>411</v>
      </c>
      <c r="U297" s="1916"/>
      <c r="V297" s="24">
        <f>T297/L297</f>
        <v>0.91130820399113077</v>
      </c>
      <c r="W297" s="1586">
        <f>S297/L297</f>
        <v>0.91130820399113077</v>
      </c>
      <c r="X297" s="24">
        <f t="shared" ref="X297:Y301" si="196">(V297/V290-1)*100</f>
        <v>1.1036271597707259</v>
      </c>
      <c r="Y297" s="1587">
        <f t="shared" si="196"/>
        <v>1.1036271597707259</v>
      </c>
      <c r="Z297" s="30" t="s">
        <v>489</v>
      </c>
      <c r="AA297" s="1816">
        <v>3.7211427931034482</v>
      </c>
      <c r="AB297" s="1597"/>
      <c r="AC297" s="1588">
        <f>AVERAGE(AA297,AA293)</f>
        <v>3.7105713965517242</v>
      </c>
      <c r="AD297" s="1588"/>
      <c r="AE297" s="24">
        <f t="shared" ref="AE297:AE301" si="197">AC297/AC290-1</f>
        <v>2.3605902497027431E-2</v>
      </c>
      <c r="AF297" s="1581"/>
      <c r="AG297" s="30" t="s">
        <v>489</v>
      </c>
      <c r="AH297" s="1589">
        <f>+H297/AE297</f>
        <v>101.50962944102999</v>
      </c>
      <c r="AI297" s="35" t="s">
        <v>489</v>
      </c>
      <c r="AJ297" s="1590">
        <f>T297</f>
        <v>411</v>
      </c>
      <c r="AK297" s="1590">
        <f>S297</f>
        <v>411</v>
      </c>
      <c r="AL297" s="1586">
        <f t="shared" ref="AL297:AL300" si="198">AJ297/AC297</f>
        <v>110.76461172043393</v>
      </c>
      <c r="AM297" s="1591"/>
      <c r="AN297" s="24"/>
      <c r="AO297" s="1587"/>
      <c r="AP297" s="30" t="s">
        <v>489</v>
      </c>
      <c r="AR297" s="798"/>
      <c r="AS297" s="1"/>
    </row>
    <row r="298" spans="1:45" hidden="1" outlineLevel="2">
      <c r="A298" s="24" t="str">
        <f>$A$28</f>
        <v>2Q</v>
      </c>
      <c r="B298" s="29" t="str">
        <f>$B$28</f>
        <v>Jul</v>
      </c>
      <c r="C298" s="24"/>
      <c r="D298" s="1581">
        <f>(S298/S291-1)*100</f>
        <v>6.9967707212055918</v>
      </c>
      <c r="E298" s="24"/>
      <c r="F298" s="1616">
        <v>5</v>
      </c>
      <c r="G298" s="24"/>
      <c r="H298" s="1581">
        <f>D298-F298</f>
        <v>1.9967707212055918</v>
      </c>
      <c r="I298" s="24"/>
      <c r="J298" s="1818">
        <v>451</v>
      </c>
      <c r="K298" s="1913"/>
      <c r="L298" s="1583">
        <f>AVERAGE(J298,J297)</f>
        <v>451</v>
      </c>
      <c r="M298" s="24"/>
      <c r="N298" s="1581">
        <f>(L298/L291-1)*100</f>
        <v>2.3836549375709337</v>
      </c>
      <c r="O298" s="30"/>
      <c r="P298" s="1589">
        <f>H298/N298*100</f>
        <v>83.769285970577741</v>
      </c>
      <c r="Q298" s="35"/>
      <c r="R298" s="24"/>
      <c r="S298" s="1917">
        <v>497</v>
      </c>
      <c r="T298" s="1917">
        <f t="shared" si="195"/>
        <v>497</v>
      </c>
      <c r="U298" s="1917"/>
      <c r="V298" s="24">
        <f>T298/L298</f>
        <v>1.1019955654101996</v>
      </c>
      <c r="W298" s="1586">
        <f>S298/L298</f>
        <v>1.1019955654101996</v>
      </c>
      <c r="X298" s="24">
        <f t="shared" si="196"/>
        <v>4.5057150835722037</v>
      </c>
      <c r="Y298" s="1587">
        <f t="shared" si="196"/>
        <v>4.5057150835722037</v>
      </c>
      <c r="Z298" s="30"/>
      <c r="AA298" s="1816">
        <v>3.7127048275862067</v>
      </c>
      <c r="AB298" s="1597"/>
      <c r="AC298" s="1588">
        <f>AVERAGE(AA298,AA297)</f>
        <v>3.7169238103448272</v>
      </c>
      <c r="AD298" s="1588"/>
      <c r="AE298" s="24">
        <f t="shared" si="197"/>
        <v>1.8335290505432145E-2</v>
      </c>
      <c r="AF298" s="1581"/>
      <c r="AG298" s="30"/>
      <c r="AH298" s="1589">
        <f>+H298/AE298</f>
        <v>108.90314067366504</v>
      </c>
      <c r="AI298" s="35"/>
      <c r="AJ298" s="1590">
        <f>T298</f>
        <v>497</v>
      </c>
      <c r="AK298" s="1590">
        <f>S298</f>
        <v>497</v>
      </c>
      <c r="AL298" s="1586">
        <f t="shared" si="198"/>
        <v>133.71272196023094</v>
      </c>
      <c r="AM298" s="1604"/>
      <c r="AN298" s="24"/>
      <c r="AO298" s="1587"/>
      <c r="AP298" s="30"/>
      <c r="AR298" s="798"/>
      <c r="AS298" s="1"/>
    </row>
    <row r="299" spans="1:45" hidden="1" outlineLevel="2">
      <c r="A299" s="24" t="str">
        <f>$A$29</f>
        <v>3Q</v>
      </c>
      <c r="B299" s="29" t="str">
        <f>$B$29</f>
        <v>Oct</v>
      </c>
      <c r="C299" s="24"/>
      <c r="D299" s="1581">
        <f>(S299/S292-1)*100</f>
        <v>12.280701754385959</v>
      </c>
      <c r="E299" s="24"/>
      <c r="F299" s="1616">
        <v>11</v>
      </c>
      <c r="G299" s="24"/>
      <c r="H299" s="1581">
        <f>D299-F299</f>
        <v>1.2807017543859587</v>
      </c>
      <c r="I299" s="24"/>
      <c r="J299" s="1818">
        <v>446</v>
      </c>
      <c r="K299" s="1913"/>
      <c r="L299" s="1583">
        <f>AVERAGE(J299,J298)</f>
        <v>448.5</v>
      </c>
      <c r="M299" s="24"/>
      <c r="N299" s="1581">
        <f>(L299/L292-1)*100</f>
        <v>1.2415349887133109</v>
      </c>
      <c r="O299" s="30"/>
      <c r="P299" s="1584">
        <f t="shared" ref="P299:P300" si="199">H299/N299*100</f>
        <v>103.15470494417873</v>
      </c>
      <c r="Q299" s="35"/>
      <c r="R299" s="24"/>
      <c r="S299" s="1917">
        <v>512</v>
      </c>
      <c r="T299" s="1917">
        <f t="shared" si="195"/>
        <v>512</v>
      </c>
      <c r="U299" s="1917"/>
      <c r="V299" s="24">
        <f>T299/L299</f>
        <v>1.1415830546265329</v>
      </c>
      <c r="W299" s="1586">
        <f>S299/L299</f>
        <v>1.1415830546265329</v>
      </c>
      <c r="X299" s="24">
        <f t="shared" si="196"/>
        <v>10.903792368323263</v>
      </c>
      <c r="Y299" s="1587">
        <f t="shared" si="196"/>
        <v>10.903792368323263</v>
      </c>
      <c r="Z299" s="30"/>
      <c r="AA299" s="1816">
        <v>3.6958288965517241</v>
      </c>
      <c r="AB299" s="1597"/>
      <c r="AC299" s="1588">
        <f t="shared" ref="AC299:AC300" si="200">AVERAGE(AA299,AA298)</f>
        <v>3.7042668620689652</v>
      </c>
      <c r="AD299" s="1588"/>
      <c r="AE299" s="24">
        <f t="shared" si="197"/>
        <v>7.9637719915552907E-3</v>
      </c>
      <c r="AF299" s="1581"/>
      <c r="AG299" s="30"/>
      <c r="AH299" s="1589">
        <f>+H299/AE299</f>
        <v>160.8159746090173</v>
      </c>
      <c r="AI299" s="35"/>
      <c r="AJ299" s="1590">
        <f>T299</f>
        <v>512</v>
      </c>
      <c r="AK299" s="1590">
        <f>S299</f>
        <v>512</v>
      </c>
      <c r="AL299" s="1586">
        <f t="shared" si="198"/>
        <v>138.21898342227692</v>
      </c>
      <c r="AM299" s="1604"/>
      <c r="AN299" s="24"/>
      <c r="AO299" s="1587"/>
      <c r="AP299" s="30"/>
      <c r="AR299" s="1"/>
      <c r="AS299" s="1"/>
    </row>
    <row r="300" spans="1:45" hidden="1" outlineLevel="2">
      <c r="A300" s="24" t="str">
        <f>$A$30</f>
        <v>4Q</v>
      </c>
      <c r="B300" s="29" t="str">
        <f>$B$30</f>
        <v>Jan</v>
      </c>
      <c r="C300" s="24"/>
      <c r="D300" s="1606">
        <f>(S300/S293-1)*100</f>
        <v>10.000000000000009</v>
      </c>
      <c r="E300" s="24"/>
      <c r="F300" s="1607">
        <v>6</v>
      </c>
      <c r="G300" s="24"/>
      <c r="H300" s="1606">
        <f>D300-F300</f>
        <v>4.0000000000000089</v>
      </c>
      <c r="I300" s="24"/>
      <c r="J300" s="1818">
        <v>435</v>
      </c>
      <c r="K300" s="1913"/>
      <c r="L300" s="1608">
        <f>AVERAGE(J300,J299)</f>
        <v>440.5</v>
      </c>
      <c r="M300" s="24"/>
      <c r="N300" s="1606">
        <f>(L300/L293-1)*100</f>
        <v>-1.7837235228539527</v>
      </c>
      <c r="O300" s="30"/>
      <c r="P300" s="1609">
        <f t="shared" si="199"/>
        <v>-224.25000000000114</v>
      </c>
      <c r="Q300" s="35"/>
      <c r="R300" s="24"/>
      <c r="S300" s="1918">
        <v>671</v>
      </c>
      <c r="T300" s="1918">
        <f t="shared" si="195"/>
        <v>671</v>
      </c>
      <c r="U300" s="1919"/>
      <c r="V300" s="24">
        <f>T300/L300</f>
        <v>1.5232690124858115</v>
      </c>
      <c r="W300" s="1586">
        <f>S300/L300</f>
        <v>1.5232690124858115</v>
      </c>
      <c r="X300" s="24">
        <f t="shared" si="196"/>
        <v>11.997729852440408</v>
      </c>
      <c r="Y300" s="1612">
        <f t="shared" si="196"/>
        <v>11.997729852440408</v>
      </c>
      <c r="Z300" s="30"/>
      <c r="AA300" s="1816">
        <v>3.670515</v>
      </c>
      <c r="AB300" s="1597"/>
      <c r="AC300" s="1588">
        <f t="shared" si="200"/>
        <v>3.683171948275862</v>
      </c>
      <c r="AD300" s="1613"/>
      <c r="AE300" s="24">
        <f t="shared" si="197"/>
        <v>-4.5481220876049111E-3</v>
      </c>
      <c r="AF300" s="1606"/>
      <c r="AG300" s="30"/>
      <c r="AH300" s="1608">
        <f>+H300/AE300</f>
        <v>-879.48386673728248</v>
      </c>
      <c r="AI300" s="35"/>
      <c r="AJ300" s="1590">
        <f>T300</f>
        <v>671</v>
      </c>
      <c r="AK300" s="1590">
        <f>S300</f>
        <v>671</v>
      </c>
      <c r="AL300" s="1586">
        <f t="shared" si="198"/>
        <v>182.17992790537605</v>
      </c>
      <c r="AM300" s="1615"/>
      <c r="AN300" s="24"/>
      <c r="AO300" s="1612"/>
      <c r="AP300" s="30"/>
      <c r="AR300" s="798"/>
      <c r="AS300" s="798"/>
    </row>
    <row r="301" spans="1:45" hidden="1" outlineLevel="2">
      <c r="A301" s="24"/>
      <c r="B301" s="29" t="str">
        <f>$B$31</f>
        <v>Year</v>
      </c>
      <c r="C301" s="24"/>
      <c r="D301" s="1581">
        <f>(S301/S294-1)*100</f>
        <v>8.4024896265560081</v>
      </c>
      <c r="E301" s="24"/>
      <c r="F301" s="1920">
        <v>7.0000000000000009</v>
      </c>
      <c r="G301" s="24"/>
      <c r="H301" s="1581">
        <f>D301-F301</f>
        <v>1.4024896265560072</v>
      </c>
      <c r="I301" s="24"/>
      <c r="J301" s="1816"/>
      <c r="K301" s="24"/>
      <c r="L301" s="1583">
        <f>AVERAGE(L297:L300)</f>
        <v>447.75</v>
      </c>
      <c r="M301" s="24"/>
      <c r="N301" s="1581">
        <f>(L301/L294-1)*100</f>
        <v>1.0152284263959421</v>
      </c>
      <c r="O301" s="30"/>
      <c r="P301" s="1589">
        <f>H301/N301*100</f>
        <v>138.14522821576628</v>
      </c>
      <c r="Q301" s="35"/>
      <c r="R301" s="24"/>
      <c r="S301" s="1590">
        <v>2090</v>
      </c>
      <c r="T301" s="1590">
        <f t="shared" si="195"/>
        <v>2090</v>
      </c>
      <c r="U301" s="1590"/>
      <c r="V301" s="24">
        <f>T301/L301</f>
        <v>4.6677833612506978</v>
      </c>
      <c r="W301" s="1586">
        <f>S301/L301</f>
        <v>4.6677833612506978</v>
      </c>
      <c r="X301" s="24">
        <f t="shared" si="196"/>
        <v>7.3130173690026723</v>
      </c>
      <c r="Y301" s="1587">
        <f t="shared" si="196"/>
        <v>7.3130173690026723</v>
      </c>
      <c r="Z301" s="30"/>
      <c r="AA301" s="1816"/>
      <c r="AB301" s="24"/>
      <c r="AC301" s="1588">
        <f>AVERAGE(AC297:AC300)</f>
        <v>3.7037335043103452</v>
      </c>
      <c r="AD301" s="1588"/>
      <c r="AE301" s="24">
        <f t="shared" si="197"/>
        <v>1.1258294692244597E-2</v>
      </c>
      <c r="AF301" s="1581"/>
      <c r="AG301" s="30"/>
      <c r="AH301" s="1589">
        <f>+H301/AE301</f>
        <v>124.57389550498513</v>
      </c>
      <c r="AI301" s="35"/>
      <c r="AJ301" s="1590">
        <f>T301</f>
        <v>2090</v>
      </c>
      <c r="AK301" s="1590">
        <f>S301</f>
        <v>2090</v>
      </c>
      <c r="AL301" s="1586">
        <f>AJ301/AC301</f>
        <v>564.29545958630445</v>
      </c>
      <c r="AM301" s="1591"/>
      <c r="AN301" s="24"/>
      <c r="AO301" s="1587"/>
      <c r="AP301" s="30"/>
      <c r="AR301" s="798"/>
      <c r="AS301" s="798"/>
    </row>
    <row r="302" spans="1:45" hidden="1" outlineLevel="2">
      <c r="A302" s="24"/>
      <c r="B302" s="29"/>
      <c r="C302" s="24"/>
      <c r="D302" s="24"/>
      <c r="E302" s="24"/>
      <c r="F302" s="1816"/>
      <c r="G302" s="24"/>
      <c r="H302" s="24"/>
      <c r="I302" s="24"/>
      <c r="J302" s="1816"/>
      <c r="K302" s="24"/>
      <c r="L302" s="24"/>
      <c r="M302" s="24"/>
      <c r="N302" s="24"/>
      <c r="O302" s="30"/>
      <c r="P302" s="24"/>
      <c r="Q302" s="24"/>
      <c r="R302" s="24"/>
      <c r="S302" s="24"/>
      <c r="T302" s="24"/>
      <c r="U302" s="24"/>
      <c r="V302" s="24"/>
      <c r="W302" s="24"/>
      <c r="X302" s="24"/>
      <c r="Y302" s="24"/>
      <c r="Z302" s="24"/>
      <c r="AA302" s="1816"/>
      <c r="AB302" s="24"/>
      <c r="AC302" s="24"/>
      <c r="AD302" s="24"/>
      <c r="AE302" s="24"/>
      <c r="AF302" s="24"/>
      <c r="AG302" s="30"/>
      <c r="AH302" s="24"/>
      <c r="AI302" s="24"/>
      <c r="AJ302" s="24"/>
      <c r="AK302" s="24"/>
      <c r="AL302" s="24"/>
      <c r="AM302" s="24"/>
      <c r="AN302" s="24"/>
      <c r="AO302" s="24"/>
      <c r="AP302" s="24"/>
      <c r="AR302" s="798"/>
      <c r="AS302" s="798"/>
    </row>
    <row r="303" spans="1:45" hidden="1" outlineLevel="2">
      <c r="A303" s="1579"/>
      <c r="B303" s="1580">
        <f>+B296+1</f>
        <v>2004</v>
      </c>
      <c r="C303" s="24"/>
      <c r="D303" s="24"/>
      <c r="E303" s="30"/>
      <c r="F303" s="1816"/>
      <c r="G303" s="30"/>
      <c r="H303" s="24"/>
      <c r="I303" s="30"/>
      <c r="J303" s="1816"/>
      <c r="K303" s="24"/>
      <c r="L303" s="24"/>
      <c r="M303" s="24"/>
      <c r="N303" s="24"/>
      <c r="O303" s="30"/>
      <c r="P303" s="35"/>
      <c r="Q303" s="35"/>
      <c r="R303" s="24"/>
      <c r="S303" s="24"/>
      <c r="T303" s="24"/>
      <c r="U303" s="24"/>
      <c r="V303" s="24"/>
      <c r="W303" s="24"/>
      <c r="X303" s="24"/>
      <c r="Y303" s="24"/>
      <c r="Z303" s="30"/>
      <c r="AA303" s="1816"/>
      <c r="AB303" s="24"/>
      <c r="AC303" s="24"/>
      <c r="AD303" s="24"/>
      <c r="AE303" s="24"/>
      <c r="AF303" s="24"/>
      <c r="AG303" s="30"/>
      <c r="AH303" s="35"/>
      <c r="AI303" s="35"/>
      <c r="AJ303" s="24"/>
      <c r="AK303" s="24"/>
      <c r="AL303" s="24"/>
      <c r="AM303" s="24"/>
      <c r="AN303" s="24"/>
      <c r="AO303" s="24"/>
      <c r="AP303" s="30"/>
      <c r="AR303" s="798"/>
      <c r="AS303" s="798"/>
    </row>
    <row r="304" spans="1:45" hidden="1" outlineLevel="2">
      <c r="A304" s="24" t="str">
        <f>$A$27</f>
        <v>1Q</v>
      </c>
      <c r="B304" s="29" t="str">
        <f>$B$27</f>
        <v>Apr</v>
      </c>
      <c r="C304" s="24"/>
      <c r="D304" s="1581">
        <f>(S304/S297-1)*100</f>
        <v>22.384428223844278</v>
      </c>
      <c r="E304" s="30" t="s">
        <v>489</v>
      </c>
      <c r="F304" s="1616">
        <v>21</v>
      </c>
      <c r="G304" s="30" t="s">
        <v>489</v>
      </c>
      <c r="H304" s="1581">
        <f>D304-F304</f>
        <v>1.384428223844278</v>
      </c>
      <c r="I304" s="30" t="s">
        <v>489</v>
      </c>
      <c r="J304" s="1996">
        <f>'Store New'!B21</f>
        <v>438</v>
      </c>
      <c r="K304" s="1913"/>
      <c r="L304" s="1583">
        <f>AVERAGE(J304,J300)</f>
        <v>436.5</v>
      </c>
      <c r="M304" s="24"/>
      <c r="N304" s="1581">
        <f>(L304/L297-1)*100</f>
        <v>-3.2150776053215036</v>
      </c>
      <c r="O304" s="30" t="s">
        <v>489</v>
      </c>
      <c r="P304" s="1584">
        <f t="shared" ref="P304:P308" si="201">H304/N304*100</f>
        <v>-43.060491651984151</v>
      </c>
      <c r="Q304" s="35" t="s">
        <v>489</v>
      </c>
      <c r="R304" s="24"/>
      <c r="S304" s="1916">
        <v>503</v>
      </c>
      <c r="T304" s="1916">
        <f t="shared" ref="T304:T308" si="202">S304-AQ304</f>
        <v>481</v>
      </c>
      <c r="U304" s="1916"/>
      <c r="V304" s="24">
        <f>T304/L304</f>
        <v>1.1019473081328752</v>
      </c>
      <c r="W304" s="1586">
        <f>S304/L304</f>
        <v>1.1523482245131729</v>
      </c>
      <c r="X304" s="24">
        <f t="shared" ref="X304:Y308" si="203">(V304/V297-1)*100</f>
        <v>20.919278824313082</v>
      </c>
      <c r="Y304" s="1587">
        <f t="shared" si="203"/>
        <v>26.449890329790993</v>
      </c>
      <c r="Z304" s="30" t="s">
        <v>489</v>
      </c>
      <c r="AA304" s="1816">
        <v>3.7</v>
      </c>
      <c r="AB304" s="1597"/>
      <c r="AC304" s="1588">
        <f>AVERAGE(AA304,AA300)</f>
        <v>3.6852575000000001</v>
      </c>
      <c r="AD304" s="1588"/>
      <c r="AE304" s="24">
        <f t="shared" ref="AE304:AE308" si="204">AC304/AC297-1</f>
        <v>-6.8221020016616674E-3</v>
      </c>
      <c r="AF304" s="1581"/>
      <c r="AG304" s="30" t="s">
        <v>489</v>
      </c>
      <c r="AH304" s="1589">
        <f>+H304/AE304</f>
        <v>-202.93279454148754</v>
      </c>
      <c r="AI304" s="35" t="s">
        <v>489</v>
      </c>
      <c r="AJ304" s="1590">
        <f>T304</f>
        <v>481</v>
      </c>
      <c r="AK304" s="1590">
        <f>S304</f>
        <v>503</v>
      </c>
      <c r="AL304" s="1586">
        <f t="shared" ref="AL304:AL307" si="205">AJ304/AC304</f>
        <v>130.52005185526383</v>
      </c>
      <c r="AM304" s="1591"/>
      <c r="AN304" s="24"/>
      <c r="AO304" s="1587"/>
      <c r="AP304" s="30" t="s">
        <v>489</v>
      </c>
      <c r="AQ304" s="1941">
        <v>22</v>
      </c>
      <c r="AR304" s="798"/>
      <c r="AS304" s="1"/>
    </row>
    <row r="305" spans="1:45" hidden="1" outlineLevel="2">
      <c r="A305" s="24" t="str">
        <f>$A$28</f>
        <v>2Q</v>
      </c>
      <c r="B305" s="29" t="str">
        <f>$B$28</f>
        <v>Jul</v>
      </c>
      <c r="C305" s="24"/>
      <c r="D305" s="1581">
        <f>(S305/S298-1)*100</f>
        <v>6.2374245472837098</v>
      </c>
      <c r="E305" s="24"/>
      <c r="F305" s="1616">
        <v>4</v>
      </c>
      <c r="G305" s="24"/>
      <c r="H305" s="1581">
        <f>D305-F305</f>
        <v>2.2374245472837098</v>
      </c>
      <c r="I305" s="24"/>
      <c r="J305" s="1996">
        <f>'Store New'!C21</f>
        <v>447</v>
      </c>
      <c r="K305" s="1913"/>
      <c r="L305" s="1583">
        <f>AVERAGE(J305,J304)</f>
        <v>442.5</v>
      </c>
      <c r="M305" s="24"/>
      <c r="N305" s="1581">
        <f>(L305/L298-1)*100</f>
        <v>-1.8847006651884657</v>
      </c>
      <c r="O305" s="30"/>
      <c r="P305" s="1584">
        <f t="shared" si="201"/>
        <v>-118.71511421470065</v>
      </c>
      <c r="Q305" s="35"/>
      <c r="R305" s="24"/>
      <c r="S305" s="1917">
        <v>528</v>
      </c>
      <c r="T305" s="1917">
        <f t="shared" si="202"/>
        <v>511</v>
      </c>
      <c r="U305" s="1917"/>
      <c r="V305" s="24">
        <f>T305/L305</f>
        <v>1.1548022598870056</v>
      </c>
      <c r="W305" s="1586">
        <f>S305/L305</f>
        <v>1.1932203389830509</v>
      </c>
      <c r="X305" s="24">
        <f t="shared" si="203"/>
        <v>4.791915333810759</v>
      </c>
      <c r="Y305" s="1587">
        <f t="shared" si="203"/>
        <v>8.2781434368925488</v>
      </c>
      <c r="Z305" s="30"/>
      <c r="AA305" s="1997">
        <f>'Store New'!C38</f>
        <v>3.8</v>
      </c>
      <c r="AB305" s="1597"/>
      <c r="AC305" s="1588">
        <f>AVERAGE(AA305,AA304)</f>
        <v>3.75</v>
      </c>
      <c r="AD305" s="1588"/>
      <c r="AE305" s="24">
        <f t="shared" si="204"/>
        <v>8.8988075470139982E-3</v>
      </c>
      <c r="AF305" s="1581"/>
      <c r="AG305" s="30"/>
      <c r="AH305" s="1589">
        <f>+H305/AE305</f>
        <v>251.42970397584105</v>
      </c>
      <c r="AI305" s="35"/>
      <c r="AJ305" s="1590">
        <f>T305</f>
        <v>511</v>
      </c>
      <c r="AK305" s="1590">
        <f>S305</f>
        <v>528</v>
      </c>
      <c r="AL305" s="1586">
        <f t="shared" si="205"/>
        <v>136.26666666666668</v>
      </c>
      <c r="AM305" s="1604"/>
      <c r="AN305" s="24"/>
      <c r="AO305" s="1587"/>
      <c r="AP305" s="30"/>
      <c r="AQ305" s="1941">
        <v>17</v>
      </c>
      <c r="AR305" s="798"/>
      <c r="AS305" s="1"/>
    </row>
    <row r="306" spans="1:45" hidden="1" outlineLevel="2">
      <c r="A306" s="24" t="str">
        <f>$A$29</f>
        <v>3Q</v>
      </c>
      <c r="B306" s="29" t="str">
        <f>$B$29</f>
        <v>Oct</v>
      </c>
      <c r="C306" s="24"/>
      <c r="D306" s="1581">
        <f>(S306/S299-1)*100</f>
        <v>5.078125</v>
      </c>
      <c r="E306" s="24"/>
      <c r="F306" s="1616">
        <v>3</v>
      </c>
      <c r="G306" s="24"/>
      <c r="H306" s="1581">
        <f>D306-F306</f>
        <v>2.078125</v>
      </c>
      <c r="I306" s="24"/>
      <c r="J306" s="1996">
        <f>'Store New'!D21</f>
        <v>459</v>
      </c>
      <c r="K306" s="1913"/>
      <c r="L306" s="1583">
        <f>AVERAGE(J306,J305)</f>
        <v>453</v>
      </c>
      <c r="M306" s="24"/>
      <c r="N306" s="1581">
        <f>(L306/L299-1)*100</f>
        <v>1.0033444816053505</v>
      </c>
      <c r="O306" s="30"/>
      <c r="P306" s="1584">
        <f t="shared" si="201"/>
        <v>207.1197916666668</v>
      </c>
      <c r="Q306" s="35"/>
      <c r="R306" s="24"/>
      <c r="S306" s="1917">
        <v>538</v>
      </c>
      <c r="T306" s="1917">
        <f t="shared" si="202"/>
        <v>515</v>
      </c>
      <c r="U306" s="1917"/>
      <c r="V306" s="24">
        <f>T306/L306</f>
        <v>1.1368653421633554</v>
      </c>
      <c r="W306" s="1586">
        <f>S306/L306</f>
        <v>1.1876379690949228</v>
      </c>
      <c r="X306" s="24">
        <f t="shared" si="203"/>
        <v>-0.41326055463575262</v>
      </c>
      <c r="Y306" s="1587">
        <f t="shared" si="203"/>
        <v>4.0343025662251675</v>
      </c>
      <c r="Z306" s="30"/>
      <c r="AA306" s="1997">
        <f>'Store New'!D38</f>
        <v>3.9</v>
      </c>
      <c r="AB306" s="1597"/>
      <c r="AC306" s="1588">
        <f t="shared" ref="AC306:AC307" si="206">AVERAGE(AA306,AA305)</f>
        <v>3.8499999999999996</v>
      </c>
      <c r="AD306" s="1588"/>
      <c r="AE306" s="24">
        <f t="shared" si="204"/>
        <v>3.9341965187043026E-2</v>
      </c>
      <c r="AF306" s="1581"/>
      <c r="AG306" s="30"/>
      <c r="AH306" s="1589">
        <f>+H306/AE306</f>
        <v>52.822094425634198</v>
      </c>
      <c r="AI306" s="35"/>
      <c r="AJ306" s="1590">
        <f>T306</f>
        <v>515</v>
      </c>
      <c r="AK306" s="1590">
        <f>S306</f>
        <v>538</v>
      </c>
      <c r="AL306" s="1586">
        <f t="shared" si="205"/>
        <v>133.76623376623377</v>
      </c>
      <c r="AM306" s="1604"/>
      <c r="AN306" s="24"/>
      <c r="AO306" s="1587"/>
      <c r="AP306" s="30"/>
      <c r="AQ306" s="1941">
        <v>23</v>
      </c>
    </row>
    <row r="307" spans="1:45" hidden="1" outlineLevel="2">
      <c r="A307" s="24" t="str">
        <f>$A$30</f>
        <v>4Q</v>
      </c>
      <c r="B307" s="29" t="str">
        <f>$B$30</f>
        <v>Jan</v>
      </c>
      <c r="C307" s="24"/>
      <c r="D307" s="1606">
        <f>(S307/S300-1)*100</f>
        <v>4.3219076005961199</v>
      </c>
      <c r="E307" s="24"/>
      <c r="F307" s="1607">
        <v>-1</v>
      </c>
      <c r="G307" s="24"/>
      <c r="H307" s="1606">
        <f>D307-F307</f>
        <v>5.3219076005961199</v>
      </c>
      <c r="I307" s="24"/>
      <c r="J307" s="1996">
        <f>'Store New'!E21</f>
        <v>462</v>
      </c>
      <c r="K307" s="1913"/>
      <c r="L307" s="1608">
        <f>AVERAGE(J307,J306)</f>
        <v>460.5</v>
      </c>
      <c r="M307" s="24"/>
      <c r="N307" s="1606">
        <f>(L307/L300-1)*100</f>
        <v>4.5402951191827468</v>
      </c>
      <c r="O307" s="30"/>
      <c r="P307" s="1609">
        <f t="shared" si="201"/>
        <v>117.21501490312953</v>
      </c>
      <c r="Q307" s="35"/>
      <c r="R307" s="24"/>
      <c r="S307" s="1918">
        <v>700</v>
      </c>
      <c r="T307" s="1918">
        <f t="shared" si="202"/>
        <v>671</v>
      </c>
      <c r="U307" s="1919"/>
      <c r="V307" s="24">
        <f>T307/L307</f>
        <v>1.4571118349619978</v>
      </c>
      <c r="W307" s="1586">
        <f>S307/L307</f>
        <v>1.5200868621064061</v>
      </c>
      <c r="X307" s="24">
        <f t="shared" si="203"/>
        <v>-4.3431053203040086</v>
      </c>
      <c r="Y307" s="1612">
        <f t="shared" si="203"/>
        <v>-0.20890271864799637</v>
      </c>
      <c r="Z307" s="30"/>
      <c r="AA307" s="1997">
        <f>'Store New'!E38</f>
        <v>3.9</v>
      </c>
      <c r="AB307" s="1597"/>
      <c r="AC307" s="1588">
        <f t="shared" si="206"/>
        <v>3.9</v>
      </c>
      <c r="AD307" s="1613"/>
      <c r="AE307" s="24">
        <f t="shared" si="204"/>
        <v>5.8869923742125962E-2</v>
      </c>
      <c r="AF307" s="1606"/>
      <c r="AG307" s="30"/>
      <c r="AH307" s="1608">
        <f>+H307/AE307</f>
        <v>90.401129512384358</v>
      </c>
      <c r="AI307" s="35"/>
      <c r="AJ307" s="1590">
        <f>T307</f>
        <v>671</v>
      </c>
      <c r="AK307" s="1590">
        <f>S307</f>
        <v>700</v>
      </c>
      <c r="AL307" s="1586">
        <f t="shared" si="205"/>
        <v>172.05128205128204</v>
      </c>
      <c r="AM307" s="1615"/>
      <c r="AN307" s="24"/>
      <c r="AO307" s="1612"/>
      <c r="AP307" s="30"/>
      <c r="AQ307" s="1941">
        <f>AQ308-SUM(AQ304:AQ306)</f>
        <v>29</v>
      </c>
    </row>
    <row r="308" spans="1:45" hidden="1" outlineLevel="2">
      <c r="A308" s="24"/>
      <c r="B308" s="29" t="str">
        <f>$B$31</f>
        <v>Year</v>
      </c>
      <c r="C308" s="24"/>
      <c r="D308" s="1581">
        <f>(S308/S301-1)*100</f>
        <v>8.5645933014353979</v>
      </c>
      <c r="E308" s="24"/>
      <c r="F308" s="1616">
        <v>6</v>
      </c>
      <c r="G308" s="24"/>
      <c r="H308" s="1581">
        <f>D308-F308</f>
        <v>2.5645933014353979</v>
      </c>
      <c r="I308" s="24"/>
      <c r="J308" s="1997"/>
      <c r="K308" s="24"/>
      <c r="L308" s="1583">
        <f>AVERAGE(L304:L307)</f>
        <v>448.125</v>
      </c>
      <c r="M308" s="24"/>
      <c r="N308" s="1581">
        <f>(L308/L301-1)*100</f>
        <v>8.3752093802336169E-2</v>
      </c>
      <c r="O308" s="30"/>
      <c r="P308" s="1584">
        <f t="shared" si="201"/>
        <v>3062.12440191419</v>
      </c>
      <c r="Q308" s="35"/>
      <c r="R308" s="24"/>
      <c r="S308" s="1590">
        <v>2269</v>
      </c>
      <c r="T308" s="1590">
        <f t="shared" si="202"/>
        <v>2178</v>
      </c>
      <c r="U308" s="1590"/>
      <c r="V308" s="24">
        <f>T308/L308</f>
        <v>4.8602510460251045</v>
      </c>
      <c r="W308" s="1586">
        <f>S308/L308</f>
        <v>5.0633193863319388</v>
      </c>
      <c r="X308" s="24">
        <f t="shared" si="203"/>
        <v>4.1233208544373401</v>
      </c>
      <c r="Y308" s="1587">
        <f t="shared" si="203"/>
        <v>8.4737442693840102</v>
      </c>
      <c r="Z308" s="30"/>
      <c r="AA308" s="1997"/>
      <c r="AB308" s="24"/>
      <c r="AC308" s="1588">
        <f>AVERAGE(AC304:AC307)</f>
        <v>3.7963143750000001</v>
      </c>
      <c r="AD308" s="1588"/>
      <c r="AE308" s="24">
        <f t="shared" si="204"/>
        <v>2.4996633959195824E-2</v>
      </c>
      <c r="AF308" s="1581"/>
      <c r="AG308" s="30"/>
      <c r="AH308" s="1589">
        <f>+H308/AE308</f>
        <v>102.59754595846009</v>
      </c>
      <c r="AI308" s="35"/>
      <c r="AJ308" s="1590">
        <f>T308</f>
        <v>2178</v>
      </c>
      <c r="AK308" s="1590">
        <f>S308</f>
        <v>2269</v>
      </c>
      <c r="AL308" s="1586">
        <f>AJ308/AC308</f>
        <v>573.71434103109539</v>
      </c>
      <c r="AM308" s="1591"/>
      <c r="AN308" s="24"/>
      <c r="AO308" s="1587"/>
      <c r="AP308" s="30"/>
      <c r="AQ308" s="1942">
        <v>91</v>
      </c>
    </row>
    <row r="309" spans="1:45" hidden="1" outlineLevel="2">
      <c r="A309" s="24"/>
      <c r="B309" s="29"/>
      <c r="C309" s="24"/>
      <c r="D309" s="24"/>
      <c r="E309" s="24"/>
      <c r="F309" s="1816"/>
      <c r="G309" s="24"/>
      <c r="H309" s="24"/>
      <c r="I309" s="24"/>
      <c r="J309" s="1997"/>
      <c r="K309" s="24"/>
      <c r="L309" s="24"/>
      <c r="M309" s="24"/>
      <c r="N309" s="24"/>
      <c r="O309" s="30"/>
      <c r="P309" s="24"/>
      <c r="Q309" s="24"/>
      <c r="R309" s="24"/>
      <c r="S309" s="24"/>
      <c r="T309" s="24"/>
      <c r="U309" s="24"/>
      <c r="V309" s="24"/>
      <c r="W309" s="24"/>
      <c r="X309" s="24"/>
      <c r="Y309" s="24"/>
      <c r="Z309" s="24"/>
      <c r="AA309" s="1997"/>
      <c r="AB309" s="24"/>
      <c r="AC309" s="24"/>
      <c r="AD309" s="24"/>
      <c r="AE309" s="24"/>
      <c r="AF309" s="24"/>
      <c r="AG309" s="30"/>
      <c r="AH309" s="24"/>
      <c r="AI309" s="24"/>
      <c r="AJ309" s="24"/>
      <c r="AK309" s="24"/>
      <c r="AL309" s="24"/>
      <c r="AM309" s="24"/>
      <c r="AN309" s="24"/>
      <c r="AO309" s="24"/>
      <c r="AP309" s="24"/>
      <c r="AQ309" s="1941"/>
    </row>
    <row r="310" spans="1:45" hidden="1" outlineLevel="2">
      <c r="A310" s="1579"/>
      <c r="B310" s="1580">
        <f>+B303+1</f>
        <v>2005</v>
      </c>
      <c r="C310" s="24"/>
      <c r="D310" s="24"/>
      <c r="E310" s="30"/>
      <c r="F310" s="1816"/>
      <c r="G310" s="30"/>
      <c r="H310" s="24"/>
      <c r="I310" s="30"/>
      <c r="J310" s="1997"/>
      <c r="K310" s="24"/>
      <c r="L310" s="24"/>
      <c r="M310" s="24"/>
      <c r="N310" s="24"/>
      <c r="O310" s="30"/>
      <c r="P310" s="35"/>
      <c r="Q310" s="35"/>
      <c r="R310" s="24"/>
      <c r="S310" s="24"/>
      <c r="T310" s="24"/>
      <c r="U310" s="24"/>
      <c r="V310" s="24"/>
      <c r="W310" s="24"/>
      <c r="X310" s="24"/>
      <c r="Y310" s="24"/>
      <c r="Z310" s="30"/>
      <c r="AA310" s="1997"/>
      <c r="AB310" s="24"/>
      <c r="AC310" s="24"/>
      <c r="AD310" s="24"/>
      <c r="AE310" s="24"/>
      <c r="AF310" s="24"/>
      <c r="AG310" s="30"/>
      <c r="AH310" s="35"/>
      <c r="AI310" s="35"/>
      <c r="AJ310" s="24"/>
      <c r="AK310" s="24"/>
      <c r="AL310" s="24"/>
      <c r="AM310" s="24"/>
      <c r="AN310" s="24"/>
      <c r="AO310" s="24"/>
      <c r="AP310" s="30"/>
      <c r="AQ310" s="1941"/>
    </row>
    <row r="311" spans="1:45" hidden="1" outlineLevel="2">
      <c r="A311" s="24" t="str">
        <f>$A$27</f>
        <v>1Q</v>
      </c>
      <c r="B311" s="29" t="str">
        <f>$B$27</f>
        <v>Apr</v>
      </c>
      <c r="C311" s="24"/>
      <c r="D311" s="1581">
        <f>(S311/S304-1)*100</f>
        <v>1.7892644135188762</v>
      </c>
      <c r="E311" s="30" t="s">
        <v>489</v>
      </c>
      <c r="F311" s="1616">
        <v>-4</v>
      </c>
      <c r="G311" s="30" t="s">
        <v>489</v>
      </c>
      <c r="H311" s="1581">
        <f>D311-F311</f>
        <v>5.7892644135188762</v>
      </c>
      <c r="I311" s="30" t="s">
        <v>489</v>
      </c>
      <c r="J311" s="1996">
        <f>'Store New'!F21</f>
        <v>462</v>
      </c>
      <c r="K311" s="1913"/>
      <c r="L311" s="1583">
        <f>AVERAGE(J311,J307)</f>
        <v>462</v>
      </c>
      <c r="M311" s="24"/>
      <c r="N311" s="1581">
        <f>(L311/L304-1)*100</f>
        <v>5.841924398625431</v>
      </c>
      <c r="O311" s="30" t="s">
        <v>489</v>
      </c>
      <c r="P311" s="1584">
        <f t="shared" ref="P311:P315" si="207">H311/N311*100</f>
        <v>99.098584960823089</v>
      </c>
      <c r="Q311" s="35" t="s">
        <v>489</v>
      </c>
      <c r="R311" s="24"/>
      <c r="S311" s="1916">
        <v>512</v>
      </c>
      <c r="T311" s="1916">
        <f t="shared" ref="T311:T315" si="208">S311-AQ311</f>
        <v>491</v>
      </c>
      <c r="U311" s="1916"/>
      <c r="V311" s="24">
        <f>T311/L311</f>
        <v>1.0627705627705628</v>
      </c>
      <c r="W311" s="1586">
        <f>S311/L311</f>
        <v>1.1082251082251082</v>
      </c>
      <c r="X311" s="24">
        <f t="shared" ref="X311:Y315" si="209">(V311/V304-1)*100</f>
        <v>-3.5552285552285623</v>
      </c>
      <c r="Y311" s="1587">
        <f t="shared" si="209"/>
        <v>-3.8289742067078025</v>
      </c>
      <c r="Z311" s="30" t="s">
        <v>489</v>
      </c>
      <c r="AA311" s="1997">
        <f>'Store New'!F38</f>
        <v>3.9</v>
      </c>
      <c r="AB311" s="1597"/>
      <c r="AC311" s="1588">
        <f>AVERAGE(AA311,AA307)</f>
        <v>3.9</v>
      </c>
      <c r="AD311" s="1588"/>
      <c r="AE311" s="24">
        <f t="shared" ref="AE311:AE315" si="210">AC311/AC304-1</f>
        <v>5.8270690718355445E-2</v>
      </c>
      <c r="AF311" s="1581"/>
      <c r="AG311" s="30" t="s">
        <v>489</v>
      </c>
      <c r="AH311" s="1589">
        <f>+H311/AE311</f>
        <v>99.351223439251939</v>
      </c>
      <c r="AI311" s="35" t="s">
        <v>489</v>
      </c>
      <c r="AJ311" s="1590">
        <f>T311</f>
        <v>491</v>
      </c>
      <c r="AK311" s="1590">
        <f>S311</f>
        <v>512</v>
      </c>
      <c r="AL311" s="1586">
        <f t="shared" ref="AL311:AL314" si="211">AJ311/AC311</f>
        <v>125.8974358974359</v>
      </c>
      <c r="AM311" s="1591"/>
      <c r="AN311" s="24"/>
      <c r="AO311" s="1587"/>
      <c r="AP311" s="30" t="s">
        <v>489</v>
      </c>
      <c r="AQ311" s="1941">
        <v>21</v>
      </c>
      <c r="AR311" s="1797">
        <f>AQ311/AQ304-1</f>
        <v>-4.5454545454545414E-2</v>
      </c>
    </row>
    <row r="312" spans="1:45" hidden="1" outlineLevel="1" collapsed="1">
      <c r="A312" s="24" t="str">
        <f>$A$28</f>
        <v>2Q</v>
      </c>
      <c r="B312" s="29" t="str">
        <f>$B$28</f>
        <v>Jul</v>
      </c>
      <c r="C312" s="24"/>
      <c r="D312" s="1581">
        <f>(S312/S305-1)*100</f>
        <v>0.7575757575757569</v>
      </c>
      <c r="E312" s="24"/>
      <c r="F312" s="1616">
        <v>-3</v>
      </c>
      <c r="G312" s="24"/>
      <c r="H312" s="1581">
        <f>D312-F312</f>
        <v>3.7575757575757569</v>
      </c>
      <c r="I312" s="24"/>
      <c r="J312" s="1996">
        <f>'Store New'!G21</f>
        <v>473</v>
      </c>
      <c r="K312" s="1913"/>
      <c r="L312" s="1583">
        <f>AVERAGE(J312,J311)</f>
        <v>467.5</v>
      </c>
      <c r="M312" s="24"/>
      <c r="N312" s="1581">
        <f>(L312/L305-1)*100</f>
        <v>5.6497175141242861</v>
      </c>
      <c r="O312" s="30"/>
      <c r="P312" s="1584">
        <f t="shared" si="207"/>
        <v>66.509090909090986</v>
      </c>
      <c r="Q312" s="35"/>
      <c r="R312" s="24"/>
      <c r="S312" s="1917">
        <v>532</v>
      </c>
      <c r="T312" s="1917">
        <f t="shared" si="208"/>
        <v>517</v>
      </c>
      <c r="U312" s="1917"/>
      <c r="V312" s="24">
        <f>T312/L312</f>
        <v>1.1058823529411765</v>
      </c>
      <c r="W312" s="1586">
        <f>S312/L312</f>
        <v>1.1379679144385026</v>
      </c>
      <c r="X312" s="24">
        <f t="shared" si="209"/>
        <v>-4.2362150339587785</v>
      </c>
      <c r="Y312" s="1587">
        <f t="shared" si="209"/>
        <v>-4.6305298979095859</v>
      </c>
      <c r="Z312" s="30"/>
      <c r="AA312" s="1997">
        <f>'Store New'!G38</f>
        <v>4</v>
      </c>
      <c r="AB312" s="1597"/>
      <c r="AC312" s="1588">
        <f>AVERAGE(AA312,AA311)</f>
        <v>3.95</v>
      </c>
      <c r="AD312" s="1588"/>
      <c r="AE312" s="24">
        <f t="shared" si="210"/>
        <v>5.3333333333333455E-2</v>
      </c>
      <c r="AF312" s="1581"/>
      <c r="AG312" s="30"/>
      <c r="AH312" s="1589">
        <f>+H312/AE312</f>
        <v>70.454545454545283</v>
      </c>
      <c r="AI312" s="35"/>
      <c r="AJ312" s="1590">
        <f>T312</f>
        <v>517</v>
      </c>
      <c r="AK312" s="1590">
        <f>S312</f>
        <v>532</v>
      </c>
      <c r="AL312" s="1586">
        <f t="shared" si="211"/>
        <v>130.8860759493671</v>
      </c>
      <c r="AM312" s="1604"/>
      <c r="AN312" s="24"/>
      <c r="AO312" s="1587"/>
      <c r="AP312" s="30"/>
      <c r="AQ312" s="1941">
        <v>15</v>
      </c>
      <c r="AR312" s="1797">
        <f t="shared" ref="AR312:AR315" si="212">AQ312/AQ305-1</f>
        <v>-0.11764705882352944</v>
      </c>
    </row>
    <row r="313" spans="1:45" hidden="1" outlineLevel="2">
      <c r="A313" s="24" t="str">
        <f>$A$29</f>
        <v>3Q</v>
      </c>
      <c r="B313" s="29" t="str">
        <f>$B$29</f>
        <v>Oct</v>
      </c>
      <c r="C313" s="24"/>
      <c r="D313" s="1581">
        <f>(S313/S306-1)*100</f>
        <v>0.92936802973977439</v>
      </c>
      <c r="E313" s="24"/>
      <c r="F313" s="1616">
        <v>-7</v>
      </c>
      <c r="G313" s="24"/>
      <c r="H313" s="1581">
        <f>D313-F313</f>
        <v>7.9293680297397744</v>
      </c>
      <c r="I313" s="24"/>
      <c r="J313" s="1996">
        <f>'Store New'!H21</f>
        <v>499</v>
      </c>
      <c r="K313" s="1913"/>
      <c r="L313" s="1583">
        <f>AVERAGE(J313,J312)</f>
        <v>486</v>
      </c>
      <c r="M313" s="24"/>
      <c r="N313" s="1581">
        <f>(L313/L306-1)*100</f>
        <v>7.2847682119205226</v>
      </c>
      <c r="O313" s="30"/>
      <c r="P313" s="1584">
        <f t="shared" si="207"/>
        <v>108.84859749915519</v>
      </c>
      <c r="Q313" s="35"/>
      <c r="R313" s="24"/>
      <c r="S313" s="1917">
        <v>543</v>
      </c>
      <c r="T313" s="1917">
        <f t="shared" si="208"/>
        <v>523</v>
      </c>
      <c r="U313" s="1917"/>
      <c r="V313" s="24">
        <f>T313/L313</f>
        <v>1.0761316872427984</v>
      </c>
      <c r="W313" s="1586">
        <f>S313/L313</f>
        <v>1.117283950617284</v>
      </c>
      <c r="X313" s="24">
        <f t="shared" si="209"/>
        <v>-5.3422030444684188</v>
      </c>
      <c r="Y313" s="1587">
        <f t="shared" si="209"/>
        <v>-5.9238606636376145</v>
      </c>
      <c r="Z313" s="30"/>
      <c r="AA313" s="1997">
        <f>'Store New'!H38</f>
        <v>4.0999999999999996</v>
      </c>
      <c r="AB313" s="1597"/>
      <c r="AC313" s="1588">
        <f t="shared" ref="AC313:AC314" si="213">AVERAGE(AA313,AA312)</f>
        <v>4.05</v>
      </c>
      <c r="AD313" s="1588"/>
      <c r="AE313" s="24">
        <f t="shared" si="210"/>
        <v>5.1948051948051965E-2</v>
      </c>
      <c r="AF313" s="1581"/>
      <c r="AG313" s="30"/>
      <c r="AH313" s="1589">
        <f>+H313/AE313</f>
        <v>152.64033457249062</v>
      </c>
      <c r="AI313" s="35"/>
      <c r="AJ313" s="1590">
        <f>T313</f>
        <v>523</v>
      </c>
      <c r="AK313" s="1590">
        <f>S313</f>
        <v>543</v>
      </c>
      <c r="AL313" s="1586">
        <f t="shared" si="211"/>
        <v>129.1358024691358</v>
      </c>
      <c r="AM313" s="1604"/>
      <c r="AN313" s="24"/>
      <c r="AO313" s="1587"/>
      <c r="AP313" s="30"/>
      <c r="AQ313" s="1941">
        <v>20</v>
      </c>
      <c r="AR313" s="1797">
        <f t="shared" si="212"/>
        <v>-0.13043478260869568</v>
      </c>
    </row>
    <row r="314" spans="1:45" hidden="1" outlineLevel="2">
      <c r="A314" s="24" t="str">
        <f>$A$30</f>
        <v>4Q</v>
      </c>
      <c r="B314" s="29" t="str">
        <f>$B$30</f>
        <v>Jan</v>
      </c>
      <c r="C314" s="24"/>
      <c r="D314" s="1606">
        <f>(S314/S307-1)*100</f>
        <v>2.0000000000000018</v>
      </c>
      <c r="E314" s="24"/>
      <c r="F314" s="1607">
        <v>-5</v>
      </c>
      <c r="G314" s="24"/>
      <c r="H314" s="1606">
        <f>D314-F314</f>
        <v>7.0000000000000018</v>
      </c>
      <c r="I314" s="24"/>
      <c r="J314" s="1996">
        <f>'Store New'!I21</f>
        <v>498</v>
      </c>
      <c r="K314" s="1913"/>
      <c r="L314" s="1608">
        <f>AVERAGE(J314,J313)</f>
        <v>498.5</v>
      </c>
      <c r="M314" s="24"/>
      <c r="N314" s="1606">
        <f>(L314/L307-1)*100</f>
        <v>8.2519001085776367</v>
      </c>
      <c r="O314" s="30"/>
      <c r="P314" s="1609">
        <f t="shared" si="207"/>
        <v>84.828947368421041</v>
      </c>
      <c r="Q314" s="35"/>
      <c r="R314" s="24"/>
      <c r="S314" s="1918">
        <f>S315-SUM(S311:S313)</f>
        <v>714</v>
      </c>
      <c r="T314" s="1918">
        <f t="shared" si="208"/>
        <v>679</v>
      </c>
      <c r="U314" s="1919"/>
      <c r="V314" s="24">
        <f>T314/L314</f>
        <v>1.3620862587763289</v>
      </c>
      <c r="W314" s="1586">
        <f>S314/L314</f>
        <v>1.4322968906720162</v>
      </c>
      <c r="X314" s="24">
        <f t="shared" si="209"/>
        <v>-6.5215019125932194</v>
      </c>
      <c r="Y314" s="1612">
        <f t="shared" si="209"/>
        <v>-5.7753259779337984</v>
      </c>
      <c r="Z314" s="30"/>
      <c r="AA314" s="1997">
        <f>'Store New'!I38</f>
        <v>4.2</v>
      </c>
      <c r="AB314" s="1597"/>
      <c r="AC314" s="1588">
        <f t="shared" si="213"/>
        <v>4.1500000000000004</v>
      </c>
      <c r="AD314" s="1613"/>
      <c r="AE314" s="24">
        <f t="shared" si="210"/>
        <v>6.4102564102564319E-2</v>
      </c>
      <c r="AF314" s="1606"/>
      <c r="AG314" s="30"/>
      <c r="AH314" s="1608">
        <f>+H314/AE314</f>
        <v>109.19999999999966</v>
      </c>
      <c r="AI314" s="35"/>
      <c r="AJ314" s="1590">
        <f>T314</f>
        <v>679</v>
      </c>
      <c r="AK314" s="1590">
        <f>S314</f>
        <v>714</v>
      </c>
      <c r="AL314" s="1586">
        <f t="shared" si="211"/>
        <v>163.6144578313253</v>
      </c>
      <c r="AM314" s="1615"/>
      <c r="AN314" s="24"/>
      <c r="AO314" s="1612"/>
      <c r="AP314" s="30"/>
      <c r="AQ314" s="1941">
        <f>AQ315-SUM(AQ311:AQ313)</f>
        <v>35</v>
      </c>
      <c r="AR314" s="1797">
        <f t="shared" si="212"/>
        <v>0.2068965517241379</v>
      </c>
    </row>
    <row r="315" spans="1:45" hidden="1" outlineLevel="2">
      <c r="A315" s="24"/>
      <c r="B315" s="29" t="str">
        <f>$B$31</f>
        <v>Year</v>
      </c>
      <c r="C315" s="24"/>
      <c r="D315" s="1581">
        <f>(S315/S308-1)*100</f>
        <v>1.4103129131776138</v>
      </c>
      <c r="E315" s="24"/>
      <c r="F315" s="1616">
        <v>-4.7804984696108441</v>
      </c>
      <c r="G315" s="24"/>
      <c r="H315" s="1581">
        <f>D315-F315</f>
        <v>6.1908113827884579</v>
      </c>
      <c r="I315" s="24"/>
      <c r="J315" s="1997"/>
      <c r="K315" s="24"/>
      <c r="L315" s="1583">
        <f>AVERAGE(L311:L314)</f>
        <v>478.5</v>
      </c>
      <c r="M315" s="24"/>
      <c r="N315" s="1581">
        <f>(L315/L308-1)*100</f>
        <v>6.7782426778242755</v>
      </c>
      <c r="O315" s="30"/>
      <c r="P315" s="1584">
        <f t="shared" si="207"/>
        <v>91.333575338669121</v>
      </c>
      <c r="Q315" s="35"/>
      <c r="R315" s="24"/>
      <c r="S315" s="1590">
        <v>2301</v>
      </c>
      <c r="T315" s="1590">
        <f t="shared" si="208"/>
        <v>2210</v>
      </c>
      <c r="U315" s="1590"/>
      <c r="V315" s="24">
        <f>T315/L315</f>
        <v>4.6185997910135841</v>
      </c>
      <c r="W315" s="1586">
        <f>S315/L315</f>
        <v>4.8087774294670842</v>
      </c>
      <c r="X315" s="24">
        <f t="shared" si="209"/>
        <v>-4.9719912145104512</v>
      </c>
      <c r="Y315" s="1587">
        <f t="shared" si="209"/>
        <v>-5.0271756024708232</v>
      </c>
      <c r="Z315" s="30"/>
      <c r="AA315" s="1997"/>
      <c r="AB315" s="24"/>
      <c r="AC315" s="1588">
        <f>AVERAGE(AC311:AC314)</f>
        <v>4.0124999999999993</v>
      </c>
      <c r="AD315" s="1588"/>
      <c r="AE315" s="24">
        <f t="shared" si="210"/>
        <v>5.694618612822322E-2</v>
      </c>
      <c r="AF315" s="1581"/>
      <c r="AG315" s="30"/>
      <c r="AH315" s="1589">
        <f>+H315/AE315</f>
        <v>108.71336262711046</v>
      </c>
      <c r="AI315" s="35"/>
      <c r="AJ315" s="1590">
        <f>T315</f>
        <v>2210</v>
      </c>
      <c r="AK315" s="1590">
        <f>S315</f>
        <v>2301</v>
      </c>
      <c r="AL315" s="1586">
        <f>AJ315/AC315</f>
        <v>550.77881619937705</v>
      </c>
      <c r="AM315" s="1591"/>
      <c r="AN315" s="24"/>
      <c r="AO315" s="1587"/>
      <c r="AP315" s="30"/>
      <c r="AQ315" s="1942">
        <v>91</v>
      </c>
      <c r="AR315" s="1797">
        <f t="shared" si="212"/>
        <v>0</v>
      </c>
    </row>
    <row r="316" spans="1:45" hidden="1" outlineLevel="2">
      <c r="A316" s="24"/>
      <c r="B316" s="29"/>
      <c r="C316" s="24"/>
      <c r="D316" s="24"/>
      <c r="E316" s="24"/>
      <c r="F316" s="1816"/>
      <c r="G316" s="24"/>
      <c r="H316" s="24"/>
      <c r="I316" s="24"/>
      <c r="J316" s="1997"/>
      <c r="K316" s="24"/>
      <c r="L316" s="24"/>
      <c r="M316" s="24"/>
      <c r="N316" s="24"/>
      <c r="O316" s="30"/>
      <c r="P316" s="24"/>
      <c r="Q316" s="24"/>
      <c r="R316" s="24"/>
      <c r="S316" s="1675"/>
      <c r="T316" s="1675"/>
      <c r="U316" s="1675"/>
      <c r="V316" s="24"/>
      <c r="W316" s="24"/>
      <c r="X316" s="24"/>
      <c r="Y316" s="24"/>
      <c r="Z316" s="24"/>
      <c r="AA316" s="1997"/>
      <c r="AB316" s="24"/>
      <c r="AC316" s="24"/>
      <c r="AD316" s="24"/>
      <c r="AE316" s="24"/>
      <c r="AF316" s="24"/>
      <c r="AG316" s="30"/>
      <c r="AH316" s="24"/>
      <c r="AI316" s="24"/>
      <c r="AJ316" s="24"/>
      <c r="AK316" s="24"/>
      <c r="AL316" s="24"/>
      <c r="AM316" s="24"/>
      <c r="AN316" s="24"/>
      <c r="AO316" s="24"/>
      <c r="AP316" s="24"/>
      <c r="AQ316" s="1941"/>
    </row>
    <row r="317" spans="1:45" hidden="1" outlineLevel="2">
      <c r="A317" s="1579"/>
      <c r="B317" s="1580">
        <f>+B310+1</f>
        <v>2006</v>
      </c>
      <c r="C317" s="24"/>
      <c r="D317" s="24"/>
      <c r="E317" s="30"/>
      <c r="F317" s="1816"/>
      <c r="G317" s="30"/>
      <c r="H317" s="24"/>
      <c r="I317" s="30"/>
      <c r="J317" s="1997"/>
      <c r="K317" s="24"/>
      <c r="L317" s="24"/>
      <c r="M317" s="24"/>
      <c r="N317" s="24"/>
      <c r="O317" s="30"/>
      <c r="P317" s="35"/>
      <c r="Q317" s="35"/>
      <c r="R317" s="24"/>
      <c r="S317" s="24"/>
      <c r="T317" s="24"/>
      <c r="U317" s="24"/>
      <c r="V317" s="24"/>
      <c r="W317" s="24"/>
      <c r="X317" s="24"/>
      <c r="Y317" s="24"/>
      <c r="Z317" s="30"/>
      <c r="AA317" s="1997"/>
      <c r="AB317" s="24"/>
      <c r="AC317" s="24"/>
      <c r="AD317" s="24"/>
      <c r="AE317" s="24"/>
      <c r="AF317" s="24"/>
      <c r="AG317" s="30"/>
      <c r="AH317" s="35"/>
      <c r="AI317" s="35"/>
      <c r="AJ317" s="24"/>
      <c r="AK317" s="24"/>
      <c r="AL317" s="24"/>
      <c r="AM317" s="24"/>
      <c r="AN317" s="24"/>
      <c r="AO317" s="24"/>
      <c r="AP317" s="30"/>
      <c r="AQ317" s="1941"/>
    </row>
    <row r="318" spans="1:45" hidden="1" outlineLevel="2">
      <c r="A318" s="24" t="str">
        <f>$A$27</f>
        <v>1Q</v>
      </c>
      <c r="B318" s="29" t="str">
        <f>$B$27</f>
        <v>Apr</v>
      </c>
      <c r="C318" s="24"/>
      <c r="D318" s="1581">
        <f>(S318/S311-1)*100</f>
        <v>3.125</v>
      </c>
      <c r="E318" s="30" t="s">
        <v>489</v>
      </c>
      <c r="F318" s="1616">
        <v>-5</v>
      </c>
      <c r="G318" s="30" t="s">
        <v>489</v>
      </c>
      <c r="H318" s="1581">
        <f>D318-F318</f>
        <v>8.125</v>
      </c>
      <c r="I318" s="30" t="s">
        <v>489</v>
      </c>
      <c r="J318" s="1996">
        <f>'Store New'!J21</f>
        <v>504</v>
      </c>
      <c r="K318" s="1913"/>
      <c r="L318" s="1583">
        <f>AVERAGE(J318,J314)</f>
        <v>501</v>
      </c>
      <c r="M318" s="24"/>
      <c r="N318" s="1581">
        <f>(L318/L311-1)*100</f>
        <v>8.441558441558449</v>
      </c>
      <c r="O318" s="30" t="s">
        <v>489</v>
      </c>
      <c r="P318" s="1584">
        <f t="shared" ref="P318:P322" si="214">H318/N318*100</f>
        <v>96.249999999999915</v>
      </c>
      <c r="Q318" s="35" t="s">
        <v>489</v>
      </c>
      <c r="R318" s="24"/>
      <c r="S318" s="1916">
        <f>518+10</f>
        <v>528</v>
      </c>
      <c r="T318" s="1916">
        <f t="shared" ref="T318:T322" si="215">S318-AQ318</f>
        <v>502</v>
      </c>
      <c r="U318" s="1916"/>
      <c r="V318" s="24">
        <f>T318/L318</f>
        <v>1.001996007984032</v>
      </c>
      <c r="W318" s="1586">
        <f>S318/L318</f>
        <v>1.0538922155688624</v>
      </c>
      <c r="X318" s="24">
        <f t="shared" ref="X318:Y322" si="216">(V318/V311-1)*100</f>
        <v>-5.7185018964108441</v>
      </c>
      <c r="Y318" s="1587">
        <f t="shared" si="216"/>
        <v>-4.9026946107784353</v>
      </c>
      <c r="Z318" s="30" t="s">
        <v>489</v>
      </c>
      <c r="AA318" s="1997">
        <f>'Store New'!J38</f>
        <v>4.2</v>
      </c>
      <c r="AB318" s="1597"/>
      <c r="AC318" s="1588">
        <f>AVERAGE(AA318,AA314)</f>
        <v>4.2</v>
      </c>
      <c r="AD318" s="1588"/>
      <c r="AE318" s="24">
        <f t="shared" ref="AE318:AE322" si="217">AC318/AC311-1</f>
        <v>7.6923076923077094E-2</v>
      </c>
      <c r="AF318" s="1581"/>
      <c r="AG318" s="30" t="s">
        <v>489</v>
      </c>
      <c r="AH318" s="1589">
        <f>+H318/AE318</f>
        <v>105.62499999999976</v>
      </c>
      <c r="AI318" s="35" t="s">
        <v>489</v>
      </c>
      <c r="AJ318" s="1590">
        <f>T318</f>
        <v>502</v>
      </c>
      <c r="AK318" s="1590">
        <f>S318</f>
        <v>528</v>
      </c>
      <c r="AL318" s="1586">
        <f t="shared" ref="AL318:AL321" si="218">AJ318/AC318</f>
        <v>119.52380952380952</v>
      </c>
      <c r="AM318" s="1591"/>
      <c r="AN318" s="24"/>
      <c r="AO318" s="1587"/>
      <c r="AP318" s="30" t="s">
        <v>489</v>
      </c>
      <c r="AQ318" s="1943">
        <v>26</v>
      </c>
      <c r="AR318" s="1797">
        <f>AQ318/AQ311-1</f>
        <v>0.23809523809523814</v>
      </c>
    </row>
    <row r="319" spans="1:45" hidden="1" outlineLevel="1" collapsed="1">
      <c r="A319" s="24" t="str">
        <f>$A$28</f>
        <v>2Q</v>
      </c>
      <c r="B319" s="29" t="str">
        <f>$B$28</f>
        <v>Jul</v>
      </c>
      <c r="C319" s="24"/>
      <c r="D319" s="1581">
        <f>(S319/S312-1)*100</f>
        <v>10.150375939849621</v>
      </c>
      <c r="E319" s="24"/>
      <c r="F319" s="1616">
        <v>-1</v>
      </c>
      <c r="G319" s="24"/>
      <c r="H319" s="1581">
        <f>D319-F319</f>
        <v>11.150375939849621</v>
      </c>
      <c r="I319" s="24"/>
      <c r="J319" s="1996">
        <f>'Store New'!K21</f>
        <v>511</v>
      </c>
      <c r="K319" s="1913"/>
      <c r="L319" s="1583">
        <f>AVERAGE(J319,J318)</f>
        <v>507.5</v>
      </c>
      <c r="M319" s="24"/>
      <c r="N319" s="1581">
        <f>(L319/L312-1)*100</f>
        <v>8.5561497326203106</v>
      </c>
      <c r="O319" s="30"/>
      <c r="P319" s="1584">
        <f t="shared" si="214"/>
        <v>130.3200187969926</v>
      </c>
      <c r="Q319" s="35"/>
      <c r="R319" s="24"/>
      <c r="S319" s="1917">
        <f>571+15</f>
        <v>586</v>
      </c>
      <c r="T319" s="1917">
        <f t="shared" si="215"/>
        <v>564</v>
      </c>
      <c r="U319" s="1917"/>
      <c r="V319" s="24">
        <f>T319/L319</f>
        <v>1.1113300492610838</v>
      </c>
      <c r="W319" s="1586">
        <f>S319/L319</f>
        <v>1.1546798029556651</v>
      </c>
      <c r="X319" s="24">
        <f t="shared" si="216"/>
        <v>0.49261083743843415</v>
      </c>
      <c r="Y319" s="1587">
        <f t="shared" si="216"/>
        <v>1.4685729101077794</v>
      </c>
      <c r="Z319" s="30"/>
      <c r="AA319" s="1997">
        <f>'Store New'!K38</f>
        <v>4.3</v>
      </c>
      <c r="AB319" s="1597"/>
      <c r="AC319" s="1588">
        <f>AVERAGE(AA319,AA318)</f>
        <v>4.25</v>
      </c>
      <c r="AD319" s="1588"/>
      <c r="AE319" s="24">
        <f t="shared" si="217"/>
        <v>7.5949367088607556E-2</v>
      </c>
      <c r="AF319" s="1581"/>
      <c r="AG319" s="30"/>
      <c r="AH319" s="1589">
        <f>+H319/AE319</f>
        <v>146.8132832080201</v>
      </c>
      <c r="AI319" s="35"/>
      <c r="AJ319" s="1590">
        <f>T319</f>
        <v>564</v>
      </c>
      <c r="AK319" s="1590">
        <f>S319</f>
        <v>586</v>
      </c>
      <c r="AL319" s="1586">
        <f t="shared" si="218"/>
        <v>132.70588235294119</v>
      </c>
      <c r="AM319" s="1604"/>
      <c r="AN319" s="24"/>
      <c r="AO319" s="1587"/>
      <c r="AP319" s="30"/>
      <c r="AQ319" s="1941">
        <v>22</v>
      </c>
      <c r="AR319" s="1797">
        <f t="shared" ref="AR319:AR322" si="219">AQ319/AQ312-1</f>
        <v>0.46666666666666656</v>
      </c>
    </row>
    <row r="320" spans="1:45" hidden="1" outlineLevel="1">
      <c r="A320" s="24" t="str">
        <f>$A$29</f>
        <v>3Q</v>
      </c>
      <c r="B320" s="29" t="str">
        <f>$B$29</f>
        <v>Oct</v>
      </c>
      <c r="C320" s="24"/>
      <c r="D320" s="1581">
        <f>(S320/S313-1)*100</f>
        <v>11.786372007366474</v>
      </c>
      <c r="E320" s="24"/>
      <c r="F320" s="1616">
        <v>3</v>
      </c>
      <c r="G320" s="24"/>
      <c r="H320" s="1581">
        <f>D320-F320</f>
        <v>8.7863720073664737</v>
      </c>
      <c r="I320" s="24"/>
      <c r="J320" s="1996">
        <f>'Store New'!L21</f>
        <v>527</v>
      </c>
      <c r="K320" s="1913"/>
      <c r="L320" s="1583">
        <f>AVERAGE(J320,J319)</f>
        <v>519</v>
      </c>
      <c r="M320" s="24"/>
      <c r="N320" s="1581">
        <f>(L320/L313-1)*100</f>
        <v>6.7901234567901314</v>
      </c>
      <c r="O320" s="30"/>
      <c r="P320" s="1584">
        <f t="shared" si="214"/>
        <v>129.39929683576062</v>
      </c>
      <c r="Q320" s="35"/>
      <c r="R320" s="24"/>
      <c r="S320" s="1917">
        <f>590+17</f>
        <v>607</v>
      </c>
      <c r="T320" s="1917">
        <f t="shared" si="215"/>
        <v>580</v>
      </c>
      <c r="U320" s="1917"/>
      <c r="V320" s="24">
        <f>T320/L320</f>
        <v>1.117533718689788</v>
      </c>
      <c r="W320" s="1586">
        <f>S320/L320</f>
        <v>1.1695568400770713</v>
      </c>
      <c r="X320" s="24">
        <f t="shared" si="216"/>
        <v>3.847301583792917</v>
      </c>
      <c r="Y320" s="1587">
        <f t="shared" si="216"/>
        <v>4.6785680068980762</v>
      </c>
      <c r="Z320" s="30"/>
      <c r="AA320" s="1997">
        <f>'Store New'!L38</f>
        <v>4.5</v>
      </c>
      <c r="AB320" s="1597"/>
      <c r="AC320" s="1588">
        <f t="shared" ref="AC320:AC321" si="220">AVERAGE(AA320,AA319)</f>
        <v>4.4000000000000004</v>
      </c>
      <c r="AD320" s="1588"/>
      <c r="AE320" s="24">
        <f t="shared" si="217"/>
        <v>8.6419753086419915E-2</v>
      </c>
      <c r="AF320" s="1581"/>
      <c r="AG320" s="30"/>
      <c r="AH320" s="1589">
        <f>+H320/AE320</f>
        <v>101.67087608524044</v>
      </c>
      <c r="AI320" s="35"/>
      <c r="AJ320" s="1590">
        <f>T320</f>
        <v>580</v>
      </c>
      <c r="AK320" s="1590">
        <f>S320</f>
        <v>607</v>
      </c>
      <c r="AL320" s="1586">
        <f t="shared" si="218"/>
        <v>131.81818181818181</v>
      </c>
      <c r="AM320" s="1604"/>
      <c r="AN320" s="24"/>
      <c r="AO320" s="1587"/>
      <c r="AP320" s="30"/>
      <c r="AQ320" s="1941">
        <v>27</v>
      </c>
      <c r="AR320" s="1797">
        <f t="shared" si="219"/>
        <v>0.35000000000000009</v>
      </c>
    </row>
    <row r="321" spans="1:44" hidden="1" outlineLevel="1">
      <c r="A321" s="24" t="str">
        <f>$A$30</f>
        <v>4Q</v>
      </c>
      <c r="B321" s="29" t="str">
        <f>$B$30</f>
        <v>Jan</v>
      </c>
      <c r="C321" s="24"/>
      <c r="D321" s="1606">
        <f>(S321/S314-1)*100</f>
        <v>15.826330532212896</v>
      </c>
      <c r="E321" s="24"/>
      <c r="F321" s="1607">
        <v>3</v>
      </c>
      <c r="G321" s="24"/>
      <c r="H321" s="1606">
        <f>D321-F321</f>
        <v>12.826330532212896</v>
      </c>
      <c r="I321" s="24"/>
      <c r="J321" s="1996">
        <f>'Store New'!M21</f>
        <v>534</v>
      </c>
      <c r="K321" s="1913"/>
      <c r="L321" s="1608">
        <f>AVERAGE(J321,J320)</f>
        <v>530.5</v>
      </c>
      <c r="M321" s="24"/>
      <c r="N321" s="1606">
        <f>(L321/L314-1)*100</f>
        <v>6.419257773319953</v>
      </c>
      <c r="O321" s="30"/>
      <c r="P321" s="1609">
        <f t="shared" si="214"/>
        <v>199.81018032212924</v>
      </c>
      <c r="Q321" s="35"/>
      <c r="R321" s="24"/>
      <c r="S321" s="1918">
        <f>S322-SUM(S318:S320)</f>
        <v>827</v>
      </c>
      <c r="T321" s="1918">
        <f t="shared" si="215"/>
        <v>785</v>
      </c>
      <c r="U321" s="1919"/>
      <c r="V321" s="24">
        <f>T321/L321</f>
        <v>1.4797360980207352</v>
      </c>
      <c r="W321" s="1586">
        <f>S321/L321</f>
        <v>1.5589066918001886</v>
      </c>
      <c r="X321" s="24">
        <f t="shared" si="216"/>
        <v>8.637473470299927</v>
      </c>
      <c r="Y321" s="1612">
        <f t="shared" si="216"/>
        <v>8.839633874284857</v>
      </c>
      <c r="Z321" s="30"/>
      <c r="AA321" s="1997">
        <f>'Store New'!M38</f>
        <v>4.5999999999999996</v>
      </c>
      <c r="AB321" s="1597"/>
      <c r="AC321" s="1588">
        <f t="shared" si="220"/>
        <v>4.55</v>
      </c>
      <c r="AD321" s="1613"/>
      <c r="AE321" s="24">
        <f t="shared" si="217"/>
        <v>9.6385542168674565E-2</v>
      </c>
      <c r="AF321" s="1606"/>
      <c r="AG321" s="30"/>
      <c r="AH321" s="1608">
        <f>+H321/AE321</f>
        <v>133.07317927170899</v>
      </c>
      <c r="AI321" s="35"/>
      <c r="AJ321" s="1590">
        <f>T321</f>
        <v>785</v>
      </c>
      <c r="AK321" s="1590">
        <f>S321</f>
        <v>827</v>
      </c>
      <c r="AL321" s="1586">
        <f t="shared" si="218"/>
        <v>172.52747252747253</v>
      </c>
      <c r="AM321" s="1615"/>
      <c r="AN321" s="24"/>
      <c r="AO321" s="1612"/>
      <c r="AP321" s="30"/>
      <c r="AQ321" s="1944">
        <f>AQ322-SUM(AQ318:AQ320)</f>
        <v>42</v>
      </c>
      <c r="AR321" s="1797">
        <f t="shared" si="219"/>
        <v>0.19999999999999996</v>
      </c>
    </row>
    <row r="322" spans="1:44" hidden="1" outlineLevel="1">
      <c r="A322" s="24"/>
      <c r="B322" s="29" t="str">
        <f>$B$31</f>
        <v>Year</v>
      </c>
      <c r="C322" s="24"/>
      <c r="D322" s="1581">
        <f>(S322/S315-1)*100</f>
        <v>10.734463276836159</v>
      </c>
      <c r="E322" s="24"/>
      <c r="F322" s="1616">
        <v>0.41535987133092089</v>
      </c>
      <c r="G322" s="24"/>
      <c r="H322" s="1581">
        <f>D322-F322</f>
        <v>10.319103405505238</v>
      </c>
      <c r="I322" s="24"/>
      <c r="J322" s="1997"/>
      <c r="K322" s="24"/>
      <c r="L322" s="1583">
        <f>AVERAGE(L318:L321)</f>
        <v>514.5</v>
      </c>
      <c r="M322" s="24"/>
      <c r="N322" s="1581">
        <f>(L322/L315-1)*100</f>
        <v>7.5235109717868287</v>
      </c>
      <c r="O322" s="30"/>
      <c r="P322" s="1584">
        <f t="shared" si="214"/>
        <v>137.15808276484057</v>
      </c>
      <c r="Q322" s="35"/>
      <c r="R322" s="24"/>
      <c r="S322" s="1590">
        <v>2548</v>
      </c>
      <c r="T322" s="1590">
        <f t="shared" si="215"/>
        <v>2431</v>
      </c>
      <c r="U322" s="1590"/>
      <c r="V322" s="24">
        <f>T322/L322</f>
        <v>4.7249757045675409</v>
      </c>
      <c r="W322" s="1586">
        <f>S322/L322</f>
        <v>4.9523809523809526</v>
      </c>
      <c r="X322" s="24">
        <f t="shared" si="216"/>
        <v>2.3032069970845503</v>
      </c>
      <c r="Y322" s="1587">
        <f t="shared" si="216"/>
        <v>2.9862792574657071</v>
      </c>
      <c r="Z322" s="30"/>
      <c r="AA322" s="1997"/>
      <c r="AB322" s="24"/>
      <c r="AC322" s="1588">
        <f>AVERAGE(AC318:AC321)</f>
        <v>4.3499999999999996</v>
      </c>
      <c r="AD322" s="1588"/>
      <c r="AE322" s="24">
        <f t="shared" si="217"/>
        <v>8.4112149532710401E-2</v>
      </c>
      <c r="AF322" s="1581"/>
      <c r="AG322" s="30"/>
      <c r="AH322" s="1589">
        <f>+H322/AE322</f>
        <v>122.68267382100655</v>
      </c>
      <c r="AI322" s="35"/>
      <c r="AJ322" s="1590">
        <f>T322</f>
        <v>2431</v>
      </c>
      <c r="AK322" s="1590">
        <f>S322</f>
        <v>2548</v>
      </c>
      <c r="AL322" s="1586">
        <f>AJ322/AC322</f>
        <v>558.85057471264372</v>
      </c>
      <c r="AM322" s="1591"/>
      <c r="AN322" s="24"/>
      <c r="AO322" s="1587"/>
      <c r="AP322" s="30"/>
      <c r="AQ322" s="1941">
        <v>117</v>
      </c>
      <c r="AR322" s="1797">
        <f t="shared" si="219"/>
        <v>0.28571428571428581</v>
      </c>
    </row>
    <row r="323" spans="1:44" collapsed="1">
      <c r="A323" s="24"/>
      <c r="B323" s="29"/>
      <c r="C323" s="24"/>
      <c r="D323" s="1581"/>
      <c r="E323" s="24"/>
      <c r="F323" s="1616"/>
      <c r="G323" s="24"/>
      <c r="H323" s="1581"/>
      <c r="I323" s="24"/>
      <c r="J323" s="1997"/>
      <c r="K323" s="24"/>
      <c r="L323" s="1583"/>
      <c r="M323" s="24"/>
      <c r="N323" s="1581"/>
      <c r="O323" s="30"/>
      <c r="P323" s="1584"/>
      <c r="Q323" s="35"/>
      <c r="R323" s="24"/>
      <c r="S323" s="1590"/>
      <c r="T323" s="1590"/>
      <c r="U323" s="1590"/>
      <c r="V323" s="24"/>
      <c r="W323" s="1586"/>
      <c r="X323" s="24"/>
      <c r="Y323" s="1587"/>
      <c r="Z323" s="30"/>
      <c r="AA323" s="1997"/>
      <c r="AB323" s="24"/>
      <c r="AC323" s="24"/>
      <c r="AD323" s="1588"/>
      <c r="AE323" s="24"/>
      <c r="AF323" s="1581"/>
      <c r="AG323" s="30"/>
      <c r="AH323" s="1589"/>
      <c r="AI323" s="35"/>
      <c r="AJ323" s="24"/>
      <c r="AK323" s="1590"/>
      <c r="AL323" s="24"/>
      <c r="AM323" s="1591"/>
      <c r="AN323" s="24"/>
      <c r="AO323" s="1587"/>
      <c r="AP323" s="30"/>
      <c r="AQ323" s="1941"/>
    </row>
    <row r="324" spans="1:44">
      <c r="A324" s="1579"/>
      <c r="B324" s="1580">
        <f>+B317+1</f>
        <v>2007</v>
      </c>
      <c r="C324" s="24"/>
      <c r="D324" s="24"/>
      <c r="E324" s="30"/>
      <c r="F324" s="1816"/>
      <c r="G324" s="30"/>
      <c r="H324" s="24"/>
      <c r="I324" s="30"/>
      <c r="J324" s="1997"/>
      <c r="K324" s="24"/>
      <c r="L324" s="24"/>
      <c r="M324" s="24"/>
      <c r="N324" s="24"/>
      <c r="O324" s="30"/>
      <c r="P324" s="35"/>
      <c r="Q324" s="35"/>
      <c r="R324" s="24"/>
      <c r="S324" s="24"/>
      <c r="T324" s="24"/>
      <c r="U324" s="24"/>
      <c r="V324" s="24"/>
      <c r="W324" s="24"/>
      <c r="X324" s="24"/>
      <c r="Y324" s="24"/>
      <c r="Z324" s="30"/>
      <c r="AA324" s="1997"/>
      <c r="AB324" s="24"/>
      <c r="AC324" s="24"/>
      <c r="AD324" s="24"/>
      <c r="AE324" s="24"/>
      <c r="AF324" s="24"/>
      <c r="AG324" s="30"/>
      <c r="AH324" s="35"/>
      <c r="AI324" s="35"/>
      <c r="AJ324" s="24"/>
      <c r="AK324" s="24"/>
      <c r="AL324" s="24"/>
      <c r="AM324" s="24"/>
      <c r="AN324" s="24"/>
      <c r="AO324" s="24"/>
      <c r="AP324" s="30"/>
      <c r="AQ324" s="1941"/>
    </row>
    <row r="325" spans="1:44">
      <c r="A325" s="24" t="str">
        <f>$A$27</f>
        <v>1Q</v>
      </c>
      <c r="B325" s="29" t="str">
        <f>$B$27</f>
        <v>Apr</v>
      </c>
      <c r="C325" s="24"/>
      <c r="D325" s="1581">
        <f>(S325/S318-1)*100</f>
        <v>9.2803030303030276</v>
      </c>
      <c r="E325" s="30" t="s">
        <v>489</v>
      </c>
      <c r="F325" s="1616">
        <v>-2</v>
      </c>
      <c r="G325" s="30" t="s">
        <v>489</v>
      </c>
      <c r="H325" s="1581">
        <f>D325-F325</f>
        <v>11.280303030303028</v>
      </c>
      <c r="I325" s="30" t="s">
        <v>489</v>
      </c>
      <c r="J325" s="1996">
        <f>'Store New'!N21</f>
        <v>543</v>
      </c>
      <c r="K325" s="1913"/>
      <c r="L325" s="1583">
        <f>AVERAGE(J325,J321)</f>
        <v>538.5</v>
      </c>
      <c r="M325" s="24"/>
      <c r="N325" s="1581">
        <f>(L325/L318-1)*100</f>
        <v>7.4850299401197695</v>
      </c>
      <c r="O325" s="30" t="s">
        <v>489</v>
      </c>
      <c r="P325" s="1584">
        <f t="shared" ref="P325:P329" si="221">H325/N325*100</f>
        <v>150.70484848484827</v>
      </c>
      <c r="Q325" s="35" t="s">
        <v>489</v>
      </c>
      <c r="R325" s="24"/>
      <c r="S325" s="1916">
        <f>559+18</f>
        <v>577</v>
      </c>
      <c r="T325" s="1595">
        <f t="shared" ref="T325:T329" si="222">S325-AQ325</f>
        <v>548</v>
      </c>
      <c r="U325" s="1916"/>
      <c r="V325" s="24">
        <f>T325/L325</f>
        <v>1.0176415970287838</v>
      </c>
      <c r="W325" s="1586">
        <f>S325/L325</f>
        <v>1.0714948932219128</v>
      </c>
      <c r="X325" s="24">
        <f t="shared" ref="X325:Y329" si="223">(V325/V318-1)*100</f>
        <v>1.5614422532710392</v>
      </c>
      <c r="Y325" s="1587">
        <f t="shared" si="223"/>
        <v>1.670254072761046</v>
      </c>
      <c r="Z325" s="30" t="s">
        <v>489</v>
      </c>
      <c r="AA325" s="1997">
        <f>'Store New'!N38</f>
        <v>4.5999999999999996</v>
      </c>
      <c r="AB325" s="1597"/>
      <c r="AC325" s="1588">
        <f>AVERAGE(AA325,AA321)</f>
        <v>4.5999999999999996</v>
      </c>
      <c r="AD325" s="1588"/>
      <c r="AE325" s="24">
        <f t="shared" ref="AE325:AE329" si="224">AC325/AC318-1</f>
        <v>9.5238095238095122E-2</v>
      </c>
      <c r="AF325" s="1581"/>
      <c r="AG325" s="30" t="s">
        <v>489</v>
      </c>
      <c r="AH325" s="1589">
        <f t="shared" ref="AH325:AH329" si="225">IFERROR(H325/AE325, "NM")</f>
        <v>118.44318181818194</v>
      </c>
      <c r="AI325" s="35" t="s">
        <v>489</v>
      </c>
      <c r="AJ325" s="1590">
        <f>T325</f>
        <v>548</v>
      </c>
      <c r="AK325" s="1590">
        <f>S325</f>
        <v>577</v>
      </c>
      <c r="AL325" s="1586">
        <f t="shared" ref="AL325:AL328" si="226">AJ325/AC325</f>
        <v>119.1304347826087</v>
      </c>
      <c r="AM325" s="1591"/>
      <c r="AN325" s="24"/>
      <c r="AO325" s="1587"/>
      <c r="AP325" s="30" t="s">
        <v>489</v>
      </c>
      <c r="AQ325" s="1945">
        <v>29</v>
      </c>
      <c r="AR325" s="1797">
        <f>AQ325/AQ318-1</f>
        <v>0.11538461538461542</v>
      </c>
    </row>
    <row r="326" spans="1:44">
      <c r="A326" s="24" t="str">
        <f>$A$28</f>
        <v>2Q</v>
      </c>
      <c r="B326" s="29" t="str">
        <f>$B$28</f>
        <v>Jul</v>
      </c>
      <c r="C326" s="24"/>
      <c r="D326" s="1581">
        <f>(S326/S319-1)*100</f>
        <v>10.238907849829349</v>
      </c>
      <c r="E326" s="24"/>
      <c r="F326" s="1616">
        <v>4</v>
      </c>
      <c r="G326" s="24"/>
      <c r="H326" s="1581">
        <f>D326-F326</f>
        <v>6.2389078498293493</v>
      </c>
      <c r="I326" s="24"/>
      <c r="J326" s="1996">
        <f>'Store New'!O21</f>
        <v>551</v>
      </c>
      <c r="K326" s="1913"/>
      <c r="L326" s="1583">
        <f>AVERAGE(J326,J325)</f>
        <v>547</v>
      </c>
      <c r="M326" s="24"/>
      <c r="N326" s="1581">
        <f>(L326/L319-1)*100</f>
        <v>7.7832512315270996</v>
      </c>
      <c r="O326" s="30"/>
      <c r="P326" s="1584">
        <f t="shared" si="221"/>
        <v>80.158119842744114</v>
      </c>
      <c r="Q326" s="35"/>
      <c r="R326" s="24"/>
      <c r="S326" s="1917">
        <f>623+23</f>
        <v>646</v>
      </c>
      <c r="T326" s="1927">
        <f t="shared" si="222"/>
        <v>619</v>
      </c>
      <c r="U326" s="1917"/>
      <c r="V326" s="24">
        <f>T326/L326</f>
        <v>1.1316270566727604</v>
      </c>
      <c r="W326" s="1586">
        <f>S326/L326</f>
        <v>1.1809872029250457</v>
      </c>
      <c r="X326" s="24">
        <f t="shared" si="223"/>
        <v>1.8263707910329607</v>
      </c>
      <c r="Y326" s="1587">
        <f t="shared" si="223"/>
        <v>2.2783285809659715</v>
      </c>
      <c r="Z326" s="30"/>
      <c r="AA326" s="1997">
        <f>'Store New'!O38</f>
        <v>4.5999999999999996</v>
      </c>
      <c r="AB326" s="1597"/>
      <c r="AC326" s="1588">
        <f>AVERAGE(AA326,AA325)</f>
        <v>4.5999999999999996</v>
      </c>
      <c r="AD326" s="1588"/>
      <c r="AE326" s="24">
        <f t="shared" si="224"/>
        <v>8.2352941176470518E-2</v>
      </c>
      <c r="AF326" s="1581"/>
      <c r="AG326" s="30"/>
      <c r="AH326" s="1589">
        <f t="shared" si="225"/>
        <v>75.758166747927874</v>
      </c>
      <c r="AI326" s="35"/>
      <c r="AJ326" s="1590">
        <f>T326</f>
        <v>619</v>
      </c>
      <c r="AK326" s="1590">
        <f>S326</f>
        <v>646</v>
      </c>
      <c r="AL326" s="1586">
        <f t="shared" si="226"/>
        <v>134.56521739130434</v>
      </c>
      <c r="AM326" s="1604"/>
      <c r="AN326" s="24"/>
      <c r="AO326" s="1587"/>
      <c r="AP326" s="30"/>
      <c r="AQ326" s="1945">
        <v>27</v>
      </c>
      <c r="AR326" s="1797">
        <f t="shared" ref="AR326:AR329" si="227">AQ326/AQ319-1</f>
        <v>0.22727272727272729</v>
      </c>
    </row>
    <row r="327" spans="1:44">
      <c r="A327" s="24" t="str">
        <f>$A$29</f>
        <v>3Q</v>
      </c>
      <c r="B327" s="29" t="str">
        <f>$B$29</f>
        <v>Oct</v>
      </c>
      <c r="C327" s="24"/>
      <c r="D327" s="1581">
        <f>(S327/S320-1)*100</f>
        <v>9.55518945634266</v>
      </c>
      <c r="E327" s="24"/>
      <c r="F327" s="1616">
        <v>1</v>
      </c>
      <c r="G327" s="24"/>
      <c r="H327" s="1581">
        <f>D327-F327</f>
        <v>8.55518945634266</v>
      </c>
      <c r="I327" s="24"/>
      <c r="J327" s="1996">
        <f>'Store New'!P21</f>
        <v>570</v>
      </c>
      <c r="K327" s="1913"/>
      <c r="L327" s="1583">
        <f>AVERAGE(J327,J326)</f>
        <v>560.5</v>
      </c>
      <c r="M327" s="24"/>
      <c r="N327" s="1581">
        <f>(L327/L320-1)*100</f>
        <v>7.9961464354527889</v>
      </c>
      <c r="O327" s="30"/>
      <c r="P327" s="1584">
        <f t="shared" si="221"/>
        <v>106.99140549016491</v>
      </c>
      <c r="Q327" s="35"/>
      <c r="R327" s="24"/>
      <c r="S327" s="1917">
        <f>643+22</f>
        <v>665</v>
      </c>
      <c r="T327" s="1927">
        <f t="shared" si="222"/>
        <v>629</v>
      </c>
      <c r="U327" s="1917"/>
      <c r="V327" s="24">
        <f>T327/L327</f>
        <v>1.1222123104371098</v>
      </c>
      <c r="W327" s="1586">
        <f>S327/L327</f>
        <v>1.1864406779661016</v>
      </c>
      <c r="X327" s="24">
        <f t="shared" si="223"/>
        <v>0.41865329601034063</v>
      </c>
      <c r="Y327" s="1587">
        <f t="shared" si="223"/>
        <v>1.4436098623404892</v>
      </c>
      <c r="Z327" s="30"/>
      <c r="AA327" s="1997">
        <f>'Store New'!P38</f>
        <v>4.8</v>
      </c>
      <c r="AB327" s="1597"/>
      <c r="AC327" s="1588">
        <f t="shared" ref="AC327:AC328" si="228">AVERAGE(AA327,AA326)</f>
        <v>4.6999999999999993</v>
      </c>
      <c r="AD327" s="1588"/>
      <c r="AE327" s="24">
        <f t="shared" si="224"/>
        <v>6.8181818181817899E-2</v>
      </c>
      <c r="AF327" s="1581"/>
      <c r="AG327" s="30"/>
      <c r="AH327" s="1589">
        <f t="shared" si="225"/>
        <v>125.47611202635953</v>
      </c>
      <c r="AI327" s="35"/>
      <c r="AJ327" s="1590">
        <f>T327</f>
        <v>629</v>
      </c>
      <c r="AK327" s="1590">
        <f>S327</f>
        <v>665</v>
      </c>
      <c r="AL327" s="1586">
        <f t="shared" si="226"/>
        <v>133.82978723404258</v>
      </c>
      <c r="AM327" s="1604"/>
      <c r="AN327" s="24"/>
      <c r="AO327" s="1587"/>
      <c r="AP327" s="30"/>
      <c r="AQ327" s="1945">
        <v>36</v>
      </c>
      <c r="AR327" s="1797">
        <f t="shared" si="227"/>
        <v>0.33333333333333326</v>
      </c>
    </row>
    <row r="328" spans="1:44">
      <c r="A328" s="24" t="str">
        <f>$A$30</f>
        <v>4Q</v>
      </c>
      <c r="B328" s="29" t="str">
        <f>$B$30</f>
        <v>Jan</v>
      </c>
      <c r="C328" s="24"/>
      <c r="D328" s="1606">
        <f>(S328/S321-1)*100</f>
        <v>0.96735187424425995</v>
      </c>
      <c r="E328" s="24"/>
      <c r="F328" s="1607">
        <v>2</v>
      </c>
      <c r="G328" s="24"/>
      <c r="H328" s="1606">
        <f>D328-F328</f>
        <v>-1.0326481257557401</v>
      </c>
      <c r="I328" s="24"/>
      <c r="J328" s="1996">
        <f>'Store New'!Q21</f>
        <v>576</v>
      </c>
      <c r="K328" s="1913"/>
      <c r="L328" s="1608">
        <f>AVERAGE(J328,J327)</f>
        <v>573</v>
      </c>
      <c r="M328" s="24"/>
      <c r="N328" s="1606">
        <f>(L328/L321-1)*100</f>
        <v>8.0113100848256291</v>
      </c>
      <c r="O328" s="30"/>
      <c r="P328" s="1609">
        <f t="shared" si="221"/>
        <v>-12.889878369727542</v>
      </c>
      <c r="Q328" s="35"/>
      <c r="R328" s="24"/>
      <c r="S328" s="1918">
        <f>S329-SUM(S325:S327)</f>
        <v>835</v>
      </c>
      <c r="T328" s="1610">
        <f t="shared" si="222"/>
        <v>758</v>
      </c>
      <c r="U328" s="1919"/>
      <c r="V328" s="24">
        <f>T328/L328</f>
        <v>1.3228621291448517</v>
      </c>
      <c r="W328" s="1586">
        <f>S328/L328</f>
        <v>1.4572425828970332</v>
      </c>
      <c r="X328" s="24">
        <f t="shared" si="223"/>
        <v>-10.601482864796974</v>
      </c>
      <c r="Y328" s="1612">
        <f t="shared" si="223"/>
        <v>-6.5215005771612988</v>
      </c>
      <c r="Z328" s="30"/>
      <c r="AA328" s="1997">
        <f>'Store New'!Q38</f>
        <v>4.8</v>
      </c>
      <c r="AB328" s="1597"/>
      <c r="AC328" s="1588">
        <f t="shared" si="228"/>
        <v>4.8</v>
      </c>
      <c r="AD328" s="1613"/>
      <c r="AE328" s="24">
        <f t="shared" si="224"/>
        <v>5.4945054945054972E-2</v>
      </c>
      <c r="AF328" s="1606"/>
      <c r="AG328" s="30"/>
      <c r="AH328" s="1608">
        <f t="shared" si="225"/>
        <v>-18.794195888754459</v>
      </c>
      <c r="AI328" s="35"/>
      <c r="AJ328" s="1590">
        <f>T328</f>
        <v>758</v>
      </c>
      <c r="AK328" s="1590">
        <f>S328</f>
        <v>835</v>
      </c>
      <c r="AL328" s="1586">
        <f t="shared" si="226"/>
        <v>157.91666666666669</v>
      </c>
      <c r="AM328" s="1615"/>
      <c r="AN328" s="24"/>
      <c r="AO328" s="1612"/>
      <c r="AP328" s="30"/>
      <c r="AQ328" s="1945">
        <v>77</v>
      </c>
      <c r="AR328" s="1797">
        <f t="shared" si="227"/>
        <v>0.83333333333333326</v>
      </c>
    </row>
    <row r="329" spans="1:44">
      <c r="A329" s="24"/>
      <c r="B329" s="29" t="str">
        <f>$B$31</f>
        <v>Year</v>
      </c>
      <c r="C329" s="24"/>
      <c r="D329" s="1581">
        <f>(S329/S322-1)*100</f>
        <v>6.8681318681318659</v>
      </c>
      <c r="E329" s="24"/>
      <c r="F329" s="1616">
        <v>1.380030372057707</v>
      </c>
      <c r="G329" s="24"/>
      <c r="H329" s="1581">
        <f>D329-F329</f>
        <v>5.488101496074159</v>
      </c>
      <c r="I329" s="24"/>
      <c r="J329" s="1997"/>
      <c r="K329" s="24"/>
      <c r="L329" s="1583">
        <f>AVERAGE(L325:L328)</f>
        <v>554.75</v>
      </c>
      <c r="M329" s="24"/>
      <c r="N329" s="1581">
        <f>(L329/L322-1)*100</f>
        <v>7.8231292517006779</v>
      </c>
      <c r="O329" s="30"/>
      <c r="P329" s="1584">
        <f t="shared" si="221"/>
        <v>70.152253906339268</v>
      </c>
      <c r="Q329" s="35"/>
      <c r="R329" s="24"/>
      <c r="S329" s="1590">
        <v>2723</v>
      </c>
      <c r="T329" s="1595">
        <f t="shared" si="222"/>
        <v>2587</v>
      </c>
      <c r="U329" s="1590"/>
      <c r="V329" s="24">
        <f>T329/L329</f>
        <v>4.6633618747183414</v>
      </c>
      <c r="W329" s="1586">
        <f>S329/L329</f>
        <v>4.9085173501577284</v>
      </c>
      <c r="X329" s="24">
        <f t="shared" si="223"/>
        <v>-1.3040031039659894</v>
      </c>
      <c r="Y329" s="1587">
        <f t="shared" si="223"/>
        <v>-0.88570735258433064</v>
      </c>
      <c r="Z329" s="30"/>
      <c r="AA329" s="1997"/>
      <c r="AB329" s="24"/>
      <c r="AC329" s="1588">
        <f>AVERAGE(AC325:AC328)</f>
        <v>4.6749999999999998</v>
      </c>
      <c r="AD329" s="1588"/>
      <c r="AE329" s="24">
        <f t="shared" si="224"/>
        <v>7.4712643678160884E-2</v>
      </c>
      <c r="AF329" s="1581"/>
      <c r="AG329" s="30"/>
      <c r="AH329" s="1589">
        <f t="shared" si="225"/>
        <v>73.456127716684932</v>
      </c>
      <c r="AI329" s="35"/>
      <c r="AJ329" s="1590">
        <f>T329</f>
        <v>2587</v>
      </c>
      <c r="AK329" s="1590">
        <f>S329</f>
        <v>2723</v>
      </c>
      <c r="AL329" s="1586">
        <f>AJ329/AC329</f>
        <v>553.36898395721926</v>
      </c>
      <c r="AM329" s="1591"/>
      <c r="AN329" s="24"/>
      <c r="AO329" s="1587"/>
      <c r="AP329" s="30"/>
      <c r="AQ329" s="1945">
        <v>136</v>
      </c>
      <c r="AR329" s="1797">
        <f t="shared" si="227"/>
        <v>0.16239316239316248</v>
      </c>
    </row>
    <row r="330" spans="1:44">
      <c r="A330" s="24"/>
      <c r="B330" s="29"/>
      <c r="C330" s="24"/>
      <c r="D330" s="24"/>
      <c r="E330" s="24"/>
      <c r="F330" s="1816"/>
      <c r="G330" s="24"/>
      <c r="H330" s="24"/>
      <c r="I330" s="24"/>
      <c r="J330" s="1997"/>
      <c r="K330" s="24"/>
      <c r="L330" s="24"/>
      <c r="M330" s="24"/>
      <c r="N330" s="24"/>
      <c r="O330" s="30"/>
      <c r="P330" s="24"/>
      <c r="Q330" s="24"/>
      <c r="R330" s="24"/>
      <c r="S330" s="1630"/>
      <c r="T330" s="1630"/>
      <c r="U330" s="1630"/>
      <c r="V330" s="24"/>
      <c r="W330" s="24"/>
      <c r="X330" s="24"/>
      <c r="Y330" s="24"/>
      <c r="Z330" s="24"/>
      <c r="AA330" s="1997"/>
      <c r="AB330" s="24"/>
      <c r="AC330" s="24"/>
      <c r="AD330" s="24"/>
      <c r="AE330" s="24"/>
      <c r="AF330" s="24"/>
      <c r="AG330" s="30"/>
      <c r="AH330" s="24"/>
      <c r="AI330" s="24"/>
      <c r="AJ330" s="24"/>
      <c r="AK330" s="24"/>
      <c r="AL330" s="24"/>
      <c r="AM330" s="24"/>
      <c r="AN330" s="24"/>
      <c r="AO330" s="24"/>
      <c r="AP330" s="24"/>
      <c r="AQ330" s="1945"/>
    </row>
    <row r="331" spans="1:44">
      <c r="A331" s="1579"/>
      <c r="B331" s="1580">
        <f>+B324+1</f>
        <v>2008</v>
      </c>
      <c r="C331" s="24"/>
      <c r="D331" s="24"/>
      <c r="E331" s="30"/>
      <c r="F331" s="1816"/>
      <c r="G331" s="30"/>
      <c r="H331" s="24"/>
      <c r="I331" s="30"/>
      <c r="J331" s="1997"/>
      <c r="K331" s="24"/>
      <c r="L331" s="24"/>
      <c r="M331" s="24"/>
      <c r="N331" s="24"/>
      <c r="O331" s="30"/>
      <c r="P331" s="35"/>
      <c r="Q331" s="35"/>
      <c r="R331" s="24"/>
      <c r="S331" s="24"/>
      <c r="T331" s="24"/>
      <c r="U331" s="24"/>
      <c r="V331" s="24"/>
      <c r="W331" s="24"/>
      <c r="X331" s="24"/>
      <c r="Y331" s="24"/>
      <c r="Z331" s="30"/>
      <c r="AA331" s="1997"/>
      <c r="AB331" s="24"/>
      <c r="AC331" s="24"/>
      <c r="AD331" s="24"/>
      <c r="AE331" s="24"/>
      <c r="AF331" s="24"/>
      <c r="AG331" s="30"/>
      <c r="AH331" s="35"/>
      <c r="AI331" s="35"/>
      <c r="AJ331" s="24"/>
      <c r="AK331" s="24"/>
      <c r="AL331" s="24"/>
      <c r="AM331" s="24"/>
      <c r="AN331" s="24"/>
      <c r="AO331" s="24"/>
      <c r="AP331" s="30"/>
      <c r="AQ331" s="1945"/>
    </row>
    <row r="332" spans="1:44">
      <c r="A332" s="24" t="str">
        <f>$A$27</f>
        <v>1Q</v>
      </c>
      <c r="B332" s="29" t="str">
        <f>$B$27</f>
        <v>Apr</v>
      </c>
      <c r="C332" s="24"/>
      <c r="D332" s="1581">
        <f>(S332/S325-1)*100</f>
        <v>3.4662045060658508</v>
      </c>
      <c r="E332" s="30" t="s">
        <v>489</v>
      </c>
      <c r="F332" s="1616">
        <v>-4</v>
      </c>
      <c r="G332" s="30" t="s">
        <v>489</v>
      </c>
      <c r="H332" s="1581">
        <f>D332-F332</f>
        <v>7.4662045060658508</v>
      </c>
      <c r="I332" s="30" t="s">
        <v>489</v>
      </c>
      <c r="J332" s="1996">
        <f>'Store New'!R21</f>
        <v>584</v>
      </c>
      <c r="K332" s="1913"/>
      <c r="L332" s="1583">
        <f>AVERAGE(J332,J328)</f>
        <v>580</v>
      </c>
      <c r="M332" s="24"/>
      <c r="N332" s="1581">
        <f>(L332/L325-1)*100</f>
        <v>7.7065923862581265</v>
      </c>
      <c r="O332" s="30" t="s">
        <v>489</v>
      </c>
      <c r="P332" s="1584">
        <f t="shared" ref="P332:P336" si="229">H332/N332*100</f>
        <v>96.880750036541201</v>
      </c>
      <c r="Q332" s="35" t="s">
        <v>489</v>
      </c>
      <c r="R332" s="24"/>
      <c r="S332" s="1916">
        <f>538+21+5+33</f>
        <v>597</v>
      </c>
      <c r="T332" s="1595">
        <f t="shared" ref="T332:T336" si="230">S332-AQ332</f>
        <v>564</v>
      </c>
      <c r="U332" s="1916"/>
      <c r="V332" s="24">
        <f>T332/L332</f>
        <v>0.97241379310344822</v>
      </c>
      <c r="W332" s="1586">
        <f>S332/L332</f>
        <v>1.0293103448275862</v>
      </c>
      <c r="X332" s="24">
        <f t="shared" ref="X332:Y336" si="231">(V332/V325-1)*100</f>
        <v>-4.4443745280644542</v>
      </c>
      <c r="Y332" s="1587">
        <f t="shared" si="231"/>
        <v>-3.9369808163509323</v>
      </c>
      <c r="Z332" s="30" t="s">
        <v>489</v>
      </c>
      <c r="AA332" s="1997">
        <f>'Store New'!R38</f>
        <v>4.8999999999999995</v>
      </c>
      <c r="AB332" s="1597"/>
      <c r="AC332" s="1588">
        <f>AVERAGE(AA332,AA328)</f>
        <v>4.8499999999999996</v>
      </c>
      <c r="AD332" s="1588"/>
      <c r="AE332" s="24">
        <f t="shared" ref="AE332:AE336" si="232">AC332/AC325-1</f>
        <v>5.4347826086956541E-2</v>
      </c>
      <c r="AF332" s="1581"/>
      <c r="AG332" s="30" t="s">
        <v>489</v>
      </c>
      <c r="AH332" s="1589">
        <f t="shared" ref="AH332:AH336" si="233">IFERROR(H332/AE332, "NM")</f>
        <v>137.37816291161161</v>
      </c>
      <c r="AI332" s="35" t="s">
        <v>489</v>
      </c>
      <c r="AJ332" s="1590">
        <f>T332</f>
        <v>564</v>
      </c>
      <c r="AK332" s="1590">
        <f>S332</f>
        <v>597</v>
      </c>
      <c r="AL332" s="1586">
        <f t="shared" ref="AL332:AL335" si="234">AJ332/AC332</f>
        <v>116.28865979381445</v>
      </c>
      <c r="AM332" s="1591"/>
      <c r="AN332" s="24"/>
      <c r="AO332" s="1587"/>
      <c r="AP332" s="30" t="s">
        <v>489</v>
      </c>
      <c r="AQ332" s="1945">
        <v>33</v>
      </c>
      <c r="AR332" s="1797">
        <f>AQ332/AQ325-1</f>
        <v>0.13793103448275867</v>
      </c>
    </row>
    <row r="333" spans="1:44">
      <c r="A333" s="24" t="str">
        <f>$A$28</f>
        <v>2Q</v>
      </c>
      <c r="B333" s="29" t="str">
        <f>$B$28</f>
        <v>Jul</v>
      </c>
      <c r="C333" s="24"/>
      <c r="D333" s="1581">
        <f>(S333/S326-1)*100</f>
        <v>2.1671826625387025</v>
      </c>
      <c r="E333" s="24"/>
      <c r="F333" s="1616">
        <v>-6</v>
      </c>
      <c r="G333" s="24"/>
      <c r="H333" s="1581">
        <f>D333-F333</f>
        <v>8.1671826625387034</v>
      </c>
      <c r="I333" s="24"/>
      <c r="J333" s="1996">
        <f>'Store New'!S21</f>
        <v>594</v>
      </c>
      <c r="K333" s="1913"/>
      <c r="L333" s="1583">
        <f>AVERAGE(J333,J332)</f>
        <v>589</v>
      </c>
      <c r="M333" s="24"/>
      <c r="N333" s="1581">
        <f>(L333/L326-1)*100</f>
        <v>7.6782449725776969</v>
      </c>
      <c r="O333" s="30"/>
      <c r="P333" s="1584">
        <f t="shared" si="229"/>
        <v>106.36783134306359</v>
      </c>
      <c r="Q333" s="35"/>
      <c r="R333" s="24"/>
      <c r="S333" s="1917">
        <f>599+6+25+30</f>
        <v>660</v>
      </c>
      <c r="T333" s="1927">
        <f t="shared" si="230"/>
        <v>630</v>
      </c>
      <c r="U333" s="1917"/>
      <c r="V333" s="24">
        <f>T333/L333</f>
        <v>1.069609507640068</v>
      </c>
      <c r="W333" s="1586">
        <f>S333/L333</f>
        <v>1.1205432937181663</v>
      </c>
      <c r="X333" s="24">
        <f t="shared" si="231"/>
        <v>-5.4803876124204791</v>
      </c>
      <c r="Y333" s="1587">
        <f t="shared" si="231"/>
        <v>-5.1180833337713612</v>
      </c>
      <c r="Z333" s="30"/>
      <c r="AA333" s="1997">
        <f>'Store New'!S38</f>
        <v>4.8999999999999995</v>
      </c>
      <c r="AB333" s="1597"/>
      <c r="AC333" s="1588">
        <f>AVERAGE(AA333,AA332)</f>
        <v>4.8999999999999995</v>
      </c>
      <c r="AD333" s="1588"/>
      <c r="AE333" s="24">
        <f t="shared" si="232"/>
        <v>6.5217391304347894E-2</v>
      </c>
      <c r="AF333" s="1581"/>
      <c r="AG333" s="30"/>
      <c r="AH333" s="1589">
        <f t="shared" si="233"/>
        <v>125.23013415892666</v>
      </c>
      <c r="AI333" s="35"/>
      <c r="AJ333" s="1590">
        <f>T333</f>
        <v>630</v>
      </c>
      <c r="AK333" s="1590">
        <f>S333</f>
        <v>660</v>
      </c>
      <c r="AL333" s="1586">
        <f t="shared" si="234"/>
        <v>128.57142857142858</v>
      </c>
      <c r="AM333" s="1604"/>
      <c r="AN333" s="24"/>
      <c r="AO333" s="1587"/>
      <c r="AP333" s="30"/>
      <c r="AQ333" s="1945">
        <v>30</v>
      </c>
      <c r="AR333" s="1797">
        <f t="shared" ref="AR333:AR336" si="235">AQ333/AQ326-1</f>
        <v>0.11111111111111116</v>
      </c>
    </row>
    <row r="334" spans="1:44">
      <c r="A334" s="24" t="str">
        <f>$A$29</f>
        <v>3Q</v>
      </c>
      <c r="B334" s="29" t="str">
        <f>$B$29</f>
        <v>Oct</v>
      </c>
      <c r="C334" s="24"/>
      <c r="D334" s="1581">
        <f>(S334/S327-1)*100</f>
        <v>-4.9624060150375904</v>
      </c>
      <c r="E334" s="24"/>
      <c r="F334" s="1616">
        <v>-11</v>
      </c>
      <c r="G334" s="24"/>
      <c r="H334" s="1581">
        <f>D334-F334</f>
        <v>6.0375939849624096</v>
      </c>
      <c r="I334" s="24"/>
      <c r="J334" s="1996">
        <f>'Store New'!T21</f>
        <v>602</v>
      </c>
      <c r="K334" s="1913"/>
      <c r="L334" s="1583">
        <f>AVERAGE(J334,J333)</f>
        <v>598</v>
      </c>
      <c r="M334" s="24"/>
      <c r="N334" s="1581">
        <f>(L334/L327-1)*100</f>
        <v>6.6904549509366529</v>
      </c>
      <c r="O334" s="30"/>
      <c r="P334" s="1584">
        <f t="shared" si="229"/>
        <v>90.241904761904962</v>
      </c>
      <c r="Q334" s="35"/>
      <c r="R334" s="24"/>
      <c r="S334" s="1917">
        <f>566+6+23+37</f>
        <v>632</v>
      </c>
      <c r="T334" s="1927">
        <f t="shared" si="230"/>
        <v>595</v>
      </c>
      <c r="U334" s="1917"/>
      <c r="V334" s="24">
        <f>T334/L334</f>
        <v>0.99498327759197325</v>
      </c>
      <c r="W334" s="1586">
        <f>S334/L334</f>
        <v>1.0568561872909699</v>
      </c>
      <c r="X334" s="24">
        <f t="shared" si="231"/>
        <v>-11.337340685166774</v>
      </c>
      <c r="Y334" s="1587">
        <f t="shared" si="231"/>
        <v>-10.922121356903968</v>
      </c>
      <c r="Z334" s="30"/>
      <c r="AA334" s="1997">
        <f>'Store New'!T38</f>
        <v>5</v>
      </c>
      <c r="AB334" s="1597"/>
      <c r="AC334" s="1588">
        <f t="shared" ref="AC334:AC335" si="236">AVERAGE(AA334,AA333)</f>
        <v>4.9499999999999993</v>
      </c>
      <c r="AD334" s="1588"/>
      <c r="AE334" s="24">
        <f t="shared" si="232"/>
        <v>5.3191489361702038E-2</v>
      </c>
      <c r="AF334" s="1581"/>
      <c r="AG334" s="30"/>
      <c r="AH334" s="1589">
        <f t="shared" si="233"/>
        <v>113.50676691729349</v>
      </c>
      <c r="AI334" s="35"/>
      <c r="AJ334" s="1590">
        <f>T334</f>
        <v>595</v>
      </c>
      <c r="AK334" s="1590">
        <f>S334</f>
        <v>632</v>
      </c>
      <c r="AL334" s="1586">
        <f t="shared" si="234"/>
        <v>120.20202020202022</v>
      </c>
      <c r="AM334" s="1604"/>
      <c r="AN334" s="24"/>
      <c r="AO334" s="1587"/>
      <c r="AP334" s="30"/>
      <c r="AQ334" s="1945">
        <v>37</v>
      </c>
      <c r="AR334" s="1797">
        <f t="shared" si="235"/>
        <v>2.7777777777777679E-2</v>
      </c>
    </row>
    <row r="335" spans="1:44">
      <c r="A335" s="24" t="str">
        <f>$A$30</f>
        <v>4Q</v>
      </c>
      <c r="B335" s="29" t="str">
        <f>$B$30</f>
        <v>Jan</v>
      </c>
      <c r="C335" s="24"/>
      <c r="D335" s="1606">
        <f>(S335/S328-1)*100</f>
        <v>-10.538922155688624</v>
      </c>
      <c r="E335" s="24"/>
      <c r="F335" s="1607">
        <v>-15</v>
      </c>
      <c r="G335" s="24"/>
      <c r="H335" s="1606">
        <f>D335-F335</f>
        <v>4.4610778443113759</v>
      </c>
      <c r="I335" s="24"/>
      <c r="J335" s="1996">
        <f>'Store New'!U21</f>
        <v>603</v>
      </c>
      <c r="K335" s="1913"/>
      <c r="L335" s="1608">
        <f>AVERAGE(J335,J334)</f>
        <v>602.5</v>
      </c>
      <c r="M335" s="24"/>
      <c r="N335" s="1606">
        <f>(L335/L328-1)*100</f>
        <v>5.1483420593368301</v>
      </c>
      <c r="O335" s="30"/>
      <c r="P335" s="1609">
        <f t="shared" si="229"/>
        <v>86.650766264081867</v>
      </c>
      <c r="Q335" s="35"/>
      <c r="R335" s="24"/>
      <c r="S335" s="1918">
        <f>S336-SUM(S332:S334)</f>
        <v>747</v>
      </c>
      <c r="T335" s="1610">
        <f t="shared" si="230"/>
        <v>702</v>
      </c>
      <c r="U335" s="1919"/>
      <c r="V335" s="24">
        <f>T335/L335</f>
        <v>1.1651452282157677</v>
      </c>
      <c r="W335" s="1586">
        <f>S335/L335</f>
        <v>1.2398340248962656</v>
      </c>
      <c r="X335" s="24">
        <f t="shared" si="231"/>
        <v>-11.922398975246063</v>
      </c>
      <c r="Y335" s="1612">
        <f t="shared" si="231"/>
        <v>-14.919174099932919</v>
      </c>
      <c r="Z335" s="30"/>
      <c r="AA335" s="1997">
        <f>'Store New'!U38</f>
        <v>5.1000000000000005</v>
      </c>
      <c r="AB335" s="1597"/>
      <c r="AC335" s="1588">
        <f t="shared" si="236"/>
        <v>5.0500000000000007</v>
      </c>
      <c r="AD335" s="1613"/>
      <c r="AE335" s="24">
        <f t="shared" si="232"/>
        <v>5.2083333333333481E-2</v>
      </c>
      <c r="AF335" s="1606"/>
      <c r="AG335" s="30"/>
      <c r="AH335" s="1608">
        <f t="shared" si="233"/>
        <v>85.65269461077817</v>
      </c>
      <c r="AI335" s="35"/>
      <c r="AJ335" s="1590">
        <f>T335</f>
        <v>702</v>
      </c>
      <c r="AK335" s="1590">
        <f>S335</f>
        <v>747</v>
      </c>
      <c r="AL335" s="1586">
        <f t="shared" si="234"/>
        <v>139.009900990099</v>
      </c>
      <c r="AM335" s="1615"/>
      <c r="AN335" s="24"/>
      <c r="AO335" s="1612"/>
      <c r="AP335" s="30"/>
      <c r="AQ335" s="1945">
        <v>45</v>
      </c>
      <c r="AR335" s="1797">
        <f t="shared" si="235"/>
        <v>-0.41558441558441561</v>
      </c>
    </row>
    <row r="336" spans="1:44">
      <c r="A336" s="24"/>
      <c r="B336" s="29" t="str">
        <f>$B$31</f>
        <v>Year</v>
      </c>
      <c r="C336" s="24"/>
      <c r="D336" s="1581">
        <f>(S336/S329-1)*100</f>
        <v>-3.1950055086301887</v>
      </c>
      <c r="E336" s="24"/>
      <c r="F336" s="1616">
        <v>-9.2657372201098447</v>
      </c>
      <c r="G336" s="24"/>
      <c r="H336" s="1581">
        <f>D336-F336</f>
        <v>6.070731711479656</v>
      </c>
      <c r="I336" s="24"/>
      <c r="J336" s="1997"/>
      <c r="K336" s="24"/>
      <c r="L336" s="1583">
        <f>AVERAGE(L332:L335)</f>
        <v>592.375</v>
      </c>
      <c r="M336" s="24"/>
      <c r="N336" s="1581">
        <f>(L336/L329-1)*100</f>
        <v>6.7823343848580464</v>
      </c>
      <c r="O336" s="30"/>
      <c r="P336" s="1584">
        <f t="shared" si="229"/>
        <v>89.507997792513976</v>
      </c>
      <c r="Q336" s="35"/>
      <c r="R336" s="24"/>
      <c r="S336" s="1590">
        <v>2636</v>
      </c>
      <c r="T336" s="1595">
        <f t="shared" si="230"/>
        <v>2491</v>
      </c>
      <c r="U336" s="1590"/>
      <c r="V336" s="24">
        <f>T336/L336</f>
        <v>4.2051065625659421</v>
      </c>
      <c r="W336" s="1586">
        <f>S336/L336</f>
        <v>4.4498839417598646</v>
      </c>
      <c r="X336" s="24">
        <f t="shared" si="231"/>
        <v>-9.8267156713004908</v>
      </c>
      <c r="Y336" s="1587">
        <f t="shared" si="231"/>
        <v>-9.3436240656891272</v>
      </c>
      <c r="Z336" s="30"/>
      <c r="AA336" s="1997"/>
      <c r="AB336" s="24"/>
      <c r="AC336" s="1588">
        <f>AVERAGE(AC332:AC335)</f>
        <v>4.9375</v>
      </c>
      <c r="AD336" s="1588"/>
      <c r="AE336" s="24">
        <f t="shared" si="232"/>
        <v>5.6149732620320858E-2</v>
      </c>
      <c r="AF336" s="1581"/>
      <c r="AG336" s="30"/>
      <c r="AH336" s="1589">
        <f t="shared" si="233"/>
        <v>108.11684095682816</v>
      </c>
      <c r="AI336" s="35"/>
      <c r="AJ336" s="1590">
        <f>T336</f>
        <v>2491</v>
      </c>
      <c r="AK336" s="1590">
        <f>S336</f>
        <v>2636</v>
      </c>
      <c r="AL336" s="1586">
        <f>AJ336/AC336</f>
        <v>504.50632911392404</v>
      </c>
      <c r="AM336" s="1591"/>
      <c r="AN336" s="24"/>
      <c r="AO336" s="1587"/>
      <c r="AP336" s="30"/>
      <c r="AQ336" s="1945">
        <v>145</v>
      </c>
      <c r="AR336" s="1797">
        <f t="shared" si="235"/>
        <v>6.6176470588235281E-2</v>
      </c>
    </row>
    <row r="337" spans="1:44">
      <c r="A337" s="24"/>
      <c r="B337" s="29"/>
      <c r="C337" s="24"/>
      <c r="D337" s="1581"/>
      <c r="E337" s="24"/>
      <c r="F337" s="1616"/>
      <c r="G337" s="24"/>
      <c r="H337" s="1581"/>
      <c r="I337" s="24"/>
      <c r="J337" s="1997"/>
      <c r="K337" s="24"/>
      <c r="L337" s="1583"/>
      <c r="M337" s="24"/>
      <c r="N337" s="1581"/>
      <c r="O337" s="30"/>
      <c r="P337" s="1584"/>
      <c r="Q337" s="35"/>
      <c r="R337" s="24"/>
      <c r="S337" s="1590"/>
      <c r="T337" s="1590"/>
      <c r="U337" s="1590"/>
      <c r="V337" s="24"/>
      <c r="W337" s="1586"/>
      <c r="X337" s="24"/>
      <c r="Y337" s="1587"/>
      <c r="Z337" s="30"/>
      <c r="AA337" s="1997"/>
      <c r="AB337" s="24"/>
      <c r="AC337" s="24"/>
      <c r="AD337" s="1588"/>
      <c r="AE337" s="24"/>
      <c r="AF337" s="1581"/>
      <c r="AG337" s="30"/>
      <c r="AH337" s="1589"/>
      <c r="AI337" s="35"/>
      <c r="AJ337" s="24"/>
      <c r="AK337" s="1590"/>
      <c r="AL337" s="24"/>
      <c r="AM337" s="1591"/>
      <c r="AN337" s="24"/>
      <c r="AO337" s="1587"/>
      <c r="AP337" s="30"/>
      <c r="AQ337" s="1945"/>
    </row>
    <row r="338" spans="1:44">
      <c r="A338" s="1579"/>
      <c r="B338" s="1580">
        <f>+B331+1</f>
        <v>2009</v>
      </c>
      <c r="C338" s="24"/>
      <c r="D338" s="24"/>
      <c r="E338" s="30"/>
      <c r="F338" s="1816"/>
      <c r="G338" s="30"/>
      <c r="H338" s="24"/>
      <c r="I338" s="30"/>
      <c r="J338" s="1997"/>
      <c r="K338" s="24"/>
      <c r="L338" s="24"/>
      <c r="M338" s="24"/>
      <c r="N338" s="24"/>
      <c r="O338" s="30"/>
      <c r="P338" s="35"/>
      <c r="Q338" s="35"/>
      <c r="R338" s="24"/>
      <c r="S338" s="24"/>
      <c r="T338" s="24"/>
      <c r="U338" s="24"/>
      <c r="V338" s="24"/>
      <c r="W338" s="24"/>
      <c r="X338" s="24"/>
      <c r="Y338" s="24"/>
      <c r="Z338" s="30"/>
      <c r="AA338" s="1997"/>
      <c r="AB338" s="24"/>
      <c r="AC338" s="24"/>
      <c r="AD338" s="24"/>
      <c r="AE338" s="24"/>
      <c r="AF338" s="24"/>
      <c r="AG338" s="30"/>
      <c r="AH338" s="35"/>
      <c r="AI338" s="35"/>
      <c r="AJ338" s="24"/>
      <c r="AK338" s="24"/>
      <c r="AL338" s="24"/>
      <c r="AM338" s="24"/>
      <c r="AN338" s="24"/>
      <c r="AO338" s="24"/>
      <c r="AP338" s="30"/>
      <c r="AQ338" s="1945"/>
    </row>
    <row r="339" spans="1:44">
      <c r="A339" s="24" t="str">
        <f>$A$27</f>
        <v>1Q</v>
      </c>
      <c r="B339" s="29" t="str">
        <f>$B$27</f>
        <v>Apr</v>
      </c>
      <c r="C339" s="24"/>
      <c r="D339" s="1581">
        <f>(S339/S332-1)*100</f>
        <v>-10.552763819095478</v>
      </c>
      <c r="E339" s="30" t="s">
        <v>489</v>
      </c>
      <c r="F339" s="1616">
        <v>-13</v>
      </c>
      <c r="G339" s="30" t="s">
        <v>489</v>
      </c>
      <c r="H339" s="1581">
        <f>D339-F339</f>
        <v>2.4472361809045218</v>
      </c>
      <c r="I339" s="30" t="s">
        <v>489</v>
      </c>
      <c r="J339" s="1996">
        <f>'Store New'!V21</f>
        <v>605</v>
      </c>
      <c r="K339" s="1913"/>
      <c r="L339" s="1583">
        <f>AVERAGE(J339,J335)</f>
        <v>604</v>
      </c>
      <c r="M339" s="24"/>
      <c r="N339" s="1581">
        <f>(L339/L332-1)*100</f>
        <v>4.1379310344827669</v>
      </c>
      <c r="O339" s="30" t="s">
        <v>489</v>
      </c>
      <c r="P339" s="1584">
        <f t="shared" ref="P339:P343" si="237">H339/N339*100</f>
        <v>59.141541038525823</v>
      </c>
      <c r="Q339" s="35" t="s">
        <v>489</v>
      </c>
      <c r="R339" s="24"/>
      <c r="S339" s="1916">
        <f>475+5+23+31</f>
        <v>534</v>
      </c>
      <c r="T339" s="1595">
        <f t="shared" ref="T339:T343" si="238">S339-AQ339</f>
        <v>503</v>
      </c>
      <c r="U339" s="1916"/>
      <c r="V339" s="24">
        <f>T339/L339</f>
        <v>0.83278145695364236</v>
      </c>
      <c r="W339" s="1586">
        <f>S339/L339</f>
        <v>0.88410596026490063</v>
      </c>
      <c r="X339" s="24">
        <f t="shared" ref="X339:Y343" si="239">(V339/V332-1)*100</f>
        <v>-14.35935371753323</v>
      </c>
      <c r="Y339" s="1587">
        <f t="shared" si="239"/>
        <v>-14.106958634230759</v>
      </c>
      <c r="Z339" s="30" t="s">
        <v>489</v>
      </c>
      <c r="AA339" s="1997">
        <f>'Store New'!V38</f>
        <v>5</v>
      </c>
      <c r="AB339" s="1597"/>
      <c r="AC339" s="1588">
        <f>AVERAGE(AA339,AA335)</f>
        <v>5.0500000000000007</v>
      </c>
      <c r="AD339" s="1588"/>
      <c r="AE339" s="24">
        <f t="shared" ref="AE339:AE343" si="240">AC339/AC332-1</f>
        <v>4.1237113402062153E-2</v>
      </c>
      <c r="AF339" s="1581"/>
      <c r="AG339" s="30" t="s">
        <v>489</v>
      </c>
      <c r="AH339" s="1589">
        <f t="shared" ref="AH339:AH343" si="241">IFERROR(H339/AE339, "NM")</f>
        <v>59.345477386934228</v>
      </c>
      <c r="AI339" s="35" t="s">
        <v>489</v>
      </c>
      <c r="AJ339" s="1590">
        <f>T339</f>
        <v>503</v>
      </c>
      <c r="AK339" s="1590">
        <f>S339</f>
        <v>534</v>
      </c>
      <c r="AL339" s="1586">
        <f t="shared" ref="AL339:AL342" si="242">AJ339/AC339</f>
        <v>99.603960396039597</v>
      </c>
      <c r="AM339" s="1591"/>
      <c r="AN339" s="24"/>
      <c r="AO339" s="1587"/>
      <c r="AP339" s="30" t="s">
        <v>489</v>
      </c>
      <c r="AQ339" s="1945">
        <v>31</v>
      </c>
      <c r="AR339" s="1797">
        <f>AQ339/AQ332-1</f>
        <v>-6.0606060606060552E-2</v>
      </c>
    </row>
    <row r="340" spans="1:44">
      <c r="A340" s="24" t="str">
        <f>$A$28</f>
        <v>2Q</v>
      </c>
      <c r="B340" s="29" t="str">
        <f>$B$28</f>
        <v>Jul</v>
      </c>
      <c r="C340" s="24"/>
      <c r="D340" s="1581">
        <f>(S340/S333-1)*100</f>
        <v>-12.727272727272732</v>
      </c>
      <c r="E340" s="24"/>
      <c r="F340" s="1616">
        <v>-15</v>
      </c>
      <c r="G340" s="24"/>
      <c r="H340" s="1581">
        <f>D340-F340</f>
        <v>2.272727272727268</v>
      </c>
      <c r="I340" s="24"/>
      <c r="J340" s="1996">
        <f>'Store New'!W21</f>
        <v>609</v>
      </c>
      <c r="K340" s="1913"/>
      <c r="L340" s="1583">
        <f>AVERAGE(J340,J339)</f>
        <v>607</v>
      </c>
      <c r="M340" s="24"/>
      <c r="N340" s="1581">
        <f>(L340/L333-1)*100</f>
        <v>3.056027164685915</v>
      </c>
      <c r="O340" s="30"/>
      <c r="P340" s="1584">
        <f t="shared" si="237"/>
        <v>74.368686868686552</v>
      </c>
      <c r="Q340" s="35"/>
      <c r="R340" s="24"/>
      <c r="S340" s="1919">
        <f>516+6+28+26</f>
        <v>576</v>
      </c>
      <c r="T340" s="1600">
        <f t="shared" si="238"/>
        <v>550</v>
      </c>
      <c r="U340" s="1919"/>
      <c r="V340" s="24">
        <f>T340/L340</f>
        <v>0.90609555189456348</v>
      </c>
      <c r="W340" s="1586">
        <f>S340/L340</f>
        <v>0.94892915980230641</v>
      </c>
      <c r="X340" s="24">
        <f t="shared" si="239"/>
        <v>-15.287257132397169</v>
      </c>
      <c r="Y340" s="1587">
        <f t="shared" si="239"/>
        <v>-15.315261344915376</v>
      </c>
      <c r="Z340" s="30"/>
      <c r="AA340" s="1997">
        <f>'Store New'!W38</f>
        <v>5.1000000000000005</v>
      </c>
      <c r="AB340" s="1597"/>
      <c r="AC340" s="1588">
        <f>AVERAGE(AA340,AA339)</f>
        <v>5.0500000000000007</v>
      </c>
      <c r="AD340" s="1588"/>
      <c r="AE340" s="24">
        <f t="shared" si="240"/>
        <v>3.0612244897959551E-2</v>
      </c>
      <c r="AF340" s="1581"/>
      <c r="AG340" s="30"/>
      <c r="AH340" s="1589">
        <f t="shared" si="241"/>
        <v>74.242424242423198</v>
      </c>
      <c r="AI340" s="35"/>
      <c r="AJ340" s="1590">
        <f>T340</f>
        <v>550</v>
      </c>
      <c r="AK340" s="1590">
        <f>S340</f>
        <v>576</v>
      </c>
      <c r="AL340" s="1586">
        <f t="shared" si="242"/>
        <v>108.9108910891089</v>
      </c>
      <c r="AM340" s="1604"/>
      <c r="AN340" s="24"/>
      <c r="AO340" s="1587"/>
      <c r="AP340" s="30"/>
      <c r="AQ340" s="1945">
        <v>26</v>
      </c>
      <c r="AR340" s="1797">
        <f t="shared" ref="AR340:AR343" si="243">AQ340/AQ333-1</f>
        <v>-0.1333333333333333</v>
      </c>
    </row>
    <row r="341" spans="1:44">
      <c r="A341" s="24" t="str">
        <f>$A$29</f>
        <v>3Q</v>
      </c>
      <c r="B341" s="29" t="str">
        <f>$B$29</f>
        <v>Oct</v>
      </c>
      <c r="C341" s="24"/>
      <c r="D341" s="1581">
        <f>(S341/S334-1)*100</f>
        <v>-4.4303797468354444</v>
      </c>
      <c r="E341" s="24"/>
      <c r="F341" s="1616">
        <v>-6</v>
      </c>
      <c r="G341" s="24"/>
      <c r="H341" s="1581">
        <f>D341-F341</f>
        <v>1.5696202531645556</v>
      </c>
      <c r="I341" s="24"/>
      <c r="J341" s="1996">
        <f>'Store New'!X21</f>
        <v>611</v>
      </c>
      <c r="K341" s="1913"/>
      <c r="L341" s="1583">
        <f>AVERAGE(J341,J340)</f>
        <v>610</v>
      </c>
      <c r="M341" s="24"/>
      <c r="N341" s="1581">
        <f>(L341/L334-1)*100</f>
        <v>2.006688963210701</v>
      </c>
      <c r="O341" s="30"/>
      <c r="P341" s="1584">
        <f t="shared" si="237"/>
        <v>78.219409282700397</v>
      </c>
      <c r="Q341" s="35"/>
      <c r="R341" s="24"/>
      <c r="S341" s="1919">
        <f>541+6+24+33</f>
        <v>604</v>
      </c>
      <c r="T341" s="1600">
        <f t="shared" si="238"/>
        <v>571</v>
      </c>
      <c r="U341" s="1919"/>
      <c r="V341" s="24">
        <f>T341/L341</f>
        <v>0.93606557377049182</v>
      </c>
      <c r="W341" s="1586">
        <f>S341/L341</f>
        <v>0.99016393442622952</v>
      </c>
      <c r="X341" s="24">
        <f t="shared" si="239"/>
        <v>-5.9214767874362861</v>
      </c>
      <c r="Y341" s="1587">
        <f t="shared" si="239"/>
        <v>-6.3104378501763758</v>
      </c>
      <c r="Z341" s="30"/>
      <c r="AA341" s="1997">
        <f>'Store New'!X38</f>
        <v>5.1000000000000005</v>
      </c>
      <c r="AB341" s="1597"/>
      <c r="AC341" s="1588">
        <f t="shared" ref="AC341:AC342" si="244">AVERAGE(AA341,AA340)</f>
        <v>5.1000000000000005</v>
      </c>
      <c r="AD341" s="1588"/>
      <c r="AE341" s="24">
        <f t="shared" si="240"/>
        <v>3.0303030303030498E-2</v>
      </c>
      <c r="AF341" s="1581"/>
      <c r="AG341" s="30"/>
      <c r="AH341" s="1589">
        <f t="shared" si="241"/>
        <v>51.797468354430002</v>
      </c>
      <c r="AI341" s="35"/>
      <c r="AJ341" s="1590">
        <f>T341</f>
        <v>571</v>
      </c>
      <c r="AK341" s="1590">
        <f>S341</f>
        <v>604</v>
      </c>
      <c r="AL341" s="1586">
        <f t="shared" si="242"/>
        <v>111.96078431372548</v>
      </c>
      <c r="AM341" s="1604"/>
      <c r="AN341" s="24"/>
      <c r="AO341" s="1587"/>
      <c r="AP341" s="30"/>
      <c r="AQ341" s="1945">
        <v>33</v>
      </c>
      <c r="AR341" s="1797">
        <f t="shared" si="243"/>
        <v>-0.10810810810810811</v>
      </c>
    </row>
    <row r="342" spans="1:44">
      <c r="A342" s="24" t="str">
        <f>$A$30</f>
        <v>4Q</v>
      </c>
      <c r="B342" s="29" t="str">
        <f>$B$30</f>
        <v>Jan</v>
      </c>
      <c r="C342" s="24"/>
      <c r="D342" s="1606">
        <f>(S342/S335-1)*100</f>
        <v>-0.13386880856760541</v>
      </c>
      <c r="E342" s="24"/>
      <c r="F342" s="1607">
        <v>-2</v>
      </c>
      <c r="G342" s="24"/>
      <c r="H342" s="1606">
        <f>D342-F342</f>
        <v>1.8661311914323946</v>
      </c>
      <c r="I342" s="24"/>
      <c r="J342" s="1996">
        <f>'Store New'!Y21</f>
        <v>606</v>
      </c>
      <c r="K342" s="1913"/>
      <c r="L342" s="1608">
        <f>AVERAGE(J342,J341)</f>
        <v>608.5</v>
      </c>
      <c r="M342" s="24"/>
      <c r="N342" s="1606">
        <f>(L342/L335-1)*100</f>
        <v>0.99585062240663547</v>
      </c>
      <c r="O342" s="30"/>
      <c r="P342" s="1609">
        <f t="shared" si="237"/>
        <v>187.39067380633696</v>
      </c>
      <c r="Q342" s="35"/>
      <c r="R342" s="24"/>
      <c r="S342" s="1918">
        <f>S343-SUM(S339:S341)</f>
        <v>746</v>
      </c>
      <c r="T342" s="1610">
        <f t="shared" si="238"/>
        <v>702</v>
      </c>
      <c r="U342" s="1919"/>
      <c r="V342" s="24">
        <f>T342/L342</f>
        <v>1.1536565324568611</v>
      </c>
      <c r="W342" s="1586">
        <f>S342/L342</f>
        <v>1.2259654889071487</v>
      </c>
      <c r="X342" s="24">
        <f t="shared" si="239"/>
        <v>-0.98603122432211476</v>
      </c>
      <c r="Y342" s="1612">
        <f t="shared" si="239"/>
        <v>-1.1185800446376071</v>
      </c>
      <c r="Z342" s="30"/>
      <c r="AA342" s="1997">
        <f>'Store New'!Y38</f>
        <v>5.1000000000000005</v>
      </c>
      <c r="AB342" s="1597"/>
      <c r="AC342" s="1588">
        <f t="shared" si="244"/>
        <v>5.1000000000000005</v>
      </c>
      <c r="AD342" s="1613"/>
      <c r="AE342" s="24">
        <f t="shared" si="240"/>
        <v>9.9009900990099098E-3</v>
      </c>
      <c r="AF342" s="1606"/>
      <c r="AG342" s="30"/>
      <c r="AH342" s="1608">
        <f t="shared" si="241"/>
        <v>188.47925033467169</v>
      </c>
      <c r="AI342" s="35"/>
      <c r="AJ342" s="1590">
        <f>T342</f>
        <v>702</v>
      </c>
      <c r="AK342" s="1590">
        <f>S342</f>
        <v>746</v>
      </c>
      <c r="AL342" s="1586">
        <f t="shared" si="242"/>
        <v>137.64705882352939</v>
      </c>
      <c r="AM342" s="1615"/>
      <c r="AN342" s="24"/>
      <c r="AO342" s="1612"/>
      <c r="AP342" s="30"/>
      <c r="AQ342" s="1945">
        <v>44</v>
      </c>
      <c r="AR342" s="1797">
        <f t="shared" si="243"/>
        <v>-2.2222222222222254E-2</v>
      </c>
    </row>
    <row r="343" spans="1:44">
      <c r="A343" s="24"/>
      <c r="B343" s="29" t="str">
        <f>$B$31</f>
        <v>Year</v>
      </c>
      <c r="C343" s="24"/>
      <c r="D343" s="1581">
        <f>(S343/S336-1)*100</f>
        <v>-6.6767830045523553</v>
      </c>
      <c r="E343" s="24"/>
      <c r="F343" s="1616">
        <v>-8.419398907103826</v>
      </c>
      <c r="G343" s="24"/>
      <c r="H343" s="1581">
        <f>D343-F343</f>
        <v>1.7426159025514707</v>
      </c>
      <c r="I343" s="24"/>
      <c r="J343" s="1782"/>
      <c r="K343" s="24"/>
      <c r="L343" s="1583">
        <f>AVERAGE(L339:L342)</f>
        <v>607.375</v>
      </c>
      <c r="M343" s="24"/>
      <c r="N343" s="1581">
        <f>(L343/L336-1)*100</f>
        <v>2.5321797847647209</v>
      </c>
      <c r="O343" s="30"/>
      <c r="P343" s="1584">
        <f t="shared" si="237"/>
        <v>68.8188063515951</v>
      </c>
      <c r="Q343" s="35"/>
      <c r="R343" s="24"/>
      <c r="S343" s="400">
        <v>2460</v>
      </c>
      <c r="T343" s="1617">
        <f t="shared" si="238"/>
        <v>2326</v>
      </c>
      <c r="U343" s="400"/>
      <c r="V343" s="24">
        <f>T343/L343</f>
        <v>3.8295945667832889</v>
      </c>
      <c r="W343" s="1586">
        <f>S343/L343</f>
        <v>4.0502160938464709</v>
      </c>
      <c r="X343" s="24">
        <f t="shared" si="239"/>
        <v>-8.9299043958951945</v>
      </c>
      <c r="Y343" s="1587">
        <f t="shared" si="239"/>
        <v>-8.9815341960431176</v>
      </c>
      <c r="Z343" s="30"/>
      <c r="AA343" s="1997"/>
      <c r="AB343" s="24"/>
      <c r="AC343" s="1588">
        <f>AVERAGE(AC339:AC342)</f>
        <v>5.0750000000000011</v>
      </c>
      <c r="AD343" s="1588"/>
      <c r="AE343" s="24">
        <f t="shared" si="240"/>
        <v>2.7848101265822933E-2</v>
      </c>
      <c r="AF343" s="1581"/>
      <c r="AG343" s="30"/>
      <c r="AH343" s="1589">
        <f t="shared" si="241"/>
        <v>62.575752864347933</v>
      </c>
      <c r="AI343" s="35"/>
      <c r="AJ343" s="1590">
        <f>T343</f>
        <v>2326</v>
      </c>
      <c r="AK343" s="1590">
        <f>S343</f>
        <v>2460</v>
      </c>
      <c r="AL343" s="1586">
        <f>AJ343/AC343</f>
        <v>458.32512315270924</v>
      </c>
      <c r="AM343" s="1591"/>
      <c r="AN343" s="24"/>
      <c r="AO343" s="1587"/>
      <c r="AP343" s="30"/>
      <c r="AQ343" s="1945">
        <v>134</v>
      </c>
      <c r="AR343" s="1797">
        <f t="shared" si="243"/>
        <v>-7.5862068965517282E-2</v>
      </c>
    </row>
    <row r="344" spans="1:44">
      <c r="A344" s="24"/>
      <c r="B344" s="29"/>
      <c r="C344" s="24"/>
      <c r="D344" s="1581"/>
      <c r="E344" s="24"/>
      <c r="F344" s="1616"/>
      <c r="G344" s="24"/>
      <c r="H344" s="1581"/>
      <c r="I344" s="24"/>
      <c r="J344" s="1782"/>
      <c r="K344" s="24"/>
      <c r="L344" s="1583"/>
      <c r="M344" s="24"/>
      <c r="N344" s="1581"/>
      <c r="O344" s="30"/>
      <c r="P344" s="1584"/>
      <c r="Q344" s="35"/>
      <c r="R344" s="24"/>
      <c r="S344" s="1590"/>
      <c r="T344" s="1590"/>
      <c r="U344" s="1590"/>
      <c r="V344" s="24"/>
      <c r="W344" s="1586"/>
      <c r="X344" s="24"/>
      <c r="Y344" s="1587"/>
      <c r="Z344" s="30"/>
      <c r="AA344" s="1997"/>
      <c r="AB344" s="24"/>
      <c r="AC344" s="24"/>
      <c r="AD344" s="1588"/>
      <c r="AE344" s="24"/>
      <c r="AF344" s="1581"/>
      <c r="AG344" s="30"/>
      <c r="AH344" s="1589"/>
      <c r="AI344" s="35"/>
      <c r="AJ344" s="24"/>
      <c r="AK344" s="1590"/>
      <c r="AL344" s="24"/>
      <c r="AM344" s="1591"/>
      <c r="AN344" s="24"/>
      <c r="AO344" s="1587"/>
      <c r="AP344" s="30"/>
      <c r="AQ344" s="1945"/>
    </row>
    <row r="345" spans="1:44">
      <c r="A345" s="1579"/>
      <c r="B345" s="1580">
        <f>+B338+1</f>
        <v>2010</v>
      </c>
      <c r="C345" s="24"/>
      <c r="D345" s="24"/>
      <c r="E345" s="30"/>
      <c r="F345" s="1816"/>
      <c r="G345" s="30"/>
      <c r="H345" s="24"/>
      <c r="I345" s="30"/>
      <c r="J345" s="1782"/>
      <c r="K345" s="24"/>
      <c r="L345" s="24"/>
      <c r="M345" s="24"/>
      <c r="N345" s="24"/>
      <c r="O345" s="30"/>
      <c r="P345" s="35"/>
      <c r="Q345" s="35"/>
      <c r="R345" s="24"/>
      <c r="S345" s="24"/>
      <c r="T345" s="24"/>
      <c r="U345" s="24"/>
      <c r="V345" s="24"/>
      <c r="W345" s="24"/>
      <c r="X345" s="24"/>
      <c r="Y345" s="24"/>
      <c r="Z345" s="30"/>
      <c r="AA345" s="1997"/>
      <c r="AB345" s="24"/>
      <c r="AC345" s="24"/>
      <c r="AD345" s="24"/>
      <c r="AE345" s="24"/>
      <c r="AF345" s="24"/>
      <c r="AG345" s="30"/>
      <c r="AH345" s="35"/>
      <c r="AI345" s="35"/>
      <c r="AJ345" s="24"/>
      <c r="AK345" s="24"/>
      <c r="AL345" s="24"/>
      <c r="AM345" s="24"/>
      <c r="AN345" s="24"/>
      <c r="AO345" s="24"/>
      <c r="AP345" s="30"/>
      <c r="AQ345" s="1945"/>
    </row>
    <row r="346" spans="1:44">
      <c r="A346" s="24" t="str">
        <f>$A$27</f>
        <v>1Q</v>
      </c>
      <c r="B346" s="29" t="str">
        <f>$B$27</f>
        <v>Apr</v>
      </c>
      <c r="C346" s="24"/>
      <c r="D346" s="1581">
        <f>(S346/S339-1)*100</f>
        <v>7.4906367041198463</v>
      </c>
      <c r="E346" s="30" t="s">
        <v>489</v>
      </c>
      <c r="F346" s="1616">
        <v>5</v>
      </c>
      <c r="G346" s="30" t="s">
        <v>489</v>
      </c>
      <c r="H346" s="1581">
        <f>D346-F346</f>
        <v>2.4906367041198463</v>
      </c>
      <c r="I346" s="30" t="s">
        <v>489</v>
      </c>
      <c r="J346" s="1798">
        <f>'Store New'!Z21</f>
        <v>606</v>
      </c>
      <c r="K346" s="1913"/>
      <c r="L346" s="1583">
        <f>AVERAGE(J346,J342)</f>
        <v>606</v>
      </c>
      <c r="M346" s="24"/>
      <c r="N346" s="1581">
        <f>(L346/L339-1)*100</f>
        <v>0.33112582781456013</v>
      </c>
      <c r="O346" s="30" t="s">
        <v>489</v>
      </c>
      <c r="P346" s="1584">
        <f t="shared" ref="P346:P350" si="245">H346/N346*100</f>
        <v>752.17228464421498</v>
      </c>
      <c r="Q346" s="35" t="s">
        <v>489</v>
      </c>
      <c r="R346" s="24"/>
      <c r="S346" s="1916">
        <f>509+7+24+34</f>
        <v>574</v>
      </c>
      <c r="T346" s="1595">
        <f t="shared" ref="T346:T350" si="246">S346-AQ346</f>
        <v>540</v>
      </c>
      <c r="U346" s="1916"/>
      <c r="V346" s="24">
        <f>T346/L346</f>
        <v>0.8910891089108911</v>
      </c>
      <c r="W346" s="1586">
        <f>S346/L346</f>
        <v>0.94719471947194722</v>
      </c>
      <c r="X346" s="24">
        <f t="shared" ref="X346:Y350" si="247">(V346/V339-1)*100</f>
        <v>7.0015550262779724</v>
      </c>
      <c r="Y346" s="1587">
        <f t="shared" si="247"/>
        <v>7.1358821275385953</v>
      </c>
      <c r="Z346" s="30" t="s">
        <v>489</v>
      </c>
      <c r="AA346" s="1997">
        <f>'Store New'!Z38</f>
        <v>5</v>
      </c>
      <c r="AB346" s="1597"/>
      <c r="AC346" s="1588">
        <f>AVERAGE(AA346,AA342)</f>
        <v>5.0500000000000007</v>
      </c>
      <c r="AD346" s="1588"/>
      <c r="AE346" s="24">
        <f t="shared" ref="AE346:AE350" si="248">AC346/AC339-1</f>
        <v>0</v>
      </c>
      <c r="AF346" s="1581"/>
      <c r="AG346" s="30" t="s">
        <v>489</v>
      </c>
      <c r="AH346" s="1589" t="str">
        <f t="shared" ref="AH346:AH350" si="249">IFERROR(H346/AE346, "NM")</f>
        <v>NM</v>
      </c>
      <c r="AI346" s="35" t="s">
        <v>489</v>
      </c>
      <c r="AJ346" s="1590">
        <f>T346</f>
        <v>540</v>
      </c>
      <c r="AK346" s="1590">
        <f>S346</f>
        <v>574</v>
      </c>
      <c r="AL346" s="1586">
        <f t="shared" ref="AL346:AL349" si="250">AJ346/AC346</f>
        <v>106.93069306930691</v>
      </c>
      <c r="AM346" s="1591"/>
      <c r="AN346" s="24"/>
      <c r="AO346" s="1587"/>
      <c r="AP346" s="30" t="s">
        <v>489</v>
      </c>
      <c r="AQ346" s="1945">
        <v>34</v>
      </c>
      <c r="AR346" s="1797">
        <f>AQ346/AQ339-1</f>
        <v>9.6774193548387011E-2</v>
      </c>
    </row>
    <row r="347" spans="1:44">
      <c r="A347" s="24" t="str">
        <f>$A$28</f>
        <v>2Q</v>
      </c>
      <c r="B347" s="29" t="str">
        <f>$B$28</f>
        <v>Jul</v>
      </c>
      <c r="C347" s="24"/>
      <c r="D347" s="1581">
        <f>(S347/S340-1)*100</f>
        <v>5.2083333333333259</v>
      </c>
      <c r="E347" s="24"/>
      <c r="F347" s="1616">
        <v>3</v>
      </c>
      <c r="G347" s="24"/>
      <c r="H347" s="1581">
        <f>D347-F347</f>
        <v>2.2083333333333259</v>
      </c>
      <c r="I347" s="24"/>
      <c r="J347" s="1798">
        <f>'Store New'!AA21</f>
        <v>606</v>
      </c>
      <c r="K347" s="1913"/>
      <c r="L347" s="1583">
        <f>AVERAGE(J347,J346)</f>
        <v>606</v>
      </c>
      <c r="M347" s="24"/>
      <c r="N347" s="1581">
        <f>(L347/L340-1)*100</f>
        <v>-0.16474464579900872</v>
      </c>
      <c r="O347" s="30"/>
      <c r="P347" s="1584">
        <f t="shared" si="245"/>
        <v>-1340.4583333333517</v>
      </c>
      <c r="Q347" s="35"/>
      <c r="R347" s="24"/>
      <c r="S347" s="1919">
        <f>539+8+29+30</f>
        <v>606</v>
      </c>
      <c r="T347" s="1600">
        <f t="shared" si="246"/>
        <v>576</v>
      </c>
      <c r="U347" s="1919"/>
      <c r="V347" s="24">
        <f>T347/L347</f>
        <v>0.95049504950495045</v>
      </c>
      <c r="W347" s="1586">
        <f>S347/L347</f>
        <v>1</v>
      </c>
      <c r="X347" s="24">
        <f t="shared" si="247"/>
        <v>4.9000900090008903</v>
      </c>
      <c r="Y347" s="1587">
        <f t="shared" si="247"/>
        <v>5.381944444444442</v>
      </c>
      <c r="Z347" s="30"/>
      <c r="AA347" s="24">
        <f>'Store New'!AA38</f>
        <v>5.1000000000000005</v>
      </c>
      <c r="AB347" s="1597"/>
      <c r="AC347" s="1588">
        <f>AVERAGE(AA347,AA346)</f>
        <v>5.0500000000000007</v>
      </c>
      <c r="AD347" s="1588"/>
      <c r="AE347" s="24">
        <f t="shared" si="248"/>
        <v>0</v>
      </c>
      <c r="AF347" s="1581"/>
      <c r="AG347" s="30"/>
      <c r="AH347" s="1589" t="str">
        <f t="shared" si="249"/>
        <v>NM</v>
      </c>
      <c r="AI347" s="35"/>
      <c r="AJ347" s="1590">
        <f>T347</f>
        <v>576</v>
      </c>
      <c r="AK347" s="1590">
        <f>S347</f>
        <v>606</v>
      </c>
      <c r="AL347" s="1586">
        <f t="shared" si="250"/>
        <v>114.05940594059405</v>
      </c>
      <c r="AM347" s="1604"/>
      <c r="AN347" s="24"/>
      <c r="AO347" s="1587"/>
      <c r="AP347" s="30"/>
      <c r="AQ347" s="1945">
        <v>30</v>
      </c>
      <c r="AR347" s="1797">
        <f t="shared" ref="AR347:AR350" si="251">AQ347/AQ340-1</f>
        <v>0.15384615384615374</v>
      </c>
    </row>
    <row r="348" spans="1:44">
      <c r="A348" s="24" t="str">
        <f>$A$29</f>
        <v>3Q</v>
      </c>
      <c r="B348" s="29" t="str">
        <f>$B$29</f>
        <v>Oct</v>
      </c>
      <c r="C348" s="24"/>
      <c r="D348" s="1581">
        <f>(S348/S341-1)*100</f>
        <v>3.14569536423841</v>
      </c>
      <c r="E348" s="24"/>
      <c r="F348" s="1616">
        <v>2</v>
      </c>
      <c r="G348" s="24"/>
      <c r="H348" s="1581">
        <f>D348-F348</f>
        <v>1.14569536423841</v>
      </c>
      <c r="I348" s="24"/>
      <c r="J348" s="1798">
        <f>'Store New'!AB21</f>
        <v>609</v>
      </c>
      <c r="K348" s="1913"/>
      <c r="L348" s="1583">
        <f>AVERAGE(J348,J347)</f>
        <v>607.5</v>
      </c>
      <c r="M348" s="24"/>
      <c r="N348" s="1581">
        <f>(L348/L341-1)*100</f>
        <v>-0.4098360655737654</v>
      </c>
      <c r="O348" s="30"/>
      <c r="P348" s="1584">
        <f t="shared" si="245"/>
        <v>-279.5496688741755</v>
      </c>
      <c r="Q348" s="35"/>
      <c r="R348" s="24"/>
      <c r="S348" s="1919">
        <f>549+9+28+37</f>
        <v>623</v>
      </c>
      <c r="T348" s="1600">
        <f t="shared" si="246"/>
        <v>586</v>
      </c>
      <c r="U348" s="1919"/>
      <c r="V348" s="24">
        <f>T348/L348</f>
        <v>0.96460905349794235</v>
      </c>
      <c r="W348" s="1586">
        <f>S348/L348</f>
        <v>1.025514403292181</v>
      </c>
      <c r="X348" s="24">
        <f t="shared" si="247"/>
        <v>3.0493034384841966</v>
      </c>
      <c r="Y348" s="1587">
        <f t="shared" si="247"/>
        <v>3.5701632463957633</v>
      </c>
      <c r="Z348" s="30"/>
      <c r="AA348" s="24">
        <f>'Store New'!AB38</f>
        <v>5.1000000000000005</v>
      </c>
      <c r="AB348" s="1597"/>
      <c r="AC348" s="1588">
        <f t="shared" ref="AC348:AC349" si="252">AVERAGE(AA348,AA347)</f>
        <v>5.1000000000000005</v>
      </c>
      <c r="AD348" s="1588"/>
      <c r="AE348" s="24">
        <f t="shared" si="248"/>
        <v>0</v>
      </c>
      <c r="AF348" s="1581"/>
      <c r="AG348" s="30"/>
      <c r="AH348" s="1589" t="str">
        <f t="shared" si="249"/>
        <v>NM</v>
      </c>
      <c r="AI348" s="35"/>
      <c r="AJ348" s="1590">
        <f>T348</f>
        <v>586</v>
      </c>
      <c r="AK348" s="1590">
        <f>S348</f>
        <v>623</v>
      </c>
      <c r="AL348" s="1586">
        <f t="shared" si="250"/>
        <v>114.90196078431372</v>
      </c>
      <c r="AM348" s="1604"/>
      <c r="AN348" s="24"/>
      <c r="AO348" s="1587"/>
      <c r="AP348" s="30"/>
      <c r="AQ348" s="1945">
        <v>37</v>
      </c>
      <c r="AR348" s="1797">
        <f t="shared" si="251"/>
        <v>0.1212121212121211</v>
      </c>
    </row>
    <row r="349" spans="1:44">
      <c r="A349" s="24" t="str">
        <f>$A$30</f>
        <v>4Q</v>
      </c>
      <c r="B349" s="29" t="str">
        <f>$B$30</f>
        <v>Jan</v>
      </c>
      <c r="C349" s="24"/>
      <c r="D349" s="1606">
        <f>(S349/S342-1)*100</f>
        <v>4.5576407506702443</v>
      </c>
      <c r="E349" s="24"/>
      <c r="F349" s="1607">
        <v>2</v>
      </c>
      <c r="G349" s="24"/>
      <c r="H349" s="1606">
        <f>D349-F349</f>
        <v>2.5576407506702443</v>
      </c>
      <c r="I349" s="24"/>
      <c r="J349" s="1798">
        <f>'Store New'!AC21</f>
        <v>610</v>
      </c>
      <c r="K349" s="1913"/>
      <c r="L349" s="1608">
        <f>AVERAGE(J349,J348)</f>
        <v>609.5</v>
      </c>
      <c r="M349" s="24"/>
      <c r="N349" s="1606">
        <f>(L349/L342-1)*100</f>
        <v>0.16433853738702098</v>
      </c>
      <c r="O349" s="30"/>
      <c r="P349" s="1609">
        <f t="shared" si="245"/>
        <v>1556.3243967828084</v>
      </c>
      <c r="Q349" s="35"/>
      <c r="R349" s="24"/>
      <c r="S349" s="1918">
        <f>S350-SUM(S346:S348)</f>
        <v>780</v>
      </c>
      <c r="T349" s="1610">
        <f t="shared" si="246"/>
        <v>726</v>
      </c>
      <c r="U349" s="1919"/>
      <c r="V349" s="24">
        <f>T349/L349</f>
        <v>1.1911402789171452</v>
      </c>
      <c r="W349" s="1586">
        <f>S349/L349</f>
        <v>1.2797374897456932</v>
      </c>
      <c r="X349" s="24">
        <f t="shared" si="247"/>
        <v>3.2491253163935863</v>
      </c>
      <c r="Y349" s="1612">
        <f t="shared" si="247"/>
        <v>4.3860941702753786</v>
      </c>
      <c r="Z349" s="30"/>
      <c r="AA349" s="24">
        <f>'Store New'!AC38</f>
        <v>5.2</v>
      </c>
      <c r="AB349" s="1597"/>
      <c r="AC349" s="1588">
        <f t="shared" si="252"/>
        <v>5.15</v>
      </c>
      <c r="AD349" s="1613"/>
      <c r="AE349" s="24">
        <f t="shared" si="248"/>
        <v>9.8039215686274161E-3</v>
      </c>
      <c r="AF349" s="1606"/>
      <c r="AG349" s="30"/>
      <c r="AH349" s="1608">
        <f t="shared" si="249"/>
        <v>260.87935656836584</v>
      </c>
      <c r="AI349" s="35"/>
      <c r="AJ349" s="1590">
        <f>T349</f>
        <v>726</v>
      </c>
      <c r="AK349" s="1590">
        <f>S349</f>
        <v>780</v>
      </c>
      <c r="AL349" s="1586">
        <f t="shared" si="250"/>
        <v>140.97087378640776</v>
      </c>
      <c r="AM349" s="1615"/>
      <c r="AN349" s="24"/>
      <c r="AO349" s="1612"/>
      <c r="AP349" s="30"/>
      <c r="AQ349" s="1945">
        <v>54</v>
      </c>
      <c r="AR349" s="1797">
        <f t="shared" si="251"/>
        <v>0.22727272727272729</v>
      </c>
    </row>
    <row r="350" spans="1:44">
      <c r="A350" s="24"/>
      <c r="B350" s="29" t="str">
        <f>$B$31</f>
        <v>Year</v>
      </c>
      <c r="C350" s="24"/>
      <c r="D350" s="1581">
        <f>(S350/S343-1)*100</f>
        <v>5.0000000000000044</v>
      </c>
      <c r="E350" s="24"/>
      <c r="F350" s="1616">
        <v>2.9085312225153914</v>
      </c>
      <c r="G350" s="24"/>
      <c r="H350" s="1581">
        <f>D350-F350</f>
        <v>2.091468777484613</v>
      </c>
      <c r="I350" s="24"/>
      <c r="J350" s="1782"/>
      <c r="K350" s="24"/>
      <c r="L350" s="1583">
        <f>AVERAGE(L346:L349)</f>
        <v>607.25</v>
      </c>
      <c r="M350" s="24"/>
      <c r="N350" s="1581">
        <f>(L350/L343-1)*100</f>
        <v>-2.0580366330524846E-2</v>
      </c>
      <c r="O350" s="30"/>
      <c r="P350" s="1584">
        <f t="shared" si="245"/>
        <v>-10162.446789795678</v>
      </c>
      <c r="Q350" s="35"/>
      <c r="R350" s="24"/>
      <c r="S350" s="400">
        <v>2583</v>
      </c>
      <c r="T350" s="1617">
        <f t="shared" si="246"/>
        <v>2428</v>
      </c>
      <c r="U350" s="400"/>
      <c r="V350" s="24">
        <f>T350/L350</f>
        <v>3.9983532317826267</v>
      </c>
      <c r="W350" s="1586">
        <f>S350/L350</f>
        <v>4.2536023054755043</v>
      </c>
      <c r="X350" s="24">
        <f t="shared" si="247"/>
        <v>4.4066979429910891</v>
      </c>
      <c r="Y350" s="1587">
        <f t="shared" si="247"/>
        <v>5.0216138328530224</v>
      </c>
      <c r="Z350" s="30"/>
      <c r="AA350" s="24"/>
      <c r="AB350" s="24"/>
      <c r="AC350" s="1588">
        <f>AVERAGE(AC346:AC349)</f>
        <v>5.0875000000000004</v>
      </c>
      <c r="AD350" s="1588"/>
      <c r="AE350" s="24">
        <f t="shared" si="248"/>
        <v>2.4630541871919487E-3</v>
      </c>
      <c r="AF350" s="1581"/>
      <c r="AG350" s="30"/>
      <c r="AH350" s="1589">
        <f t="shared" si="249"/>
        <v>849.13632365881131</v>
      </c>
      <c r="AI350" s="35"/>
      <c r="AJ350" s="1590">
        <f>T350</f>
        <v>2428</v>
      </c>
      <c r="AK350" s="1590">
        <f>S350</f>
        <v>2583</v>
      </c>
      <c r="AL350" s="1586">
        <f>AJ350/AC350</f>
        <v>477.24815724815721</v>
      </c>
      <c r="AM350" s="1591"/>
      <c r="AN350" s="24"/>
      <c r="AO350" s="1587"/>
      <c r="AP350" s="30"/>
      <c r="AQ350" s="1945">
        <v>155</v>
      </c>
      <c r="AR350" s="1797">
        <f t="shared" si="251"/>
        <v>0.15671641791044766</v>
      </c>
    </row>
    <row r="351" spans="1:44">
      <c r="A351" s="24"/>
      <c r="B351" s="1928"/>
      <c r="C351" s="24"/>
      <c r="D351" s="1581"/>
      <c r="E351" s="24"/>
      <c r="F351" s="1616"/>
      <c r="G351" s="24"/>
      <c r="H351" s="1581"/>
      <c r="I351" s="24"/>
      <c r="J351" s="1782"/>
      <c r="K351" s="24"/>
      <c r="L351" s="1583"/>
      <c r="M351" s="24"/>
      <c r="N351" s="1581"/>
      <c r="O351" s="30"/>
      <c r="P351" s="1584"/>
      <c r="Q351" s="35"/>
      <c r="R351" s="24"/>
      <c r="S351" s="1590"/>
      <c r="T351" s="1929"/>
      <c r="U351" s="1590"/>
      <c r="V351" s="24"/>
      <c r="W351" s="1586"/>
      <c r="X351" s="24"/>
      <c r="Y351" s="1587"/>
      <c r="Z351" s="30"/>
      <c r="AA351" s="24"/>
      <c r="AB351" s="24"/>
      <c r="AC351" s="24"/>
      <c r="AD351" s="1588"/>
      <c r="AE351" s="24"/>
      <c r="AF351" s="1581"/>
      <c r="AG351" s="30"/>
      <c r="AH351" s="1589"/>
      <c r="AI351" s="35"/>
      <c r="AJ351" s="24"/>
      <c r="AK351" s="1590"/>
      <c r="AL351" s="24"/>
      <c r="AM351" s="1591"/>
      <c r="AN351" s="24"/>
      <c r="AO351" s="1587"/>
      <c r="AP351" s="30"/>
      <c r="AQ351" s="1738"/>
    </row>
    <row r="352" spans="1:44">
      <c r="A352" s="1579"/>
      <c r="B352" s="1580">
        <f>+B345+1</f>
        <v>2011</v>
      </c>
      <c r="C352" s="24"/>
      <c r="D352" s="24"/>
      <c r="E352" s="30"/>
      <c r="F352" s="1816"/>
      <c r="G352" s="30"/>
      <c r="H352" s="24"/>
      <c r="I352" s="30"/>
      <c r="J352" s="1782"/>
      <c r="K352" s="24"/>
      <c r="L352" s="24"/>
      <c r="M352" s="24"/>
      <c r="N352" s="24"/>
      <c r="O352" s="30"/>
      <c r="P352" s="35"/>
      <c r="Q352" s="35"/>
      <c r="R352" s="24"/>
      <c r="S352" s="24"/>
      <c r="T352" s="24"/>
      <c r="U352" s="24"/>
      <c r="V352" s="24"/>
      <c r="W352" s="24"/>
      <c r="X352" s="24"/>
      <c r="Y352" s="24"/>
      <c r="Z352" s="30"/>
      <c r="AA352" s="24"/>
      <c r="AB352" s="24"/>
      <c r="AC352" s="24"/>
      <c r="AD352" s="24"/>
      <c r="AE352" s="24"/>
      <c r="AF352" s="24"/>
      <c r="AG352" s="30"/>
      <c r="AH352" s="35"/>
      <c r="AI352" s="35"/>
      <c r="AJ352" s="24"/>
      <c r="AK352" s="24"/>
      <c r="AL352" s="24"/>
      <c r="AM352" s="24"/>
      <c r="AN352" s="24"/>
      <c r="AO352" s="24"/>
      <c r="AP352" s="30"/>
      <c r="AQ352" s="1738"/>
    </row>
    <row r="353" spans="1:44">
      <c r="A353" s="24" t="str">
        <f>$A$27</f>
        <v>1Q</v>
      </c>
      <c r="B353" s="29" t="str">
        <f>$B$27</f>
        <v>Apr</v>
      </c>
      <c r="C353" s="24"/>
      <c r="D353" s="1581">
        <f>(T353/T346-1)*100</f>
        <v>-0.37037037037036535</v>
      </c>
      <c r="E353" s="30" t="s">
        <v>489</v>
      </c>
      <c r="F353" s="1616">
        <v>-1</v>
      </c>
      <c r="G353" s="30" t="s">
        <v>489</v>
      </c>
      <c r="H353" s="1581">
        <f>D353-F353</f>
        <v>0.62962962962963465</v>
      </c>
      <c r="I353" s="30" t="s">
        <v>489</v>
      </c>
      <c r="J353" s="1798">
        <f>'Store New'!AD21</f>
        <v>611</v>
      </c>
      <c r="K353" s="1913"/>
      <c r="L353" s="1583">
        <f>AVERAGE(J353,J349)</f>
        <v>610.5</v>
      </c>
      <c r="M353" s="24"/>
      <c r="N353" s="1581">
        <f>(L353/L346-1)*100</f>
        <v>0.74257425742574323</v>
      </c>
      <c r="O353" s="30" t="s">
        <v>489</v>
      </c>
      <c r="P353" s="1584">
        <f t="shared" ref="P353:P357" si="253">H353/N353*100</f>
        <v>84.790123456790724</v>
      </c>
      <c r="Q353" s="35" t="s">
        <v>489</v>
      </c>
      <c r="R353" s="24"/>
      <c r="S353" s="1916">
        <f>460+43+11+24+41</f>
        <v>579</v>
      </c>
      <c r="T353" s="1595">
        <f t="shared" ref="T353:T357" si="254">S353-AQ353</f>
        <v>538</v>
      </c>
      <c r="U353" s="1916"/>
      <c r="V353" s="24">
        <f>T353/L353</f>
        <v>0.88124488124488121</v>
      </c>
      <c r="W353" s="1586">
        <f>S353/L353</f>
        <v>0.94840294840294836</v>
      </c>
      <c r="X353" s="24">
        <f t="shared" ref="X353:Y357" si="255">(V353/V346-1)*100</f>
        <v>-1.1047411047411138</v>
      </c>
      <c r="Y353" s="1587">
        <f t="shared" si="255"/>
        <v>0.12755866414402295</v>
      </c>
      <c r="Z353" s="30" t="s">
        <v>489</v>
      </c>
      <c r="AA353" s="24">
        <f>'Store New'!AD38</f>
        <v>5.2</v>
      </c>
      <c r="AB353" s="1597"/>
      <c r="AC353" s="1588">
        <f>AVERAGE(AA353,AA349)</f>
        <v>5.2</v>
      </c>
      <c r="AD353" s="1588"/>
      <c r="AE353" s="24">
        <f t="shared" ref="AE353:AE357" si="256">AC353/AC346-1</f>
        <v>2.9702970297029507E-2</v>
      </c>
      <c r="AF353" s="1581"/>
      <c r="AG353" s="30" t="s">
        <v>489</v>
      </c>
      <c r="AH353" s="1589">
        <f t="shared" ref="AH353:AH357" si="257">IFERROR(H353/AE353, "NM")</f>
        <v>21.197530864197841</v>
      </c>
      <c r="AI353" s="35" t="s">
        <v>489</v>
      </c>
      <c r="AJ353" s="1590">
        <f>T353</f>
        <v>538</v>
      </c>
      <c r="AK353" s="1590">
        <f>S353</f>
        <v>579</v>
      </c>
      <c r="AL353" s="1586">
        <f t="shared" ref="AL353:AL356" si="258">AJ353/AC353</f>
        <v>103.46153846153845</v>
      </c>
      <c r="AM353" s="1591"/>
      <c r="AN353" s="24"/>
      <c r="AO353" s="1587"/>
      <c r="AP353" s="30" t="s">
        <v>489</v>
      </c>
      <c r="AQ353" s="1738">
        <v>41</v>
      </c>
      <c r="AR353" s="1797">
        <f>AQ353/AQ346-1</f>
        <v>0.20588235294117641</v>
      </c>
    </row>
    <row r="354" spans="1:44">
      <c r="A354" s="24" t="str">
        <f>$A$28</f>
        <v>2Q</v>
      </c>
      <c r="B354" s="29" t="str">
        <f>$B$28</f>
        <v>Jul</v>
      </c>
      <c r="C354" s="24"/>
      <c r="D354" s="1581">
        <f>(T354/T347-1)*100</f>
        <v>0.69444444444444198</v>
      </c>
      <c r="E354" s="24"/>
      <c r="F354" s="1616">
        <v>-2</v>
      </c>
      <c r="G354" s="24"/>
      <c r="H354" s="1581">
        <f>D354-F354</f>
        <v>2.694444444444442</v>
      </c>
      <c r="I354" s="24"/>
      <c r="J354" s="1798">
        <f>'Store New'!AE21</f>
        <v>613</v>
      </c>
      <c r="K354" s="1913"/>
      <c r="L354" s="1583">
        <f>AVERAGE(J354,J353)</f>
        <v>612</v>
      </c>
      <c r="M354" s="24"/>
      <c r="N354" s="1581">
        <f>(L354/L347-1)*100</f>
        <v>0.99009900990099098</v>
      </c>
      <c r="O354" s="30"/>
      <c r="P354" s="1584">
        <f t="shared" si="253"/>
        <v>272.1388888888884</v>
      </c>
      <c r="Q354" s="35"/>
      <c r="R354" s="24"/>
      <c r="S354" s="1919">
        <f>580+37</f>
        <v>617</v>
      </c>
      <c r="T354" s="38">
        <f t="shared" si="254"/>
        <v>580</v>
      </c>
      <c r="U354" s="1919"/>
      <c r="V354" s="24">
        <f>T354/L354</f>
        <v>0.94771241830065356</v>
      </c>
      <c r="W354" s="1586">
        <f>S354/L354</f>
        <v>1.0081699346405228</v>
      </c>
      <c r="X354" s="24">
        <f t="shared" si="255"/>
        <v>-0.29275599128539831</v>
      </c>
      <c r="Y354" s="1587">
        <f t="shared" si="255"/>
        <v>0.81699346405228468</v>
      </c>
      <c r="Z354" s="30"/>
      <c r="AA354" s="24">
        <f>'Store New'!AE38</f>
        <v>5.2</v>
      </c>
      <c r="AB354" s="1597"/>
      <c r="AC354" s="1588">
        <f>AVERAGE(AA354,AA353)</f>
        <v>5.2</v>
      </c>
      <c r="AD354" s="1588"/>
      <c r="AE354" s="24">
        <f t="shared" si="256"/>
        <v>2.9702970297029507E-2</v>
      </c>
      <c r="AF354" s="1581"/>
      <c r="AG354" s="30"/>
      <c r="AH354" s="1589">
        <f t="shared" si="257"/>
        <v>90.712962962963474</v>
      </c>
      <c r="AI354" s="35"/>
      <c r="AJ354" s="1590">
        <f>T354</f>
        <v>580</v>
      </c>
      <c r="AK354" s="1590">
        <f>S354</f>
        <v>617</v>
      </c>
      <c r="AL354" s="1586">
        <f t="shared" si="258"/>
        <v>111.53846153846153</v>
      </c>
      <c r="AM354" s="1604"/>
      <c r="AN354" s="24"/>
      <c r="AO354" s="1587"/>
      <c r="AP354" s="30"/>
      <c r="AQ354" s="1738">
        <v>37</v>
      </c>
      <c r="AR354" s="1797">
        <f t="shared" ref="AR354:AR357" si="259">AQ354/AQ347-1</f>
        <v>0.23333333333333339</v>
      </c>
    </row>
    <row r="355" spans="1:44">
      <c r="A355" s="24" t="str">
        <f>$A$29</f>
        <v>3Q</v>
      </c>
      <c r="B355" s="29" t="str">
        <f>$B$29</f>
        <v>Oct</v>
      </c>
      <c r="C355" s="24"/>
      <c r="D355" s="1581">
        <f>(T355/T348-1)*100</f>
        <v>0.17064846416381396</v>
      </c>
      <c r="E355" s="24"/>
      <c r="F355" s="1616">
        <v>-2</v>
      </c>
      <c r="G355" s="24"/>
      <c r="H355" s="1581">
        <f>D355-F355</f>
        <v>2.170648464163814</v>
      </c>
      <c r="I355" s="24"/>
      <c r="J355" s="1798">
        <f>'Store New'!AF21</f>
        <v>621</v>
      </c>
      <c r="K355" s="1913"/>
      <c r="L355" s="1583">
        <f>AVERAGE(J355,J354)</f>
        <v>617</v>
      </c>
      <c r="M355" s="24"/>
      <c r="N355" s="1581">
        <f>(L355/L348-1)*100</f>
        <v>1.5637860082304611</v>
      </c>
      <c r="O355" s="30"/>
      <c r="P355" s="1584">
        <f t="shared" si="253"/>
        <v>138.80725705047473</v>
      </c>
      <c r="Q355" s="35"/>
      <c r="R355" s="24"/>
      <c r="S355" s="1919">
        <f>47+587</f>
        <v>634</v>
      </c>
      <c r="T355" s="38">
        <f t="shared" si="254"/>
        <v>587</v>
      </c>
      <c r="U355" s="1919"/>
      <c r="V355" s="24">
        <f>T355/L355</f>
        <v>0.9513776337115073</v>
      </c>
      <c r="W355" s="1586">
        <f>S355/L355</f>
        <v>1.027552674230146</v>
      </c>
      <c r="X355" s="24">
        <f t="shared" si="255"/>
        <v>-1.3716872901466393</v>
      </c>
      <c r="Y355" s="1587">
        <f t="shared" si="255"/>
        <v>0.19875595422371717</v>
      </c>
      <c r="Z355" s="30"/>
      <c r="AA355" s="24">
        <f>'Store New'!AF38</f>
        <v>5.2</v>
      </c>
      <c r="AB355" s="1597"/>
      <c r="AC355" s="1588">
        <f t="shared" ref="AC355:AC356" si="260">AVERAGE(AA355,AA354)</f>
        <v>5.2</v>
      </c>
      <c r="AD355" s="1588"/>
      <c r="AE355" s="24">
        <f t="shared" si="256"/>
        <v>1.9607843137254832E-2</v>
      </c>
      <c r="AF355" s="1581"/>
      <c r="AG355" s="30"/>
      <c r="AH355" s="1589">
        <f t="shared" si="257"/>
        <v>110.70307167235491</v>
      </c>
      <c r="AI355" s="35"/>
      <c r="AJ355" s="1590">
        <f>T355</f>
        <v>587</v>
      </c>
      <c r="AK355" s="1590">
        <f>S355</f>
        <v>634</v>
      </c>
      <c r="AL355" s="1586">
        <f t="shared" si="258"/>
        <v>112.88461538461539</v>
      </c>
      <c r="AM355" s="1604"/>
      <c r="AN355" s="24"/>
      <c r="AO355" s="1587"/>
      <c r="AP355" s="30"/>
      <c r="AQ355" s="1738">
        <v>47</v>
      </c>
      <c r="AR355" s="1797">
        <f t="shared" si="259"/>
        <v>0.27027027027027017</v>
      </c>
    </row>
    <row r="356" spans="1:44">
      <c r="A356" s="24" t="str">
        <f>$A$30</f>
        <v>4Q</v>
      </c>
      <c r="B356" s="29" t="str">
        <f>$B$30</f>
        <v>Jan</v>
      </c>
      <c r="C356" s="24"/>
      <c r="D356" s="1606">
        <f>(T356/T349-1)*100</f>
        <v>0.96418732782368455</v>
      </c>
      <c r="E356" s="24"/>
      <c r="F356" s="1813">
        <v>-1</v>
      </c>
      <c r="G356" s="24"/>
      <c r="H356" s="1606">
        <f>D356-F356</f>
        <v>1.9641873278236845</v>
      </c>
      <c r="I356" s="24"/>
      <c r="J356" s="1798">
        <f>'Store New'!AG21</f>
        <v>622</v>
      </c>
      <c r="K356" s="1913"/>
      <c r="L356" s="1608">
        <f>AVERAGE(J356,J355)</f>
        <v>621.5</v>
      </c>
      <c r="M356" s="24"/>
      <c r="N356" s="1606">
        <f>(L356/L349-1)*100</f>
        <v>1.9688269073010689</v>
      </c>
      <c r="O356" s="30"/>
      <c r="P356" s="1609">
        <f t="shared" si="253"/>
        <v>99.764348025711186</v>
      </c>
      <c r="Q356" s="35"/>
      <c r="R356" s="24"/>
      <c r="S356" s="1918">
        <f>S357-SUM(S353:S355)</f>
        <v>796</v>
      </c>
      <c r="T356" s="1610">
        <f t="shared" si="254"/>
        <v>733</v>
      </c>
      <c r="U356" s="1919"/>
      <c r="V356" s="24">
        <f>T356/L356</f>
        <v>1.1794046661303299</v>
      </c>
      <c r="W356" s="1586">
        <f>S356/L356</f>
        <v>1.2807723250201126</v>
      </c>
      <c r="X356" s="24">
        <f t="shared" si="255"/>
        <v>-0.98524187239172889</v>
      </c>
      <c r="Y356" s="1612">
        <f t="shared" si="255"/>
        <v>8.0863089712646108E-2</v>
      </c>
      <c r="Z356" s="30"/>
      <c r="AA356" s="24">
        <f>'Store New'!AG38</f>
        <v>5.2</v>
      </c>
      <c r="AB356" s="1597"/>
      <c r="AC356" s="1588">
        <f t="shared" si="260"/>
        <v>5.2</v>
      </c>
      <c r="AD356" s="1613"/>
      <c r="AE356" s="24">
        <f t="shared" si="256"/>
        <v>9.7087378640776656E-3</v>
      </c>
      <c r="AF356" s="1606"/>
      <c r="AG356" s="30"/>
      <c r="AH356" s="1608">
        <f t="shared" si="257"/>
        <v>202.31129476583959</v>
      </c>
      <c r="AI356" s="35"/>
      <c r="AJ356" s="1590">
        <f>T356</f>
        <v>733</v>
      </c>
      <c r="AK356" s="1590">
        <f>S356</f>
        <v>796</v>
      </c>
      <c r="AL356" s="1586">
        <f t="shared" si="258"/>
        <v>140.96153846153845</v>
      </c>
      <c r="AM356" s="1615"/>
      <c r="AN356" s="24"/>
      <c r="AO356" s="1612"/>
      <c r="AP356" s="30"/>
      <c r="AQ356" s="1738">
        <v>63</v>
      </c>
      <c r="AR356" s="1797">
        <f t="shared" si="259"/>
        <v>0.16666666666666674</v>
      </c>
    </row>
    <row r="357" spans="1:44">
      <c r="A357" s="24"/>
      <c r="B357" s="29" t="str">
        <f>$B$31</f>
        <v>Year</v>
      </c>
      <c r="C357" s="24"/>
      <c r="D357" s="1581">
        <f>(T357/T350-1)*100</f>
        <v>0.41186161449753289</v>
      </c>
      <c r="E357" s="24"/>
      <c r="F357" s="1946">
        <v>-1</v>
      </c>
      <c r="G357" s="24"/>
      <c r="H357" s="1581">
        <f>D357-F357</f>
        <v>1.4118616144975329</v>
      </c>
      <c r="I357" s="24"/>
      <c r="J357" s="1782"/>
      <c r="K357" s="24"/>
      <c r="L357" s="1583">
        <f>AVERAGE(L353:L356)</f>
        <v>615.25</v>
      </c>
      <c r="M357" s="24"/>
      <c r="N357" s="1581">
        <f>(L357/L350-1)*100</f>
        <v>1.3174145738987342</v>
      </c>
      <c r="O357" s="30"/>
      <c r="P357" s="1584">
        <f t="shared" si="253"/>
        <v>107.1691206754525</v>
      </c>
      <c r="Q357" s="35"/>
      <c r="R357" s="24"/>
      <c r="S357" s="400">
        <v>2626</v>
      </c>
      <c r="T357" s="1617">
        <f t="shared" si="254"/>
        <v>2438</v>
      </c>
      <c r="U357" s="400"/>
      <c r="V357" s="24">
        <f>T357/L357</f>
        <v>3.9626168224299065</v>
      </c>
      <c r="W357" s="1586">
        <f>S357/L357</f>
        <v>4.2681836651767577</v>
      </c>
      <c r="X357" s="24">
        <f t="shared" si="255"/>
        <v>-0.8937781951993129</v>
      </c>
      <c r="Y357" s="1587">
        <f t="shared" si="255"/>
        <v>0.34280025855928375</v>
      </c>
      <c r="Z357" s="30"/>
      <c r="AA357" s="24"/>
      <c r="AB357" s="24"/>
      <c r="AC357" s="1588">
        <f>AVERAGE(AC353:AC356)</f>
        <v>5.2</v>
      </c>
      <c r="AD357" s="1588"/>
      <c r="AE357" s="24">
        <f t="shared" si="256"/>
        <v>2.2113022113022129E-2</v>
      </c>
      <c r="AF357" s="1581"/>
      <c r="AG357" s="30"/>
      <c r="AH357" s="1589">
        <f t="shared" si="257"/>
        <v>63.847519677832828</v>
      </c>
      <c r="AI357" s="35"/>
      <c r="AJ357" s="1590">
        <f>T357</f>
        <v>2438</v>
      </c>
      <c r="AK357" s="1590">
        <f>S357</f>
        <v>2626</v>
      </c>
      <c r="AL357" s="1586">
        <f>AJ357/AC357</f>
        <v>468.84615384615381</v>
      </c>
      <c r="AM357" s="1591"/>
      <c r="AN357" s="24"/>
      <c r="AO357" s="1587"/>
      <c r="AP357" s="30"/>
      <c r="AQ357" s="1738">
        <f>SUM(AQ353:AQ356)</f>
        <v>188</v>
      </c>
      <c r="AR357" s="1797">
        <f t="shared" si="259"/>
        <v>0.2129032258064516</v>
      </c>
    </row>
    <row r="358" spans="1:44">
      <c r="A358" s="24"/>
      <c r="B358" s="29"/>
      <c r="C358" s="24"/>
      <c r="D358" s="1581"/>
      <c r="E358" s="24"/>
      <c r="F358" s="1616"/>
      <c r="G358" s="24"/>
      <c r="H358" s="1581"/>
      <c r="I358" s="24"/>
      <c r="J358" s="1782"/>
      <c r="K358" s="24"/>
      <c r="L358" s="1583"/>
      <c r="M358" s="24"/>
      <c r="N358" s="1581"/>
      <c r="O358" s="30"/>
      <c r="P358" s="1584"/>
      <c r="Q358" s="35"/>
      <c r="R358" s="24"/>
      <c r="S358" s="1590"/>
      <c r="T358" s="1590"/>
      <c r="U358" s="1590"/>
      <c r="V358" s="24"/>
      <c r="W358" s="1586"/>
      <c r="X358" s="24"/>
      <c r="Y358" s="1587"/>
      <c r="Z358" s="30"/>
      <c r="AA358" s="24"/>
      <c r="AB358" s="24"/>
      <c r="AC358" s="24"/>
      <c r="AD358" s="1588"/>
      <c r="AE358" s="24"/>
      <c r="AF358" s="1581"/>
      <c r="AG358" s="30"/>
      <c r="AH358" s="1589"/>
      <c r="AI358" s="35"/>
      <c r="AJ358" s="24"/>
      <c r="AK358" s="1590"/>
      <c r="AL358" s="24"/>
      <c r="AM358" s="1591"/>
      <c r="AN358" s="24"/>
      <c r="AO358" s="1587"/>
      <c r="AP358" s="30"/>
      <c r="AQ358" s="1743"/>
    </row>
    <row r="359" spans="1:44">
      <c r="A359" s="1579"/>
      <c r="B359" s="1580">
        <f>+B352+1</f>
        <v>2012</v>
      </c>
      <c r="C359" s="24"/>
      <c r="D359" s="24"/>
      <c r="E359" s="30"/>
      <c r="F359" s="1816"/>
      <c r="G359" s="30"/>
      <c r="H359" s="24"/>
      <c r="I359" s="30"/>
      <c r="J359" s="1782"/>
      <c r="K359" s="24"/>
      <c r="L359" s="24"/>
      <c r="M359" s="24"/>
      <c r="N359" s="24"/>
      <c r="O359" s="30"/>
      <c r="P359" s="35"/>
      <c r="Q359" s="35"/>
      <c r="R359" s="24"/>
      <c r="S359" s="24"/>
      <c r="T359" s="24"/>
      <c r="U359" s="24"/>
      <c r="V359" s="24"/>
      <c r="W359" s="24"/>
      <c r="X359" s="24"/>
      <c r="Y359" s="24"/>
      <c r="Z359" s="30"/>
      <c r="AA359" s="24"/>
      <c r="AB359" s="24"/>
      <c r="AC359" s="24"/>
      <c r="AD359" s="24"/>
      <c r="AE359" s="24"/>
      <c r="AF359" s="24"/>
      <c r="AG359" s="30"/>
      <c r="AH359" s="35"/>
      <c r="AI359" s="35"/>
      <c r="AJ359" s="24"/>
      <c r="AK359" s="24"/>
      <c r="AL359" s="24"/>
      <c r="AM359" s="24"/>
      <c r="AN359" s="24"/>
      <c r="AO359" s="24"/>
      <c r="AP359" s="30"/>
      <c r="AQ359" s="1739"/>
    </row>
    <row r="360" spans="1:44">
      <c r="A360" s="24" t="str">
        <f>$A$27</f>
        <v>1Q</v>
      </c>
      <c r="B360" s="29" t="str">
        <f>$B$27</f>
        <v>Apr</v>
      </c>
      <c r="C360" s="24"/>
      <c r="D360" s="1581">
        <f>(T360/T353-1)*100</f>
        <v>6.6914498141263934</v>
      </c>
      <c r="E360" s="30" t="s">
        <v>489</v>
      </c>
      <c r="F360" s="1616">
        <v>5</v>
      </c>
      <c r="G360" s="30" t="s">
        <v>489</v>
      </c>
      <c r="H360" s="1581">
        <f>D360-F360</f>
        <v>1.6914498141263934</v>
      </c>
      <c r="I360" s="30" t="s">
        <v>489</v>
      </c>
      <c r="J360" s="1798">
        <f>'Store New'!AH21</f>
        <v>626</v>
      </c>
      <c r="K360" s="1913"/>
      <c r="L360" s="1583">
        <f>AVERAGE(J360,J356)</f>
        <v>624</v>
      </c>
      <c r="M360" s="24"/>
      <c r="N360" s="1581">
        <f>(L360/L353-1)*100</f>
        <v>2.2113022113022129</v>
      </c>
      <c r="O360" s="30" t="s">
        <v>489</v>
      </c>
      <c r="P360" s="1584">
        <f t="shared" ref="P360:P364" si="261">H360/N360*100</f>
        <v>76.491119372160171</v>
      </c>
      <c r="Q360" s="35" t="s">
        <v>489</v>
      </c>
      <c r="R360" s="24"/>
      <c r="S360" s="1916">
        <f>484+45+15+30+48</f>
        <v>622</v>
      </c>
      <c r="T360" s="1595">
        <f t="shared" ref="T360:T364" si="262">S360-AQ360</f>
        <v>574</v>
      </c>
      <c r="U360" s="1916"/>
      <c r="V360" s="24">
        <f>T360/L360</f>
        <v>0.91987179487179482</v>
      </c>
      <c r="W360" s="1586">
        <f>S360/L360</f>
        <v>0.99679487179487181</v>
      </c>
      <c r="X360" s="24">
        <f t="shared" ref="X360:Y364" si="263">(V360/V353-1)*100</f>
        <v>4.3832213325707636</v>
      </c>
      <c r="Y360" s="1587">
        <f t="shared" si="263"/>
        <v>5.1024644612727599</v>
      </c>
      <c r="Z360" s="30" t="s">
        <v>489</v>
      </c>
      <c r="AA360" s="24">
        <f>'Store New'!AH38</f>
        <v>5.2</v>
      </c>
      <c r="AB360" s="1597"/>
      <c r="AC360" s="1588">
        <f>AVERAGE(AA360,AA356)</f>
        <v>5.2</v>
      </c>
      <c r="AD360" s="1588"/>
      <c r="AE360" s="24">
        <f t="shared" ref="AE360:AE364" si="264">AC360/AC353-1</f>
        <v>0</v>
      </c>
      <c r="AF360" s="1581"/>
      <c r="AG360" s="30" t="s">
        <v>489</v>
      </c>
      <c r="AH360" s="1589" t="str">
        <f t="shared" ref="AH360:AH364" si="265">IFERROR(H360/AE360, "NM")</f>
        <v>NM</v>
      </c>
      <c r="AI360" s="35" t="s">
        <v>489</v>
      </c>
      <c r="AJ360" s="1590">
        <f>T360</f>
        <v>574</v>
      </c>
      <c r="AK360" s="1590">
        <f>S360</f>
        <v>622</v>
      </c>
      <c r="AL360" s="1586">
        <f t="shared" ref="AL360:AL363" si="266">AJ360/AC360</f>
        <v>110.38461538461539</v>
      </c>
      <c r="AM360" s="1591"/>
      <c r="AN360" s="24"/>
      <c r="AO360" s="1587"/>
      <c r="AP360" s="30" t="s">
        <v>489</v>
      </c>
      <c r="AQ360" s="1738">
        <v>48</v>
      </c>
      <c r="AR360" s="1797">
        <f>AQ360/AQ353-1</f>
        <v>0.1707317073170731</v>
      </c>
    </row>
    <row r="361" spans="1:44">
      <c r="A361" s="24" t="str">
        <f>$A$30</f>
        <v>4Q</v>
      </c>
      <c r="B361" s="29" t="str">
        <f>$B$30</f>
        <v>Jan</v>
      </c>
      <c r="C361" s="24"/>
      <c r="D361" s="1581">
        <f>(T361/T354-1)*100</f>
        <v>6.8965517241379226</v>
      </c>
      <c r="E361" s="24"/>
      <c r="F361" s="1616">
        <v>6</v>
      </c>
      <c r="G361" s="24"/>
      <c r="H361" s="1581">
        <f>D361-F361</f>
        <v>0.89655172413792261</v>
      </c>
      <c r="I361" s="24"/>
      <c r="J361" s="1798">
        <f>'Store New'!AI21</f>
        <v>629</v>
      </c>
      <c r="K361" s="1913"/>
      <c r="L361" s="1583">
        <f>AVERAGE(J361,J360)</f>
        <v>627.5</v>
      </c>
      <c r="M361" s="24"/>
      <c r="N361" s="1581">
        <f>(L361/L354-1)*100</f>
        <v>2.5326797385620825</v>
      </c>
      <c r="O361" s="30"/>
      <c r="P361" s="1584">
        <f t="shared" si="261"/>
        <v>35.39933259176842</v>
      </c>
      <c r="Q361" s="35"/>
      <c r="R361" s="24"/>
      <c r="S361" s="1919">
        <f>620+50</f>
        <v>670</v>
      </c>
      <c r="T361" s="1600">
        <f t="shared" si="262"/>
        <v>620</v>
      </c>
      <c r="U361" s="1919"/>
      <c r="V361" s="24">
        <f>T361/L361</f>
        <v>0.98804780876494025</v>
      </c>
      <c r="W361" s="1586">
        <f>S361/L361</f>
        <v>1.0677290836653386</v>
      </c>
      <c r="X361" s="24">
        <f t="shared" si="263"/>
        <v>4.25607913174888</v>
      </c>
      <c r="Y361" s="1587">
        <f t="shared" si="263"/>
        <v>5.9076497898196578</v>
      </c>
      <c r="Z361" s="30"/>
      <c r="AA361" s="24">
        <f>'Store New'!AI38</f>
        <v>5.2</v>
      </c>
      <c r="AB361" s="1597"/>
      <c r="AC361" s="1588">
        <f>AVERAGE(AA361,AA360)</f>
        <v>5.2</v>
      </c>
      <c r="AD361" s="1588"/>
      <c r="AE361" s="24">
        <f t="shared" si="264"/>
        <v>0</v>
      </c>
      <c r="AF361" s="1581"/>
      <c r="AG361" s="30"/>
      <c r="AH361" s="1589" t="str">
        <f t="shared" si="265"/>
        <v>NM</v>
      </c>
      <c r="AI361" s="35"/>
      <c r="AJ361" s="1590">
        <f>T361</f>
        <v>620</v>
      </c>
      <c r="AK361" s="1590">
        <f>S361</f>
        <v>670</v>
      </c>
      <c r="AL361" s="1586">
        <f t="shared" si="266"/>
        <v>119.23076923076923</v>
      </c>
      <c r="AM361" s="1604"/>
      <c r="AN361" s="24"/>
      <c r="AO361" s="1587"/>
      <c r="AP361" s="30"/>
      <c r="AQ361" s="1738">
        <v>50</v>
      </c>
      <c r="AR361" s="1797">
        <f t="shared" ref="AR361:AR364" si="267">AQ361/AQ354-1</f>
        <v>0.35135135135135132</v>
      </c>
    </row>
    <row r="362" spans="1:44">
      <c r="A362" s="24" t="str">
        <f>$A$28</f>
        <v>2Q</v>
      </c>
      <c r="B362" s="29" t="str">
        <f>$B$28</f>
        <v>Jul</v>
      </c>
      <c r="C362" s="24"/>
      <c r="D362" s="1581">
        <f>(T362/T355-1)*100</f>
        <v>5.6218057921635367</v>
      </c>
      <c r="E362" s="24"/>
      <c r="F362" s="1616">
        <v>5</v>
      </c>
      <c r="G362" s="24"/>
      <c r="H362" s="1581">
        <f>D362-F362</f>
        <v>0.62180579216353671</v>
      </c>
      <c r="I362" s="24"/>
      <c r="J362" s="1798">
        <f>'Store New'!AJ21</f>
        <v>636</v>
      </c>
      <c r="K362" s="1913"/>
      <c r="L362" s="1583">
        <f>AVERAGE(J362,J361)</f>
        <v>632.5</v>
      </c>
      <c r="M362" s="24"/>
      <c r="N362" s="1581">
        <f>(L362/L355-1)*100</f>
        <v>2.5121555915721183</v>
      </c>
      <c r="O362" s="30"/>
      <c r="P362" s="1584">
        <f t="shared" si="261"/>
        <v>24.751882178380832</v>
      </c>
      <c r="Q362" s="35"/>
      <c r="R362" s="24"/>
      <c r="S362" s="1919">
        <f>620+64</f>
        <v>684</v>
      </c>
      <c r="T362" s="1600">
        <f t="shared" si="262"/>
        <v>620</v>
      </c>
      <c r="U362" s="1919"/>
      <c r="V362" s="24">
        <f>T362/L362</f>
        <v>0.98023715415019763</v>
      </c>
      <c r="W362" s="1586">
        <f>S362/L362</f>
        <v>1.0814229249011857</v>
      </c>
      <c r="X362" s="24">
        <f t="shared" si="263"/>
        <v>3.0334453340156609</v>
      </c>
      <c r="Y362" s="1587">
        <f t="shared" si="263"/>
        <v>5.2425780227179031</v>
      </c>
      <c r="Z362" s="30"/>
      <c r="AA362" s="24">
        <f>'Store New'!AJ38</f>
        <v>5.2</v>
      </c>
      <c r="AB362" s="1597"/>
      <c r="AC362" s="1588">
        <f t="shared" ref="AC362:AC363" si="268">AVERAGE(AA362,AA361)</f>
        <v>5.2</v>
      </c>
      <c r="AD362" s="1588"/>
      <c r="AE362" s="24">
        <f t="shared" si="264"/>
        <v>0</v>
      </c>
      <c r="AF362" s="1581"/>
      <c r="AG362" s="30"/>
      <c r="AH362" s="1589" t="str">
        <f t="shared" si="265"/>
        <v>NM</v>
      </c>
      <c r="AI362" s="35"/>
      <c r="AJ362" s="1590">
        <f>T362</f>
        <v>620</v>
      </c>
      <c r="AK362" s="1590">
        <f>S362</f>
        <v>684</v>
      </c>
      <c r="AL362" s="1586">
        <f t="shared" si="266"/>
        <v>119.23076923076923</v>
      </c>
      <c r="AM362" s="1604"/>
      <c r="AN362" s="24"/>
      <c r="AO362" s="1587"/>
      <c r="AP362" s="30"/>
      <c r="AQ362" s="1738">
        <v>64</v>
      </c>
      <c r="AR362" s="1797">
        <f t="shared" si="267"/>
        <v>0.36170212765957444</v>
      </c>
    </row>
    <row r="363" spans="1:44">
      <c r="A363" s="24" t="str">
        <f>$A$29</f>
        <v>3Q</v>
      </c>
      <c r="B363" s="29" t="str">
        <f>$B$29</f>
        <v>Oct</v>
      </c>
      <c r="C363" s="24"/>
      <c r="D363" s="1606">
        <f>(T363/T356-1)*100</f>
        <v>7.3669849931787157</v>
      </c>
      <c r="E363" s="24"/>
      <c r="F363" s="1607">
        <v>3</v>
      </c>
      <c r="G363" s="24"/>
      <c r="H363" s="1606">
        <f>D363-F363</f>
        <v>4.3669849931787157</v>
      </c>
      <c r="I363" s="24"/>
      <c r="J363" s="1798">
        <f>'Store New'!AK21</f>
        <v>638</v>
      </c>
      <c r="K363" s="1913"/>
      <c r="L363" s="1608">
        <f>AVERAGE(J363,J362)</f>
        <v>637</v>
      </c>
      <c r="M363" s="24"/>
      <c r="N363" s="1606">
        <f>(L363/L356-1)*100</f>
        <v>2.4939662107803739</v>
      </c>
      <c r="O363" s="30"/>
      <c r="P363" s="1609">
        <f t="shared" si="261"/>
        <v>175.10201117810112</v>
      </c>
      <c r="Q363" s="35"/>
      <c r="R363" s="24"/>
      <c r="S363" s="1918">
        <f>S364-SUM(S360:S362)</f>
        <v>872</v>
      </c>
      <c r="T363" s="1610">
        <f t="shared" si="262"/>
        <v>787</v>
      </c>
      <c r="U363" s="1919"/>
      <c r="V363" s="24">
        <f>T363/L363</f>
        <v>1.2354788069073783</v>
      </c>
      <c r="W363" s="1586">
        <f>S363/L363</f>
        <v>1.3689167974882261</v>
      </c>
      <c r="X363" s="24">
        <f t="shared" si="263"/>
        <v>4.7544445420103054</v>
      </c>
      <c r="Y363" s="1612">
        <f t="shared" si="263"/>
        <v>6.8821343767503151</v>
      </c>
      <c r="Z363" s="30"/>
      <c r="AA363" s="24">
        <f>'Store New'!AK38</f>
        <v>5.2</v>
      </c>
      <c r="AB363" s="1597"/>
      <c r="AC363" s="1588">
        <f t="shared" si="268"/>
        <v>5.2</v>
      </c>
      <c r="AD363" s="1613"/>
      <c r="AE363" s="24">
        <f t="shared" si="264"/>
        <v>0</v>
      </c>
      <c r="AF363" s="1606"/>
      <c r="AG363" s="30"/>
      <c r="AH363" s="1608" t="str">
        <f t="shared" si="265"/>
        <v>NM</v>
      </c>
      <c r="AI363" s="35"/>
      <c r="AJ363" s="1590">
        <f>T363</f>
        <v>787</v>
      </c>
      <c r="AK363" s="1590">
        <f>S363</f>
        <v>872</v>
      </c>
      <c r="AL363" s="1586">
        <f t="shared" si="266"/>
        <v>151.34615384615384</v>
      </c>
      <c r="AM363" s="1615"/>
      <c r="AN363" s="24"/>
      <c r="AO363" s="1612"/>
      <c r="AP363" s="30"/>
      <c r="AQ363" s="1738">
        <v>85</v>
      </c>
      <c r="AR363" s="1797">
        <f t="shared" si="267"/>
        <v>0.3492063492063493</v>
      </c>
    </row>
    <row r="364" spans="1:44">
      <c r="A364" s="24"/>
      <c r="B364" s="29" t="str">
        <f>$B$31</f>
        <v>Year</v>
      </c>
      <c r="C364" s="24"/>
      <c r="D364" s="1581">
        <f>(T364/T357-1)*100</f>
        <v>6.6858080393765285</v>
      </c>
      <c r="E364" s="24"/>
      <c r="F364" s="1616">
        <v>5</v>
      </c>
      <c r="G364" s="24"/>
      <c r="H364" s="1581">
        <f>D364-F364</f>
        <v>1.6858080393765285</v>
      </c>
      <c r="I364" s="24"/>
      <c r="J364" s="1782"/>
      <c r="K364" s="24"/>
      <c r="L364" s="1583">
        <f>AVERAGE(L360:L363)</f>
        <v>630.25</v>
      </c>
      <c r="M364" s="24"/>
      <c r="N364" s="1581">
        <f>(L364/L357-1)*100</f>
        <v>2.4380333197887127</v>
      </c>
      <c r="O364" s="30"/>
      <c r="P364" s="1584">
        <f t="shared" si="261"/>
        <v>69.146226415093693</v>
      </c>
      <c r="Q364" s="35"/>
      <c r="R364" s="24"/>
      <c r="S364" s="400">
        <v>2848</v>
      </c>
      <c r="T364" s="1617">
        <f t="shared" si="262"/>
        <v>2601</v>
      </c>
      <c r="U364" s="400"/>
      <c r="V364" s="24">
        <f>T364/L364</f>
        <v>4.1269337564458546</v>
      </c>
      <c r="W364" s="1586">
        <f>S364/L364</f>
        <v>4.5188417294724319</v>
      </c>
      <c r="X364" s="24">
        <f t="shared" si="263"/>
        <v>4.1466773442703886</v>
      </c>
      <c r="Y364" s="1587">
        <f t="shared" si="263"/>
        <v>5.8727103601642572</v>
      </c>
      <c r="Z364" s="30"/>
      <c r="AA364" s="24"/>
      <c r="AB364" s="24"/>
      <c r="AC364" s="1588">
        <f>AVERAGE(AC360:AC363)</f>
        <v>5.2</v>
      </c>
      <c r="AD364" s="1588"/>
      <c r="AE364" s="24">
        <f t="shared" si="264"/>
        <v>0</v>
      </c>
      <c r="AF364" s="1581"/>
      <c r="AG364" s="30"/>
      <c r="AH364" s="1589" t="str">
        <f t="shared" si="265"/>
        <v>NM</v>
      </c>
      <c r="AI364" s="35"/>
      <c r="AJ364" s="1590">
        <f>T364</f>
        <v>2601</v>
      </c>
      <c r="AK364" s="1590">
        <f>S364</f>
        <v>2848</v>
      </c>
      <c r="AL364" s="1586">
        <f>AJ364/AC364</f>
        <v>500.19230769230768</v>
      </c>
      <c r="AM364" s="1591"/>
      <c r="AN364" s="24"/>
      <c r="AO364" s="1587"/>
      <c r="AP364" s="30"/>
      <c r="AQ364" s="1738">
        <f>SUM(AQ360:AQ363)</f>
        <v>247</v>
      </c>
      <c r="AR364" s="1797">
        <f t="shared" si="267"/>
        <v>0.31382978723404253</v>
      </c>
    </row>
    <row r="365" spans="1:44">
      <c r="A365" s="24"/>
      <c r="B365" s="29"/>
      <c r="C365" s="24"/>
      <c r="D365" s="1581"/>
      <c r="E365" s="24"/>
      <c r="F365" s="1616"/>
      <c r="G365" s="24"/>
      <c r="H365" s="1581"/>
      <c r="I365" s="24"/>
      <c r="J365" s="1782"/>
      <c r="K365" s="24"/>
      <c r="L365" s="1583"/>
      <c r="M365" s="24"/>
      <c r="N365" s="1581"/>
      <c r="O365" s="30"/>
      <c r="P365" s="1584"/>
      <c r="Q365" s="35"/>
      <c r="R365" s="24"/>
      <c r="S365" s="400"/>
      <c r="T365" s="400"/>
      <c r="U365" s="400"/>
      <c r="V365" s="24"/>
      <c r="W365" s="1586"/>
      <c r="X365" s="24"/>
      <c r="Y365" s="1587"/>
      <c r="Z365" s="30"/>
      <c r="AA365" s="24"/>
      <c r="AB365" s="24"/>
      <c r="AC365" s="24"/>
      <c r="AD365" s="1588"/>
      <c r="AE365" s="24"/>
      <c r="AF365" s="1581"/>
      <c r="AG365" s="30"/>
      <c r="AH365" s="1589"/>
      <c r="AI365" s="35"/>
      <c r="AJ365" s="24"/>
      <c r="AK365" s="1590"/>
      <c r="AL365" s="24"/>
      <c r="AM365" s="1591"/>
      <c r="AN365" s="24"/>
      <c r="AO365" s="1587"/>
      <c r="AP365" s="30"/>
      <c r="AQ365" s="1743"/>
    </row>
    <row r="366" spans="1:44">
      <c r="A366" s="1579"/>
      <c r="B366" s="1580">
        <f>+B359+1</f>
        <v>2013</v>
      </c>
      <c r="C366" s="24"/>
      <c r="D366" s="1581"/>
      <c r="E366" s="24"/>
      <c r="F366" s="1616"/>
      <c r="G366" s="24"/>
      <c r="H366" s="1581"/>
      <c r="I366" s="24"/>
      <c r="J366" s="1782"/>
      <c r="K366" s="24"/>
      <c r="L366" s="1583"/>
      <c r="M366" s="24"/>
      <c r="N366" s="1581"/>
      <c r="O366" s="30"/>
      <c r="P366" s="1584"/>
      <c r="Q366" s="35"/>
      <c r="R366" s="24"/>
      <c r="S366" s="400"/>
      <c r="T366" s="400"/>
      <c r="U366" s="400"/>
      <c r="V366" s="24"/>
      <c r="W366" s="1586"/>
      <c r="X366" s="24"/>
      <c r="Y366" s="1587"/>
      <c r="Z366" s="30"/>
      <c r="AA366" s="24"/>
      <c r="AB366" s="24"/>
      <c r="AC366" s="24"/>
      <c r="AD366" s="1588"/>
      <c r="AE366" s="24"/>
      <c r="AF366" s="1581"/>
      <c r="AG366" s="30"/>
      <c r="AH366" s="1589"/>
      <c r="AI366" s="35"/>
      <c r="AJ366" s="24"/>
      <c r="AK366" s="1590"/>
      <c r="AL366" s="24"/>
      <c r="AM366" s="1591"/>
      <c r="AN366" s="24"/>
      <c r="AO366" s="1587"/>
      <c r="AP366" s="30"/>
      <c r="AQ366" s="1739"/>
    </row>
    <row r="367" spans="1:44">
      <c r="A367" s="24" t="str">
        <f>$A$27</f>
        <v>1Q</v>
      </c>
      <c r="B367" s="29" t="str">
        <f>$B$27</f>
        <v>Apr</v>
      </c>
      <c r="C367" s="24"/>
      <c r="D367" s="1581">
        <f>(T367/T360-1)*100</f>
        <v>14.634146341463406</v>
      </c>
      <c r="E367" s="30" t="s">
        <v>489</v>
      </c>
      <c r="F367" s="1616">
        <v>0</v>
      </c>
      <c r="G367" s="30" t="s">
        <v>489</v>
      </c>
      <c r="H367" s="1581">
        <f>D367-F367</f>
        <v>14.634146341463406</v>
      </c>
      <c r="I367" s="30" t="s">
        <v>489</v>
      </c>
      <c r="J367" s="1798">
        <f>'Store New'!AL21</f>
        <v>640</v>
      </c>
      <c r="K367" s="24"/>
      <c r="L367" s="1583">
        <f>AVERAGE(J367,J363)</f>
        <v>639</v>
      </c>
      <c r="M367" s="24"/>
      <c r="N367" s="1581">
        <f>(L367/L360-1)*100</f>
        <v>2.4038461538461453</v>
      </c>
      <c r="O367" s="30" t="s">
        <v>489</v>
      </c>
      <c r="P367" s="1584">
        <f t="shared" ref="P367:P371" si="269">H367/N367*100</f>
        <v>608.78048780487984</v>
      </c>
      <c r="Q367" s="35" t="s">
        <v>489</v>
      </c>
      <c r="R367" s="24"/>
      <c r="S367" s="1916">
        <v>658</v>
      </c>
      <c r="T367" s="1595">
        <f t="shared" ref="T367:T371" si="270">S367-AQ367</f>
        <v>658</v>
      </c>
      <c r="U367" s="1596"/>
      <c r="V367" s="24">
        <f>T367/L367</f>
        <v>1.0297339593114241</v>
      </c>
      <c r="W367" s="1586">
        <f>S367/L367</f>
        <v>1.0297339593114241</v>
      </c>
      <c r="X367" s="24">
        <f t="shared" ref="X367:Y371" si="271">(V367/V360-1)*100</f>
        <v>11.943203939081659</v>
      </c>
      <c r="Y367" s="1587">
        <f t="shared" si="271"/>
        <v>3.304500098123575</v>
      </c>
      <c r="Z367" s="30" t="s">
        <v>489</v>
      </c>
      <c r="AA367" s="24">
        <f>'Store New'!AL38</f>
        <v>5.2</v>
      </c>
      <c r="AB367" s="1597"/>
      <c r="AC367" s="1588">
        <f>AVERAGE(AA367,AA363)</f>
        <v>5.2</v>
      </c>
      <c r="AD367" s="1588"/>
      <c r="AE367" s="24">
        <f t="shared" ref="AE367:AE371" si="272">AC367/AC360-1</f>
        <v>0</v>
      </c>
      <c r="AF367" s="1581"/>
      <c r="AG367" s="30" t="s">
        <v>489</v>
      </c>
      <c r="AH367" s="1589" t="str">
        <f t="shared" ref="AH367:AH371" si="273">IFERROR(H367/AE367, "NM")</f>
        <v>NM</v>
      </c>
      <c r="AI367" s="35" t="s">
        <v>489</v>
      </c>
      <c r="AJ367" s="1590">
        <f>T367</f>
        <v>658</v>
      </c>
      <c r="AK367" s="1590">
        <f>S367</f>
        <v>658</v>
      </c>
      <c r="AL367" s="1586">
        <f t="shared" ref="AL367:AL370" si="274">AJ367/AC367</f>
        <v>126.53846153846153</v>
      </c>
      <c r="AM367" s="1591"/>
      <c r="AN367" s="24"/>
      <c r="AO367" s="1587"/>
      <c r="AP367" s="30" t="s">
        <v>489</v>
      </c>
      <c r="AQ367" s="1738"/>
    </row>
    <row r="368" spans="1:44">
      <c r="A368" s="24" t="str">
        <f>$A$28</f>
        <v>2Q</v>
      </c>
      <c r="B368" s="29" t="str">
        <f>$B$28</f>
        <v>Jul</v>
      </c>
      <c r="C368" s="24"/>
      <c r="D368" s="1581">
        <f>(T368/T361-1)*100</f>
        <v>10.64516129032258</v>
      </c>
      <c r="E368" s="24"/>
      <c r="F368" s="1616">
        <v>-1</v>
      </c>
      <c r="G368" s="24"/>
      <c r="H368" s="1581">
        <f>D368-F368</f>
        <v>11.64516129032258</v>
      </c>
      <c r="I368" s="24"/>
      <c r="J368" s="1798">
        <f>'Store New'!AM21</f>
        <v>645</v>
      </c>
      <c r="K368" s="24"/>
      <c r="L368" s="1583">
        <f>AVERAGE(J368,J367)</f>
        <v>642.5</v>
      </c>
      <c r="M368" s="24"/>
      <c r="N368" s="1581">
        <f>(L368/L361-1)*100</f>
        <v>2.3904382470119501</v>
      </c>
      <c r="O368" s="30"/>
      <c r="P368" s="1584">
        <f t="shared" si="269"/>
        <v>487.15591397849505</v>
      </c>
      <c r="Q368" s="35"/>
      <c r="R368" s="24"/>
      <c r="S368" s="1919">
        <v>686</v>
      </c>
      <c r="T368" s="1600">
        <f t="shared" si="270"/>
        <v>686</v>
      </c>
      <c r="U368" s="1601"/>
      <c r="V368" s="24">
        <f>T368/L368</f>
        <v>1.067704280155642</v>
      </c>
      <c r="W368" s="1586">
        <f>S368/L368</f>
        <v>1.067704280155642</v>
      </c>
      <c r="X368" s="24">
        <f t="shared" si="271"/>
        <v>8.0620057738169937</v>
      </c>
      <c r="Y368" s="1587">
        <f t="shared" si="271"/>
        <v>-2.3230152738196175E-3</v>
      </c>
      <c r="Z368" s="30"/>
      <c r="AA368" s="24">
        <f>'Store New'!AM38</f>
        <v>5.2</v>
      </c>
      <c r="AB368" s="1597"/>
      <c r="AC368" s="1588">
        <f>AVERAGE(AA368,AA367)</f>
        <v>5.2</v>
      </c>
      <c r="AD368" s="1588"/>
      <c r="AE368" s="24">
        <f t="shared" si="272"/>
        <v>0</v>
      </c>
      <c r="AF368" s="1581"/>
      <c r="AG368" s="30"/>
      <c r="AH368" s="1589" t="str">
        <f t="shared" si="273"/>
        <v>NM</v>
      </c>
      <c r="AI368" s="35"/>
      <c r="AJ368" s="1590">
        <f>T368</f>
        <v>686</v>
      </c>
      <c r="AK368" s="1590">
        <f>S368</f>
        <v>686</v>
      </c>
      <c r="AL368" s="1586">
        <f t="shared" si="274"/>
        <v>131.92307692307691</v>
      </c>
      <c r="AM368" s="1604"/>
      <c r="AN368" s="24"/>
      <c r="AO368" s="1587"/>
      <c r="AP368" s="30"/>
      <c r="AQ368" s="1738"/>
    </row>
    <row r="369" spans="1:43">
      <c r="A369" s="24" t="str">
        <f>$A$29</f>
        <v>3Q</v>
      </c>
      <c r="B369" s="29" t="str">
        <f>$B$29</f>
        <v>Oct</v>
      </c>
      <c r="C369" s="24"/>
      <c r="D369" s="1581">
        <f>(T369/T362-1)*100</f>
        <v>12.580645161290317</v>
      </c>
      <c r="E369" s="24"/>
      <c r="F369" s="1616">
        <v>-1</v>
      </c>
      <c r="G369" s="24"/>
      <c r="H369" s="1581">
        <f>D369-F369</f>
        <v>13.580645161290317</v>
      </c>
      <c r="I369" s="24"/>
      <c r="J369" s="1798">
        <f>'Store New'!AN21</f>
        <v>650</v>
      </c>
      <c r="K369" s="24"/>
      <c r="L369" s="1583">
        <f>AVERAGE(J369,J368)</f>
        <v>647.5</v>
      </c>
      <c r="M369" s="24"/>
      <c r="N369" s="1581">
        <f>(L369/L362-1)*100</f>
        <v>2.3715415019762931</v>
      </c>
      <c r="O369" s="30"/>
      <c r="P369" s="1584">
        <f t="shared" si="269"/>
        <v>572.65053763440631</v>
      </c>
      <c r="Q369" s="35"/>
      <c r="R369" s="24"/>
      <c r="S369" s="1919">
        <v>698</v>
      </c>
      <c r="T369" s="1600">
        <f t="shared" si="270"/>
        <v>698</v>
      </c>
      <c r="U369" s="1601"/>
      <c r="V369" s="24">
        <f>T369/L369</f>
        <v>1.0779922779922779</v>
      </c>
      <c r="W369" s="1586">
        <f>S369/L369</f>
        <v>1.0779922779922779</v>
      </c>
      <c r="X369" s="24">
        <f t="shared" si="271"/>
        <v>9.9725993274380365</v>
      </c>
      <c r="Y369" s="1587">
        <f t="shared" si="271"/>
        <v>-0.31723452776084571</v>
      </c>
      <c r="Z369" s="30"/>
      <c r="AA369" s="24">
        <f>'Store New'!AN38</f>
        <v>5.3</v>
      </c>
      <c r="AB369" s="1597"/>
      <c r="AC369" s="1588">
        <f t="shared" ref="AC369:AC370" si="275">AVERAGE(AA369,AA368)</f>
        <v>5.25</v>
      </c>
      <c r="AD369" s="1588"/>
      <c r="AE369" s="24">
        <f t="shared" si="272"/>
        <v>9.6153846153845812E-3</v>
      </c>
      <c r="AF369" s="1581"/>
      <c r="AG369" s="30"/>
      <c r="AH369" s="1589">
        <f t="shared" si="273"/>
        <v>1412.387096774198</v>
      </c>
      <c r="AI369" s="35"/>
      <c r="AJ369" s="1590">
        <f>T369</f>
        <v>698</v>
      </c>
      <c r="AK369" s="1590">
        <f>S369</f>
        <v>698</v>
      </c>
      <c r="AL369" s="1586">
        <f t="shared" si="274"/>
        <v>132.95238095238096</v>
      </c>
      <c r="AM369" s="1604"/>
      <c r="AN369" s="24"/>
      <c r="AO369" s="1587"/>
      <c r="AP369" s="30"/>
      <c r="AQ369" s="1738"/>
    </row>
    <row r="370" spans="1:43">
      <c r="A370" s="24" t="str">
        <f>$A$30</f>
        <v>4Q</v>
      </c>
      <c r="B370" s="29" t="str">
        <f>$B$30</f>
        <v>Jan</v>
      </c>
      <c r="C370" s="24"/>
      <c r="D370" s="1606">
        <f>(T370/T363-1)*100</f>
        <v>4.955527318932651</v>
      </c>
      <c r="E370" s="24"/>
      <c r="F370" s="1607">
        <v>-3</v>
      </c>
      <c r="G370" s="24"/>
      <c r="H370" s="1606">
        <f>D370-F370</f>
        <v>7.955527318932651</v>
      </c>
      <c r="I370" s="24"/>
      <c r="J370" s="1798">
        <f>'Store New'!AO21</f>
        <v>650</v>
      </c>
      <c r="K370" s="24"/>
      <c r="L370" s="1608">
        <f>AVERAGE(J370,J369)</f>
        <v>650</v>
      </c>
      <c r="M370" s="24"/>
      <c r="N370" s="1606">
        <f>(L370/L363-1)*100</f>
        <v>2.0408163265306145</v>
      </c>
      <c r="O370" s="30"/>
      <c r="P370" s="1609">
        <f t="shared" si="269"/>
        <v>389.82083862769946</v>
      </c>
      <c r="Q370" s="35"/>
      <c r="R370" s="24"/>
      <c r="S370" s="1918">
        <v>826</v>
      </c>
      <c r="T370" s="1610">
        <f t="shared" si="270"/>
        <v>826</v>
      </c>
      <c r="U370" s="1601"/>
      <c r="V370" s="24">
        <f>T370/L370</f>
        <v>1.2707692307692309</v>
      </c>
      <c r="W370" s="1586">
        <f>S370/L370</f>
        <v>1.2707692307692309</v>
      </c>
      <c r="X370" s="24">
        <f t="shared" si="271"/>
        <v>2.8564167725540157</v>
      </c>
      <c r="Y370" s="1612">
        <f t="shared" si="271"/>
        <v>-7.1697247706422047</v>
      </c>
      <c r="Z370" s="30"/>
      <c r="AA370" s="24">
        <f>'Store New'!AO38</f>
        <v>5.3</v>
      </c>
      <c r="AB370" s="1597"/>
      <c r="AC370" s="1588">
        <f t="shared" si="275"/>
        <v>5.3</v>
      </c>
      <c r="AD370" s="1613"/>
      <c r="AE370" s="24">
        <f t="shared" si="272"/>
        <v>1.9230769230769162E-2</v>
      </c>
      <c r="AF370" s="1606"/>
      <c r="AG370" s="30"/>
      <c r="AH370" s="1608">
        <f t="shared" si="273"/>
        <v>413.68742058449931</v>
      </c>
      <c r="AI370" s="35"/>
      <c r="AJ370" s="1590">
        <f>T370</f>
        <v>826</v>
      </c>
      <c r="AK370" s="1590">
        <f>S370</f>
        <v>826</v>
      </c>
      <c r="AL370" s="1586">
        <f t="shared" si="274"/>
        <v>155.84905660377359</v>
      </c>
      <c r="AM370" s="1615"/>
      <c r="AN370" s="24"/>
      <c r="AO370" s="1612"/>
      <c r="AP370" s="30"/>
      <c r="AQ370" s="1738"/>
    </row>
    <row r="371" spans="1:43">
      <c r="A371" s="24"/>
      <c r="B371" s="29" t="str">
        <f>$B$31</f>
        <v>Year</v>
      </c>
      <c r="C371" s="24"/>
      <c r="D371" s="1581">
        <f>(T371/T364-1)*100</f>
        <v>10.265282583621694</v>
      </c>
      <c r="E371" s="24"/>
      <c r="F371" s="1616">
        <v>-1</v>
      </c>
      <c r="G371" s="24"/>
      <c r="H371" s="1581">
        <f>D371-F371</f>
        <v>11.265282583621694</v>
      </c>
      <c r="I371" s="24"/>
      <c r="J371" s="1782"/>
      <c r="K371" s="24"/>
      <c r="L371" s="1583">
        <f>AVERAGE(L367:L370)</f>
        <v>644.75</v>
      </c>
      <c r="M371" s="24"/>
      <c r="N371" s="1581">
        <f>(L371/L364-1)*100</f>
        <v>2.300674335581121</v>
      </c>
      <c r="O371" s="30"/>
      <c r="P371" s="1584">
        <f t="shared" si="269"/>
        <v>489.65133436741831</v>
      </c>
      <c r="Q371" s="35"/>
      <c r="R371" s="24"/>
      <c r="S371" s="400">
        <v>2868</v>
      </c>
      <c r="T371" s="1617">
        <f t="shared" si="270"/>
        <v>2868</v>
      </c>
      <c r="U371" s="1585"/>
      <c r="V371" s="24">
        <f>T371/L371</f>
        <v>4.4482357502908103</v>
      </c>
      <c r="W371" s="1586">
        <f>S371/L371</f>
        <v>4.4482357502908103</v>
      </c>
      <c r="X371" s="24">
        <f t="shared" si="271"/>
        <v>7.7854894894572535</v>
      </c>
      <c r="Y371" s="1587">
        <f t="shared" si="271"/>
        <v>-1.5624795779219491</v>
      </c>
      <c r="Z371" s="30"/>
      <c r="AA371" s="24"/>
      <c r="AB371" s="24"/>
      <c r="AC371" s="1588">
        <f>AVERAGE(AC367:AC370)</f>
        <v>5.2374999999999998</v>
      </c>
      <c r="AD371" s="1588"/>
      <c r="AE371" s="24">
        <f t="shared" si="272"/>
        <v>7.2115384615383249E-3</v>
      </c>
      <c r="AF371" s="1581"/>
      <c r="AG371" s="30"/>
      <c r="AH371" s="1589">
        <f t="shared" si="273"/>
        <v>1562.1191849289046</v>
      </c>
      <c r="AI371" s="35"/>
      <c r="AJ371" s="1590">
        <f>T371</f>
        <v>2868</v>
      </c>
      <c r="AK371" s="1590">
        <f>S371</f>
        <v>2868</v>
      </c>
      <c r="AL371" s="1586">
        <f>AJ371/AC371</f>
        <v>547.58949880668263</v>
      </c>
      <c r="AM371" s="1591"/>
      <c r="AN371" s="24"/>
      <c r="AO371" s="1587"/>
      <c r="AP371" s="30"/>
      <c r="AQ371" s="1742"/>
    </row>
    <row r="372" spans="1:43">
      <c r="A372" s="24"/>
      <c r="B372" s="29"/>
      <c r="C372" s="24"/>
      <c r="D372" s="1581"/>
      <c r="E372" s="24"/>
      <c r="F372" s="1616"/>
      <c r="G372" s="24"/>
      <c r="H372" s="1581"/>
      <c r="I372" s="24"/>
      <c r="J372" s="1782"/>
      <c r="K372" s="24"/>
      <c r="L372" s="1583"/>
      <c r="M372" s="24"/>
      <c r="N372" s="1581"/>
      <c r="O372" s="30"/>
      <c r="P372" s="1584"/>
      <c r="Q372" s="35"/>
      <c r="R372" s="24"/>
      <c r="S372" s="1585"/>
      <c r="T372" s="400"/>
      <c r="U372" s="1585"/>
      <c r="V372" s="24"/>
      <c r="W372" s="1586"/>
      <c r="X372" s="24"/>
      <c r="Y372" s="1587"/>
      <c r="Z372" s="30"/>
      <c r="AA372" s="24"/>
      <c r="AB372" s="24"/>
      <c r="AC372" s="24"/>
      <c r="AD372" s="1588"/>
      <c r="AE372" s="24"/>
      <c r="AF372" s="1581"/>
      <c r="AG372" s="30"/>
      <c r="AH372" s="1589"/>
      <c r="AI372" s="35"/>
      <c r="AJ372" s="24"/>
      <c r="AK372" s="1590"/>
      <c r="AL372" s="24"/>
      <c r="AM372" s="1591"/>
      <c r="AN372" s="24"/>
      <c r="AO372" s="1587"/>
      <c r="AP372" s="30"/>
      <c r="AQ372" s="1742"/>
    </row>
    <row r="373" spans="1:43" ht="16.5" customHeight="1">
      <c r="A373" s="1579"/>
      <c r="B373" s="1580">
        <f>+B366+1</f>
        <v>2014</v>
      </c>
      <c r="C373" s="24"/>
      <c r="D373" s="1581"/>
      <c r="E373" s="24"/>
      <c r="F373" s="1616"/>
      <c r="G373" s="24"/>
      <c r="H373" s="1581"/>
      <c r="I373" s="24"/>
      <c r="J373" s="1782"/>
      <c r="K373" s="24"/>
      <c r="L373" s="1583"/>
      <c r="M373" s="24"/>
      <c r="N373" s="1581"/>
      <c r="O373" s="30"/>
      <c r="P373" s="1584"/>
      <c r="Q373" s="35"/>
      <c r="R373" s="24"/>
      <c r="S373" s="1585"/>
      <c r="T373" s="400"/>
      <c r="U373" s="1585"/>
      <c r="V373" s="24"/>
      <c r="W373" s="1586"/>
      <c r="X373" s="24"/>
      <c r="Y373" s="1587"/>
      <c r="Z373" s="30"/>
      <c r="AA373" s="24"/>
      <c r="AB373" s="24"/>
      <c r="AC373" s="24"/>
      <c r="AD373" s="1588"/>
      <c r="AE373" s="24"/>
      <c r="AF373" s="1581"/>
      <c r="AG373" s="30"/>
      <c r="AH373" s="1589"/>
      <c r="AI373" s="35"/>
      <c r="AJ373" s="24"/>
      <c r="AK373" s="1590"/>
      <c r="AL373" s="24"/>
      <c r="AM373" s="1591"/>
      <c r="AN373" s="24"/>
      <c r="AO373" s="1587"/>
      <c r="AP373" s="30"/>
      <c r="AQ373" s="1742"/>
    </row>
    <row r="374" spans="1:43">
      <c r="A374" s="24" t="str">
        <f>$A$27</f>
        <v>1Q</v>
      </c>
      <c r="B374" s="29" t="str">
        <f>$B$27</f>
        <v>Apr</v>
      </c>
      <c r="C374" s="24"/>
      <c r="D374" s="1581">
        <f>(T374/T367-1)*100</f>
        <v>1.6717325227963542</v>
      </c>
      <c r="E374" s="30" t="s">
        <v>489</v>
      </c>
      <c r="F374" s="1616">
        <v>-1</v>
      </c>
      <c r="G374" s="30" t="s">
        <v>489</v>
      </c>
      <c r="H374" s="1581">
        <f>D374-F374</f>
        <v>2.6717325227963542</v>
      </c>
      <c r="I374" s="30" t="s">
        <v>489</v>
      </c>
      <c r="J374" s="1798">
        <f>'Store New'!AP21</f>
        <v>655</v>
      </c>
      <c r="K374" s="24"/>
      <c r="L374" s="1583">
        <f>AVERAGE(J374,J370)</f>
        <v>652.5</v>
      </c>
      <c r="M374" s="24"/>
      <c r="N374" s="1581">
        <f>(L374/L367-1)*100</f>
        <v>2.1126760563380254</v>
      </c>
      <c r="O374" s="30" t="s">
        <v>489</v>
      </c>
      <c r="P374" s="1584">
        <f t="shared" ref="P374:P378" si="276">H374/N374*100</f>
        <v>126.4620060790276</v>
      </c>
      <c r="Q374" s="35" t="s">
        <v>489</v>
      </c>
      <c r="R374" s="24"/>
      <c r="S374" s="1916">
        <v>669</v>
      </c>
      <c r="T374" s="1595">
        <f t="shared" ref="T374:T378" si="277">S374-AQ374</f>
        <v>669</v>
      </c>
      <c r="U374" s="1596"/>
      <c r="V374" s="24">
        <f>T374/L374</f>
        <v>1.025287356321839</v>
      </c>
      <c r="W374" s="1586">
        <f>S374/L374</f>
        <v>1.025287356321839</v>
      </c>
      <c r="X374" s="24">
        <f t="shared" ref="X374:Y378" si="278">(V374/V367-1)*100</f>
        <v>-0.43182056388220147</v>
      </c>
      <c r="Y374" s="1587">
        <f t="shared" si="278"/>
        <v>-0.43182056388220147</v>
      </c>
      <c r="Z374" s="30" t="s">
        <v>489</v>
      </c>
      <c r="AA374" s="24">
        <f>'Store New'!AP38</f>
        <v>5.3</v>
      </c>
      <c r="AB374" s="1597"/>
      <c r="AC374" s="1588">
        <f>AVERAGE(AA374,AA370)</f>
        <v>5.3</v>
      </c>
      <c r="AD374" s="1588"/>
      <c r="AE374" s="24">
        <f t="shared" ref="AE374:AE378" si="279">AC374/AC367-1</f>
        <v>1.9230769230769162E-2</v>
      </c>
      <c r="AF374" s="1581"/>
      <c r="AG374" s="30" t="s">
        <v>489</v>
      </c>
      <c r="AH374" s="1589">
        <f t="shared" ref="AH374:AH378" si="280">IFERROR(H374/AE374, "NM")</f>
        <v>138.9300911854109</v>
      </c>
      <c r="AI374" s="35" t="s">
        <v>489</v>
      </c>
      <c r="AJ374" s="1590">
        <f>T374</f>
        <v>669</v>
      </c>
      <c r="AK374" s="1590">
        <f>S374</f>
        <v>669</v>
      </c>
      <c r="AL374" s="1586">
        <f t="shared" ref="AL374:AL377" si="281">AJ374/AC374</f>
        <v>126.22641509433963</v>
      </c>
      <c r="AM374" s="1591"/>
      <c r="AN374" s="24"/>
      <c r="AO374" s="1587"/>
      <c r="AP374" s="30" t="s">
        <v>489</v>
      </c>
      <c r="AQ374" s="1742"/>
    </row>
    <row r="375" spans="1:43">
      <c r="A375" s="24" t="str">
        <f>$A$28</f>
        <v>2Q</v>
      </c>
      <c r="B375" s="29" t="str">
        <f>$B$28</f>
        <v>Jul</v>
      </c>
      <c r="C375" s="24"/>
      <c r="D375" s="1581">
        <f>(T375/T368-1)*100</f>
        <v>2.6239067055393583</v>
      </c>
      <c r="E375" s="24"/>
      <c r="F375" s="1616">
        <v>0</v>
      </c>
      <c r="G375" s="24"/>
      <c r="H375" s="1581">
        <f>D375-F375</f>
        <v>2.6239067055393583</v>
      </c>
      <c r="I375" s="24"/>
      <c r="J375" s="1798">
        <f>'Store New'!AQ21</f>
        <v>656</v>
      </c>
      <c r="K375" s="24"/>
      <c r="L375" s="1583">
        <f>AVERAGE(J375,J374)</f>
        <v>655.5</v>
      </c>
      <c r="M375" s="24"/>
      <c r="N375" s="1581">
        <f>(L375/L368-1)*100</f>
        <v>2.0233463035019383</v>
      </c>
      <c r="O375" s="30"/>
      <c r="P375" s="1584">
        <f t="shared" si="276"/>
        <v>129.68154294684953</v>
      </c>
      <c r="Q375" s="35"/>
      <c r="R375" s="24"/>
      <c r="S375" s="1919">
        <v>704</v>
      </c>
      <c r="T375" s="1600">
        <f t="shared" si="277"/>
        <v>704</v>
      </c>
      <c r="U375" s="1596"/>
      <c r="V375" s="24">
        <f>T375/L375</f>
        <v>1.0739893211289093</v>
      </c>
      <c r="W375" s="1586">
        <f>S375/L375</f>
        <v>1.0739893211289093</v>
      </c>
      <c r="X375" s="24">
        <f t="shared" si="278"/>
        <v>0.58864997453706991</v>
      </c>
      <c r="Y375" s="1587">
        <f t="shared" si="278"/>
        <v>0.58864997453706991</v>
      </c>
      <c r="Z375" s="30"/>
      <c r="AA375" s="24">
        <f>'Store New'!AQ38</f>
        <v>5.3</v>
      </c>
      <c r="AB375" s="1597"/>
      <c r="AC375" s="1588">
        <f>AVERAGE(AA375,AA374)</f>
        <v>5.3</v>
      </c>
      <c r="AD375" s="1588"/>
      <c r="AE375" s="24">
        <f t="shared" si="279"/>
        <v>1.9230769230769162E-2</v>
      </c>
      <c r="AF375" s="1581"/>
      <c r="AG375" s="30"/>
      <c r="AH375" s="1589">
        <f t="shared" si="280"/>
        <v>136.44314868804713</v>
      </c>
      <c r="AI375" s="35"/>
      <c r="AJ375" s="1590">
        <f>T375</f>
        <v>704</v>
      </c>
      <c r="AK375" s="1590">
        <f>S375</f>
        <v>704</v>
      </c>
      <c r="AL375" s="1586">
        <f t="shared" si="281"/>
        <v>132.83018867924528</v>
      </c>
      <c r="AM375" s="1604"/>
      <c r="AN375" s="24"/>
      <c r="AO375" s="1587"/>
      <c r="AP375" s="30"/>
    </row>
    <row r="376" spans="1:43">
      <c r="A376" s="24" t="str">
        <f>$A$29</f>
        <v>3Q</v>
      </c>
      <c r="B376" s="29" t="str">
        <f>$B$29</f>
        <v>Oct</v>
      </c>
      <c r="C376" s="24"/>
      <c r="D376" s="1581">
        <f>(T376/T369-1)*100</f>
        <v>1.1461318051575908</v>
      </c>
      <c r="E376" s="24"/>
      <c r="F376" s="1616">
        <v>0</v>
      </c>
      <c r="G376" s="24"/>
      <c r="H376" s="1581">
        <f>D376-F376</f>
        <v>1.1461318051575908</v>
      </c>
      <c r="I376" s="24"/>
      <c r="J376" s="1798">
        <f>'Store New'!AR21</f>
        <v>666</v>
      </c>
      <c r="K376" s="24"/>
      <c r="L376" s="1583">
        <f>AVERAGE(J376,J375)</f>
        <v>661</v>
      </c>
      <c r="M376" s="24"/>
      <c r="N376" s="1581">
        <f>(L376/L369-1)*100</f>
        <v>2.0849420849420763</v>
      </c>
      <c r="O376" s="30"/>
      <c r="P376" s="1584">
        <f t="shared" si="276"/>
        <v>54.971877321447636</v>
      </c>
      <c r="Q376" s="35"/>
      <c r="R376" s="24"/>
      <c r="S376" s="1919">
        <v>706</v>
      </c>
      <c r="T376" s="1600">
        <f t="shared" si="277"/>
        <v>706</v>
      </c>
      <c r="U376" s="1596"/>
      <c r="V376" s="24">
        <f>T376/L376</f>
        <v>1.0680786686838124</v>
      </c>
      <c r="W376" s="1586">
        <f>S376/L376</f>
        <v>1.0680786686838124</v>
      </c>
      <c r="X376" s="24">
        <f t="shared" si="278"/>
        <v>-0.91963639358616511</v>
      </c>
      <c r="Y376" s="1587">
        <f t="shared" si="278"/>
        <v>-0.91963639358616511</v>
      </c>
      <c r="Z376" s="30"/>
      <c r="AA376" s="24">
        <f>'Store New'!AR38</f>
        <v>5.3999999999999995</v>
      </c>
      <c r="AB376" s="1597"/>
      <c r="AC376" s="1588">
        <f t="shared" ref="AC376:AC377" si="282">AVERAGE(AA376,AA375)</f>
        <v>5.35</v>
      </c>
      <c r="AD376" s="1588"/>
      <c r="AE376" s="24">
        <f t="shared" si="279"/>
        <v>1.904761904761898E-2</v>
      </c>
      <c r="AF376" s="1581"/>
      <c r="AG376" s="30"/>
      <c r="AH376" s="1589">
        <f t="shared" si="280"/>
        <v>60.171919770773734</v>
      </c>
      <c r="AI376" s="35"/>
      <c r="AJ376" s="1590">
        <f>T376</f>
        <v>706</v>
      </c>
      <c r="AK376" s="1590">
        <f>S376</f>
        <v>706</v>
      </c>
      <c r="AL376" s="1586">
        <f t="shared" si="281"/>
        <v>131.96261682242991</v>
      </c>
      <c r="AM376" s="1604"/>
      <c r="AN376" s="24"/>
      <c r="AO376" s="1587"/>
      <c r="AP376" s="30"/>
    </row>
    <row r="377" spans="1:43">
      <c r="A377" s="24" t="str">
        <f>$A$30</f>
        <v>4Q</v>
      </c>
      <c r="B377" s="29" t="str">
        <f>$B$30</f>
        <v>Jan</v>
      </c>
      <c r="C377" s="24"/>
      <c r="D377" s="1606">
        <f>(T377/T370-1)*100</f>
        <v>2.0581113801452888</v>
      </c>
      <c r="E377" s="24"/>
      <c r="F377" s="1607">
        <v>1</v>
      </c>
      <c r="G377" s="24"/>
      <c r="H377" s="1606">
        <f>D377-F377</f>
        <v>1.0581113801452888</v>
      </c>
      <c r="I377" s="24"/>
      <c r="J377" s="1798">
        <f>'Store New'!AS21</f>
        <v>665</v>
      </c>
      <c r="K377" s="24"/>
      <c r="L377" s="1608">
        <f>AVERAGE(J377,J376)</f>
        <v>665.5</v>
      </c>
      <c r="M377" s="24"/>
      <c r="N377" s="1606">
        <f>(L377/L370-1)*100</f>
        <v>2.384615384615385</v>
      </c>
      <c r="O377" s="30"/>
      <c r="P377" s="1609">
        <f t="shared" si="276"/>
        <v>44.372412715770167</v>
      </c>
      <c r="Q377" s="35"/>
      <c r="R377" s="24"/>
      <c r="S377" s="1918">
        <v>843</v>
      </c>
      <c r="T377" s="1610">
        <f t="shared" si="277"/>
        <v>843</v>
      </c>
      <c r="U377" s="1601"/>
      <c r="V377" s="24">
        <f>T377/L377</f>
        <v>1.2667167543200601</v>
      </c>
      <c r="W377" s="1586">
        <f>S377/L377</f>
        <v>1.2667167543200601</v>
      </c>
      <c r="X377" s="24">
        <f t="shared" si="278"/>
        <v>-0.31889947844563338</v>
      </c>
      <c r="Y377" s="1612">
        <f t="shared" si="278"/>
        <v>-0.31889947844563338</v>
      </c>
      <c r="Z377" s="30"/>
      <c r="AA377" s="24">
        <f>'Store New'!AS38</f>
        <v>5.3999999999999995</v>
      </c>
      <c r="AB377" s="1597"/>
      <c r="AC377" s="1588">
        <f t="shared" si="282"/>
        <v>5.3999999999999995</v>
      </c>
      <c r="AD377" s="1613"/>
      <c r="AE377" s="24">
        <f t="shared" si="279"/>
        <v>1.8867924528301883E-2</v>
      </c>
      <c r="AF377" s="1606"/>
      <c r="AG377" s="30"/>
      <c r="AH377" s="1608">
        <f t="shared" si="280"/>
        <v>56.079903147700321</v>
      </c>
      <c r="AI377" s="35"/>
      <c r="AJ377" s="1590">
        <f>T377</f>
        <v>843</v>
      </c>
      <c r="AK377" s="1590">
        <f>S377</f>
        <v>843</v>
      </c>
      <c r="AL377" s="1586">
        <f t="shared" si="281"/>
        <v>156.11111111111111</v>
      </c>
      <c r="AM377" s="1615"/>
      <c r="AN377" s="24"/>
      <c r="AO377" s="1612"/>
      <c r="AP377" s="30"/>
    </row>
    <row r="378" spans="1:43">
      <c r="A378" s="24"/>
      <c r="B378" s="29" t="str">
        <f>$B$31</f>
        <v>Year</v>
      </c>
      <c r="C378" s="24"/>
      <c r="D378" s="1581">
        <f>(T378/T371-1)*100</f>
        <v>1.882845188284521</v>
      </c>
      <c r="E378" s="24"/>
      <c r="F378" s="1616">
        <v>0</v>
      </c>
      <c r="G378" s="24"/>
      <c r="H378" s="1581">
        <f>D378-F378</f>
        <v>1.882845188284521</v>
      </c>
      <c r="I378" s="24"/>
      <c r="J378" s="1782"/>
      <c r="K378" s="24"/>
      <c r="L378" s="1583">
        <f>AVERAGE(L374:L377)</f>
        <v>658.625</v>
      </c>
      <c r="M378" s="24"/>
      <c r="N378" s="1581">
        <f>(L378/L371-1)*100</f>
        <v>2.1519968980224791</v>
      </c>
      <c r="O378" s="30"/>
      <c r="P378" s="1584">
        <f t="shared" si="276"/>
        <v>87.492932262807258</v>
      </c>
      <c r="Q378" s="35"/>
      <c r="R378" s="24"/>
      <c r="S378" s="400">
        <v>2922</v>
      </c>
      <c r="T378" s="1617">
        <f t="shared" si="277"/>
        <v>2922</v>
      </c>
      <c r="U378" s="1618"/>
      <c r="V378" s="24">
        <f>T378/L378</f>
        <v>4.4365154678307075</v>
      </c>
      <c r="W378" s="1586">
        <f>S378/L378</f>
        <v>4.4365154678307075</v>
      </c>
      <c r="X378" s="24">
        <f t="shared" si="278"/>
        <v>-0.2634815940080637</v>
      </c>
      <c r="Y378" s="1587">
        <f t="shared" si="278"/>
        <v>-0.2634815940080637</v>
      </c>
      <c r="Z378" s="30"/>
      <c r="AA378" s="24"/>
      <c r="AB378" s="24"/>
      <c r="AC378" s="1588">
        <f>AVERAGE(AC374:AC377)</f>
        <v>5.3374999999999995</v>
      </c>
      <c r="AD378" s="1588"/>
      <c r="AE378" s="24">
        <f t="shared" si="279"/>
        <v>1.9093078758949833E-2</v>
      </c>
      <c r="AF378" s="1581"/>
      <c r="AG378" s="30"/>
      <c r="AH378" s="1608">
        <f t="shared" si="280"/>
        <v>98.614016736402036</v>
      </c>
      <c r="AI378" s="35"/>
      <c r="AJ378" s="1590">
        <f>T378</f>
        <v>2922</v>
      </c>
      <c r="AK378" s="1590">
        <f>S378</f>
        <v>2922</v>
      </c>
      <c r="AL378" s="1586">
        <f>AJ378/AC378</f>
        <v>547.44730679156919</v>
      </c>
      <c r="AM378" s="1591"/>
      <c r="AN378" s="24"/>
      <c r="AO378" s="1587"/>
      <c r="AP378" s="30"/>
    </row>
    <row r="379" spans="1:43">
      <c r="A379" s="24"/>
      <c r="B379" s="29"/>
      <c r="C379" s="24"/>
      <c r="D379" s="1581"/>
      <c r="E379" s="24"/>
      <c r="F379" s="1616"/>
      <c r="G379" s="24"/>
      <c r="H379" s="1581"/>
      <c r="I379" s="24"/>
      <c r="J379" s="1782"/>
      <c r="K379" s="24"/>
      <c r="L379" s="1583"/>
      <c r="M379" s="24"/>
      <c r="N379" s="1581"/>
      <c r="O379" s="30"/>
      <c r="P379" s="1584"/>
      <c r="Q379" s="35"/>
      <c r="R379" s="24"/>
      <c r="S379" s="1618"/>
      <c r="T379" s="1935"/>
      <c r="U379" s="1618"/>
      <c r="V379" s="24"/>
      <c r="W379" s="1586"/>
      <c r="X379" s="24"/>
      <c r="Y379" s="1587"/>
      <c r="Z379" s="30"/>
      <c r="AA379" s="24"/>
      <c r="AB379" s="24"/>
      <c r="AC379" s="24"/>
      <c r="AD379" s="1588"/>
      <c r="AE379" s="24"/>
      <c r="AF379" s="1581"/>
      <c r="AG379" s="30"/>
      <c r="AH379" s="1589"/>
      <c r="AI379" s="35"/>
      <c r="AJ379" s="24"/>
      <c r="AK379" s="1590"/>
      <c r="AL379" s="24"/>
      <c r="AM379" s="1591"/>
      <c r="AN379" s="24"/>
      <c r="AO379" s="1587"/>
      <c r="AP379" s="30"/>
    </row>
    <row r="380" spans="1:43">
      <c r="A380" s="1579"/>
      <c r="B380" s="1580">
        <f>+B373+1</f>
        <v>2015</v>
      </c>
      <c r="C380" s="24"/>
      <c r="D380" s="1581"/>
      <c r="E380" s="24"/>
      <c r="F380" s="1616"/>
      <c r="G380" s="24"/>
      <c r="H380" s="1581"/>
      <c r="I380" s="24"/>
      <c r="J380" s="1782"/>
      <c r="K380" s="24"/>
      <c r="L380" s="1583"/>
      <c r="M380" s="24"/>
      <c r="N380" s="1581"/>
      <c r="O380" s="30"/>
      <c r="P380" s="1584"/>
      <c r="Q380" s="35"/>
      <c r="R380" s="24"/>
      <c r="S380" s="1585"/>
      <c r="T380" s="400"/>
      <c r="U380" s="1585"/>
      <c r="V380" s="24"/>
      <c r="W380" s="1586"/>
      <c r="X380" s="24"/>
      <c r="Y380" s="1587"/>
      <c r="Z380" s="30"/>
      <c r="AA380" s="24"/>
      <c r="AB380" s="24"/>
      <c r="AC380" s="24"/>
      <c r="AD380" s="1588"/>
      <c r="AE380" s="24"/>
      <c r="AF380" s="1581"/>
      <c r="AG380" s="30"/>
      <c r="AH380" s="1589"/>
      <c r="AI380" s="35"/>
      <c r="AJ380" s="24"/>
      <c r="AK380" s="1590"/>
      <c r="AL380" s="24"/>
      <c r="AM380" s="1591"/>
      <c r="AN380" s="24"/>
      <c r="AO380" s="1587"/>
      <c r="AP380" s="30"/>
    </row>
    <row r="381" spans="1:43">
      <c r="A381" s="24" t="str">
        <f>$A$27</f>
        <v>1Q</v>
      </c>
      <c r="B381" s="29" t="str">
        <f>$B$27</f>
        <v>Apr</v>
      </c>
      <c r="C381" s="24"/>
      <c r="D381" s="1581">
        <f>(T381/T374-1)*100</f>
        <v>-7.1748878923766801</v>
      </c>
      <c r="E381" s="30" t="s">
        <v>489</v>
      </c>
      <c r="F381" s="1616">
        <v>-8</v>
      </c>
      <c r="G381" s="30" t="s">
        <v>489</v>
      </c>
      <c r="H381" s="1581">
        <f>D381-F381</f>
        <v>0.82511210762331988</v>
      </c>
      <c r="I381" s="30" t="s">
        <v>489</v>
      </c>
      <c r="J381" s="1798">
        <f>'Store New'!AT21</f>
        <v>669</v>
      </c>
      <c r="K381" s="24"/>
      <c r="L381" s="1583">
        <f>AVERAGE(J381,J377)</f>
        <v>667</v>
      </c>
      <c r="M381" s="24"/>
      <c r="N381" s="1581">
        <f>(L381/L374-1)*100</f>
        <v>2.2222222222222143</v>
      </c>
      <c r="O381" s="30" t="s">
        <v>489</v>
      </c>
      <c r="P381" s="1584">
        <f t="shared" ref="P381:P385" si="283">H381/N381*100</f>
        <v>37.130044843049525</v>
      </c>
      <c r="Q381" s="35" t="s">
        <v>489</v>
      </c>
      <c r="R381" s="24"/>
      <c r="S381" s="1916">
        <v>621</v>
      </c>
      <c r="T381" s="1595">
        <f t="shared" ref="T381:T385" si="284">S381-AQ381</f>
        <v>621</v>
      </c>
      <c r="U381" s="1596"/>
      <c r="V381" s="24">
        <f>T381/L381</f>
        <v>0.93103448275862066</v>
      </c>
      <c r="W381" s="1586">
        <f>S381/L381</f>
        <v>0.93103448275862066</v>
      </c>
      <c r="X381" s="24">
        <f t="shared" ref="X381:Y385" si="285">(V381/V374-1)*100</f>
        <v>-9.1928251121076165</v>
      </c>
      <c r="Y381" s="1587">
        <f t="shared" si="285"/>
        <v>-9.1928251121076165</v>
      </c>
      <c r="Z381" s="30" t="s">
        <v>489</v>
      </c>
      <c r="AA381" s="24">
        <f>'Store New'!AT38</f>
        <v>5.3999999999999995</v>
      </c>
      <c r="AB381" s="1597"/>
      <c r="AC381" s="1588">
        <f>AVERAGE(AA381,AA377)</f>
        <v>5.3999999999999995</v>
      </c>
      <c r="AD381" s="1588"/>
      <c r="AE381" s="24">
        <f t="shared" ref="AE381:AE385" si="286">AC381/AC374-1</f>
        <v>1.8867924528301883E-2</v>
      </c>
      <c r="AF381" s="1581"/>
      <c r="AG381" s="30" t="s">
        <v>489</v>
      </c>
      <c r="AH381" s="1589">
        <f t="shared" ref="AH381:AH385" si="287">IFERROR(H381/AE381, "NM")</f>
        <v>43.730941704035963</v>
      </c>
      <c r="AI381" s="35" t="s">
        <v>489</v>
      </c>
      <c r="AJ381" s="1590">
        <f>T381</f>
        <v>621</v>
      </c>
      <c r="AK381" s="1590">
        <f>S381</f>
        <v>621</v>
      </c>
      <c r="AL381" s="1586">
        <f t="shared" ref="AL381:AL384" si="288">AJ381/AC381</f>
        <v>115.00000000000001</v>
      </c>
      <c r="AM381" s="1591"/>
      <c r="AN381" s="24"/>
      <c r="AO381" s="1587"/>
      <c r="AP381" s="30" t="s">
        <v>489</v>
      </c>
    </row>
    <row r="382" spans="1:43">
      <c r="A382" s="24" t="str">
        <f>$A$28</f>
        <v>2Q</v>
      </c>
      <c r="B382" s="29" t="str">
        <f>$B$28</f>
        <v>Jul</v>
      </c>
      <c r="C382" s="24"/>
      <c r="D382" s="1581">
        <f>(T382/T375-1)*100</f>
        <v>-3.8352272727272707</v>
      </c>
      <c r="E382" s="24"/>
      <c r="F382" s="1813">
        <v>-4</v>
      </c>
      <c r="G382" s="24"/>
      <c r="H382" s="1581">
        <f>D382-F382</f>
        <v>0.16477272727272929</v>
      </c>
      <c r="I382" s="24"/>
      <c r="J382" s="1798">
        <f>'Store New'!AU21</f>
        <v>673</v>
      </c>
      <c r="K382" s="24"/>
      <c r="L382" s="1583">
        <f>AVERAGE(J382,J381)</f>
        <v>671</v>
      </c>
      <c r="M382" s="24"/>
      <c r="N382" s="1581">
        <f>(L382/L375-1)*100</f>
        <v>2.3646071700991644</v>
      </c>
      <c r="O382" s="30"/>
      <c r="P382" s="1584">
        <f t="shared" si="283"/>
        <v>6.96829178885638</v>
      </c>
      <c r="Q382" s="35"/>
      <c r="R382" s="24"/>
      <c r="S382" s="1919">
        <v>677</v>
      </c>
      <c r="T382" s="1600">
        <f t="shared" si="284"/>
        <v>677</v>
      </c>
      <c r="U382" s="1601"/>
      <c r="V382" s="24">
        <f>T382/L382</f>
        <v>1.0089418777943369</v>
      </c>
      <c r="W382" s="1586">
        <f>S382/L382</f>
        <v>1.0089418777943369</v>
      </c>
      <c r="X382" s="24">
        <f t="shared" si="285"/>
        <v>-6.0566191911665124</v>
      </c>
      <c r="Y382" s="1587">
        <f t="shared" si="285"/>
        <v>-6.0566191911665124</v>
      </c>
      <c r="Z382" s="30"/>
      <c r="AA382" s="24">
        <f>'Store New'!AU38</f>
        <v>5.3999999999999995</v>
      </c>
      <c r="AB382" s="1597"/>
      <c r="AC382" s="1588">
        <f>AVERAGE(AA382,AA381)</f>
        <v>5.3999999999999995</v>
      </c>
      <c r="AD382" s="1588"/>
      <c r="AE382" s="24">
        <f t="shared" si="286"/>
        <v>1.8867924528301883E-2</v>
      </c>
      <c r="AF382" s="1581"/>
      <c r="AG382" s="30"/>
      <c r="AH382" s="1589">
        <f t="shared" si="287"/>
        <v>8.7329545454546551</v>
      </c>
      <c r="AI382" s="35"/>
      <c r="AJ382" s="1590">
        <f>T382</f>
        <v>677</v>
      </c>
      <c r="AK382" s="1590">
        <f>S382</f>
        <v>677</v>
      </c>
      <c r="AL382" s="1586">
        <f t="shared" si="288"/>
        <v>125.37037037037038</v>
      </c>
      <c r="AM382" s="1604"/>
      <c r="AN382" s="24"/>
      <c r="AO382" s="1587"/>
      <c r="AP382" s="30"/>
    </row>
    <row r="383" spans="1:43">
      <c r="A383" s="24" t="str">
        <f>$A$29</f>
        <v>3Q</v>
      </c>
      <c r="B383" s="29" t="str">
        <f>$B$29</f>
        <v>Oct</v>
      </c>
      <c r="C383" s="24"/>
      <c r="D383" s="1581">
        <f>(T383/T376-1)*100</f>
        <v>-11.189801699716718</v>
      </c>
      <c r="E383" s="24"/>
      <c r="F383" s="1813">
        <v>-12</v>
      </c>
      <c r="G383" s="24"/>
      <c r="H383" s="1581">
        <f>D383-F383</f>
        <v>0.81019830028328244</v>
      </c>
      <c r="I383" s="24"/>
      <c r="J383" s="1798">
        <f>'Store New'!AV21</f>
        <v>679</v>
      </c>
      <c r="K383" s="24"/>
      <c r="L383" s="1583">
        <f>AVERAGE(J383,J382)</f>
        <v>676</v>
      </c>
      <c r="M383" s="24"/>
      <c r="N383" s="1581">
        <f>(L383/L376-1)*100</f>
        <v>2.2692889561270801</v>
      </c>
      <c r="O383" s="30"/>
      <c r="P383" s="1584">
        <f t="shared" si="283"/>
        <v>35.702738432483308</v>
      </c>
      <c r="Q383" s="35"/>
      <c r="R383" s="24"/>
      <c r="S383" s="1919">
        <v>627</v>
      </c>
      <c r="T383" s="1600">
        <f t="shared" si="284"/>
        <v>627</v>
      </c>
      <c r="U383" s="1601"/>
      <c r="V383" s="24">
        <f>T383/L383</f>
        <v>0.9275147928994083</v>
      </c>
      <c r="W383" s="1586">
        <f>S383/L383</f>
        <v>0.9275147928994083</v>
      </c>
      <c r="X383" s="24">
        <f t="shared" si="285"/>
        <v>-13.160442194545485</v>
      </c>
      <c r="Y383" s="1587">
        <f t="shared" si="285"/>
        <v>-13.160442194545485</v>
      </c>
      <c r="Z383" s="30"/>
      <c r="AA383" s="24">
        <f>'Store New'!AV38</f>
        <v>5.5</v>
      </c>
      <c r="AB383" s="1597"/>
      <c r="AC383" s="1588">
        <f t="shared" ref="AC383:AC384" si="289">AVERAGE(AA383,AA382)</f>
        <v>5.4499999999999993</v>
      </c>
      <c r="AD383" s="1588"/>
      <c r="AE383" s="24">
        <f t="shared" si="286"/>
        <v>1.8691588785046731E-2</v>
      </c>
      <c r="AF383" s="1581"/>
      <c r="AG383" s="30"/>
      <c r="AH383" s="1589">
        <f t="shared" si="287"/>
        <v>43.345609065155607</v>
      </c>
      <c r="AI383" s="35"/>
      <c r="AJ383" s="1590">
        <f>T383</f>
        <v>627</v>
      </c>
      <c r="AK383" s="1590">
        <f>S383</f>
        <v>627</v>
      </c>
      <c r="AL383" s="1586">
        <f t="shared" si="288"/>
        <v>115.04587155963304</v>
      </c>
      <c r="AM383" s="1604"/>
      <c r="AN383" s="24"/>
      <c r="AO383" s="1587"/>
      <c r="AP383" s="30"/>
    </row>
    <row r="384" spans="1:43">
      <c r="A384" s="24" t="str">
        <f>$A$30</f>
        <v>4Q</v>
      </c>
      <c r="B384" s="29" t="str">
        <f>$B$30</f>
        <v>Jan</v>
      </c>
      <c r="C384" s="24"/>
      <c r="D384" s="1606">
        <f>(T384/T377-1)*100</f>
        <v>-13.285883748517202</v>
      </c>
      <c r="E384" s="24"/>
      <c r="F384" s="1607">
        <v>-14</v>
      </c>
      <c r="G384" s="24"/>
      <c r="H384" s="1606">
        <f>D384-F384</f>
        <v>0.71411625148279789</v>
      </c>
      <c r="I384" s="24"/>
      <c r="J384" s="1798">
        <f>'Store New'!AW21</f>
        <v>673</v>
      </c>
      <c r="K384" s="24"/>
      <c r="L384" s="1608">
        <f>AVERAGE(J384,J383)</f>
        <v>676</v>
      </c>
      <c r="M384" s="24"/>
      <c r="N384" s="1606">
        <f>(L384/L377-1)*100</f>
        <v>1.5777610818933141</v>
      </c>
      <c r="O384" s="30"/>
      <c r="P384" s="1609">
        <f t="shared" si="283"/>
        <v>45.261368129695406</v>
      </c>
      <c r="Q384" s="35"/>
      <c r="R384" s="24"/>
      <c r="S384" s="1918">
        <v>731</v>
      </c>
      <c r="T384" s="1610">
        <f t="shared" si="284"/>
        <v>731</v>
      </c>
      <c r="U384" s="1601"/>
      <c r="V384" s="24">
        <f>T384/L384</f>
        <v>1.081360946745562</v>
      </c>
      <c r="W384" s="1586">
        <f>S384/L384</f>
        <v>1.081360946745562</v>
      </c>
      <c r="X384" s="24">
        <f t="shared" si="285"/>
        <v>-14.632774607452959</v>
      </c>
      <c r="Y384" s="1612">
        <f t="shared" si="285"/>
        <v>-14.632774607452959</v>
      </c>
      <c r="Z384" s="30"/>
      <c r="AA384" s="24">
        <f>'Store New'!AW38</f>
        <v>5.3999999999999995</v>
      </c>
      <c r="AB384" s="1597"/>
      <c r="AC384" s="1588">
        <f t="shared" si="289"/>
        <v>5.4499999999999993</v>
      </c>
      <c r="AD384" s="1613"/>
      <c r="AE384" s="24">
        <f t="shared" si="286"/>
        <v>9.2592592592593004E-3</v>
      </c>
      <c r="AF384" s="1606"/>
      <c r="AG384" s="30"/>
      <c r="AH384" s="1608">
        <f t="shared" si="287"/>
        <v>77.124555160141824</v>
      </c>
      <c r="AI384" s="35"/>
      <c r="AJ384" s="1590">
        <f>T384</f>
        <v>731</v>
      </c>
      <c r="AK384" s="1590">
        <f>S384</f>
        <v>731</v>
      </c>
      <c r="AL384" s="1586">
        <f t="shared" si="288"/>
        <v>134.12844036697248</v>
      </c>
      <c r="AM384" s="1615"/>
      <c r="AN384" s="24"/>
      <c r="AO384" s="1612"/>
      <c r="AP384" s="30"/>
    </row>
    <row r="385" spans="1:42">
      <c r="A385" s="24"/>
      <c r="B385" s="29" t="str">
        <f>$B$31</f>
        <v>Year</v>
      </c>
      <c r="C385" s="24"/>
      <c r="D385" s="1581">
        <f>(T385/T378-1)*100</f>
        <v>-9.1033538672142367</v>
      </c>
      <c r="E385" s="24"/>
      <c r="F385" s="1616">
        <v>-10</v>
      </c>
      <c r="G385" s="24"/>
      <c r="H385" s="1581">
        <f>D385-F385</f>
        <v>0.89664613278576333</v>
      </c>
      <c r="I385" s="24"/>
      <c r="J385" s="1782"/>
      <c r="K385" s="24"/>
      <c r="L385" s="1583">
        <f>AVERAGE(L381:L384)</f>
        <v>672.5</v>
      </c>
      <c r="M385" s="24"/>
      <c r="N385" s="1581">
        <f>(L385/L378-1)*100</f>
        <v>2.1066616056177656</v>
      </c>
      <c r="O385" s="30"/>
      <c r="P385" s="1584">
        <f t="shared" si="283"/>
        <v>42.562418681515169</v>
      </c>
      <c r="Q385" s="35"/>
      <c r="R385" s="24"/>
      <c r="S385" s="400">
        <v>2656</v>
      </c>
      <c r="T385" s="1617">
        <f t="shared" si="284"/>
        <v>2656</v>
      </c>
      <c r="U385" s="1618"/>
      <c r="V385" s="24">
        <f>T385/L385</f>
        <v>3.9494423791821562</v>
      </c>
      <c r="W385" s="1586">
        <f>S385/L385</f>
        <v>3.9494423791821562</v>
      </c>
      <c r="X385" s="24">
        <f t="shared" si="285"/>
        <v>-10.978730766979883</v>
      </c>
      <c r="Y385" s="1587">
        <f t="shared" si="285"/>
        <v>-10.978730766979883</v>
      </c>
      <c r="Z385" s="30"/>
      <c r="AA385" s="24"/>
      <c r="AB385" s="24"/>
      <c r="AC385" s="1588">
        <f>AVERAGE(AC381:AC384)</f>
        <v>5.4249999999999998</v>
      </c>
      <c r="AD385" s="1588"/>
      <c r="AE385" s="24">
        <f t="shared" si="286"/>
        <v>1.6393442622950838E-2</v>
      </c>
      <c r="AF385" s="1581"/>
      <c r="AG385" s="30"/>
      <c r="AH385" s="1589">
        <f t="shared" si="287"/>
        <v>54.695414099931504</v>
      </c>
      <c r="AI385" s="35"/>
      <c r="AJ385" s="1590">
        <f>T385</f>
        <v>2656</v>
      </c>
      <c r="AK385" s="1590">
        <f>S385</f>
        <v>2656</v>
      </c>
      <c r="AL385" s="1586">
        <f>AJ385/AC385</f>
        <v>489.58525345622121</v>
      </c>
      <c r="AM385" s="1591"/>
      <c r="AN385" s="24"/>
      <c r="AO385" s="1587"/>
      <c r="AP385" s="30"/>
    </row>
    <row r="386" spans="1:42">
      <c r="A386" s="24"/>
      <c r="B386" s="29"/>
      <c r="C386" s="24"/>
      <c r="D386" s="1581"/>
      <c r="E386" s="24"/>
      <c r="F386" s="1616"/>
      <c r="G386" s="24"/>
      <c r="H386" s="1581"/>
      <c r="I386" s="24"/>
      <c r="J386" s="1782"/>
      <c r="K386" s="24"/>
      <c r="L386" s="1583"/>
      <c r="M386" s="24"/>
      <c r="N386" s="1581"/>
      <c r="O386" s="30"/>
      <c r="P386" s="1584"/>
      <c r="Q386" s="35"/>
      <c r="R386" s="24"/>
      <c r="S386" s="1618"/>
      <c r="T386" s="1617"/>
      <c r="U386" s="1618"/>
      <c r="V386" s="24"/>
      <c r="W386" s="1586"/>
      <c r="X386" s="24"/>
      <c r="Y386" s="1587"/>
      <c r="Z386" s="30"/>
      <c r="AA386" s="24"/>
      <c r="AB386" s="24"/>
      <c r="AC386" s="24"/>
      <c r="AD386" s="1588"/>
      <c r="AE386" s="24"/>
      <c r="AF386" s="1581"/>
      <c r="AG386" s="30"/>
      <c r="AH386" s="1589"/>
      <c r="AI386" s="35"/>
      <c r="AJ386" s="24"/>
      <c r="AK386" s="1590"/>
      <c r="AL386" s="24"/>
      <c r="AM386" s="1591"/>
      <c r="AN386" s="24"/>
      <c r="AO386" s="1587"/>
      <c r="AP386" s="30"/>
    </row>
    <row r="387" spans="1:42">
      <c r="A387" s="1579"/>
      <c r="B387" s="1580">
        <f>+B380+1</f>
        <v>2016</v>
      </c>
      <c r="C387" s="24"/>
      <c r="D387" s="1581"/>
      <c r="E387" s="24"/>
      <c r="F387" s="1616"/>
      <c r="G387" s="24"/>
      <c r="H387" s="1581"/>
      <c r="I387" s="24"/>
      <c r="J387" s="1782"/>
      <c r="K387" s="24"/>
      <c r="L387" s="1583"/>
      <c r="M387" s="24"/>
      <c r="N387" s="1581"/>
      <c r="O387" s="30"/>
      <c r="P387" s="1584"/>
      <c r="Q387" s="35"/>
      <c r="R387" s="24"/>
      <c r="S387" s="1585"/>
      <c r="T387" s="400"/>
      <c r="U387" s="1585"/>
      <c r="V387" s="24"/>
      <c r="W387" s="1586"/>
      <c r="X387" s="24"/>
      <c r="Y387" s="1587"/>
      <c r="Z387" s="30"/>
      <c r="AA387" s="24"/>
      <c r="AB387" s="24"/>
      <c r="AC387" s="24"/>
      <c r="AD387" s="1588"/>
      <c r="AE387" s="24"/>
      <c r="AF387" s="1581"/>
      <c r="AG387" s="30"/>
      <c r="AH387" s="1589"/>
      <c r="AI387" s="35"/>
      <c r="AJ387" s="24"/>
      <c r="AK387" s="1590"/>
      <c r="AL387" s="24"/>
      <c r="AM387" s="1591"/>
      <c r="AN387" s="24"/>
      <c r="AO387" s="1587"/>
      <c r="AP387" s="30"/>
    </row>
    <row r="388" spans="1:42">
      <c r="A388" s="24" t="str">
        <f>$A$27</f>
        <v>1Q</v>
      </c>
      <c r="B388" s="29" t="str">
        <f>$B$27</f>
        <v>Apr</v>
      </c>
      <c r="C388" s="24"/>
      <c r="D388" s="1581">
        <f>(T388/T381-1)*100</f>
        <v>-11.433172302737516</v>
      </c>
      <c r="E388" s="30" t="s">
        <v>489</v>
      </c>
      <c r="F388" s="1616">
        <v>-11</v>
      </c>
      <c r="G388" s="30" t="s">
        <v>489</v>
      </c>
      <c r="H388" s="1581">
        <f>D388-F388</f>
        <v>-0.43317230273751584</v>
      </c>
      <c r="I388" s="30" t="s">
        <v>489</v>
      </c>
      <c r="J388" s="1798">
        <f>'Store New'!AX21</f>
        <v>668</v>
      </c>
      <c r="K388" s="24"/>
      <c r="L388" s="1583">
        <f>AVERAGE(J388,J384)</f>
        <v>670.5</v>
      </c>
      <c r="M388" s="24"/>
      <c r="N388" s="1581">
        <f>(L388/L381-1)*100</f>
        <v>0.52473763118441319</v>
      </c>
      <c r="O388" s="30" t="s">
        <v>489</v>
      </c>
      <c r="P388" s="1584">
        <f t="shared" ref="P388:P392" si="290">H388/N388*100</f>
        <v>-82.550264550262881</v>
      </c>
      <c r="Q388" s="35" t="s">
        <v>489</v>
      </c>
      <c r="R388" s="24"/>
      <c r="S388" s="1916">
        <v>550</v>
      </c>
      <c r="T388" s="1595">
        <f t="shared" ref="T388:T392" si="291">S388-AQ388</f>
        <v>550</v>
      </c>
      <c r="U388" s="1596"/>
      <c r="V388" s="24">
        <f>T388/L388</f>
        <v>0.82028337061894108</v>
      </c>
      <c r="W388" s="1586">
        <f>S388/L388</f>
        <v>0.82028337061894108</v>
      </c>
      <c r="X388" s="24">
        <f t="shared" ref="X388:Y392" si="292">(V388/V381-1)*100</f>
        <v>-11.895489822410033</v>
      </c>
      <c r="Y388" s="1587">
        <f t="shared" si="292"/>
        <v>-11.895489822410033</v>
      </c>
      <c r="Z388" s="30" t="s">
        <v>489</v>
      </c>
      <c r="AA388" s="24">
        <f>'Store New'!AX38</f>
        <v>5.3999999999999995</v>
      </c>
      <c r="AB388" s="1597"/>
      <c r="AC388" s="1588">
        <f>AVERAGE(AA388,AA384)</f>
        <v>5.3999999999999995</v>
      </c>
      <c r="AD388" s="1588"/>
      <c r="AE388" s="24">
        <f t="shared" ref="AE388:AE392" si="293">AC388/AC381-1</f>
        <v>0</v>
      </c>
      <c r="AF388" s="1581"/>
      <c r="AG388" s="30" t="s">
        <v>489</v>
      </c>
      <c r="AH388" s="1589" t="str">
        <f t="shared" ref="AH388:AH392" si="294">IFERROR(H388/AE388, "NM")</f>
        <v>NM</v>
      </c>
      <c r="AI388" s="35" t="s">
        <v>489</v>
      </c>
      <c r="AJ388" s="1590">
        <f>T388</f>
        <v>550</v>
      </c>
      <c r="AK388" s="1590">
        <f>S388</f>
        <v>550</v>
      </c>
      <c r="AL388" s="1586">
        <f t="shared" ref="AL388:AL391" si="295">AJ388/AC388</f>
        <v>101.85185185185186</v>
      </c>
      <c r="AM388" s="1591"/>
      <c r="AN388" s="24"/>
      <c r="AO388" s="1587"/>
      <c r="AP388" s="30" t="s">
        <v>489</v>
      </c>
    </row>
    <row r="389" spans="1:42">
      <c r="A389" s="24" t="str">
        <f>$A$28</f>
        <v>2Q</v>
      </c>
      <c r="B389" s="29" t="str">
        <f>$B$28</f>
        <v>Jul</v>
      </c>
      <c r="C389" s="24"/>
      <c r="D389" s="1581">
        <f>(T389/T382-1)*100</f>
        <v>-6.4992614475627768</v>
      </c>
      <c r="E389" s="24"/>
      <c r="F389" s="1813">
        <v>-9</v>
      </c>
      <c r="G389" s="24"/>
      <c r="H389" s="1581">
        <f>D389-F389</f>
        <v>2.5007385524372232</v>
      </c>
      <c r="I389" s="24"/>
      <c r="J389" s="1798">
        <f>'Store New'!AY21</f>
        <v>669</v>
      </c>
      <c r="K389" s="24"/>
      <c r="L389" s="1583">
        <f>AVERAGE(J389,J388)</f>
        <v>668.5</v>
      </c>
      <c r="M389" s="24"/>
      <c r="N389" s="1581">
        <f>(L389/L382-1)*100</f>
        <v>-0.37257824143069884</v>
      </c>
      <c r="O389" s="30"/>
      <c r="P389" s="1584">
        <f t="shared" si="290"/>
        <v>-671.19822747415355</v>
      </c>
      <c r="Q389" s="35"/>
      <c r="R389" s="24"/>
      <c r="S389" s="1919">
        <v>633</v>
      </c>
      <c r="T389" s="1600">
        <f t="shared" si="291"/>
        <v>633</v>
      </c>
      <c r="U389" s="1601"/>
      <c r="V389" s="24">
        <f>T389/L389</f>
        <v>0.94689603590127147</v>
      </c>
      <c r="W389" s="1586">
        <f>S389/L389</f>
        <v>0.94689603590127147</v>
      </c>
      <c r="X389" s="24">
        <f t="shared" si="292"/>
        <v>-6.1495952600069241</v>
      </c>
      <c r="Y389" s="1587">
        <f t="shared" si="292"/>
        <v>-6.1495952600069241</v>
      </c>
      <c r="Z389" s="30"/>
      <c r="AA389" s="24">
        <f>'Store New'!AY38</f>
        <v>5.3999999999999995</v>
      </c>
      <c r="AB389" s="1597"/>
      <c r="AC389" s="1588">
        <f>AVERAGE(AA389,AA388)</f>
        <v>5.3999999999999995</v>
      </c>
      <c r="AD389" s="1588"/>
      <c r="AE389" s="24">
        <f t="shared" si="293"/>
        <v>0</v>
      </c>
      <c r="AF389" s="1581"/>
      <c r="AG389" s="30"/>
      <c r="AH389" s="1589" t="str">
        <f t="shared" si="294"/>
        <v>NM</v>
      </c>
      <c r="AI389" s="35"/>
      <c r="AJ389" s="1590">
        <f>T389</f>
        <v>633</v>
      </c>
      <c r="AK389" s="1590">
        <f>S389</f>
        <v>633</v>
      </c>
      <c r="AL389" s="1586">
        <f t="shared" si="295"/>
        <v>117.22222222222223</v>
      </c>
      <c r="AM389" s="1604"/>
      <c r="AN389" s="24"/>
      <c r="AO389" s="1587"/>
      <c r="AP389" s="30"/>
    </row>
    <row r="390" spans="1:42">
      <c r="A390" s="24" t="str">
        <f>$A$29</f>
        <v>3Q</v>
      </c>
      <c r="B390" s="29" t="str">
        <f>$B$29</f>
        <v>Oct</v>
      </c>
      <c r="C390" s="24"/>
      <c r="D390" s="1581">
        <f t="shared" ref="D390:D391" si="296">(T390/T383-1)*100</f>
        <v>-7.4960127591706556</v>
      </c>
      <c r="E390" s="24"/>
      <c r="F390" s="1813">
        <v>-8</v>
      </c>
      <c r="G390" s="24"/>
      <c r="H390" s="1581">
        <f t="shared" ref="H390:H391" si="297">D390-F390</f>
        <v>0.50398724082934443</v>
      </c>
      <c r="I390" s="24"/>
      <c r="J390" s="1798">
        <f>'Store New'!AZ21</f>
        <v>671</v>
      </c>
      <c r="K390" s="24"/>
      <c r="L390" s="1583">
        <f>AVERAGE(J390,J389)</f>
        <v>670</v>
      </c>
      <c r="M390" s="24"/>
      <c r="N390" s="1581">
        <f>(L390/L383-1)*100</f>
        <v>-0.88757396449704595</v>
      </c>
      <c r="O390" s="30"/>
      <c r="P390" s="1584">
        <f t="shared" si="290"/>
        <v>-56.782562466772511</v>
      </c>
      <c r="Q390" s="35"/>
      <c r="R390" s="24"/>
      <c r="S390" s="1919">
        <v>580</v>
      </c>
      <c r="T390" s="1600">
        <f t="shared" si="291"/>
        <v>580</v>
      </c>
      <c r="U390" s="1601"/>
      <c r="V390" s="24">
        <f>T390/L390</f>
        <v>0.86567164179104472</v>
      </c>
      <c r="W390" s="1586">
        <f>S390/L390</f>
        <v>0.86567164179104472</v>
      </c>
      <c r="X390" s="24">
        <f t="shared" si="292"/>
        <v>-6.6676188435811472</v>
      </c>
      <c r="Y390" s="1587">
        <f t="shared" si="292"/>
        <v>-6.6676188435811472</v>
      </c>
      <c r="Z390" s="30"/>
      <c r="AA390" s="24">
        <f>'Store New'!AZ38</f>
        <v>5.3999999999999995</v>
      </c>
      <c r="AB390" s="1597"/>
      <c r="AC390" s="1588">
        <f t="shared" ref="AC390:AC391" si="298">AVERAGE(AA390,AA389)</f>
        <v>5.3999999999999995</v>
      </c>
      <c r="AD390" s="1588"/>
      <c r="AE390" s="24">
        <f t="shared" si="293"/>
        <v>-9.1743119266054496E-3</v>
      </c>
      <c r="AF390" s="1581"/>
      <c r="AG390" s="30"/>
      <c r="AH390" s="1589">
        <f t="shared" si="294"/>
        <v>-54.934609250398871</v>
      </c>
      <c r="AI390" s="35"/>
      <c r="AJ390" s="1590">
        <f>T390</f>
        <v>580</v>
      </c>
      <c r="AK390" s="1590">
        <f>S390</f>
        <v>580</v>
      </c>
      <c r="AL390" s="1586">
        <f t="shared" si="295"/>
        <v>107.40740740740742</v>
      </c>
      <c r="AM390" s="1604"/>
      <c r="AN390" s="24"/>
      <c r="AO390" s="1587"/>
      <c r="AP390" s="30"/>
    </row>
    <row r="391" spans="1:42">
      <c r="A391" s="24" t="str">
        <f>$A$30</f>
        <v>4Q</v>
      </c>
      <c r="B391" s="29" t="str">
        <f>$B$30</f>
        <v>Jan</v>
      </c>
      <c r="C391" s="24"/>
      <c r="D391" s="1606">
        <f t="shared" si="296"/>
        <v>-3.1463748290013638</v>
      </c>
      <c r="E391" s="24"/>
      <c r="F391" s="1607">
        <v>-3</v>
      </c>
      <c r="G391" s="24"/>
      <c r="H391" s="1606">
        <f t="shared" si="297"/>
        <v>-0.14637482900136378</v>
      </c>
      <c r="I391" s="24"/>
      <c r="J391" s="1798">
        <f>'Store New'!BA21</f>
        <v>650</v>
      </c>
      <c r="K391" s="24"/>
      <c r="L391" s="1608">
        <f>AVERAGE(J391,J390)</f>
        <v>660.5</v>
      </c>
      <c r="M391" s="24"/>
      <c r="N391" s="1606">
        <f>(L391/L384-1)*100</f>
        <v>-2.2928994082840215</v>
      </c>
      <c r="O391" s="30"/>
      <c r="P391" s="1609">
        <f t="shared" si="290"/>
        <v>6.3838312519304523</v>
      </c>
      <c r="Q391" s="35"/>
      <c r="R391" s="24"/>
      <c r="S391" s="1918">
        <v>708</v>
      </c>
      <c r="T391" s="1610">
        <f t="shared" si="291"/>
        <v>708</v>
      </c>
      <c r="U391" s="1716"/>
      <c r="V391" s="24">
        <f>T391/L391</f>
        <v>1.0719152157456473</v>
      </c>
      <c r="W391" s="1586">
        <f>S391/L391</f>
        <v>1.0719152157456473</v>
      </c>
      <c r="X391" s="24">
        <f t="shared" si="292"/>
        <v>-0.87350398850101207</v>
      </c>
      <c r="Y391" s="1612">
        <f t="shared" si="292"/>
        <v>-0.87350398850101207</v>
      </c>
      <c r="Z391" s="30"/>
      <c r="AA391" s="24">
        <f>'Store New'!BA38</f>
        <v>5.2</v>
      </c>
      <c r="AB391" s="1597"/>
      <c r="AC391" s="1588">
        <f t="shared" si="298"/>
        <v>5.3</v>
      </c>
      <c r="AD391" s="1613"/>
      <c r="AE391" s="24">
        <f t="shared" si="293"/>
        <v>-2.752293577981646E-2</v>
      </c>
      <c r="AF391" s="1606"/>
      <c r="AG391" s="30"/>
      <c r="AH391" s="1608">
        <f t="shared" si="294"/>
        <v>5.3182854537162276</v>
      </c>
      <c r="AI391" s="35"/>
      <c r="AJ391" s="1590">
        <f>T391</f>
        <v>708</v>
      </c>
      <c r="AK391" s="1590">
        <f>S391</f>
        <v>708</v>
      </c>
      <c r="AL391" s="1586">
        <f t="shared" si="295"/>
        <v>133.58490566037736</v>
      </c>
      <c r="AM391" s="1615"/>
      <c r="AN391" s="24"/>
      <c r="AO391" s="1612"/>
      <c r="AP391" s="30"/>
    </row>
    <row r="392" spans="1:42">
      <c r="A392" s="24"/>
      <c r="B392" s="29" t="str">
        <f>$B$31</f>
        <v>Year</v>
      </c>
      <c r="C392" s="24"/>
      <c r="D392" s="1581">
        <f>(T392/T385-1)*100</f>
        <v>-6.9653614457831363</v>
      </c>
      <c r="E392" s="24"/>
      <c r="F392" s="1616">
        <v>-7</v>
      </c>
      <c r="G392" s="24"/>
      <c r="H392" s="1581">
        <f>D392-F392</f>
        <v>3.4638554216863682E-2</v>
      </c>
      <c r="I392" s="24"/>
      <c r="J392" s="1798"/>
      <c r="K392" s="24"/>
      <c r="L392" s="1583">
        <f>AVERAGE(L388:L391)</f>
        <v>667.375</v>
      </c>
      <c r="M392" s="24"/>
      <c r="N392" s="1581">
        <f>(L392/L385-1)*100</f>
        <v>-0.76208178438661456</v>
      </c>
      <c r="O392" s="30"/>
      <c r="P392" s="1584">
        <f t="shared" si="290"/>
        <v>-4.5452541874811523</v>
      </c>
      <c r="Q392" s="35"/>
      <c r="R392" s="24"/>
      <c r="S392" s="400">
        <v>2471</v>
      </c>
      <c r="T392" s="1617">
        <f t="shared" si="291"/>
        <v>2471</v>
      </c>
      <c r="U392" s="1618"/>
      <c r="V392" s="24">
        <f>T392/L392</f>
        <v>3.7025660235999251</v>
      </c>
      <c r="W392" s="1586">
        <f>S392/L392</f>
        <v>3.7025660235999251</v>
      </c>
      <c r="X392" s="24">
        <f t="shared" si="292"/>
        <v>-6.2509167593769011</v>
      </c>
      <c r="Y392" s="1587">
        <f t="shared" si="292"/>
        <v>-6.2509167593769011</v>
      </c>
      <c r="Z392" s="30"/>
      <c r="AA392" s="24"/>
      <c r="AB392" s="24"/>
      <c r="AC392" s="1588">
        <f>AVERAGE(AC388:AC391)</f>
        <v>5.375</v>
      </c>
      <c r="AD392" s="1588"/>
      <c r="AE392" s="24">
        <f t="shared" si="293"/>
        <v>-9.2165898617511122E-3</v>
      </c>
      <c r="AF392" s="1581"/>
      <c r="AG392" s="30"/>
      <c r="AH392" s="1589">
        <f t="shared" si="294"/>
        <v>-3.7582831325297259</v>
      </c>
      <c r="AI392" s="35"/>
      <c r="AJ392" s="1590">
        <f>T392</f>
        <v>2471</v>
      </c>
      <c r="AK392" s="1590">
        <f>S392</f>
        <v>2471</v>
      </c>
      <c r="AL392" s="1586">
        <f>AJ392/AC392</f>
        <v>459.72093023255815</v>
      </c>
      <c r="AM392" s="1591"/>
      <c r="AN392" s="24"/>
      <c r="AO392" s="1587"/>
      <c r="AP392" s="30"/>
    </row>
    <row r="393" spans="1:42">
      <c r="A393" s="24"/>
      <c r="B393" s="29"/>
      <c r="C393" s="24"/>
      <c r="D393" s="1675"/>
      <c r="E393" s="24"/>
      <c r="F393" s="1582"/>
      <c r="G393" s="24"/>
      <c r="H393" s="1581"/>
      <c r="I393" s="24"/>
      <c r="J393" s="1782"/>
      <c r="K393" s="24"/>
      <c r="L393" s="1583"/>
      <c r="M393" s="24"/>
      <c r="N393" s="1581"/>
      <c r="O393" s="30"/>
      <c r="P393" s="1584"/>
      <c r="Q393" s="35"/>
      <c r="R393" s="24"/>
      <c r="S393" s="1618"/>
      <c r="T393" s="1617"/>
      <c r="U393" s="1618"/>
      <c r="V393" s="24"/>
      <c r="W393" s="1586"/>
      <c r="X393" s="24"/>
      <c r="Y393" s="1587"/>
      <c r="Z393" s="30"/>
      <c r="AA393" s="24"/>
      <c r="AB393" s="24"/>
      <c r="AC393" s="24"/>
      <c r="AD393" s="1588"/>
      <c r="AE393" s="24"/>
      <c r="AF393" s="1581"/>
      <c r="AG393" s="30"/>
      <c r="AH393" s="1589"/>
      <c r="AI393" s="35"/>
      <c r="AJ393" s="24"/>
      <c r="AK393" s="1590"/>
      <c r="AL393" s="24"/>
      <c r="AM393" s="1591"/>
      <c r="AN393" s="24"/>
      <c r="AO393" s="1587"/>
      <c r="AP393" s="30"/>
    </row>
    <row r="394" spans="1:42">
      <c r="A394" s="1579"/>
      <c r="B394" s="1715">
        <f>+B387+1</f>
        <v>2017</v>
      </c>
      <c r="C394" s="24"/>
      <c r="D394" s="1581"/>
      <c r="E394" s="24"/>
      <c r="F394" s="1582"/>
      <c r="G394" s="24"/>
      <c r="H394" s="1581"/>
      <c r="I394" s="24"/>
      <c r="J394" s="1782"/>
      <c r="K394" s="24"/>
      <c r="L394" s="1583"/>
      <c r="M394" s="24"/>
      <c r="N394" s="1581"/>
      <c r="O394" s="30"/>
      <c r="P394" s="1584"/>
      <c r="Q394" s="35"/>
      <c r="R394" s="24"/>
      <c r="S394" s="1585"/>
      <c r="T394" s="400"/>
      <c r="U394" s="1585"/>
      <c r="V394" s="24"/>
      <c r="W394" s="1586"/>
      <c r="X394" s="24"/>
      <c r="Y394" s="1587"/>
      <c r="Z394" s="30"/>
      <c r="AA394" s="24"/>
      <c r="AB394" s="24"/>
      <c r="AC394" s="24"/>
      <c r="AD394" s="1588"/>
      <c r="AE394" s="24"/>
      <c r="AF394" s="1581"/>
      <c r="AG394" s="30"/>
      <c r="AH394" s="1589"/>
      <c r="AI394" s="35"/>
      <c r="AJ394" s="24"/>
      <c r="AK394" s="1590"/>
      <c r="AL394" s="24"/>
      <c r="AM394" s="1591"/>
      <c r="AN394" s="24"/>
      <c r="AO394" s="1587"/>
      <c r="AP394" s="30"/>
    </row>
    <row r="395" spans="1:42">
      <c r="A395" s="24" t="str">
        <f>$A$27</f>
        <v>1Q</v>
      </c>
      <c r="B395" s="29" t="str">
        <f>$B$27</f>
        <v>Apr</v>
      </c>
      <c r="C395" s="24"/>
      <c r="D395" s="1581">
        <f>(T395/T388-1)*100</f>
        <v>-6.0000000000000053</v>
      </c>
      <c r="E395" s="30" t="s">
        <v>489</v>
      </c>
      <c r="F395" s="1948">
        <v>-4</v>
      </c>
      <c r="G395" s="30" t="s">
        <v>489</v>
      </c>
      <c r="H395" s="1581">
        <f>D395-F395</f>
        <v>-2.0000000000000053</v>
      </c>
      <c r="I395" s="30" t="s">
        <v>489</v>
      </c>
      <c r="J395" s="1798">
        <f>'Store New'!BB21</f>
        <v>646</v>
      </c>
      <c r="K395" s="24"/>
      <c r="L395" s="1583">
        <f>AVERAGE(J395,J391)</f>
        <v>648</v>
      </c>
      <c r="M395" s="24"/>
      <c r="N395" s="1581">
        <f>(L395/L388-1)*100</f>
        <v>-3.3557046979865723</v>
      </c>
      <c r="O395" s="30" t="s">
        <v>489</v>
      </c>
      <c r="P395" s="1584">
        <f t="shared" ref="P395:P398" si="299">H395/N395*100</f>
        <v>59.600000000000243</v>
      </c>
      <c r="Q395" s="35" t="s">
        <v>489</v>
      </c>
      <c r="R395" s="24"/>
      <c r="S395" s="1916">
        <v>517</v>
      </c>
      <c r="T395" s="1595">
        <f t="shared" ref="T395:T399" si="300">S395-AQ395</f>
        <v>517</v>
      </c>
      <c r="U395" s="1596"/>
      <c r="V395" s="24">
        <f>T395/L395</f>
        <v>0.7978395061728395</v>
      </c>
      <c r="W395" s="1586">
        <f>S395/L395</f>
        <v>0.7978395061728395</v>
      </c>
      <c r="X395" s="24">
        <f t="shared" ref="X395:Y399" si="301">(V395/V388-1)*100</f>
        <v>-2.7361111111111058</v>
      </c>
      <c r="Y395" s="1587">
        <f t="shared" si="301"/>
        <v>-2.7361111111111058</v>
      </c>
      <c r="Z395" s="30" t="s">
        <v>489</v>
      </c>
      <c r="AA395" s="24">
        <f>'Store New'!BB38</f>
        <v>5.2</v>
      </c>
      <c r="AB395" s="1597"/>
      <c r="AC395" s="1588">
        <f>AVERAGE(AA395,AA391)</f>
        <v>5.2</v>
      </c>
      <c r="AD395" s="1588"/>
      <c r="AE395" s="24">
        <f t="shared" ref="AE395:AE399" si="302">AC395/AC388-1</f>
        <v>-3.7037037037036868E-2</v>
      </c>
      <c r="AF395" s="1581"/>
      <c r="AG395" s="30" t="s">
        <v>489</v>
      </c>
      <c r="AH395" s="1589">
        <f t="shared" ref="AH395:AH399" si="303">IFERROR(H395/AE395, "NM")</f>
        <v>54.000000000000391</v>
      </c>
      <c r="AI395" s="35" t="s">
        <v>489</v>
      </c>
      <c r="AJ395" s="1590">
        <f>T395</f>
        <v>517</v>
      </c>
      <c r="AK395" s="1590">
        <f>S395</f>
        <v>517</v>
      </c>
      <c r="AL395" s="1586">
        <f t="shared" ref="AL395:AL398" si="304">AJ395/AC395</f>
        <v>99.42307692307692</v>
      </c>
      <c r="AM395" s="1591"/>
      <c r="AN395" s="24"/>
      <c r="AO395" s="1587"/>
      <c r="AP395" s="30" t="s">
        <v>489</v>
      </c>
    </row>
    <row r="396" spans="1:42">
      <c r="A396" s="24" t="str">
        <f>$A$28</f>
        <v>2Q</v>
      </c>
      <c r="B396" s="29" t="str">
        <f>$B$28</f>
        <v>Jul</v>
      </c>
      <c r="C396" s="24"/>
      <c r="D396" s="1581">
        <f>(T396/T389-1)*100</f>
        <v>-8.5308056872037916</v>
      </c>
      <c r="E396" s="24"/>
      <c r="F396" s="1813">
        <v>-5</v>
      </c>
      <c r="G396" s="24"/>
      <c r="H396" s="1581">
        <f>D396-F396</f>
        <v>-3.5308056872037916</v>
      </c>
      <c r="I396" s="24"/>
      <c r="J396" s="1798">
        <f>'Store New'!BC21</f>
        <v>644</v>
      </c>
      <c r="K396" s="24"/>
      <c r="L396" s="1583">
        <f>AVERAGE(J396,J395)</f>
        <v>645</v>
      </c>
      <c r="M396" s="24"/>
      <c r="N396" s="1581">
        <f>(L396/L389-1)*100</f>
        <v>-3.5153328347045654</v>
      </c>
      <c r="O396" s="30"/>
      <c r="P396" s="1584">
        <f t="shared" si="299"/>
        <v>100.44015327215885</v>
      </c>
      <c r="Q396" s="35"/>
      <c r="R396" s="24"/>
      <c r="S396" s="1919">
        <v>579</v>
      </c>
      <c r="T396" s="1595">
        <f t="shared" si="300"/>
        <v>579</v>
      </c>
      <c r="U396" s="1716"/>
      <c r="V396" s="24">
        <f>T396/L396</f>
        <v>0.89767441860465114</v>
      </c>
      <c r="W396" s="1586">
        <f>S396/L396</f>
        <v>0.89767441860465114</v>
      </c>
      <c r="X396" s="24">
        <f t="shared" si="301"/>
        <v>-5.1982071347220664</v>
      </c>
      <c r="Y396" s="1587">
        <f t="shared" si="301"/>
        <v>-5.1982071347220664</v>
      </c>
      <c r="Z396" s="30"/>
      <c r="AA396" s="24">
        <f>'Store New'!BC38</f>
        <v>5.2</v>
      </c>
      <c r="AB396" s="1597"/>
      <c r="AC396" s="1588">
        <f>AVERAGE(AA396,AA395)</f>
        <v>5.2</v>
      </c>
      <c r="AD396" s="1588"/>
      <c r="AE396" s="24">
        <f t="shared" si="302"/>
        <v>-3.7037037037036868E-2</v>
      </c>
      <c r="AF396" s="1581"/>
      <c r="AG396" s="30"/>
      <c r="AH396" s="1589">
        <f t="shared" si="303"/>
        <v>95.331753554502811</v>
      </c>
      <c r="AI396" s="35"/>
      <c r="AJ396" s="1590">
        <f>T396</f>
        <v>579</v>
      </c>
      <c r="AK396" s="1590">
        <f>S396</f>
        <v>579</v>
      </c>
      <c r="AL396" s="1586">
        <f t="shared" si="304"/>
        <v>111.34615384615384</v>
      </c>
      <c r="AM396" s="1604"/>
      <c r="AN396" s="24"/>
      <c r="AO396" s="1587"/>
      <c r="AP396" s="30"/>
    </row>
    <row r="397" spans="1:42">
      <c r="A397" s="24" t="str">
        <f>$A$29</f>
        <v>3Q</v>
      </c>
      <c r="B397" s="29" t="str">
        <f>$B$29</f>
        <v>Oct</v>
      </c>
      <c r="C397" s="24"/>
      <c r="D397" s="1581">
        <f>(T397/T390-1)*100</f>
        <v>-3.9655172413793127</v>
      </c>
      <c r="E397" s="24"/>
      <c r="F397" s="1813">
        <v>-1</v>
      </c>
      <c r="G397" s="24"/>
      <c r="H397" s="1581">
        <f>D397-F397</f>
        <v>-2.9655172413793127</v>
      </c>
      <c r="I397" s="24"/>
      <c r="J397" s="1798">
        <f>'Store New'!BD21</f>
        <v>644</v>
      </c>
      <c r="K397" s="1582"/>
      <c r="L397" s="1583">
        <f>AVERAGE(J397,J396)</f>
        <v>644</v>
      </c>
      <c r="M397" s="24"/>
      <c r="N397" s="1581">
        <f>(L397/L390-1)*100</f>
        <v>-3.8805970149253688</v>
      </c>
      <c r="O397" s="30"/>
      <c r="P397" s="1584">
        <f t="shared" si="299"/>
        <v>76.419098143236226</v>
      </c>
      <c r="Q397" s="35"/>
      <c r="R397" s="24"/>
      <c r="S397" s="1919">
        <v>557</v>
      </c>
      <c r="T397" s="1595">
        <f t="shared" si="300"/>
        <v>557</v>
      </c>
      <c r="U397" s="1716"/>
      <c r="V397" s="24">
        <f>T397/L397</f>
        <v>0.8649068322981367</v>
      </c>
      <c r="W397" s="1586">
        <f>S397/L397</f>
        <v>0.8649068322981367</v>
      </c>
      <c r="X397" s="24">
        <f t="shared" si="301"/>
        <v>-8.8348682801442369E-2</v>
      </c>
      <c r="Y397" s="1587">
        <f t="shared" si="301"/>
        <v>-8.8348682801442369E-2</v>
      </c>
      <c r="Z397" s="30"/>
      <c r="AA397" s="24">
        <f>'Store New'!BD38</f>
        <v>5.2</v>
      </c>
      <c r="AB397" s="1597"/>
      <c r="AC397" s="1588">
        <f t="shared" ref="AC397:AC398" si="305">AVERAGE(AA397,AA396)</f>
        <v>5.2</v>
      </c>
      <c r="AD397" s="1588"/>
      <c r="AE397" s="24">
        <f t="shared" si="302"/>
        <v>-3.7037037037036868E-2</v>
      </c>
      <c r="AF397" s="1581"/>
      <c r="AG397" s="30"/>
      <c r="AH397" s="1589">
        <f t="shared" si="303"/>
        <v>80.068965517241807</v>
      </c>
      <c r="AI397" s="35"/>
      <c r="AJ397" s="1590">
        <f>T397</f>
        <v>557</v>
      </c>
      <c r="AK397" s="1590">
        <f>S397</f>
        <v>557</v>
      </c>
      <c r="AL397" s="1586">
        <f t="shared" si="304"/>
        <v>107.11538461538461</v>
      </c>
      <c r="AM397" s="1604"/>
      <c r="AN397" s="24"/>
      <c r="AO397" s="1587"/>
      <c r="AP397" s="30"/>
    </row>
    <row r="398" spans="1:42">
      <c r="A398" s="24" t="str">
        <f>$A$30</f>
        <v>4Q</v>
      </c>
      <c r="B398" s="29" t="str">
        <f>$B$30</f>
        <v>Jan</v>
      </c>
      <c r="C398" s="24"/>
      <c r="D398" s="1606">
        <f>(T398/T391-1)*100</f>
        <v>2.6836158192090398</v>
      </c>
      <c r="E398" s="24"/>
      <c r="F398" s="1607">
        <v>1</v>
      </c>
      <c r="G398" s="24"/>
      <c r="H398" s="1718">
        <f>D398-F398</f>
        <v>1.6836158192090398</v>
      </c>
      <c r="I398" s="24"/>
      <c r="J398" s="1798">
        <f>'Store New'!BE21</f>
        <v>621</v>
      </c>
      <c r="K398" s="1582"/>
      <c r="L398" s="1608">
        <f>AVERAGE(J398,J397)</f>
        <v>632.5</v>
      </c>
      <c r="M398" s="24"/>
      <c r="N398" s="1606">
        <f>(L398/L391-1)*100</f>
        <v>-4.2392127176381518</v>
      </c>
      <c r="O398" s="30"/>
      <c r="P398" s="2118">
        <f t="shared" si="299"/>
        <v>-39.715294592413251</v>
      </c>
      <c r="Q398" s="35"/>
      <c r="R398" s="24"/>
      <c r="S398" s="1951">
        <v>727</v>
      </c>
      <c r="T398" s="1610">
        <f t="shared" si="300"/>
        <v>727</v>
      </c>
      <c r="U398" s="1618"/>
      <c r="V398" s="24">
        <f>T398/L398</f>
        <v>1.149407114624506</v>
      </c>
      <c r="W398" s="1586">
        <f>S398/L398</f>
        <v>1.149407114624506</v>
      </c>
      <c r="X398" s="24">
        <f t="shared" si="301"/>
        <v>7.2292936736562341</v>
      </c>
      <c r="Y398" s="1612">
        <f t="shared" si="301"/>
        <v>7.2292936736562341</v>
      </c>
      <c r="Z398" s="30"/>
      <c r="AA398" s="24">
        <f>'Store New'!BE38</f>
        <v>5.1000000000000005</v>
      </c>
      <c r="AB398" s="1597"/>
      <c r="AC398" s="1588">
        <f t="shared" si="305"/>
        <v>5.15</v>
      </c>
      <c r="AD398" s="1613"/>
      <c r="AE398" s="24">
        <f t="shared" si="302"/>
        <v>-2.8301886792452713E-2</v>
      </c>
      <c r="AF398" s="1606"/>
      <c r="AG398" s="30"/>
      <c r="AH398" s="1608">
        <f t="shared" si="303"/>
        <v>-59.487758945386318</v>
      </c>
      <c r="AI398" s="35"/>
      <c r="AJ398" s="1590">
        <f>T398</f>
        <v>727</v>
      </c>
      <c r="AK398" s="1590">
        <f>S398</f>
        <v>727</v>
      </c>
      <c r="AL398" s="1586">
        <f t="shared" si="304"/>
        <v>141.16504854368932</v>
      </c>
      <c r="AM398" s="1615"/>
      <c r="AN398" s="24"/>
      <c r="AO398" s="1612"/>
      <c r="AP398" s="30"/>
    </row>
    <row r="399" spans="1:42">
      <c r="A399" s="24"/>
      <c r="B399" s="29" t="str">
        <f>$B$31</f>
        <v>Year</v>
      </c>
      <c r="C399" s="24"/>
      <c r="D399" s="1581">
        <f>(T399/T392-1)*100</f>
        <v>-3.682719546742208</v>
      </c>
      <c r="E399" s="24"/>
      <c r="F399" s="1616">
        <v>-2</v>
      </c>
      <c r="G399" s="24"/>
      <c r="H399" s="1581">
        <f>D399-F399</f>
        <v>-1.682719546742208</v>
      </c>
      <c r="I399" s="24"/>
      <c r="J399" s="1798"/>
      <c r="K399" s="24"/>
      <c r="L399" s="1583">
        <f>AVERAGE(L395:L398)</f>
        <v>642.375</v>
      </c>
      <c r="M399" s="24"/>
      <c r="N399" s="1581">
        <f>(L399/L392-1)*100</f>
        <v>-3.7460198539052247</v>
      </c>
      <c r="O399" s="30"/>
      <c r="P399" s="1584">
        <f t="shared" ref="P399" si="306">H399/N399*100</f>
        <v>44.920198300283253</v>
      </c>
      <c r="Q399" s="35"/>
      <c r="R399" s="24"/>
      <c r="S399" s="400">
        <f>SUM(S395:S398)</f>
        <v>2380</v>
      </c>
      <c r="T399" s="1617">
        <f t="shared" si="300"/>
        <v>2380</v>
      </c>
      <c r="U399" s="1618"/>
      <c r="V399" s="24">
        <f>T399/L399</f>
        <v>3.705000972951936</v>
      </c>
      <c r="W399" s="1586">
        <f>S399/L399</f>
        <v>3.705000972951936</v>
      </c>
      <c r="X399" s="24">
        <f t="shared" si="301"/>
        <v>6.576383341958536E-2</v>
      </c>
      <c r="Y399" s="1587">
        <f t="shared" si="301"/>
        <v>6.576383341958536E-2</v>
      </c>
      <c r="Z399" s="30"/>
      <c r="AA399" s="24"/>
      <c r="AB399" s="24"/>
      <c r="AC399" s="1588">
        <f>AVERAGE(AC395:AC398)</f>
        <v>5.1875</v>
      </c>
      <c r="AD399" s="1588"/>
      <c r="AE399" s="24">
        <f t="shared" si="302"/>
        <v>-3.4883720930232509E-2</v>
      </c>
      <c r="AF399" s="1581"/>
      <c r="AG399" s="30"/>
      <c r="AH399" s="1589">
        <f t="shared" si="303"/>
        <v>48.237960339943363</v>
      </c>
      <c r="AI399" s="35"/>
      <c r="AJ399" s="1590">
        <f>T399</f>
        <v>2380</v>
      </c>
      <c r="AK399" s="1590">
        <f>S399</f>
        <v>2380</v>
      </c>
      <c r="AL399" s="1586">
        <f>AJ399/AC399</f>
        <v>458.79518072289159</v>
      </c>
      <c r="AM399" s="1591"/>
      <c r="AN399" s="24"/>
      <c r="AO399" s="1587"/>
      <c r="AP399" s="30"/>
    </row>
    <row r="400" spans="1:42">
      <c r="A400" s="24"/>
      <c r="B400" s="29"/>
      <c r="C400" s="24"/>
      <c r="D400" s="1581"/>
      <c r="E400" s="24"/>
      <c r="F400" s="1582"/>
      <c r="G400" s="24"/>
      <c r="H400" s="1581"/>
      <c r="I400" s="24"/>
      <c r="J400" s="1798"/>
      <c r="K400" s="24"/>
      <c r="L400" s="1583"/>
      <c r="M400" s="24"/>
      <c r="N400" s="1581"/>
      <c r="O400" s="30"/>
      <c r="P400" s="1584"/>
      <c r="Q400" s="35"/>
      <c r="R400" s="24"/>
      <c r="S400" s="1618"/>
      <c r="T400" s="1617"/>
      <c r="U400" s="1618"/>
      <c r="V400" s="24"/>
      <c r="W400" s="1586"/>
      <c r="X400" s="24"/>
      <c r="Y400" s="1587"/>
      <c r="Z400" s="30"/>
      <c r="AA400" s="24"/>
      <c r="AB400" s="24"/>
      <c r="AC400" s="24"/>
      <c r="AD400" s="1588"/>
      <c r="AE400" s="24"/>
      <c r="AF400" s="1581"/>
      <c r="AG400" s="30"/>
      <c r="AH400" s="1589"/>
      <c r="AI400" s="35"/>
      <c r="AJ400" s="24"/>
      <c r="AK400" s="1590"/>
      <c r="AL400" s="24"/>
      <c r="AM400" s="1591"/>
      <c r="AN400" s="24"/>
      <c r="AO400" s="1587"/>
      <c r="AP400" s="30"/>
    </row>
    <row r="401" spans="1:50">
      <c r="A401" s="1579"/>
      <c r="B401" s="1715">
        <f>+B394+1</f>
        <v>2018</v>
      </c>
      <c r="C401" s="24"/>
      <c r="D401" s="1581"/>
      <c r="E401" s="24"/>
      <c r="F401" s="1582"/>
      <c r="G401" s="24"/>
      <c r="H401" s="1838"/>
      <c r="I401" s="1782"/>
      <c r="J401" s="1782"/>
      <c r="K401" s="24"/>
      <c r="L401" s="1583"/>
      <c r="M401" s="24"/>
      <c r="N401" s="1581"/>
      <c r="O401" s="30"/>
      <c r="P401" s="1584"/>
      <c r="Q401" s="35"/>
      <c r="R401" s="24"/>
      <c r="S401" s="1585"/>
      <c r="T401" s="400"/>
      <c r="U401" s="1585"/>
      <c r="V401" s="24"/>
      <c r="W401" s="1586"/>
      <c r="X401" s="24"/>
      <c r="Y401" s="1587"/>
      <c r="Z401" s="30"/>
      <c r="AA401" s="24"/>
      <c r="AB401" s="24"/>
      <c r="AC401" s="24"/>
      <c r="AD401" s="1588"/>
      <c r="AE401" s="24"/>
      <c r="AF401" s="1581"/>
      <c r="AG401" s="30"/>
      <c r="AH401" s="1589"/>
      <c r="AI401" s="35"/>
      <c r="AJ401" s="24"/>
      <c r="AK401" s="1590"/>
      <c r="AL401" s="24"/>
      <c r="AM401" s="1591"/>
      <c r="AN401" s="24"/>
      <c r="AO401" s="1587"/>
      <c r="AP401" s="30"/>
    </row>
    <row r="402" spans="1:50">
      <c r="A402" s="24" t="str">
        <f>$A$27</f>
        <v>1Q</v>
      </c>
      <c r="B402" s="29" t="str">
        <f>$B$27</f>
        <v>Apr</v>
      </c>
      <c r="C402" s="24"/>
      <c r="D402" s="1581">
        <f t="shared" ref="D402:D405" si="307">F402+H402</f>
        <v>-4.6180555555555571</v>
      </c>
      <c r="E402" s="30" t="s">
        <v>489</v>
      </c>
      <c r="F402" s="1937">
        <v>-2.5</v>
      </c>
      <c r="G402" s="30" t="s">
        <v>489</v>
      </c>
      <c r="H402" s="1838">
        <f t="shared" ref="H402:H405" si="308">N402*P402/100</f>
        <v>-2.1180555555555576</v>
      </c>
      <c r="I402" s="1839" t="s">
        <v>489</v>
      </c>
      <c r="J402" s="1798">
        <f>'Store New'!BF21</f>
        <v>614</v>
      </c>
      <c r="K402" s="24"/>
      <c r="L402" s="1583">
        <f>AVERAGE(J402,J398)</f>
        <v>617.5</v>
      </c>
      <c r="M402" s="24"/>
      <c r="N402" s="1581">
        <f>(L402/L395-1)*100</f>
        <v>-4.7067901234567948</v>
      </c>
      <c r="O402" s="30" t="s">
        <v>489</v>
      </c>
      <c r="P402" s="1814">
        <v>45</v>
      </c>
      <c r="Q402" s="35" t="s">
        <v>489</v>
      </c>
      <c r="R402" s="24"/>
      <c r="S402" s="1811">
        <f t="shared" ref="S402:S405" si="309">S395*(1+D402/100)</f>
        <v>493.12465277777778</v>
      </c>
      <c r="T402" s="1595">
        <f t="shared" ref="T402:T406" si="310">S402-AQ402</f>
        <v>493.12465277777778</v>
      </c>
      <c r="U402" s="1596"/>
      <c r="V402" s="24">
        <f>T402/L402</f>
        <v>0.79858243364822312</v>
      </c>
      <c r="W402" s="1586">
        <f>S402/L402</f>
        <v>0.79858243364822312</v>
      </c>
      <c r="X402" s="24">
        <f t="shared" ref="X402:Y406" si="311">(V402/V395-1)*100</f>
        <v>9.3117408906873145E-2</v>
      </c>
      <c r="Y402" s="1587">
        <f t="shared" si="311"/>
        <v>9.3117408906873145E-2</v>
      </c>
      <c r="Z402" s="30" t="s">
        <v>489</v>
      </c>
      <c r="AA402" s="24">
        <f>'Store New'!BF38</f>
        <v>5.0440000000000005</v>
      </c>
      <c r="AB402" s="1597"/>
      <c r="AC402" s="1588">
        <f>AVERAGE(AA402,AA398)</f>
        <v>5.072000000000001</v>
      </c>
      <c r="AD402" s="1588"/>
      <c r="AE402" s="24">
        <f t="shared" ref="AE402:AE406" si="312">AC402/AC395-1</f>
        <v>-2.4615384615384484E-2</v>
      </c>
      <c r="AF402" s="1581"/>
      <c r="AG402" s="30" t="s">
        <v>489</v>
      </c>
      <c r="AH402" s="1589">
        <f t="shared" ref="AH402:AH406" si="313">IFERROR(H402/AE402, "NM")</f>
        <v>86.046006944444983</v>
      </c>
      <c r="AI402" s="35" t="s">
        <v>489</v>
      </c>
      <c r="AJ402" s="1590">
        <f>T402</f>
        <v>493.12465277777778</v>
      </c>
      <c r="AK402" s="1590">
        <f>S402</f>
        <v>493.12465277777778</v>
      </c>
      <c r="AL402" s="1586">
        <f t="shared" ref="AL402:AL405" si="314">AJ402/AC402</f>
        <v>97.224892109183301</v>
      </c>
      <c r="AM402" s="1591"/>
      <c r="AN402" s="24"/>
      <c r="AO402" s="1587"/>
      <c r="AP402" s="30" t="s">
        <v>489</v>
      </c>
    </row>
    <row r="403" spans="1:50">
      <c r="A403" s="24" t="str">
        <f>$A$28</f>
        <v>2Q</v>
      </c>
      <c r="B403" s="29" t="str">
        <f>$B$28</f>
        <v>Jul</v>
      </c>
      <c r="C403" s="24"/>
      <c r="D403" s="1581">
        <f t="shared" si="307"/>
        <v>-5.4767441860465098</v>
      </c>
      <c r="E403" s="24"/>
      <c r="F403" s="1937">
        <v>-3</v>
      </c>
      <c r="G403" s="24"/>
      <c r="H403" s="1838">
        <f t="shared" si="308"/>
        <v>-2.4767441860465103</v>
      </c>
      <c r="I403" s="1782"/>
      <c r="J403" s="1798">
        <f>'Store New'!BG21</f>
        <v>605</v>
      </c>
      <c r="K403" s="24"/>
      <c r="L403" s="1583">
        <f>AVERAGE(J403,J402)</f>
        <v>609.5</v>
      </c>
      <c r="M403" s="24"/>
      <c r="N403" s="1581">
        <f>(L403/L396-1)*100</f>
        <v>-5.5038759689922445</v>
      </c>
      <c r="O403" s="30"/>
      <c r="P403" s="1814">
        <v>45</v>
      </c>
      <c r="Q403" s="35"/>
      <c r="R403" s="24"/>
      <c r="S403" s="1812">
        <f t="shared" si="309"/>
        <v>547.28965116279073</v>
      </c>
      <c r="T403" s="1595">
        <f t="shared" si="310"/>
        <v>547.28965116279073</v>
      </c>
      <c r="U403" s="1716"/>
      <c r="V403" s="24">
        <f>T403/L403</f>
        <v>0.89793215941393068</v>
      </c>
      <c r="W403" s="1586">
        <f>S403/L403</f>
        <v>0.89793215941393068</v>
      </c>
      <c r="X403" s="24">
        <f t="shared" si="311"/>
        <v>2.871205906482821E-2</v>
      </c>
      <c r="Y403" s="1587">
        <f t="shared" si="311"/>
        <v>2.871205906482821E-2</v>
      </c>
      <c r="Z403" s="30"/>
      <c r="AA403" s="24">
        <f>'Store New'!BG38</f>
        <v>4.9720000000000004</v>
      </c>
      <c r="AB403" s="1597"/>
      <c r="AC403" s="1588">
        <f>AVERAGE(AA403,AA402)</f>
        <v>5.0080000000000009</v>
      </c>
      <c r="AD403" s="1588"/>
      <c r="AE403" s="24">
        <f t="shared" si="312"/>
        <v>-3.6923076923076836E-2</v>
      </c>
      <c r="AF403" s="1581"/>
      <c r="AG403" s="30"/>
      <c r="AH403" s="1589">
        <f t="shared" si="313"/>
        <v>67.078488372093148</v>
      </c>
      <c r="AI403" s="35"/>
      <c r="AJ403" s="1590">
        <f>T403</f>
        <v>547.28965116279073</v>
      </c>
      <c r="AK403" s="1590">
        <f>S403</f>
        <v>547.28965116279073</v>
      </c>
      <c r="AL403" s="1586">
        <f t="shared" si="314"/>
        <v>109.28307730886395</v>
      </c>
      <c r="AM403" s="1604"/>
      <c r="AN403" s="24"/>
      <c r="AO403" s="1587"/>
      <c r="AP403" s="30"/>
    </row>
    <row r="404" spans="1:50">
      <c r="A404" s="24" t="str">
        <f>$A$29</f>
        <v>3Q</v>
      </c>
      <c r="B404" s="29" t="str">
        <f>$B$29</f>
        <v>Oct</v>
      </c>
      <c r="C404" s="24"/>
      <c r="D404" s="1581">
        <f t="shared" si="307"/>
        <v>-7.3190993788819894</v>
      </c>
      <c r="E404" s="24"/>
      <c r="F404" s="1937">
        <v>-4</v>
      </c>
      <c r="G404" s="24"/>
      <c r="H404" s="1838">
        <f t="shared" si="308"/>
        <v>-3.3190993788819894</v>
      </c>
      <c r="I404" s="1782"/>
      <c r="J404" s="1798">
        <f>'Store New'!BH21</f>
        <v>588</v>
      </c>
      <c r="K404" s="24"/>
      <c r="L404" s="1583">
        <f>AVERAGE(J404,J403)</f>
        <v>596.5</v>
      </c>
      <c r="M404" s="24"/>
      <c r="N404" s="1581">
        <f>(L404/L397-1)*100</f>
        <v>-7.3757763975155317</v>
      </c>
      <c r="O404" s="30"/>
      <c r="P404" s="1814">
        <v>45</v>
      </c>
      <c r="Q404" s="35"/>
      <c r="R404" s="24"/>
      <c r="S404" s="1812">
        <f t="shared" si="309"/>
        <v>516.23261645962737</v>
      </c>
      <c r="T404" s="1595">
        <f t="shared" si="310"/>
        <v>516.23261645962737</v>
      </c>
      <c r="U404" s="1716"/>
      <c r="V404" s="24">
        <f>T404/L404</f>
        <v>0.86543607118126964</v>
      </c>
      <c r="W404" s="1586">
        <f>S404/L404</f>
        <v>0.86543607118126964</v>
      </c>
      <c r="X404" s="24">
        <f t="shared" si="311"/>
        <v>6.1190276613576344E-2</v>
      </c>
      <c r="Y404" s="1587">
        <f t="shared" si="311"/>
        <v>6.1190276613576344E-2</v>
      </c>
      <c r="Z404" s="30"/>
      <c r="AA404" s="24">
        <f>'Store New'!BH38</f>
        <v>4.8360000000000003</v>
      </c>
      <c r="AB404" s="1597"/>
      <c r="AC404" s="1588">
        <f t="shared" ref="AC404:AC405" si="315">AVERAGE(AA404,AA403)</f>
        <v>4.9039999999999999</v>
      </c>
      <c r="AD404" s="1588"/>
      <c r="AE404" s="24">
        <f t="shared" si="312"/>
        <v>-5.6923076923076965E-2</v>
      </c>
      <c r="AF404" s="1581"/>
      <c r="AG404" s="30"/>
      <c r="AH404" s="1589">
        <f t="shared" si="313"/>
        <v>58.308502601980848</v>
      </c>
      <c r="AI404" s="35"/>
      <c r="AJ404" s="1590">
        <f>T404</f>
        <v>516.23261645962737</v>
      </c>
      <c r="AK404" s="1590">
        <f>S404</f>
        <v>516.23261645962737</v>
      </c>
      <c r="AL404" s="1586">
        <f t="shared" si="314"/>
        <v>105.26766241020134</v>
      </c>
      <c r="AM404" s="1604"/>
      <c r="AN404" s="24"/>
      <c r="AO404" s="1587"/>
      <c r="AP404" s="30"/>
    </row>
    <row r="405" spans="1:50">
      <c r="A405" s="24" t="str">
        <f>$A$30</f>
        <v>4Q</v>
      </c>
      <c r="B405" s="29" t="str">
        <f>$B$30</f>
        <v>Jan</v>
      </c>
      <c r="C405" s="24"/>
      <c r="D405" s="1606">
        <f t="shared" si="307"/>
        <v>-10.588932806324109</v>
      </c>
      <c r="E405" s="24"/>
      <c r="F405" s="1936">
        <v>-6</v>
      </c>
      <c r="G405" s="24"/>
      <c r="H405" s="1718">
        <f t="shared" si="308"/>
        <v>-4.5889328063241086</v>
      </c>
      <c r="I405" s="1782"/>
      <c r="J405" s="1798">
        <f>'Store New'!BI21</f>
        <v>548</v>
      </c>
      <c r="K405" s="24"/>
      <c r="L405" s="1608">
        <f>AVERAGE(J405,J404)</f>
        <v>568</v>
      </c>
      <c r="M405" s="24"/>
      <c r="N405" s="1606">
        <f>(L405/L398-1)*100</f>
        <v>-10.19762845849802</v>
      </c>
      <c r="O405" s="30"/>
      <c r="P405" s="1815">
        <v>45</v>
      </c>
      <c r="Q405" s="35"/>
      <c r="R405" s="24"/>
      <c r="S405" s="1717">
        <f t="shared" si="309"/>
        <v>650.01845849802373</v>
      </c>
      <c r="T405" s="1610">
        <f t="shared" si="310"/>
        <v>650.01845849802373</v>
      </c>
      <c r="U405" s="1618"/>
      <c r="V405" s="24">
        <f>T405/L405</f>
        <v>1.1443986945387741</v>
      </c>
      <c r="W405" s="1586">
        <f>S405/L405</f>
        <v>1.1443986945387741</v>
      </c>
      <c r="X405" s="24">
        <f t="shared" si="311"/>
        <v>-0.43573943661973091</v>
      </c>
      <c r="Y405" s="1612">
        <f t="shared" si="311"/>
        <v>-0.43573943661973091</v>
      </c>
      <c r="Z405" s="30"/>
      <c r="AA405" s="24">
        <f>'Store New'!BI38</f>
        <v>4.516</v>
      </c>
      <c r="AB405" s="1597"/>
      <c r="AC405" s="1588">
        <f t="shared" si="315"/>
        <v>4.6760000000000002</v>
      </c>
      <c r="AD405" s="1613"/>
      <c r="AE405" s="24">
        <f t="shared" si="312"/>
        <v>-9.2038834951456372E-2</v>
      </c>
      <c r="AF405" s="1606"/>
      <c r="AG405" s="30"/>
      <c r="AH405" s="1608">
        <f t="shared" si="313"/>
        <v>49.858658127783002</v>
      </c>
      <c r="AI405" s="35"/>
      <c r="AJ405" s="1590">
        <f>T405</f>
        <v>650.01845849802373</v>
      </c>
      <c r="AK405" s="1590">
        <f>S405</f>
        <v>650.01845849802373</v>
      </c>
      <c r="AL405" s="1586">
        <f t="shared" si="314"/>
        <v>139.01164638537719</v>
      </c>
      <c r="AM405" s="1615"/>
      <c r="AN405" s="24"/>
      <c r="AO405" s="1612"/>
      <c r="AP405" s="30"/>
    </row>
    <row r="406" spans="1:50">
      <c r="A406" s="24"/>
      <c r="B406" s="29" t="str">
        <f>$B$31</f>
        <v>Year</v>
      </c>
      <c r="C406" s="24"/>
      <c r="D406" s="1581">
        <f>(T406/T399-1)*100</f>
        <v>-7.2829672731840382</v>
      </c>
      <c r="E406" s="24"/>
      <c r="F406" s="1582">
        <f>F402*T402/$T406+F403*T403/$T406+F404*T404/$T406+F405*T405/$T406</f>
        <v>-4.0059185623663112</v>
      </c>
      <c r="G406" s="24"/>
      <c r="H406" s="1838">
        <f>D406-F406</f>
        <v>-3.2770487108177271</v>
      </c>
      <c r="I406" s="1782"/>
      <c r="J406" s="1798"/>
      <c r="K406" s="24"/>
      <c r="L406" s="1583">
        <f>AVERAGE(L402:L405)</f>
        <v>597.875</v>
      </c>
      <c r="M406" s="24"/>
      <c r="N406" s="1581">
        <f>(L406/L399-1)*100</f>
        <v>-6.9274177855613956</v>
      </c>
      <c r="O406" s="30"/>
      <c r="P406" s="1584">
        <f t="shared" ref="P406" si="316">H406/N406*100</f>
        <v>47.305486867674986</v>
      </c>
      <c r="Q406" s="35"/>
      <c r="R406" s="24"/>
      <c r="S406" s="1618">
        <f>SUM(S402:S405)</f>
        <v>2206.6653788982198</v>
      </c>
      <c r="T406" s="1617">
        <f t="shared" si="310"/>
        <v>2206.6653788982198</v>
      </c>
      <c r="U406" s="1618"/>
      <c r="V406" s="24">
        <f>T406/L406</f>
        <v>3.6908473826438968</v>
      </c>
      <c r="W406" s="1586">
        <f>S406/L406</f>
        <v>3.6908473826438968</v>
      </c>
      <c r="X406" s="24">
        <f t="shared" si="311"/>
        <v>-0.38201313336666542</v>
      </c>
      <c r="Y406" s="1587">
        <f t="shared" si="311"/>
        <v>-0.38201313336666542</v>
      </c>
      <c r="Z406" s="30"/>
      <c r="AA406" s="24"/>
      <c r="AB406" s="24"/>
      <c r="AC406" s="1588">
        <f>AVERAGE(AC402:AC405)</f>
        <v>4.9150000000000009</v>
      </c>
      <c r="AD406" s="1588"/>
      <c r="AE406" s="24">
        <f t="shared" si="312"/>
        <v>-5.2530120481927511E-2</v>
      </c>
      <c r="AF406" s="1581"/>
      <c r="AG406" s="30"/>
      <c r="AH406" s="1589">
        <f t="shared" si="313"/>
        <v>62.38418417382394</v>
      </c>
      <c r="AI406" s="35"/>
      <c r="AJ406" s="1590">
        <f>T406</f>
        <v>2206.6653788982198</v>
      </c>
      <c r="AK406" s="1590">
        <f>S406</f>
        <v>2206.6653788982198</v>
      </c>
      <c r="AL406" s="1586">
        <f>AJ406/AC406</f>
        <v>448.9654890942461</v>
      </c>
      <c r="AM406" s="1591"/>
      <c r="AN406" s="24"/>
      <c r="AO406" s="1587"/>
      <c r="AP406" s="30"/>
    </row>
    <row r="407" spans="1:50" ht="13.5" customHeight="1">
      <c r="B407" s="1786"/>
      <c r="D407" s="1745"/>
      <c r="F407" s="1743"/>
      <c r="H407" s="1745"/>
      <c r="L407" s="1736"/>
      <c r="N407" s="1745"/>
      <c r="O407" s="5"/>
      <c r="P407" s="1736"/>
      <c r="T407" s="1741"/>
      <c r="V407" s="1746"/>
      <c r="X407" s="1737"/>
      <c r="Y407" s="5"/>
      <c r="AA407" s="1785"/>
      <c r="AC407" s="1747"/>
      <c r="AE407" s="1745"/>
      <c r="AF407" s="5"/>
      <c r="AG407" s="1736"/>
      <c r="AJ407" s="1748"/>
      <c r="AL407" s="1749"/>
      <c r="AN407" s="1737"/>
      <c r="AO407" s="5"/>
    </row>
    <row r="409" spans="1:50">
      <c r="A409" s="26" t="s">
        <v>801</v>
      </c>
      <c r="B409" s="1786"/>
      <c r="D409" s="1745"/>
      <c r="F409" s="1743"/>
      <c r="H409" s="1745"/>
      <c r="L409" s="1736"/>
      <c r="N409" s="1745"/>
      <c r="O409" s="5"/>
      <c r="P409" s="1736"/>
      <c r="T409" s="1741"/>
      <c r="V409" s="1746"/>
      <c r="X409" s="1737"/>
      <c r="Y409" s="5"/>
      <c r="AA409" s="1785"/>
      <c r="AC409" s="1747"/>
      <c r="AE409" s="1745"/>
      <c r="AF409" s="5"/>
      <c r="AG409" s="1736"/>
      <c r="AJ409" s="1748"/>
      <c r="AL409" s="1749"/>
      <c r="AN409" s="1737"/>
      <c r="AO409" s="5"/>
      <c r="AQ409" s="1742"/>
      <c r="AR409" s="1742"/>
      <c r="AS409" s="1742"/>
      <c r="AU409" s="1730"/>
      <c r="AV409" s="1744"/>
      <c r="AW409" s="1742"/>
      <c r="AX409" s="1735"/>
    </row>
    <row r="410" spans="1:50" s="1788" customFormat="1">
      <c r="A410" s="1939" t="s">
        <v>800</v>
      </c>
      <c r="B410" s="1787"/>
      <c r="D410" s="1789"/>
      <c r="F410" s="1790"/>
      <c r="H410" s="1789"/>
      <c r="J410" s="1739"/>
      <c r="L410" s="1791"/>
      <c r="N410" s="1789"/>
      <c r="O410" s="1792"/>
      <c r="P410" s="1791"/>
      <c r="T410" s="1740"/>
      <c r="V410" s="1793"/>
      <c r="X410" s="1790"/>
      <c r="Y410" s="1792"/>
      <c r="AC410" s="1794"/>
      <c r="AE410" s="1789"/>
      <c r="AF410" s="1792"/>
      <c r="AG410" s="1791"/>
      <c r="AJ410" s="1740"/>
      <c r="AL410" s="1795"/>
      <c r="AN410" s="1790"/>
      <c r="AO410" s="1792"/>
      <c r="AQ410" s="1740"/>
      <c r="AR410" s="1796"/>
    </row>
    <row r="412" spans="1:50" hidden="1" outlineLevel="1">
      <c r="A412" s="1579"/>
      <c r="B412" s="1908">
        <v>1996</v>
      </c>
      <c r="C412" s="24"/>
      <c r="D412" s="24"/>
      <c r="E412" s="24"/>
      <c r="F412" s="24"/>
      <c r="G412" s="24"/>
      <c r="H412" s="24"/>
      <c r="I412" s="30"/>
      <c r="J412" s="1782"/>
      <c r="K412" s="24"/>
      <c r="L412" s="24"/>
      <c r="M412" s="24"/>
      <c r="N412" s="24"/>
      <c r="O412" s="30"/>
      <c r="P412" s="35"/>
      <c r="Q412" s="35"/>
      <c r="R412" s="24"/>
      <c r="S412" s="24"/>
      <c r="T412" s="24"/>
      <c r="U412" s="24"/>
      <c r="V412" s="24"/>
      <c r="W412" s="24"/>
      <c r="X412" s="24"/>
      <c r="Y412" s="24"/>
      <c r="Z412" s="30"/>
      <c r="AA412" s="24"/>
      <c r="AB412" s="1913"/>
      <c r="AC412" s="24"/>
      <c r="AD412" s="24"/>
      <c r="AE412" s="24"/>
      <c r="AF412" s="24"/>
      <c r="AG412" s="30"/>
      <c r="AH412" s="35"/>
      <c r="AI412" s="35"/>
      <c r="AJ412" s="24"/>
      <c r="AK412" s="24"/>
      <c r="AL412" s="24"/>
      <c r="AM412" s="24"/>
      <c r="AN412" s="24"/>
      <c r="AO412" s="24"/>
      <c r="AP412" s="30"/>
      <c r="AQ412" s="1738"/>
      <c r="AR412" s="798"/>
      <c r="AS412" s="1"/>
    </row>
    <row r="413" spans="1:50" hidden="1" outlineLevel="1">
      <c r="A413" s="24" t="str">
        <f>$A$27</f>
        <v>1Q</v>
      </c>
      <c r="B413" s="29" t="str">
        <f>$B$27</f>
        <v>Apr</v>
      </c>
      <c r="C413" s="24"/>
      <c r="D413" s="1581"/>
      <c r="E413" s="24" t="s">
        <v>489</v>
      </c>
      <c r="F413" s="1910"/>
      <c r="G413" s="24" t="s">
        <v>489</v>
      </c>
      <c r="H413" s="1581"/>
      <c r="I413" s="30" t="s">
        <v>489</v>
      </c>
      <c r="J413" s="1816">
        <v>911</v>
      </c>
      <c r="K413" s="24"/>
      <c r="L413" s="1583">
        <f>AVERAGE(J413,J409)</f>
        <v>911</v>
      </c>
      <c r="M413" s="24"/>
      <c r="N413" s="1581"/>
      <c r="O413" s="30" t="s">
        <v>489</v>
      </c>
      <c r="P413" s="1589"/>
      <c r="Q413" s="35" t="s">
        <v>489</v>
      </c>
      <c r="R413" s="24"/>
      <c r="S413" s="1590"/>
      <c r="T413" s="1590"/>
      <c r="U413" s="1590"/>
      <c r="V413" s="24"/>
      <c r="W413" s="1586"/>
      <c r="X413" s="24"/>
      <c r="Y413" s="1910"/>
      <c r="Z413" s="30" t="s">
        <v>489</v>
      </c>
      <c r="AA413" s="1816">
        <v>6</v>
      </c>
      <c r="AB413" s="1911"/>
      <c r="AC413" s="24"/>
      <c r="AD413" s="1588"/>
      <c r="AE413" s="24"/>
      <c r="AF413" s="1581"/>
      <c r="AG413" s="30" t="s">
        <v>489</v>
      </c>
      <c r="AH413" s="1589"/>
      <c r="AI413" s="35" t="s">
        <v>489</v>
      </c>
      <c r="AJ413" s="24"/>
      <c r="AK413" s="1590"/>
      <c r="AL413" s="24"/>
      <c r="AM413" s="1591"/>
      <c r="AN413" s="24"/>
      <c r="AO413" s="1581"/>
      <c r="AP413" s="30" t="s">
        <v>489</v>
      </c>
      <c r="AQ413" s="1742"/>
      <c r="AR413" s="1742"/>
      <c r="AS413" s="1742"/>
      <c r="AU413" s="1730"/>
      <c r="AV413" s="1744"/>
      <c r="AW413" s="1742"/>
      <c r="AX413" s="1735"/>
    </row>
    <row r="414" spans="1:50" hidden="1" outlineLevel="1">
      <c r="A414" s="24" t="str">
        <f>$A$28</f>
        <v>2Q</v>
      </c>
      <c r="B414" s="29" t="str">
        <f>$B$28</f>
        <v>Jul</v>
      </c>
      <c r="C414" s="24"/>
      <c r="D414" s="1581"/>
      <c r="E414" s="24"/>
      <c r="F414" s="1910"/>
      <c r="G414" s="24"/>
      <c r="H414" s="1581"/>
      <c r="I414" s="30"/>
      <c r="J414" s="1816">
        <v>920</v>
      </c>
      <c r="K414" s="24"/>
      <c r="L414" s="1583">
        <f>AVERAGE(J414,J413)</f>
        <v>915.5</v>
      </c>
      <c r="M414" s="24"/>
      <c r="N414" s="1581"/>
      <c r="O414" s="30"/>
      <c r="P414" s="1589"/>
      <c r="Q414" s="35"/>
      <c r="R414" s="24"/>
      <c r="S414" s="1603"/>
      <c r="T414" s="1603"/>
      <c r="U414" s="1603"/>
      <c r="V414" s="24"/>
      <c r="W414" s="1602"/>
      <c r="X414" s="24"/>
      <c r="Y414" s="1910"/>
      <c r="Z414" s="30"/>
      <c r="AA414" s="1816">
        <v>6.0880000000000001</v>
      </c>
      <c r="AB414" s="1911"/>
      <c r="AC414" s="1588">
        <f>AVERAGE(AA414,AA413)</f>
        <v>6.0440000000000005</v>
      </c>
      <c r="AD414" s="1588"/>
      <c r="AE414" s="24"/>
      <c r="AF414" s="1581"/>
      <c r="AG414" s="30"/>
      <c r="AH414" s="1589"/>
      <c r="AI414" s="35"/>
      <c r="AJ414" s="24"/>
      <c r="AK414" s="1603"/>
      <c r="AL414" s="24"/>
      <c r="AM414" s="1604"/>
      <c r="AN414" s="24"/>
      <c r="AO414" s="1581"/>
      <c r="AP414" s="30"/>
      <c r="AQ414" s="1742"/>
      <c r="AR414" s="1742"/>
      <c r="AS414" s="1742"/>
      <c r="AU414" s="1730"/>
      <c r="AV414" s="1744"/>
      <c r="AW414" s="1742"/>
      <c r="AX414" s="1735"/>
    </row>
    <row r="415" spans="1:50" hidden="1" outlineLevel="1">
      <c r="A415" s="24" t="str">
        <f>$A$29</f>
        <v>3Q</v>
      </c>
      <c r="B415" s="29" t="str">
        <f>$B$29</f>
        <v>Oct</v>
      </c>
      <c r="C415" s="24"/>
      <c r="D415" s="1581"/>
      <c r="E415" s="24"/>
      <c r="F415" s="1910"/>
      <c r="G415" s="24"/>
      <c r="H415" s="1581"/>
      <c r="I415" s="30"/>
      <c r="J415" s="1816">
        <v>935</v>
      </c>
      <c r="K415" s="24"/>
      <c r="L415" s="1583">
        <f>AVERAGE(J415,J414)</f>
        <v>927.5</v>
      </c>
      <c r="M415" s="24"/>
      <c r="N415" s="1581"/>
      <c r="O415" s="30"/>
      <c r="P415" s="1589"/>
      <c r="Q415" s="35"/>
      <c r="R415" s="24"/>
      <c r="S415" s="1603"/>
      <c r="T415" s="1603"/>
      <c r="U415" s="1603"/>
      <c r="V415" s="24"/>
      <c r="W415" s="1602"/>
      <c r="X415" s="24"/>
      <c r="Y415" s="1910"/>
      <c r="Z415" s="30"/>
      <c r="AA415" s="1816">
        <v>6.2089999999999996</v>
      </c>
      <c r="AB415" s="1911"/>
      <c r="AC415" s="1588">
        <f t="shared" ref="AC415:AC416" si="317">AVERAGE(AA415,AA414)</f>
        <v>6.1485000000000003</v>
      </c>
      <c r="AD415" s="1588"/>
      <c r="AE415" s="24"/>
      <c r="AF415" s="1581"/>
      <c r="AG415" s="30"/>
      <c r="AH415" s="1589"/>
      <c r="AI415" s="35"/>
      <c r="AJ415" s="24"/>
      <c r="AK415" s="1603"/>
      <c r="AL415" s="24"/>
      <c r="AM415" s="1604"/>
      <c r="AN415" s="24"/>
      <c r="AO415" s="1581"/>
      <c r="AP415" s="30"/>
      <c r="AQ415" s="1742"/>
      <c r="AR415" s="1742"/>
      <c r="AS415" s="1742"/>
      <c r="AU415" s="1730"/>
      <c r="AV415" s="1744"/>
      <c r="AW415" s="1742"/>
      <c r="AX415" s="1735"/>
    </row>
    <row r="416" spans="1:50" hidden="1" outlineLevel="1">
      <c r="A416" s="24" t="str">
        <f>$A$30</f>
        <v>4Q</v>
      </c>
      <c r="B416" s="29" t="str">
        <f>$B$30</f>
        <v>Jan</v>
      </c>
      <c r="C416" s="24"/>
      <c r="D416" s="1606"/>
      <c r="E416" s="24"/>
      <c r="F416" s="1612"/>
      <c r="G416" s="24"/>
      <c r="H416" s="1606"/>
      <c r="I416" s="30"/>
      <c r="J416" s="1816">
        <v>938</v>
      </c>
      <c r="K416" s="24"/>
      <c r="L416" s="1608">
        <f>AVERAGE(J416,J415)</f>
        <v>936.5</v>
      </c>
      <c r="M416" s="24"/>
      <c r="N416" s="1606"/>
      <c r="O416" s="30"/>
      <c r="P416" s="1608"/>
      <c r="Q416" s="35"/>
      <c r="R416" s="24"/>
      <c r="S416" s="1614"/>
      <c r="T416" s="1614"/>
      <c r="U416" s="38"/>
      <c r="V416" s="24"/>
      <c r="W416" s="1611"/>
      <c r="X416" s="24"/>
      <c r="Y416" s="1612"/>
      <c r="Z416" s="30"/>
      <c r="AA416" s="1816">
        <v>6.2409999999999997</v>
      </c>
      <c r="AB416" s="1597"/>
      <c r="AC416" s="1588">
        <f t="shared" si="317"/>
        <v>6.2249999999999996</v>
      </c>
      <c r="AD416" s="1613"/>
      <c r="AE416" s="24"/>
      <c r="AF416" s="1606"/>
      <c r="AG416" s="30"/>
      <c r="AH416" s="1608"/>
      <c r="AI416" s="35"/>
      <c r="AJ416" s="24"/>
      <c r="AK416" s="1614"/>
      <c r="AL416" s="24"/>
      <c r="AM416" s="1615"/>
      <c r="AN416" s="24"/>
      <c r="AO416" s="1606"/>
      <c r="AP416" s="30"/>
      <c r="AQ416" s="1742"/>
      <c r="AR416" s="1742"/>
      <c r="AS416" s="1742"/>
      <c r="AU416" s="1730"/>
      <c r="AV416" s="1744"/>
      <c r="AW416" s="1742"/>
      <c r="AX416" s="1735"/>
    </row>
    <row r="417" spans="1:50" hidden="1" outlineLevel="1">
      <c r="A417" s="24"/>
      <c r="B417" s="29" t="str">
        <f>$B$31</f>
        <v>Year</v>
      </c>
      <c r="C417" s="24"/>
      <c r="D417" s="1581" t="e">
        <f>(S417/S410-1)*100</f>
        <v>#DIV/0!</v>
      </c>
      <c r="E417" s="24"/>
      <c r="F417" s="1910"/>
      <c r="G417" s="24"/>
      <c r="H417" s="1581"/>
      <c r="I417" s="30"/>
      <c r="J417" s="1816"/>
      <c r="K417" s="24"/>
      <c r="L417" s="1583">
        <f>AVERAGE(L413:L416)</f>
        <v>922.625</v>
      </c>
      <c r="M417" s="24"/>
      <c r="N417" s="1581"/>
      <c r="O417" s="30"/>
      <c r="P417" s="1589"/>
      <c r="Q417" s="35"/>
      <c r="R417" s="24"/>
      <c r="S417" s="1949">
        <v>3224</v>
      </c>
      <c r="T417" s="1590">
        <f t="shared" ref="T417" si="318">S417-AQ417</f>
        <v>3224</v>
      </c>
      <c r="U417" s="1590"/>
      <c r="V417" s="24">
        <f>T417/L417</f>
        <v>3.4943774556293183</v>
      </c>
      <c r="W417" s="1586">
        <f>S417/L417</f>
        <v>3.4943774556293183</v>
      </c>
      <c r="X417" s="24"/>
      <c r="Y417" s="1581" t="e">
        <f>(W417/W410-1)*100</f>
        <v>#DIV/0!</v>
      </c>
      <c r="Z417" s="30"/>
      <c r="AA417" s="1816"/>
      <c r="AB417" s="1913"/>
      <c r="AC417" s="1588">
        <f>AVERAGE(AC413:AC416)</f>
        <v>6.1391666666666671</v>
      </c>
      <c r="AD417" s="1588"/>
      <c r="AE417" s="24"/>
      <c r="AF417" s="1581"/>
      <c r="AG417" s="30"/>
      <c r="AH417" s="1589"/>
      <c r="AI417" s="35"/>
      <c r="AJ417" s="1590">
        <f>T417</f>
        <v>3224</v>
      </c>
      <c r="AK417" s="1590">
        <f>S417</f>
        <v>3224</v>
      </c>
      <c r="AL417" s="1586">
        <f>AJ417/AC417</f>
        <v>525.15270802226144</v>
      </c>
      <c r="AM417" s="1591"/>
      <c r="AN417" s="24"/>
      <c r="AO417" s="1581"/>
      <c r="AP417" s="30"/>
      <c r="AQ417" s="1738"/>
      <c r="AR417" s="798"/>
      <c r="AS417" s="1"/>
    </row>
    <row r="418" spans="1:50" hidden="1" outlineLevel="1">
      <c r="A418" s="24"/>
      <c r="B418" s="29"/>
      <c r="C418" s="24"/>
      <c r="D418" s="24"/>
      <c r="E418" s="24"/>
      <c r="F418" s="24"/>
      <c r="G418" s="24"/>
      <c r="H418" s="24"/>
      <c r="I418" s="30"/>
      <c r="J418" s="1816"/>
      <c r="K418" s="24"/>
      <c r="L418" s="24"/>
      <c r="M418" s="24"/>
      <c r="N418" s="24"/>
      <c r="O418" s="30"/>
      <c r="P418" s="35"/>
      <c r="Q418" s="35"/>
      <c r="R418" s="24"/>
      <c r="S418" s="1816"/>
      <c r="T418" s="24"/>
      <c r="U418" s="24"/>
      <c r="V418" s="24"/>
      <c r="W418" s="24"/>
      <c r="X418" s="24"/>
      <c r="Y418" s="24"/>
      <c r="Z418" s="30"/>
      <c r="AA418" s="1816"/>
      <c r="AB418" s="1913"/>
      <c r="AC418" s="24"/>
      <c r="AD418" s="24"/>
      <c r="AE418" s="24"/>
      <c r="AF418" s="24"/>
      <c r="AG418" s="30"/>
      <c r="AH418" s="35"/>
      <c r="AI418" s="35"/>
      <c r="AJ418" s="24"/>
      <c r="AK418" s="24"/>
      <c r="AL418" s="24"/>
      <c r="AM418" s="24"/>
      <c r="AN418" s="24"/>
      <c r="AO418" s="24"/>
      <c r="AP418" s="30"/>
      <c r="AQ418" s="1738"/>
      <c r="AR418" s="798"/>
      <c r="AS418" s="1"/>
    </row>
    <row r="419" spans="1:50" hidden="1" outlineLevel="1">
      <c r="A419" s="1579"/>
      <c r="B419" s="1908">
        <f>B412+1</f>
        <v>1997</v>
      </c>
      <c r="C419" s="24"/>
      <c r="D419" s="24"/>
      <c r="E419" s="24"/>
      <c r="F419" s="24"/>
      <c r="G419" s="24"/>
      <c r="H419" s="24"/>
      <c r="I419" s="30"/>
      <c r="J419" s="1816"/>
      <c r="K419" s="24"/>
      <c r="L419" s="24"/>
      <c r="M419" s="24"/>
      <c r="N419" s="24"/>
      <c r="O419" s="30"/>
      <c r="P419" s="35"/>
      <c r="Q419" s="35"/>
      <c r="R419" s="24"/>
      <c r="S419" s="1816"/>
      <c r="T419" s="24"/>
      <c r="U419" s="24"/>
      <c r="V419" s="24"/>
      <c r="W419" s="24"/>
      <c r="X419" s="24"/>
      <c r="Y419" s="24"/>
      <c r="Z419" s="30"/>
      <c r="AA419" s="1816"/>
      <c r="AB419" s="1913"/>
      <c r="AC419" s="24"/>
      <c r="AD419" s="24"/>
      <c r="AE419" s="24"/>
      <c r="AF419" s="24"/>
      <c r="AG419" s="30"/>
      <c r="AH419" s="35"/>
      <c r="AI419" s="35"/>
      <c r="AJ419" s="24"/>
      <c r="AK419" s="24"/>
      <c r="AL419" s="24"/>
      <c r="AM419" s="24"/>
      <c r="AN419" s="24"/>
      <c r="AO419" s="24"/>
      <c r="AP419" s="30"/>
      <c r="AQ419" s="1738"/>
      <c r="AR419" s="798"/>
      <c r="AS419" s="1"/>
    </row>
    <row r="420" spans="1:50" hidden="1" outlineLevel="1">
      <c r="A420" s="24" t="str">
        <f>$A$27</f>
        <v>1Q</v>
      </c>
      <c r="B420" s="29" t="str">
        <f>$B$27</f>
        <v>Apr</v>
      </c>
      <c r="C420" s="24"/>
      <c r="D420" s="1581"/>
      <c r="E420" s="24" t="s">
        <v>489</v>
      </c>
      <c r="F420" s="1910"/>
      <c r="G420" s="24" t="s">
        <v>489</v>
      </c>
      <c r="H420" s="1581"/>
      <c r="I420" s="30" t="s">
        <v>489</v>
      </c>
      <c r="J420" s="1816">
        <v>956</v>
      </c>
      <c r="K420" s="24"/>
      <c r="L420" s="24">
        <f>AVERAGE(J420,J416)</f>
        <v>947</v>
      </c>
      <c r="M420" s="24"/>
      <c r="N420" s="1581">
        <f>(L420/L413-1)*100</f>
        <v>3.9517014270032957</v>
      </c>
      <c r="O420" s="30" t="s">
        <v>489</v>
      </c>
      <c r="P420" s="1589"/>
      <c r="Q420" s="35" t="s">
        <v>489</v>
      </c>
      <c r="R420" s="24"/>
      <c r="S420" s="1949"/>
      <c r="T420" s="1590"/>
      <c r="U420" s="1590"/>
      <c r="V420" s="24"/>
      <c r="W420" s="1586"/>
      <c r="X420" s="24"/>
      <c r="Y420" s="1910"/>
      <c r="Z420" s="30" t="s">
        <v>489</v>
      </c>
      <c r="AA420" s="1816">
        <v>6.3780000000000001</v>
      </c>
      <c r="AB420" s="1911"/>
      <c r="AC420" s="1588">
        <f>AVERAGE(AA420,AA416)</f>
        <v>6.3094999999999999</v>
      </c>
      <c r="AD420" s="1588"/>
      <c r="AE420" s="24"/>
      <c r="AF420" s="1581"/>
      <c r="AG420" s="30" t="s">
        <v>489</v>
      </c>
      <c r="AH420" s="1589"/>
      <c r="AI420" s="35" t="s">
        <v>489</v>
      </c>
      <c r="AJ420" s="24"/>
      <c r="AK420" s="1590"/>
      <c r="AL420" s="24"/>
      <c r="AM420" s="1591"/>
      <c r="AN420" s="24"/>
      <c r="AO420" s="1581"/>
      <c r="AP420" s="30" t="s">
        <v>489</v>
      </c>
      <c r="AQ420" s="1742"/>
      <c r="AR420" s="1742"/>
      <c r="AS420" s="1742"/>
      <c r="AU420" s="1730"/>
      <c r="AV420" s="1744"/>
      <c r="AW420" s="1742"/>
      <c r="AX420" s="1735"/>
    </row>
    <row r="421" spans="1:50" hidden="1" outlineLevel="1">
      <c r="A421" s="24" t="str">
        <f>$A$28</f>
        <v>2Q</v>
      </c>
      <c r="B421" s="29" t="str">
        <f>$B$28</f>
        <v>Jul</v>
      </c>
      <c r="C421" s="24"/>
      <c r="D421" s="1581"/>
      <c r="E421" s="24"/>
      <c r="F421" s="1910"/>
      <c r="G421" s="24"/>
      <c r="H421" s="1581"/>
      <c r="I421" s="30"/>
      <c r="J421" s="1816">
        <v>983</v>
      </c>
      <c r="K421" s="24"/>
      <c r="L421" s="24">
        <f>AVERAGE(J421,J420)</f>
        <v>969.5</v>
      </c>
      <c r="M421" s="24"/>
      <c r="N421" s="1581">
        <f>(L421/L414-1)*100</f>
        <v>5.8984161660294854</v>
      </c>
      <c r="O421" s="30"/>
      <c r="P421" s="1589"/>
      <c r="Q421" s="35"/>
      <c r="R421" s="24"/>
      <c r="S421" s="1950"/>
      <c r="T421" s="1603"/>
      <c r="U421" s="1603"/>
      <c r="V421" s="24"/>
      <c r="W421" s="1602"/>
      <c r="X421" s="24"/>
      <c r="Y421" s="1910"/>
      <c r="Z421" s="30"/>
      <c r="AA421" s="1816">
        <v>6.6310000000000002</v>
      </c>
      <c r="AB421" s="1911"/>
      <c r="AC421" s="1588">
        <f>AVERAGE(AA421,AA420)</f>
        <v>6.5045000000000002</v>
      </c>
      <c r="AD421" s="1588"/>
      <c r="AE421" s="24">
        <f t="shared" ref="AE421:AE424" si="319">AC421/AC414-1</f>
        <v>7.6191264063534048E-2</v>
      </c>
      <c r="AF421" s="1581"/>
      <c r="AG421" s="30"/>
      <c r="AH421" s="1589"/>
      <c r="AI421" s="35"/>
      <c r="AJ421" s="24"/>
      <c r="AK421" s="1603"/>
      <c r="AL421" s="24"/>
      <c r="AM421" s="1604"/>
      <c r="AN421" s="24"/>
      <c r="AO421" s="1581"/>
      <c r="AP421" s="30"/>
      <c r="AQ421" s="1742"/>
      <c r="AR421" s="1742"/>
      <c r="AS421" s="1742"/>
      <c r="AU421" s="1730"/>
      <c r="AV421" s="1744"/>
      <c r="AW421" s="1742"/>
      <c r="AX421" s="1735"/>
    </row>
    <row r="422" spans="1:50" hidden="1" outlineLevel="1">
      <c r="A422" s="24" t="str">
        <f>$A$29</f>
        <v>3Q</v>
      </c>
      <c r="B422" s="29" t="str">
        <f>$B$29</f>
        <v>Oct</v>
      </c>
      <c r="C422" s="24"/>
      <c r="D422" s="1581"/>
      <c r="E422" s="24"/>
      <c r="F422" s="1910"/>
      <c r="G422" s="24"/>
      <c r="H422" s="1581"/>
      <c r="I422" s="30"/>
      <c r="J422" s="1816">
        <v>1006</v>
      </c>
      <c r="K422" s="24"/>
      <c r="L422" s="1583">
        <f>AVERAGE(J422,J421)</f>
        <v>994.5</v>
      </c>
      <c r="M422" s="24"/>
      <c r="N422" s="1581">
        <f>(L422/L415-1)*100</f>
        <v>7.2237196765498668</v>
      </c>
      <c r="O422" s="30"/>
      <c r="P422" s="1589"/>
      <c r="Q422" s="35"/>
      <c r="R422" s="24"/>
      <c r="S422" s="1950"/>
      <c r="T422" s="1603"/>
      <c r="U422" s="1603"/>
      <c r="V422" s="24"/>
      <c r="W422" s="1602"/>
      <c r="X422" s="24"/>
      <c r="Y422" s="1910"/>
      <c r="Z422" s="30"/>
      <c r="AA422" s="1816">
        <v>6.8019999999999996</v>
      </c>
      <c r="AB422" s="1911"/>
      <c r="AC422" s="1588">
        <f t="shared" ref="AC422:AC423" si="320">AVERAGE(AA422,AA421)</f>
        <v>6.7164999999999999</v>
      </c>
      <c r="AD422" s="1588"/>
      <c r="AE422" s="24">
        <f t="shared" si="319"/>
        <v>9.2380255346832474E-2</v>
      </c>
      <c r="AF422" s="1581"/>
      <c r="AG422" s="30"/>
      <c r="AH422" s="1589"/>
      <c r="AI422" s="35"/>
      <c r="AJ422" s="24"/>
      <c r="AK422" s="1603"/>
      <c r="AL422" s="24"/>
      <c r="AM422" s="1604"/>
      <c r="AN422" s="24"/>
      <c r="AO422" s="1581"/>
      <c r="AP422" s="30"/>
      <c r="AQ422" s="1742"/>
      <c r="AR422" s="1742"/>
      <c r="AS422" s="1742"/>
      <c r="AU422" s="1730"/>
      <c r="AV422" s="1744"/>
      <c r="AW422" s="1742"/>
      <c r="AX422" s="1735"/>
    </row>
    <row r="423" spans="1:50" hidden="1" outlineLevel="1">
      <c r="A423" s="24" t="str">
        <f>$A$30</f>
        <v>4Q</v>
      </c>
      <c r="B423" s="29" t="str">
        <f>$B$30</f>
        <v>Jan</v>
      </c>
      <c r="C423" s="24"/>
      <c r="D423" s="1606"/>
      <c r="E423" s="24"/>
      <c r="F423" s="1612"/>
      <c r="G423" s="24"/>
      <c r="H423" s="1606"/>
      <c r="I423" s="30"/>
      <c r="J423" s="1816">
        <v>1018</v>
      </c>
      <c r="K423" s="24"/>
      <c r="L423" s="1762">
        <f>AVERAGE(J423,J422)</f>
        <v>1012</v>
      </c>
      <c r="M423" s="24"/>
      <c r="N423" s="1606">
        <f>(L423/L416-1)*100</f>
        <v>8.0619327282434696</v>
      </c>
      <c r="O423" s="30"/>
      <c r="P423" s="1608"/>
      <c r="Q423" s="35"/>
      <c r="R423" s="24"/>
      <c r="S423" s="1951"/>
      <c r="T423" s="1614"/>
      <c r="U423" s="38"/>
      <c r="V423" s="24"/>
      <c r="W423" s="1611"/>
      <c r="X423" s="24"/>
      <c r="Y423" s="1612"/>
      <c r="Z423" s="30"/>
      <c r="AA423" s="1816">
        <v>6.9349999999999996</v>
      </c>
      <c r="AB423" s="1597"/>
      <c r="AC423" s="1588">
        <f t="shared" si="320"/>
        <v>6.8684999999999992</v>
      </c>
      <c r="AD423" s="1613"/>
      <c r="AE423" s="24">
        <f t="shared" si="319"/>
        <v>0.10337349397590345</v>
      </c>
      <c r="AF423" s="1606"/>
      <c r="AG423" s="30"/>
      <c r="AH423" s="1608"/>
      <c r="AI423" s="35"/>
      <c r="AJ423" s="24"/>
      <c r="AK423" s="1614"/>
      <c r="AL423" s="24"/>
      <c r="AM423" s="1615"/>
      <c r="AN423" s="24"/>
      <c r="AO423" s="1606"/>
      <c r="AP423" s="30"/>
      <c r="AQ423" s="1742"/>
      <c r="AR423" s="1742"/>
      <c r="AS423" s="1742"/>
      <c r="AU423" s="1730"/>
      <c r="AV423" s="1744"/>
      <c r="AW423" s="1742"/>
      <c r="AX423" s="1735"/>
    </row>
    <row r="424" spans="1:50" hidden="1" outlineLevel="1">
      <c r="A424" s="24"/>
      <c r="B424" s="29" t="str">
        <f>$B$31</f>
        <v>Year</v>
      </c>
      <c r="C424" s="24"/>
      <c r="D424" s="1581">
        <f>(S424/S417-1)*100</f>
        <v>15.074441687344908</v>
      </c>
      <c r="E424" s="24"/>
      <c r="F424" s="1910"/>
      <c r="G424" s="24"/>
      <c r="H424" s="1581"/>
      <c r="I424" s="30"/>
      <c r="J424" s="1816"/>
      <c r="K424" s="24"/>
      <c r="L424" s="1583">
        <f>AVERAGE(L420:L423)</f>
        <v>980.75</v>
      </c>
      <c r="M424" s="24"/>
      <c r="N424" s="1581">
        <f>(L424/L417-1)*100</f>
        <v>6.2999593551009259</v>
      </c>
      <c r="O424" s="30"/>
      <c r="P424" s="1589"/>
      <c r="Q424" s="35"/>
      <c r="R424" s="24"/>
      <c r="S424" s="1949">
        <v>3710</v>
      </c>
      <c r="T424" s="1590">
        <f t="shared" ref="T424" si="321">S424-AQ424</f>
        <v>3710</v>
      </c>
      <c r="U424" s="1590"/>
      <c r="V424" s="24">
        <f>T424/L424</f>
        <v>3.7828192709660975</v>
      </c>
      <c r="W424" s="1586">
        <f>S424/L424</f>
        <v>3.7828192709660975</v>
      </c>
      <c r="X424" s="24"/>
      <c r="Y424" s="1587">
        <f>(W424/W417-1)*100</f>
        <v>8.2544550209396874</v>
      </c>
      <c r="Z424" s="30"/>
      <c r="AA424" s="1816"/>
      <c r="AB424" s="1913"/>
      <c r="AC424" s="1588">
        <f>AVERAGE(AC420:AC423)</f>
        <v>6.5997500000000002</v>
      </c>
      <c r="AD424" s="1588"/>
      <c r="AE424" s="24">
        <f t="shared" si="319"/>
        <v>7.5023754581240665E-2</v>
      </c>
      <c r="AF424" s="1581"/>
      <c r="AG424" s="30"/>
      <c r="AH424" s="1589"/>
      <c r="AI424" s="35"/>
      <c r="AJ424" s="1590">
        <f>T424</f>
        <v>3710</v>
      </c>
      <c r="AK424" s="1590">
        <f>S424</f>
        <v>3710</v>
      </c>
      <c r="AL424" s="1586">
        <f>AJ424/AC424</f>
        <v>562.1425053979317</v>
      </c>
      <c r="AM424" s="1591"/>
      <c r="AN424" s="24"/>
      <c r="AO424" s="1581"/>
      <c r="AP424" s="30"/>
      <c r="AQ424" s="1738"/>
      <c r="AR424" s="798"/>
      <c r="AS424" s="1"/>
    </row>
    <row r="425" spans="1:50" hidden="1" outlineLevel="1">
      <c r="A425" s="24"/>
      <c r="B425" s="29"/>
      <c r="C425" s="24"/>
      <c r="D425" s="24"/>
      <c r="E425" s="24"/>
      <c r="F425" s="24"/>
      <c r="G425" s="24"/>
      <c r="H425" s="24"/>
      <c r="I425" s="30"/>
      <c r="J425" s="1816"/>
      <c r="K425" s="24"/>
      <c r="L425" s="24"/>
      <c r="M425" s="24"/>
      <c r="N425" s="24"/>
      <c r="O425" s="30"/>
      <c r="P425" s="35"/>
      <c r="Q425" s="35"/>
      <c r="R425" s="24"/>
      <c r="S425" s="1816"/>
      <c r="T425" s="24"/>
      <c r="U425" s="24"/>
      <c r="V425" s="24"/>
      <c r="W425" s="24"/>
      <c r="X425" s="24"/>
      <c r="Y425" s="24"/>
      <c r="Z425" s="30"/>
      <c r="AA425" s="1816"/>
      <c r="AB425" s="1913"/>
      <c r="AC425" s="24"/>
      <c r="AD425" s="24"/>
      <c r="AE425" s="24"/>
      <c r="AF425" s="24"/>
      <c r="AG425" s="30"/>
      <c r="AH425" s="35"/>
      <c r="AI425" s="35"/>
      <c r="AJ425" s="24"/>
      <c r="AK425" s="24"/>
      <c r="AL425" s="24"/>
      <c r="AM425" s="24"/>
      <c r="AN425" s="24"/>
      <c r="AO425" s="24"/>
      <c r="AP425" s="30"/>
      <c r="AQ425" s="1738"/>
      <c r="AR425" s="798"/>
      <c r="AS425" s="1"/>
    </row>
    <row r="426" spans="1:50" hidden="1" outlineLevel="1">
      <c r="A426" s="1579"/>
      <c r="B426" s="1908">
        <f>B419+1</f>
        <v>1998</v>
      </c>
      <c r="C426" s="24"/>
      <c r="D426" s="24"/>
      <c r="E426" s="24"/>
      <c r="F426" s="24"/>
      <c r="G426" s="24"/>
      <c r="H426" s="24"/>
      <c r="I426" s="30"/>
      <c r="J426" s="1816"/>
      <c r="K426" s="24"/>
      <c r="L426" s="24"/>
      <c r="M426" s="24"/>
      <c r="N426" s="24"/>
      <c r="O426" s="30"/>
      <c r="P426" s="35"/>
      <c r="Q426" s="35"/>
      <c r="R426" s="24"/>
      <c r="S426" s="1816"/>
      <c r="T426" s="24"/>
      <c r="U426" s="24"/>
      <c r="V426" s="24"/>
      <c r="W426" s="24"/>
      <c r="X426" s="24"/>
      <c r="Y426" s="24"/>
      <c r="Z426" s="30"/>
      <c r="AA426" s="1816"/>
      <c r="AB426" s="1913"/>
      <c r="AC426" s="24"/>
      <c r="AD426" s="24"/>
      <c r="AE426" s="24"/>
      <c r="AF426" s="24"/>
      <c r="AG426" s="30"/>
      <c r="AH426" s="35"/>
      <c r="AI426" s="35"/>
      <c r="AJ426" s="24"/>
      <c r="AK426" s="24"/>
      <c r="AL426" s="24"/>
      <c r="AM426" s="24"/>
      <c r="AN426" s="24"/>
      <c r="AO426" s="24"/>
      <c r="AP426" s="30"/>
      <c r="AQ426" s="1738"/>
      <c r="AR426" s="798"/>
      <c r="AS426" s="1"/>
    </row>
    <row r="427" spans="1:50" hidden="1" outlineLevel="1">
      <c r="A427" s="24" t="str">
        <f>$A$27</f>
        <v>1Q</v>
      </c>
      <c r="B427" s="29" t="str">
        <f>$B$27</f>
        <v>Apr</v>
      </c>
      <c r="C427" s="24"/>
      <c r="D427" s="1581"/>
      <c r="E427" s="24" t="s">
        <v>489</v>
      </c>
      <c r="F427" s="1910"/>
      <c r="G427" s="24" t="s">
        <v>489</v>
      </c>
      <c r="H427" s="1581"/>
      <c r="I427" s="30" t="s">
        <v>489</v>
      </c>
      <c r="J427" s="1816">
        <v>1040</v>
      </c>
      <c r="K427" s="24"/>
      <c r="L427" s="1583">
        <f>AVERAGE(J427,J423)</f>
        <v>1029</v>
      </c>
      <c r="M427" s="24"/>
      <c r="N427" s="1581">
        <f>(L427/L420-1)*100</f>
        <v>8.6589229144667268</v>
      </c>
      <c r="O427" s="30" t="s">
        <v>489</v>
      </c>
      <c r="P427" s="1589"/>
      <c r="Q427" s="35" t="s">
        <v>489</v>
      </c>
      <c r="R427" s="24"/>
      <c r="S427" s="1949"/>
      <c r="T427" s="1590"/>
      <c r="U427" s="1590"/>
      <c r="V427" s="24"/>
      <c r="W427" s="1586"/>
      <c r="X427" s="24"/>
      <c r="Y427" s="1910"/>
      <c r="Z427" s="30" t="s">
        <v>489</v>
      </c>
      <c r="AA427" s="1816">
        <v>7.0979999999999999</v>
      </c>
      <c r="AB427" s="24"/>
      <c r="AC427" s="1588">
        <f>AVERAGE(AA427,AA423)</f>
        <v>7.0164999999999997</v>
      </c>
      <c r="AD427" s="1588"/>
      <c r="AE427" s="24">
        <f t="shared" ref="AE427:AE431" si="322">AC427/AC420-1</f>
        <v>0.11205325303114355</v>
      </c>
      <c r="AF427" s="1581"/>
      <c r="AG427" s="30" t="s">
        <v>489</v>
      </c>
      <c r="AH427" s="1589"/>
      <c r="AI427" s="35" t="s">
        <v>489</v>
      </c>
      <c r="AJ427" s="24"/>
      <c r="AK427" s="1590"/>
      <c r="AL427" s="24"/>
      <c r="AM427" s="1591"/>
      <c r="AN427" s="24"/>
      <c r="AO427" s="1581"/>
      <c r="AP427" s="30" t="s">
        <v>489</v>
      </c>
      <c r="AQ427" s="1740"/>
      <c r="AR427" s="1796"/>
      <c r="AS427" s="1788"/>
      <c r="AT427" s="1788"/>
      <c r="AU427" s="1788"/>
    </row>
    <row r="428" spans="1:50" hidden="1" outlineLevel="2">
      <c r="A428" s="24" t="str">
        <f>$A$28</f>
        <v>2Q</v>
      </c>
      <c r="B428" s="29" t="str">
        <f>$B$28</f>
        <v>Jul</v>
      </c>
      <c r="C428" s="24"/>
      <c r="D428" s="1581"/>
      <c r="E428" s="24"/>
      <c r="F428" s="1910"/>
      <c r="G428" s="24"/>
      <c r="H428" s="1581"/>
      <c r="I428" s="30"/>
      <c r="J428" s="1816">
        <v>1068</v>
      </c>
      <c r="K428" s="24"/>
      <c r="L428" s="1583">
        <f>AVERAGE(J428,J427)</f>
        <v>1054</v>
      </c>
      <c r="M428" s="24"/>
      <c r="N428" s="1581">
        <f>(L428/L421-1)*100</f>
        <v>8.7158329035585282</v>
      </c>
      <c r="O428" s="30"/>
      <c r="P428" s="1589"/>
      <c r="Q428" s="35"/>
      <c r="R428" s="24"/>
      <c r="S428" s="1950"/>
      <c r="T428" s="1603"/>
      <c r="U428" s="1603"/>
      <c r="V428" s="24"/>
      <c r="W428" s="1602"/>
      <c r="X428" s="24"/>
      <c r="Y428" s="1910"/>
      <c r="Z428" s="30"/>
      <c r="AA428" s="1816">
        <v>7.32</v>
      </c>
      <c r="AB428" s="24"/>
      <c r="AC428" s="1588">
        <f>AVERAGE(AA428,AA427)</f>
        <v>7.2089999999999996</v>
      </c>
      <c r="AD428" s="1588"/>
      <c r="AE428" s="24">
        <f t="shared" si="322"/>
        <v>0.10830963179337383</v>
      </c>
      <c r="AF428" s="1581"/>
      <c r="AG428" s="30"/>
      <c r="AH428" s="1589"/>
      <c r="AI428" s="35"/>
      <c r="AJ428" s="24"/>
      <c r="AK428" s="1603"/>
      <c r="AL428" s="24"/>
      <c r="AM428" s="1604"/>
      <c r="AN428" s="24"/>
      <c r="AO428" s="1581"/>
      <c r="AP428" s="30"/>
      <c r="AQ428" s="1738"/>
      <c r="AR428" s="798"/>
      <c r="AS428" s="1"/>
    </row>
    <row r="429" spans="1:50" hidden="1" outlineLevel="2">
      <c r="A429" s="24" t="str">
        <f>$A$29</f>
        <v>3Q</v>
      </c>
      <c r="B429" s="29" t="str">
        <f>$B$29</f>
        <v>Oct</v>
      </c>
      <c r="C429" s="24"/>
      <c r="D429" s="1581"/>
      <c r="E429" s="24"/>
      <c r="F429" s="1910"/>
      <c r="G429" s="24"/>
      <c r="H429" s="1581"/>
      <c r="I429" s="30"/>
      <c r="J429" s="1816">
        <v>1083</v>
      </c>
      <c r="K429" s="24"/>
      <c r="L429" s="1583">
        <f>AVERAGE(J429,J428)</f>
        <v>1075.5</v>
      </c>
      <c r="M429" s="24"/>
      <c r="N429" s="1581">
        <f>(L429/L422-1)*100</f>
        <v>8.1447963800904901</v>
      </c>
      <c r="O429" s="30"/>
      <c r="P429" s="1589"/>
      <c r="Q429" s="35"/>
      <c r="R429" s="24"/>
      <c r="S429" s="1950"/>
      <c r="T429" s="1603"/>
      <c r="U429" s="1603"/>
      <c r="V429" s="24"/>
      <c r="W429" s="1602"/>
      <c r="X429" s="24"/>
      <c r="Y429" s="1910"/>
      <c r="Z429" s="30"/>
      <c r="AA429" s="1816">
        <v>7.5810000000000004</v>
      </c>
      <c r="AB429" s="1597"/>
      <c r="AC429" s="1588">
        <f t="shared" ref="AC429:AC430" si="323">AVERAGE(AA429,AA428)</f>
        <v>7.4504999999999999</v>
      </c>
      <c r="AD429" s="1588"/>
      <c r="AE429" s="24">
        <f t="shared" si="322"/>
        <v>0.10928310876200409</v>
      </c>
      <c r="AF429" s="1581"/>
      <c r="AG429" s="30"/>
      <c r="AH429" s="1589"/>
      <c r="AI429" s="35"/>
      <c r="AJ429" s="24"/>
      <c r="AK429" s="1603"/>
      <c r="AL429" s="24"/>
      <c r="AM429" s="1604"/>
      <c r="AN429" s="24"/>
      <c r="AO429" s="1587"/>
      <c r="AP429" s="30"/>
      <c r="AQ429" s="1738"/>
      <c r="AR429" s="1"/>
      <c r="AS429" s="1"/>
    </row>
    <row r="430" spans="1:50" hidden="1" outlineLevel="2">
      <c r="A430" s="24" t="str">
        <f>$A$30</f>
        <v>4Q</v>
      </c>
      <c r="B430" s="29" t="str">
        <f>$B$30</f>
        <v>Jan</v>
      </c>
      <c r="C430" s="24"/>
      <c r="D430" s="1606"/>
      <c r="E430" s="24"/>
      <c r="F430" s="1612"/>
      <c r="G430" s="24"/>
      <c r="H430" s="1606"/>
      <c r="I430" s="30"/>
      <c r="J430" s="1816">
        <v>1106</v>
      </c>
      <c r="K430" s="24"/>
      <c r="L430" s="1608">
        <f>AVERAGE(J430,J429)</f>
        <v>1094.5</v>
      </c>
      <c r="M430" s="24"/>
      <c r="N430" s="1606">
        <f>(L430/L423-1)*100</f>
        <v>8.1521739130434803</v>
      </c>
      <c r="O430" s="30"/>
      <c r="P430" s="1608"/>
      <c r="Q430" s="35"/>
      <c r="R430" s="24"/>
      <c r="S430" s="1951"/>
      <c r="T430" s="1614"/>
      <c r="U430" s="38"/>
      <c r="V430" s="24"/>
      <c r="W430" s="1611"/>
      <c r="X430" s="24"/>
      <c r="Y430" s="1612"/>
      <c r="Z430" s="30"/>
      <c r="AA430" s="1816">
        <v>7.76</v>
      </c>
      <c r="AB430" s="1597"/>
      <c r="AC430" s="1588">
        <f t="shared" si="323"/>
        <v>7.6705000000000005</v>
      </c>
      <c r="AD430" s="1613"/>
      <c r="AE430" s="24">
        <f t="shared" si="322"/>
        <v>0.11676494139914118</v>
      </c>
      <c r="AF430" s="1606"/>
      <c r="AG430" s="30"/>
      <c r="AH430" s="1608"/>
      <c r="AI430" s="35"/>
      <c r="AJ430" s="24"/>
      <c r="AK430" s="1614"/>
      <c r="AL430" s="24"/>
      <c r="AM430" s="1615"/>
      <c r="AN430" s="24"/>
      <c r="AO430" s="1612"/>
      <c r="AP430" s="30"/>
      <c r="AQ430" s="1742"/>
      <c r="AR430" s="798"/>
      <c r="AS430" s="798"/>
    </row>
    <row r="431" spans="1:50" hidden="1" outlineLevel="2">
      <c r="A431" s="24"/>
      <c r="B431" s="29" t="str">
        <f>$B$31</f>
        <v>Year</v>
      </c>
      <c r="C431" s="24"/>
      <c r="D431" s="1581">
        <f>(S431/S424-1)*100</f>
        <v>24.123989218328834</v>
      </c>
      <c r="E431" s="24"/>
      <c r="F431" s="1910"/>
      <c r="G431" s="24"/>
      <c r="H431" s="1581"/>
      <c r="I431" s="30"/>
      <c r="J431" s="1816"/>
      <c r="K431" s="24"/>
      <c r="L431" s="1583">
        <f>AVERAGE(L427:L430)</f>
        <v>1063.25</v>
      </c>
      <c r="M431" s="24"/>
      <c r="N431" s="1581">
        <f>(L431/L424-1)*100</f>
        <v>8.4119296456793169</v>
      </c>
      <c r="O431" s="30"/>
      <c r="P431" s="1589"/>
      <c r="Q431" s="35"/>
      <c r="R431" s="24"/>
      <c r="S431" s="1949">
        <v>4605</v>
      </c>
      <c r="T431" s="1590">
        <f t="shared" ref="T431" si="324">S431-AQ431</f>
        <v>4605</v>
      </c>
      <c r="U431" s="1590"/>
      <c r="V431" s="24">
        <f>T431/L431</f>
        <v>4.3310604279332239</v>
      </c>
      <c r="W431" s="1586">
        <f>S431/L431</f>
        <v>4.3310604279332239</v>
      </c>
      <c r="X431" s="24"/>
      <c r="Y431" s="1587">
        <f>(W431/W424-1)*100</f>
        <v>14.492924924407259</v>
      </c>
      <c r="Z431" s="30"/>
      <c r="AA431" s="1816"/>
      <c r="AB431" s="24"/>
      <c r="AC431" s="1597">
        <f>AVERAGE(AC427:AC430)</f>
        <v>7.3366250000000006</v>
      </c>
      <c r="AD431" s="1588"/>
      <c r="AE431" s="24">
        <f t="shared" si="322"/>
        <v>0.11165195651350435</v>
      </c>
      <c r="AF431" s="1581"/>
      <c r="AG431" s="30"/>
      <c r="AH431" s="1589"/>
      <c r="AI431" s="35"/>
      <c r="AJ431" s="1590">
        <f>T431</f>
        <v>4605</v>
      </c>
      <c r="AK431" s="1590">
        <f>S431</f>
        <v>4605</v>
      </c>
      <c r="AL431" s="1586">
        <f>AJ431/AC431</f>
        <v>627.67280595641728</v>
      </c>
      <c r="AM431" s="1591"/>
      <c r="AN431" s="24"/>
      <c r="AO431" s="1587"/>
      <c r="AP431" s="30"/>
      <c r="AQ431" s="1742"/>
      <c r="AR431" s="798"/>
      <c r="AS431" s="798"/>
    </row>
    <row r="432" spans="1:50" hidden="1" outlineLevel="2">
      <c r="A432" s="24"/>
      <c r="B432" s="29"/>
      <c r="C432" s="24"/>
      <c r="D432" s="24"/>
      <c r="E432" s="24"/>
      <c r="F432" s="24"/>
      <c r="G432" s="24"/>
      <c r="H432" s="24"/>
      <c r="I432" s="30"/>
      <c r="J432" s="1816"/>
      <c r="K432" s="24"/>
      <c r="L432" s="24"/>
      <c r="M432" s="24"/>
      <c r="N432" s="24"/>
      <c r="O432" s="30"/>
      <c r="P432" s="35"/>
      <c r="Q432" s="35"/>
      <c r="R432" s="24"/>
      <c r="S432" s="1816"/>
      <c r="T432" s="24"/>
      <c r="U432" s="24"/>
      <c r="V432" s="24"/>
      <c r="W432" s="24"/>
      <c r="X432" s="24"/>
      <c r="Y432" s="24"/>
      <c r="Z432" s="30"/>
      <c r="AA432" s="1816"/>
      <c r="AB432" s="24"/>
      <c r="AC432" s="24"/>
      <c r="AD432" s="24"/>
      <c r="AE432" s="24"/>
      <c r="AF432" s="24"/>
      <c r="AG432" s="30"/>
      <c r="AH432" s="35"/>
      <c r="AI432" s="35"/>
      <c r="AJ432" s="24"/>
      <c r="AK432" s="24"/>
      <c r="AL432" s="24"/>
      <c r="AM432" s="24"/>
      <c r="AN432" s="24"/>
      <c r="AO432" s="24"/>
      <c r="AP432" s="30"/>
      <c r="AR432" s="798"/>
      <c r="AS432" s="798"/>
    </row>
    <row r="433" spans="1:45" hidden="1" outlineLevel="2">
      <c r="A433" s="1579"/>
      <c r="B433" s="1908">
        <f>B426+1</f>
        <v>1999</v>
      </c>
      <c r="C433" s="24"/>
      <c r="D433" s="24"/>
      <c r="E433" s="24"/>
      <c r="F433" s="24"/>
      <c r="G433" s="24"/>
      <c r="H433" s="24"/>
      <c r="I433" s="30"/>
      <c r="J433" s="1816"/>
      <c r="K433" s="24"/>
      <c r="L433" s="24"/>
      <c r="M433" s="24"/>
      <c r="N433" s="24"/>
      <c r="O433" s="30"/>
      <c r="P433" s="35"/>
      <c r="Q433" s="35"/>
      <c r="R433" s="24"/>
      <c r="S433" s="1816"/>
      <c r="T433" s="24"/>
      <c r="U433" s="24"/>
      <c r="V433" s="24"/>
      <c r="W433" s="24"/>
      <c r="X433" s="24"/>
      <c r="Y433" s="24"/>
      <c r="Z433" s="30"/>
      <c r="AA433" s="1816"/>
      <c r="AB433" s="24"/>
      <c r="AC433" s="24"/>
      <c r="AD433" s="24"/>
      <c r="AE433" s="24"/>
      <c r="AF433" s="24"/>
      <c r="AG433" s="30"/>
      <c r="AH433" s="35"/>
      <c r="AI433" s="35"/>
      <c r="AJ433" s="24"/>
      <c r="AK433" s="24"/>
      <c r="AL433" s="24"/>
      <c r="AM433" s="24"/>
      <c r="AN433" s="24"/>
      <c r="AO433" s="24"/>
      <c r="AP433" s="30"/>
      <c r="AR433" s="798"/>
      <c r="AS433" s="798"/>
    </row>
    <row r="434" spans="1:45" hidden="1" outlineLevel="2">
      <c r="A434" s="24" t="str">
        <f>$A$27</f>
        <v>1Q</v>
      </c>
      <c r="B434" s="29" t="str">
        <f>$B$27</f>
        <v>Apr</v>
      </c>
      <c r="C434" s="24"/>
      <c r="D434" s="1581"/>
      <c r="E434" s="30" t="s">
        <v>489</v>
      </c>
      <c r="F434" s="1914">
        <v>4</v>
      </c>
      <c r="G434" s="30" t="s">
        <v>489</v>
      </c>
      <c r="H434" s="1581"/>
      <c r="I434" s="30" t="s">
        <v>489</v>
      </c>
      <c r="J434" s="1818">
        <v>1533</v>
      </c>
      <c r="K434" s="24"/>
      <c r="L434" s="1583">
        <f>AVERAGE(J434,J430)</f>
        <v>1319.5</v>
      </c>
      <c r="M434" s="24"/>
      <c r="N434" s="1581">
        <f>(L434/L427-1)*100</f>
        <v>28.2312925170068</v>
      </c>
      <c r="O434" s="30" t="s">
        <v>489</v>
      </c>
      <c r="P434" s="1589"/>
      <c r="Q434" s="35" t="s">
        <v>489</v>
      </c>
      <c r="R434" s="24"/>
      <c r="S434" s="1949"/>
      <c r="T434" s="1590"/>
      <c r="U434" s="1590"/>
      <c r="V434" s="24"/>
      <c r="W434" s="1586"/>
      <c r="X434" s="24"/>
      <c r="Y434" s="1910"/>
      <c r="Z434" s="30" t="s">
        <v>489</v>
      </c>
      <c r="AA434" s="1816">
        <v>9.1</v>
      </c>
      <c r="AB434" s="1597"/>
      <c r="AC434" s="1588">
        <f>AVERAGE(AA434,AA430)</f>
        <v>8.43</v>
      </c>
      <c r="AD434" s="1588"/>
      <c r="AE434" s="24">
        <f t="shared" ref="AE434:AE438" si="325">AC434/AC427-1</f>
        <v>0.20145371624029074</v>
      </c>
      <c r="AF434" s="1581"/>
      <c r="AG434" s="30" t="s">
        <v>489</v>
      </c>
      <c r="AH434" s="1589"/>
      <c r="AI434" s="35" t="s">
        <v>489</v>
      </c>
      <c r="AJ434" s="24"/>
      <c r="AK434" s="1590"/>
      <c r="AL434" s="24"/>
      <c r="AM434" s="1591"/>
      <c r="AN434" s="24"/>
      <c r="AO434" s="1581"/>
      <c r="AP434" s="30" t="s">
        <v>489</v>
      </c>
      <c r="AR434" s="798"/>
      <c r="AS434" s="1"/>
    </row>
    <row r="435" spans="1:45" hidden="1" outlineLevel="2">
      <c r="A435" s="24" t="str">
        <f>$A$28</f>
        <v>2Q</v>
      </c>
      <c r="B435" s="29" t="str">
        <f>$B$28</f>
        <v>Jul</v>
      </c>
      <c r="C435" s="24"/>
      <c r="D435" s="1581"/>
      <c r="E435" s="30"/>
      <c r="F435" s="1914">
        <v>-2</v>
      </c>
      <c r="G435" s="30"/>
      <c r="H435" s="1581"/>
      <c r="I435" s="30"/>
      <c r="J435" s="1818">
        <v>1581</v>
      </c>
      <c r="K435" s="24"/>
      <c r="L435" s="1583">
        <f>AVERAGE(J435,J434)</f>
        <v>1557</v>
      </c>
      <c r="M435" s="24"/>
      <c r="N435" s="1581">
        <f>(L435/L428-1)*100</f>
        <v>47.72296015180266</v>
      </c>
      <c r="O435" s="30"/>
      <c r="P435" s="1589"/>
      <c r="Q435" s="35"/>
      <c r="R435" s="24"/>
      <c r="S435" s="1950"/>
      <c r="T435" s="1603"/>
      <c r="U435" s="1603"/>
      <c r="V435" s="24"/>
      <c r="W435" s="1602"/>
      <c r="X435" s="24"/>
      <c r="Y435" s="1910"/>
      <c r="Z435" s="30"/>
      <c r="AA435" s="1816">
        <v>9.4</v>
      </c>
      <c r="AB435" s="1597"/>
      <c r="AC435" s="1588">
        <f>AVERAGE(AA435,AA434)</f>
        <v>9.25</v>
      </c>
      <c r="AD435" s="1588"/>
      <c r="AE435" s="24">
        <f t="shared" si="325"/>
        <v>0.28311832431682626</v>
      </c>
      <c r="AF435" s="1581"/>
      <c r="AG435" s="30"/>
      <c r="AH435" s="1589"/>
      <c r="AI435" s="35"/>
      <c r="AJ435" s="24"/>
      <c r="AK435" s="1603"/>
      <c r="AL435" s="24"/>
      <c r="AM435" s="1604"/>
      <c r="AN435" s="24"/>
      <c r="AO435" s="1581"/>
      <c r="AP435" s="30"/>
    </row>
    <row r="436" spans="1:45" hidden="1" outlineLevel="2">
      <c r="A436" s="24" t="str">
        <f>$A$29</f>
        <v>3Q</v>
      </c>
      <c r="B436" s="29" t="str">
        <f>$B$29</f>
        <v>Oct</v>
      </c>
      <c r="C436" s="24"/>
      <c r="D436" s="1581"/>
      <c r="E436" s="30"/>
      <c r="F436" s="1914">
        <v>-1</v>
      </c>
      <c r="G436" s="30"/>
      <c r="H436" s="1581"/>
      <c r="I436" s="30"/>
      <c r="J436" s="1818">
        <v>1688</v>
      </c>
      <c r="K436" s="24"/>
      <c r="L436" s="1583">
        <f>AVERAGE(J436,J435)</f>
        <v>1634.5</v>
      </c>
      <c r="M436" s="24"/>
      <c r="N436" s="1581">
        <f>(L436/L429-1)*100</f>
        <v>51.975825197582523</v>
      </c>
      <c r="O436" s="30"/>
      <c r="P436" s="1589"/>
      <c r="Q436" s="35"/>
      <c r="R436" s="24"/>
      <c r="S436" s="1950"/>
      <c r="T436" s="1603"/>
      <c r="U436" s="1603"/>
      <c r="V436" s="24"/>
      <c r="W436" s="1602"/>
      <c r="X436" s="24"/>
      <c r="Y436" s="1910"/>
      <c r="Z436" s="30"/>
      <c r="AA436" s="1816">
        <v>9.9</v>
      </c>
      <c r="AB436" s="1597"/>
      <c r="AC436" s="1588">
        <f t="shared" ref="AC436:AC437" si="326">AVERAGE(AA436,AA435)</f>
        <v>9.65</v>
      </c>
      <c r="AD436" s="1588"/>
      <c r="AE436" s="24">
        <f t="shared" si="325"/>
        <v>0.29521508623582315</v>
      </c>
      <c r="AF436" s="1581"/>
      <c r="AG436" s="30"/>
      <c r="AH436" s="1589"/>
      <c r="AI436" s="35"/>
      <c r="AJ436" s="24"/>
      <c r="AK436" s="1603"/>
      <c r="AL436" s="24"/>
      <c r="AM436" s="1604"/>
      <c r="AN436" s="24"/>
      <c r="AO436" s="1587"/>
      <c r="AP436" s="30"/>
      <c r="AR436" s="1"/>
      <c r="AS436" s="1"/>
    </row>
    <row r="437" spans="1:45" hidden="1" outlineLevel="2">
      <c r="A437" s="24" t="str">
        <f>$A$30</f>
        <v>4Q</v>
      </c>
      <c r="B437" s="29" t="str">
        <f>$B$30</f>
        <v>Jan</v>
      </c>
      <c r="C437" s="24"/>
      <c r="D437" s="1606"/>
      <c r="E437" s="30"/>
      <c r="F437" s="1915">
        <v>1</v>
      </c>
      <c r="G437" s="30"/>
      <c r="H437" s="1606"/>
      <c r="I437" s="30"/>
      <c r="J437" s="1818">
        <v>1767</v>
      </c>
      <c r="K437" s="24"/>
      <c r="L437" s="1608">
        <f>AVERAGE(J437,J436)</f>
        <v>1727.5</v>
      </c>
      <c r="M437" s="24"/>
      <c r="N437" s="1606">
        <f>(L437/L430-1)*100</f>
        <v>57.834627683873904</v>
      </c>
      <c r="O437" s="30"/>
      <c r="P437" s="1608"/>
      <c r="Q437" s="35"/>
      <c r="R437" s="24"/>
      <c r="S437" s="1951"/>
      <c r="T437" s="1614"/>
      <c r="U437" s="38"/>
      <c r="V437" s="24"/>
      <c r="W437" s="1611"/>
      <c r="X437" s="24"/>
      <c r="Y437" s="1612"/>
      <c r="Z437" s="30"/>
      <c r="AA437" s="1816">
        <v>10.3</v>
      </c>
      <c r="AB437" s="1597"/>
      <c r="AC437" s="1588">
        <f t="shared" si="326"/>
        <v>10.100000000000001</v>
      </c>
      <c r="AD437" s="1613"/>
      <c r="AE437" s="24">
        <f t="shared" si="325"/>
        <v>0.31673293787888679</v>
      </c>
      <c r="AF437" s="1606"/>
      <c r="AG437" s="30"/>
      <c r="AH437" s="1608"/>
      <c r="AI437" s="35"/>
      <c r="AJ437" s="24"/>
      <c r="AK437" s="1614"/>
      <c r="AL437" s="24"/>
      <c r="AM437" s="1615"/>
      <c r="AN437" s="24"/>
      <c r="AO437" s="1612"/>
      <c r="AP437" s="30"/>
      <c r="AR437" s="798"/>
      <c r="AS437" s="798"/>
    </row>
    <row r="438" spans="1:45" hidden="1" outlineLevel="2">
      <c r="A438" s="24"/>
      <c r="B438" s="29" t="str">
        <f>$B$31</f>
        <v>Year</v>
      </c>
      <c r="C438" s="24"/>
      <c r="D438" s="1581">
        <f>(S438/S431-1)*100</f>
        <v>6.4060803474484285</v>
      </c>
      <c r="E438" s="30"/>
      <c r="F438" s="1914">
        <v>1</v>
      </c>
      <c r="G438" s="30"/>
      <c r="H438" s="1581">
        <f>D438-F438</f>
        <v>5.4060803474484285</v>
      </c>
      <c r="I438" s="30"/>
      <c r="J438" s="1818"/>
      <c r="K438" s="24"/>
      <c r="L438" s="1583">
        <f>AVERAGE(L434:L437)</f>
        <v>1559.625</v>
      </c>
      <c r="M438" s="24"/>
      <c r="N438" s="1581">
        <f>(L438/L431-1)*100</f>
        <v>46.684693157770994</v>
      </c>
      <c r="O438" s="30"/>
      <c r="P438" s="1952">
        <f>H438/N438*100</f>
        <v>11.579984748274068</v>
      </c>
      <c r="Q438" s="35"/>
      <c r="R438" s="24"/>
      <c r="S438" s="1949">
        <v>4900</v>
      </c>
      <c r="T438" s="1590">
        <f t="shared" ref="T438" si="327">S438-AQ438</f>
        <v>4900</v>
      </c>
      <c r="U438" s="1590"/>
      <c r="V438" s="24">
        <f>T438/L438</f>
        <v>3.1417808768133364</v>
      </c>
      <c r="W438" s="1586">
        <f>S438/L438</f>
        <v>3.1417808768133364</v>
      </c>
      <c r="X438" s="24"/>
      <c r="Y438" s="1587">
        <f>(W438/W431-1)*100</f>
        <v>-27.459315585846255</v>
      </c>
      <c r="Z438" s="30"/>
      <c r="AA438" s="1816"/>
      <c r="AB438" s="24"/>
      <c r="AC438" s="1597">
        <f>AVERAGE(AC434:AC437)</f>
        <v>9.3574999999999999</v>
      </c>
      <c r="AD438" s="1588"/>
      <c r="AE438" s="24">
        <f t="shared" si="325"/>
        <v>0.27545022404716057</v>
      </c>
      <c r="AF438" s="1581"/>
      <c r="AG438" s="30"/>
      <c r="AH438" s="1589">
        <f t="shared" ref="AH438" si="328">IFERROR(H438/AE438, "NM")</f>
        <v>19.626342168169153</v>
      </c>
      <c r="AI438" s="35"/>
      <c r="AJ438" s="1590">
        <f>T438</f>
        <v>4900</v>
      </c>
      <c r="AK438" s="1590">
        <f>S438</f>
        <v>4900</v>
      </c>
      <c r="AL438" s="1586">
        <f>AJ438/AC438</f>
        <v>523.64413572001069</v>
      </c>
      <c r="AM438" s="1591"/>
      <c r="AN438" s="24"/>
      <c r="AO438" s="1587"/>
      <c r="AP438" s="30"/>
      <c r="AR438" s="798"/>
      <c r="AS438" s="798"/>
    </row>
    <row r="439" spans="1:45" hidden="1" outlineLevel="2">
      <c r="A439" s="24"/>
      <c r="B439" s="29"/>
      <c r="C439" s="24"/>
      <c r="D439" s="24"/>
      <c r="E439" s="30"/>
      <c r="F439" s="1816"/>
      <c r="G439" s="30"/>
      <c r="H439" s="24"/>
      <c r="I439" s="30"/>
      <c r="J439" s="1818"/>
      <c r="K439" s="24"/>
      <c r="L439" s="24"/>
      <c r="M439" s="24"/>
      <c r="N439" s="24"/>
      <c r="O439" s="30"/>
      <c r="P439" s="1953"/>
      <c r="Q439" s="35"/>
      <c r="R439" s="24"/>
      <c r="S439" s="24"/>
      <c r="T439" s="24"/>
      <c r="U439" s="24"/>
      <c r="V439" s="24"/>
      <c r="W439" s="24"/>
      <c r="X439" s="24"/>
      <c r="Y439" s="24"/>
      <c r="Z439" s="30"/>
      <c r="AA439" s="1816"/>
      <c r="AB439" s="24"/>
      <c r="AC439" s="24"/>
      <c r="AD439" s="24"/>
      <c r="AE439" s="24"/>
      <c r="AF439" s="24"/>
      <c r="AG439" s="30"/>
      <c r="AH439" s="35"/>
      <c r="AI439" s="35"/>
      <c r="AJ439" s="24"/>
      <c r="AK439" s="24"/>
      <c r="AL439" s="24"/>
      <c r="AM439" s="24"/>
      <c r="AN439" s="24"/>
      <c r="AO439" s="24"/>
      <c r="AP439" s="30"/>
      <c r="AR439" s="798"/>
      <c r="AS439" s="798"/>
    </row>
    <row r="440" spans="1:45" hidden="1" outlineLevel="2">
      <c r="A440" s="1579"/>
      <c r="B440" s="1908">
        <f>B433+1</f>
        <v>2000</v>
      </c>
      <c r="C440" s="24"/>
      <c r="D440" s="24"/>
      <c r="E440" s="30"/>
      <c r="F440" s="1816"/>
      <c r="G440" s="30"/>
      <c r="H440" s="24"/>
      <c r="I440" s="30"/>
      <c r="J440" s="1818"/>
      <c r="K440" s="24"/>
      <c r="L440" s="24"/>
      <c r="M440" s="24"/>
      <c r="N440" s="24"/>
      <c r="O440" s="30"/>
      <c r="P440" s="1953"/>
      <c r="Q440" s="35"/>
      <c r="R440" s="24"/>
      <c r="S440" s="24"/>
      <c r="T440" s="24"/>
      <c r="U440" s="24"/>
      <c r="V440" s="24"/>
      <c r="W440" s="24"/>
      <c r="X440" s="24"/>
      <c r="Y440" s="24"/>
      <c r="Z440" s="30"/>
      <c r="AA440" s="1816"/>
      <c r="AB440" s="24"/>
      <c r="AC440" s="24"/>
      <c r="AD440" s="24"/>
      <c r="AE440" s="24"/>
      <c r="AF440" s="24"/>
      <c r="AG440" s="30"/>
      <c r="AH440" s="35"/>
      <c r="AI440" s="35"/>
      <c r="AJ440" s="24"/>
      <c r="AK440" s="24"/>
      <c r="AL440" s="24"/>
      <c r="AM440" s="24"/>
      <c r="AN440" s="24"/>
      <c r="AO440" s="24"/>
      <c r="AP440" s="30"/>
      <c r="AR440" s="798"/>
      <c r="AS440" s="798"/>
    </row>
    <row r="441" spans="1:45" hidden="1" outlineLevel="2">
      <c r="A441" s="24" t="str">
        <f>$A$27</f>
        <v>1Q</v>
      </c>
      <c r="B441" s="29" t="str">
        <f>$B$27</f>
        <v>Apr</v>
      </c>
      <c r="C441" s="24"/>
      <c r="D441" s="1581"/>
      <c r="E441" s="30" t="s">
        <v>489</v>
      </c>
      <c r="F441" s="1914">
        <v>-4</v>
      </c>
      <c r="G441" s="30" t="s">
        <v>489</v>
      </c>
      <c r="H441" s="1581">
        <f>D441-F441</f>
        <v>4</v>
      </c>
      <c r="I441" s="30" t="s">
        <v>489</v>
      </c>
      <c r="J441" s="1818">
        <v>1812</v>
      </c>
      <c r="K441" s="24" t="s">
        <v>31</v>
      </c>
      <c r="L441" s="1583">
        <f>AVERAGE(J441,J437)</f>
        <v>1789.5</v>
      </c>
      <c r="M441" s="24"/>
      <c r="N441" s="1581">
        <f>(L441/L434-1)*100</f>
        <v>35.619552860932167</v>
      </c>
      <c r="O441" s="30" t="s">
        <v>489</v>
      </c>
      <c r="P441" s="1952">
        <f>H441/N441*100</f>
        <v>11.229787234042554</v>
      </c>
      <c r="Q441" s="35" t="s">
        <v>489</v>
      </c>
      <c r="R441" s="24"/>
      <c r="S441" s="1916">
        <v>1201</v>
      </c>
      <c r="T441" s="1824">
        <f t="shared" ref="T441:T445" si="329">S441-AQ441</f>
        <v>1201</v>
      </c>
      <c r="U441" s="1916"/>
      <c r="V441" s="24">
        <f>T441/L441</f>
        <v>0.67113718915898291</v>
      </c>
      <c r="W441" s="1586">
        <f>S441/L441</f>
        <v>0.67113718915898291</v>
      </c>
      <c r="X441" s="24"/>
      <c r="Y441" s="1587"/>
      <c r="Z441" s="30" t="s">
        <v>489</v>
      </c>
      <c r="AA441" s="1816">
        <v>10.6</v>
      </c>
      <c r="AB441" s="1597"/>
      <c r="AC441" s="1588">
        <f>AVERAGE(AA441,AA437)</f>
        <v>10.45</v>
      </c>
      <c r="AD441" s="1588"/>
      <c r="AE441" s="24">
        <f t="shared" ref="AE441:AE445" si="330">AC441/AC434-1</f>
        <v>0.23962040332147083</v>
      </c>
      <c r="AF441" s="1581"/>
      <c r="AG441" s="30" t="s">
        <v>489</v>
      </c>
      <c r="AH441" s="1589">
        <f t="shared" ref="AH441:AH445" si="331">IFERROR(H441/AE441, "NM")</f>
        <v>16.693069306930699</v>
      </c>
      <c r="AI441" s="35" t="s">
        <v>489</v>
      </c>
      <c r="AJ441" s="1590">
        <f>T441</f>
        <v>1201</v>
      </c>
      <c r="AK441" s="1590">
        <f>S441</f>
        <v>1201</v>
      </c>
      <c r="AL441" s="1586">
        <f t="shared" ref="AL441:AL445" si="332">AJ441/AC441</f>
        <v>114.92822966507178</v>
      </c>
      <c r="AM441" s="1591"/>
      <c r="AN441" s="24"/>
      <c r="AO441" s="1587"/>
      <c r="AP441" s="30" t="s">
        <v>489</v>
      </c>
      <c r="AR441" s="798"/>
      <c r="AS441" s="1"/>
    </row>
    <row r="442" spans="1:45" hidden="1" outlineLevel="2">
      <c r="A442" s="24" t="str">
        <f>$A$28</f>
        <v>2Q</v>
      </c>
      <c r="B442" s="29" t="str">
        <f>$B$28</f>
        <v>Jul</v>
      </c>
      <c r="C442" s="24"/>
      <c r="D442" s="1581"/>
      <c r="E442" s="24"/>
      <c r="F442" s="1914">
        <v>4</v>
      </c>
      <c r="G442" s="24"/>
      <c r="H442" s="1581">
        <f>D442-F442</f>
        <v>-4</v>
      </c>
      <c r="I442" s="24"/>
      <c r="J442" s="1818">
        <v>1885</v>
      </c>
      <c r="K442" s="1913"/>
      <c r="L442" s="1583">
        <f>AVERAGE(J442,J441)</f>
        <v>1848.5</v>
      </c>
      <c r="M442" s="24"/>
      <c r="N442" s="1581">
        <f>(L442/L435-1)*100</f>
        <v>18.721901091843286</v>
      </c>
      <c r="O442" s="30"/>
      <c r="P442" s="1952">
        <f>H442/N442*100</f>
        <v>-21.365351629502577</v>
      </c>
      <c r="Q442" s="35"/>
      <c r="R442" s="24"/>
      <c r="S442" s="1917">
        <v>1253</v>
      </c>
      <c r="T442" s="1954">
        <f t="shared" si="329"/>
        <v>1253</v>
      </c>
      <c r="U442" s="1917"/>
      <c r="V442" s="24">
        <f>T442/L442</f>
        <v>0.67784690289423855</v>
      </c>
      <c r="W442" s="1586">
        <f>S442/L442</f>
        <v>0.67784690289423855</v>
      </c>
      <c r="X442" s="24"/>
      <c r="Y442" s="1587"/>
      <c r="Z442" s="30"/>
      <c r="AA442" s="1816">
        <v>11</v>
      </c>
      <c r="AB442" s="1597"/>
      <c r="AC442" s="1588">
        <f>AVERAGE(AA442,AA441)</f>
        <v>10.8</v>
      </c>
      <c r="AD442" s="1588"/>
      <c r="AE442" s="24">
        <f t="shared" si="330"/>
        <v>0.16756756756756763</v>
      </c>
      <c r="AF442" s="1581"/>
      <c r="AG442" s="30"/>
      <c r="AH442" s="1589">
        <f t="shared" si="331"/>
        <v>-23.870967741935473</v>
      </c>
      <c r="AI442" s="35"/>
      <c r="AJ442" s="1590">
        <f>T442</f>
        <v>1253</v>
      </c>
      <c r="AK442" s="1590">
        <f>S442</f>
        <v>1253</v>
      </c>
      <c r="AL442" s="1586">
        <f t="shared" si="332"/>
        <v>116.0185185185185</v>
      </c>
      <c r="AM442" s="1604"/>
      <c r="AN442" s="24"/>
      <c r="AO442" s="1587"/>
      <c r="AP442" s="30"/>
    </row>
    <row r="443" spans="1:45" hidden="1" outlineLevel="2">
      <c r="A443" s="24" t="str">
        <f>$A$29</f>
        <v>3Q</v>
      </c>
      <c r="B443" s="29" t="str">
        <f>$B$29</f>
        <v>Oct</v>
      </c>
      <c r="C443" s="24"/>
      <c r="D443" s="1581"/>
      <c r="E443" s="24"/>
      <c r="F443" s="1914">
        <v>-3</v>
      </c>
      <c r="G443" s="24"/>
      <c r="H443" s="1581">
        <f>D443-F443</f>
        <v>3</v>
      </c>
      <c r="I443" s="24"/>
      <c r="J443" s="1818">
        <v>2002</v>
      </c>
      <c r="K443" s="1913"/>
      <c r="L443" s="1583">
        <f>AVERAGE(J443,J442)</f>
        <v>1943.5</v>
      </c>
      <c r="M443" s="24"/>
      <c r="N443" s="1581">
        <f>(L443/L436-1)*100</f>
        <v>18.904863872743949</v>
      </c>
      <c r="O443" s="30"/>
      <c r="P443" s="1952">
        <f>H443/N443*100</f>
        <v>15.868932038834959</v>
      </c>
      <c r="Q443" s="35"/>
      <c r="R443" s="24"/>
      <c r="S443" s="1917">
        <v>1499</v>
      </c>
      <c r="T443" s="1954">
        <f t="shared" si="329"/>
        <v>1499</v>
      </c>
      <c r="U443" s="1917"/>
      <c r="V443" s="24">
        <f>T443/L443</f>
        <v>0.77128891175713921</v>
      </c>
      <c r="W443" s="1586">
        <f>S443/L443</f>
        <v>0.77128891175713921</v>
      </c>
      <c r="X443" s="24"/>
      <c r="Y443" s="1587"/>
      <c r="Z443" s="30"/>
      <c r="AA443" s="1816">
        <v>11.5</v>
      </c>
      <c r="AB443" s="1597"/>
      <c r="AC443" s="1588">
        <f t="shared" ref="AC443:AC444" si="333">AVERAGE(AA443,AA442)</f>
        <v>11.25</v>
      </c>
      <c r="AD443" s="1588"/>
      <c r="AE443" s="24">
        <f t="shared" si="330"/>
        <v>0.16580310880829008</v>
      </c>
      <c r="AF443" s="1581"/>
      <c r="AG443" s="30"/>
      <c r="AH443" s="1589">
        <f t="shared" si="331"/>
        <v>18.093750000000007</v>
      </c>
      <c r="AI443" s="35"/>
      <c r="AJ443" s="1590">
        <f>T443</f>
        <v>1499</v>
      </c>
      <c r="AK443" s="1590">
        <f>S443</f>
        <v>1499</v>
      </c>
      <c r="AL443" s="1586">
        <f t="shared" si="332"/>
        <v>133.24444444444444</v>
      </c>
      <c r="AM443" s="1604"/>
      <c r="AN443" s="24"/>
      <c r="AO443" s="1587"/>
      <c r="AP443" s="30"/>
      <c r="AR443" s="1"/>
      <c r="AS443" s="1"/>
    </row>
    <row r="444" spans="1:45" hidden="1" outlineLevel="2">
      <c r="A444" s="24" t="str">
        <f>$A$30</f>
        <v>4Q</v>
      </c>
      <c r="B444" s="29" t="str">
        <f>$B$30</f>
        <v>Jan</v>
      </c>
      <c r="C444" s="24"/>
      <c r="D444" s="1606"/>
      <c r="E444" s="24"/>
      <c r="F444" s="1915">
        <v>-1</v>
      </c>
      <c r="G444" s="24"/>
      <c r="H444" s="1606">
        <f>D444-F444</f>
        <v>1</v>
      </c>
      <c r="I444" s="24"/>
      <c r="J444" s="1818">
        <v>2079</v>
      </c>
      <c r="K444" s="1913"/>
      <c r="L444" s="1608">
        <f>AVERAGE(J444,J443)</f>
        <v>2040.5</v>
      </c>
      <c r="M444" s="24"/>
      <c r="N444" s="1606">
        <f>(L444/L437-1)*100</f>
        <v>18.118668596237342</v>
      </c>
      <c r="O444" s="30"/>
      <c r="P444" s="1955">
        <f>H444/N444*100</f>
        <v>5.5191693290734811</v>
      </c>
      <c r="Q444" s="35"/>
      <c r="R444" s="24"/>
      <c r="S444" s="1918">
        <v>1946</v>
      </c>
      <c r="T444" s="1826">
        <f t="shared" si="329"/>
        <v>1946</v>
      </c>
      <c r="U444" s="1919"/>
      <c r="V444" s="24">
        <f>T444/L444</f>
        <v>0.95368782161234988</v>
      </c>
      <c r="W444" s="1586">
        <f>S444/L444</f>
        <v>0.95368782161234988</v>
      </c>
      <c r="X444" s="24"/>
      <c r="Y444" s="1612"/>
      <c r="Z444" s="30"/>
      <c r="AA444" s="1816">
        <v>12.1</v>
      </c>
      <c r="AB444" s="1597"/>
      <c r="AC444" s="1588">
        <f t="shared" si="333"/>
        <v>11.8</v>
      </c>
      <c r="AD444" s="1613"/>
      <c r="AE444" s="24">
        <f t="shared" si="330"/>
        <v>0.16831683168316824</v>
      </c>
      <c r="AF444" s="1606"/>
      <c r="AG444" s="30"/>
      <c r="AH444" s="1608">
        <f t="shared" si="331"/>
        <v>5.9411764705882382</v>
      </c>
      <c r="AI444" s="35"/>
      <c r="AJ444" s="1590">
        <f>T444</f>
        <v>1946</v>
      </c>
      <c r="AK444" s="1590">
        <f>S444</f>
        <v>1946</v>
      </c>
      <c r="AL444" s="1586">
        <f t="shared" si="332"/>
        <v>164.91525423728814</v>
      </c>
      <c r="AM444" s="1615"/>
      <c r="AN444" s="24"/>
      <c r="AO444" s="1612"/>
      <c r="AP444" s="30"/>
      <c r="AR444" s="798"/>
      <c r="AS444" s="798"/>
    </row>
    <row r="445" spans="1:45" hidden="1" outlineLevel="2">
      <c r="A445" s="24"/>
      <c r="B445" s="29" t="str">
        <f>$B$31</f>
        <v>Year</v>
      </c>
      <c r="C445" s="24"/>
      <c r="D445" s="1581">
        <f>(S445/S438-1)*100</f>
        <v>20.387755102040806</v>
      </c>
      <c r="E445" s="24"/>
      <c r="F445" s="1920">
        <v>-1</v>
      </c>
      <c r="G445" s="24"/>
      <c r="H445" s="1581">
        <f>D445-F445</f>
        <v>21.387755102040806</v>
      </c>
      <c r="I445" s="24"/>
      <c r="J445" s="1818"/>
      <c r="K445" s="24"/>
      <c r="L445" s="1583">
        <f>AVERAGE(L441:L444)</f>
        <v>1905.5</v>
      </c>
      <c r="M445" s="24"/>
      <c r="N445" s="1581">
        <f>(L445/L438-1)*100</f>
        <v>22.176805321792092</v>
      </c>
      <c r="O445" s="30"/>
      <c r="P445" s="1952">
        <f>H445/N445*100</f>
        <v>96.44200231592454</v>
      </c>
      <c r="Q445" s="35"/>
      <c r="R445" s="24"/>
      <c r="S445" s="1590">
        <v>5899</v>
      </c>
      <c r="T445" s="1824">
        <f t="shared" si="329"/>
        <v>5899</v>
      </c>
      <c r="U445" s="1590"/>
      <c r="V445" s="24">
        <f>T445/L445</f>
        <v>3.0957753870375231</v>
      </c>
      <c r="W445" s="1586">
        <f>S445/L445</f>
        <v>3.0957753870375231</v>
      </c>
      <c r="X445" s="24">
        <f>(V445/V438-1)*100</f>
        <v>-1.464312489624553</v>
      </c>
      <c r="Y445" s="1587">
        <f>(W445/W438-1)*100</f>
        <v>-1.464312489624553</v>
      </c>
      <c r="Z445" s="30"/>
      <c r="AA445" s="1816"/>
      <c r="AB445" s="24"/>
      <c r="AC445" s="1597">
        <f>AVERAGE(AC441:AC444)</f>
        <v>11.074999999999999</v>
      </c>
      <c r="AD445" s="1588"/>
      <c r="AE445" s="24">
        <f t="shared" si="330"/>
        <v>0.18354261287737095</v>
      </c>
      <c r="AF445" s="1581"/>
      <c r="AG445" s="30"/>
      <c r="AH445" s="1589">
        <f t="shared" si="331"/>
        <v>116.52746338710161</v>
      </c>
      <c r="AI445" s="35"/>
      <c r="AJ445" s="1590">
        <f>T445</f>
        <v>5899</v>
      </c>
      <c r="AK445" s="1590">
        <f>S445</f>
        <v>5899</v>
      </c>
      <c r="AL445" s="1586">
        <f t="shared" si="332"/>
        <v>532.64108352144478</v>
      </c>
      <c r="AM445" s="1591"/>
      <c r="AN445" s="24"/>
      <c r="AO445" s="1587"/>
      <c r="AP445" s="30"/>
      <c r="AR445" s="798"/>
      <c r="AS445" s="798"/>
    </row>
    <row r="446" spans="1:45" hidden="1" outlineLevel="2">
      <c r="A446" s="24"/>
      <c r="B446" s="29"/>
      <c r="C446" s="24"/>
      <c r="D446" s="24"/>
      <c r="E446" s="24"/>
      <c r="F446" s="1816"/>
      <c r="G446" s="24"/>
      <c r="H446" s="24"/>
      <c r="I446" s="24"/>
      <c r="J446" s="1818"/>
      <c r="K446" s="24"/>
      <c r="L446" s="24"/>
      <c r="M446" s="24"/>
      <c r="N446" s="24"/>
      <c r="O446" s="30"/>
      <c r="P446" s="1953"/>
      <c r="Q446" s="35"/>
      <c r="R446" s="24"/>
      <c r="S446" s="24"/>
      <c r="T446" s="1782"/>
      <c r="U446" s="24"/>
      <c r="V446" s="24"/>
      <c r="W446" s="24"/>
      <c r="X446" s="24"/>
      <c r="Y446" s="24"/>
      <c r="Z446" s="30"/>
      <c r="AA446" s="1816"/>
      <c r="AB446" s="24"/>
      <c r="AC446" s="24"/>
      <c r="AD446" s="24"/>
      <c r="AE446" s="24"/>
      <c r="AF446" s="24"/>
      <c r="AG446" s="30"/>
      <c r="AH446" s="35"/>
      <c r="AI446" s="35"/>
      <c r="AJ446" s="24"/>
      <c r="AK446" s="24"/>
      <c r="AL446" s="24"/>
      <c r="AM446" s="24"/>
      <c r="AN446" s="24"/>
      <c r="AO446" s="24"/>
      <c r="AP446" s="24"/>
      <c r="AR446" s="798"/>
      <c r="AS446" s="798"/>
    </row>
    <row r="447" spans="1:45" hidden="1" outlineLevel="2">
      <c r="A447" s="1579"/>
      <c r="B447" s="1908">
        <f>B440+1</f>
        <v>2001</v>
      </c>
      <c r="C447" s="24"/>
      <c r="D447" s="24"/>
      <c r="E447" s="30"/>
      <c r="F447" s="1816"/>
      <c r="G447" s="30"/>
      <c r="H447" s="24"/>
      <c r="I447" s="30"/>
      <c r="J447" s="1818"/>
      <c r="K447" s="24"/>
      <c r="L447" s="24"/>
      <c r="M447" s="24"/>
      <c r="N447" s="24"/>
      <c r="O447" s="30"/>
      <c r="P447" s="1953"/>
      <c r="Q447" s="35"/>
      <c r="R447" s="24"/>
      <c r="S447" s="24"/>
      <c r="T447" s="1782"/>
      <c r="U447" s="24"/>
      <c r="V447" s="24"/>
      <c r="W447" s="24"/>
      <c r="X447" s="24"/>
      <c r="Y447" s="24"/>
      <c r="Z447" s="30"/>
      <c r="AA447" s="1816"/>
      <c r="AB447" s="24"/>
      <c r="AC447" s="24"/>
      <c r="AD447" s="24"/>
      <c r="AE447" s="24"/>
      <c r="AF447" s="24"/>
      <c r="AG447" s="30"/>
      <c r="AH447" s="35"/>
      <c r="AI447" s="35"/>
      <c r="AJ447" s="24"/>
      <c r="AK447" s="24"/>
      <c r="AL447" s="24"/>
      <c r="AM447" s="24"/>
      <c r="AN447" s="24"/>
      <c r="AO447" s="24"/>
      <c r="AP447" s="30"/>
      <c r="AR447" s="798"/>
      <c r="AS447" s="798"/>
    </row>
    <row r="448" spans="1:45" hidden="1" outlineLevel="2">
      <c r="A448" s="24" t="str">
        <f>$A$27</f>
        <v>1Q</v>
      </c>
      <c r="B448" s="29" t="str">
        <f>$B$27</f>
        <v>Apr</v>
      </c>
      <c r="C448" s="24"/>
      <c r="D448" s="1581">
        <f>(S448/S441-1)*100</f>
        <v>8.4096586178184829</v>
      </c>
      <c r="E448" s="30" t="s">
        <v>489</v>
      </c>
      <c r="F448" s="1914">
        <v>-5</v>
      </c>
      <c r="G448" s="30" t="s">
        <v>489</v>
      </c>
      <c r="H448" s="1581">
        <f>D448-F448</f>
        <v>13.409658617818483</v>
      </c>
      <c r="I448" s="30" t="s">
        <v>489</v>
      </c>
      <c r="J448" s="1818">
        <v>1815</v>
      </c>
      <c r="K448" s="24" t="s">
        <v>31</v>
      </c>
      <c r="L448" s="1583">
        <f>AVERAGE(J448,J444)</f>
        <v>1947</v>
      </c>
      <c r="M448" s="24"/>
      <c r="N448" s="1581">
        <f>(L448/L441-1)*100</f>
        <v>8.8013411567476894</v>
      </c>
      <c r="O448" s="30" t="s">
        <v>489</v>
      </c>
      <c r="P448" s="1952">
        <f>H448/N448*100</f>
        <v>152.35926410530914</v>
      </c>
      <c r="Q448" s="35" t="s">
        <v>489</v>
      </c>
      <c r="R448" s="24"/>
      <c r="S448" s="1916">
        <v>1302</v>
      </c>
      <c r="T448" s="1824">
        <f t="shared" ref="T448:T452" si="334">S448-AQ448</f>
        <v>1302</v>
      </c>
      <c r="U448" s="1916"/>
      <c r="V448" s="24">
        <f>T448/L448</f>
        <v>0.66872110939907548</v>
      </c>
      <c r="W448" s="1586">
        <f>S448/L448</f>
        <v>0.66872110939907548</v>
      </c>
      <c r="X448" s="24">
        <f t="shared" ref="X448:Y452" si="335">(V448/V441-1)*100</f>
        <v>-0.35999789594957088</v>
      </c>
      <c r="Y448" s="1587">
        <f t="shared" si="335"/>
        <v>-0.35999789594957088</v>
      </c>
      <c r="Z448" s="30" t="s">
        <v>489</v>
      </c>
      <c r="AA448" s="1816">
        <v>15.600000000000001</v>
      </c>
      <c r="AB448" s="1597"/>
      <c r="AC448" s="1588">
        <f>AVERAGE(AA448,AA444)</f>
        <v>13.850000000000001</v>
      </c>
      <c r="AD448" s="1588"/>
      <c r="AE448" s="24">
        <f t="shared" ref="AE448:AE452" si="336">AC448/AC441-1</f>
        <v>0.32535885167464129</v>
      </c>
      <c r="AF448" s="1581"/>
      <c r="AG448" s="30" t="s">
        <v>489</v>
      </c>
      <c r="AH448" s="1589">
        <f t="shared" ref="AH448:AH452" si="337">IFERROR(H448/AE448, "NM")</f>
        <v>41.214980163589139</v>
      </c>
      <c r="AI448" s="35" t="s">
        <v>489</v>
      </c>
      <c r="AJ448" s="1590">
        <f>T448</f>
        <v>1302</v>
      </c>
      <c r="AK448" s="1590">
        <f>S448</f>
        <v>1302</v>
      </c>
      <c r="AL448" s="1586">
        <f t="shared" ref="AL448:AL452" si="338">AJ448/AC448</f>
        <v>94.007220216606484</v>
      </c>
      <c r="AM448" s="1591"/>
      <c r="AN448" s="24"/>
      <c r="AO448" s="1587"/>
      <c r="AP448" s="30" t="s">
        <v>489</v>
      </c>
      <c r="AR448" s="798"/>
      <c r="AS448" s="1"/>
    </row>
    <row r="449" spans="1:45" hidden="1" outlineLevel="2">
      <c r="A449" s="24" t="str">
        <f>$A$28</f>
        <v>2Q</v>
      </c>
      <c r="B449" s="29" t="str">
        <f>$B$28</f>
        <v>Jul</v>
      </c>
      <c r="C449" s="24"/>
      <c r="D449" s="1581">
        <f>(S449/S442-1)*100</f>
        <v>4.1500399042298408</v>
      </c>
      <c r="E449" s="24"/>
      <c r="F449" s="1914">
        <v>-8</v>
      </c>
      <c r="G449" s="24"/>
      <c r="H449" s="1581">
        <f>D449-F449</f>
        <v>12.150039904229841</v>
      </c>
      <c r="I449" s="24"/>
      <c r="J449" s="1818">
        <v>1843</v>
      </c>
      <c r="K449" s="1913"/>
      <c r="L449" s="1583">
        <f>AVERAGE(J449,J448)</f>
        <v>1829</v>
      </c>
      <c r="M449" s="24"/>
      <c r="N449" s="1581">
        <f>(L449/L442-1)*100</f>
        <v>-1.0549093859886449</v>
      </c>
      <c r="O449" s="30"/>
      <c r="P449" s="1952">
        <f>H449/N449*100</f>
        <v>-1151.7614750240382</v>
      </c>
      <c r="Q449" s="35"/>
      <c r="R449" s="24"/>
      <c r="S449" s="1917">
        <v>1305</v>
      </c>
      <c r="T449" s="1954">
        <f t="shared" si="334"/>
        <v>1305</v>
      </c>
      <c r="U449" s="1917"/>
      <c r="V449" s="24">
        <f>T449/L449</f>
        <v>0.71350464734827779</v>
      </c>
      <c r="W449" s="1586">
        <f>S449/L449</f>
        <v>0.71350464734827779</v>
      </c>
      <c r="X449" s="24">
        <f t="shared" si="335"/>
        <v>5.2604421886106589</v>
      </c>
      <c r="Y449" s="1587">
        <f t="shared" si="335"/>
        <v>5.2604421886106589</v>
      </c>
      <c r="Z449" s="30"/>
      <c r="AA449" s="1816">
        <v>15.899999999999999</v>
      </c>
      <c r="AB449" s="1597"/>
      <c r="AC449" s="1588">
        <f>AVERAGE(AA449,AA448)</f>
        <v>15.75</v>
      </c>
      <c r="AD449" s="1588"/>
      <c r="AE449" s="24">
        <f t="shared" si="336"/>
        <v>0.45833333333333326</v>
      </c>
      <c r="AF449" s="1581"/>
      <c r="AG449" s="30"/>
      <c r="AH449" s="1589">
        <f t="shared" si="337"/>
        <v>26.50917797286511</v>
      </c>
      <c r="AI449" s="35"/>
      <c r="AJ449" s="1590">
        <f>T449</f>
        <v>1305</v>
      </c>
      <c r="AK449" s="1590">
        <f>S449</f>
        <v>1305</v>
      </c>
      <c r="AL449" s="1586">
        <f t="shared" si="338"/>
        <v>82.857142857142861</v>
      </c>
      <c r="AM449" s="1604"/>
      <c r="AN449" s="24"/>
      <c r="AO449" s="1587"/>
      <c r="AP449" s="30"/>
      <c r="AR449" s="798"/>
      <c r="AS449" s="1"/>
    </row>
    <row r="450" spans="1:45" hidden="1" outlineLevel="2">
      <c r="A450" s="24" t="str">
        <f>$A$29</f>
        <v>3Q</v>
      </c>
      <c r="B450" s="29" t="str">
        <f>$B$29</f>
        <v>Oct</v>
      </c>
      <c r="C450" s="24"/>
      <c r="D450" s="1581">
        <f>(S450/S443-1)*100</f>
        <v>-9.4729819879919912</v>
      </c>
      <c r="E450" s="24"/>
      <c r="F450" s="1914">
        <v>-17</v>
      </c>
      <c r="G450" s="24"/>
      <c r="H450" s="1581">
        <f>D450-F450</f>
        <v>7.5270180120080088</v>
      </c>
      <c r="I450" s="24"/>
      <c r="J450" s="1818">
        <v>1863</v>
      </c>
      <c r="K450" s="1913"/>
      <c r="L450" s="1583">
        <f>AVERAGE(J450,J449)</f>
        <v>1853</v>
      </c>
      <c r="M450" s="24"/>
      <c r="N450" s="1581">
        <f>(L450/L443-1)*100</f>
        <v>-4.6565474659120198</v>
      </c>
      <c r="O450" s="30"/>
      <c r="P450" s="1952">
        <f>H450/N450*100</f>
        <v>-161.64375145124365</v>
      </c>
      <c r="Q450" s="35"/>
      <c r="R450" s="24"/>
      <c r="S450" s="1917">
        <v>1357</v>
      </c>
      <c r="T450" s="1954">
        <f t="shared" si="334"/>
        <v>1357</v>
      </c>
      <c r="U450" s="1917"/>
      <c r="V450" s="24">
        <f>T450/L450</f>
        <v>0.73232595790609822</v>
      </c>
      <c r="W450" s="1586">
        <f>S450/L450</f>
        <v>0.73232595790609822</v>
      </c>
      <c r="X450" s="24">
        <f t="shared" si="335"/>
        <v>-5.0516678325215558</v>
      </c>
      <c r="Y450" s="1587">
        <f t="shared" si="335"/>
        <v>-5.0516678325215558</v>
      </c>
      <c r="Z450" s="30"/>
      <c r="AA450" s="1816">
        <v>16.5</v>
      </c>
      <c r="AB450" s="1597"/>
      <c r="AC450" s="1588">
        <f t="shared" ref="AC450:AC451" si="339">AVERAGE(AA450,AA449)</f>
        <v>16.2</v>
      </c>
      <c r="AD450" s="1588"/>
      <c r="AE450" s="24">
        <f t="shared" si="336"/>
        <v>0.43999999999999995</v>
      </c>
      <c r="AF450" s="1581"/>
      <c r="AG450" s="30"/>
      <c r="AH450" s="1589">
        <f t="shared" si="337"/>
        <v>17.10685911820002</v>
      </c>
      <c r="AI450" s="35"/>
      <c r="AJ450" s="1590">
        <f>T450</f>
        <v>1357</v>
      </c>
      <c r="AK450" s="1590">
        <f>S450</f>
        <v>1357</v>
      </c>
      <c r="AL450" s="1586">
        <f t="shared" si="338"/>
        <v>83.76543209876543</v>
      </c>
      <c r="AM450" s="1604"/>
      <c r="AN450" s="24"/>
      <c r="AO450" s="1587"/>
      <c r="AP450" s="30"/>
      <c r="AR450" s="1"/>
      <c r="AS450" s="1"/>
    </row>
    <row r="451" spans="1:45" hidden="1" outlineLevel="2">
      <c r="A451" s="24" t="str">
        <f>$A$30</f>
        <v>4Q</v>
      </c>
      <c r="B451" s="29" t="str">
        <f>$B$30</f>
        <v>Jan</v>
      </c>
      <c r="C451" s="24"/>
      <c r="D451" s="1606">
        <f>(S451/S444-1)*100</f>
        <v>-15.416238437821173</v>
      </c>
      <c r="E451" s="24"/>
      <c r="F451" s="1915">
        <v>-16</v>
      </c>
      <c r="G451" s="24"/>
      <c r="H451" s="1606">
        <f>D451-F451</f>
        <v>0.58376156217882702</v>
      </c>
      <c r="I451" s="24"/>
      <c r="J451" s="1818">
        <v>1858</v>
      </c>
      <c r="K451" s="1913"/>
      <c r="L451" s="1608">
        <f>AVERAGE(J451,J450)</f>
        <v>1860.5</v>
      </c>
      <c r="M451" s="24"/>
      <c r="N451" s="1606">
        <f>(L451/L444-1)*100</f>
        <v>-8.8213673119333471</v>
      </c>
      <c r="O451" s="30"/>
      <c r="P451" s="1955">
        <f>H451/N451*100</f>
        <v>-6.6175859312549825</v>
      </c>
      <c r="Q451" s="35"/>
      <c r="R451" s="24"/>
      <c r="S451" s="1918">
        <v>1646</v>
      </c>
      <c r="T451" s="1826">
        <f t="shared" si="334"/>
        <v>1646</v>
      </c>
      <c r="U451" s="1919"/>
      <c r="V451" s="24">
        <f>T451/L451</f>
        <v>0.88470841171728032</v>
      </c>
      <c r="W451" s="1586">
        <f>S451/L451</f>
        <v>0.88470841171728032</v>
      </c>
      <c r="X451" s="24">
        <f t="shared" si="335"/>
        <v>-7.2329129440333766</v>
      </c>
      <c r="Y451" s="1612">
        <f t="shared" si="335"/>
        <v>-7.2329129440333766</v>
      </c>
      <c r="Z451" s="30"/>
      <c r="AA451" s="1816">
        <v>16.7</v>
      </c>
      <c r="AB451" s="1597"/>
      <c r="AC451" s="1588">
        <f t="shared" si="339"/>
        <v>16.600000000000001</v>
      </c>
      <c r="AD451" s="1613"/>
      <c r="AE451" s="24">
        <f t="shared" si="336"/>
        <v>0.40677966101694918</v>
      </c>
      <c r="AF451" s="1606"/>
      <c r="AG451" s="30"/>
      <c r="AH451" s="1608">
        <f t="shared" si="337"/>
        <v>1.4350805070229498</v>
      </c>
      <c r="AI451" s="35"/>
      <c r="AJ451" s="1590">
        <f>T451</f>
        <v>1646</v>
      </c>
      <c r="AK451" s="1590">
        <f>S451</f>
        <v>1646</v>
      </c>
      <c r="AL451" s="1586">
        <f t="shared" si="338"/>
        <v>99.156626506024082</v>
      </c>
      <c r="AM451" s="1615"/>
      <c r="AN451" s="24"/>
      <c r="AO451" s="1612"/>
      <c r="AP451" s="30"/>
      <c r="AR451" s="798"/>
      <c r="AS451" s="798"/>
    </row>
    <row r="452" spans="1:45" hidden="1" outlineLevel="2">
      <c r="A452" s="24"/>
      <c r="B452" s="29" t="str">
        <f>$B$31</f>
        <v>Year</v>
      </c>
      <c r="C452" s="24"/>
      <c r="D452" s="1581">
        <f>(S452/S445-1)*100</f>
        <v>-4.8991354466858761</v>
      </c>
      <c r="E452" s="24"/>
      <c r="F452" s="1920">
        <v>-12</v>
      </c>
      <c r="G452" s="24"/>
      <c r="H452" s="1581">
        <f>D452-F452</f>
        <v>7.1008645533141239</v>
      </c>
      <c r="I452" s="24"/>
      <c r="J452" s="1818"/>
      <c r="K452" s="24"/>
      <c r="L452" s="1583">
        <f>AVERAGE(L448:L451)</f>
        <v>1872.375</v>
      </c>
      <c r="M452" s="24"/>
      <c r="N452" s="1581">
        <f>(L452/L445-1)*100</f>
        <v>-1.738388874311203</v>
      </c>
      <c r="O452" s="30"/>
      <c r="P452" s="1952">
        <f>H452/N452*100</f>
        <v>-408.47388396498337</v>
      </c>
      <c r="Q452" s="35"/>
      <c r="R452" s="24"/>
      <c r="S452" s="1590">
        <v>5610</v>
      </c>
      <c r="T452" s="1824">
        <f t="shared" si="334"/>
        <v>5610</v>
      </c>
      <c r="U452" s="1590"/>
      <c r="V452" s="24">
        <f>T452/L452</f>
        <v>2.996194672541558</v>
      </c>
      <c r="W452" s="1586">
        <f>S452/L452</f>
        <v>2.996194672541558</v>
      </c>
      <c r="X452" s="24">
        <f t="shared" si="335"/>
        <v>-3.2166647138847537</v>
      </c>
      <c r="Y452" s="1587">
        <f t="shared" si="335"/>
        <v>-3.2166647138847537</v>
      </c>
      <c r="Z452" s="30"/>
      <c r="AA452" s="1816"/>
      <c r="AB452" s="24"/>
      <c r="AC452" s="1597">
        <f>AVERAGE(AC448:AC451)</f>
        <v>15.6</v>
      </c>
      <c r="AD452" s="1588"/>
      <c r="AE452" s="24">
        <f t="shared" si="336"/>
        <v>0.40857787810383761</v>
      </c>
      <c r="AF452" s="1581"/>
      <c r="AG452" s="30"/>
      <c r="AH452" s="1589">
        <f t="shared" si="337"/>
        <v>17.379464072476001</v>
      </c>
      <c r="AI452" s="35"/>
      <c r="AJ452" s="1590">
        <f>T452</f>
        <v>5610</v>
      </c>
      <c r="AK452" s="1590">
        <f>S452</f>
        <v>5610</v>
      </c>
      <c r="AL452" s="1586">
        <f t="shared" si="338"/>
        <v>359.61538461538464</v>
      </c>
      <c r="AM452" s="1591"/>
      <c r="AN452" s="24"/>
      <c r="AO452" s="1587"/>
      <c r="AP452" s="30"/>
      <c r="AR452" s="798"/>
      <c r="AS452" s="798"/>
    </row>
    <row r="453" spans="1:45" hidden="1" outlineLevel="2">
      <c r="A453" s="24"/>
      <c r="B453" s="29"/>
      <c r="C453" s="24"/>
      <c r="D453" s="24"/>
      <c r="E453" s="24"/>
      <c r="F453" s="1816"/>
      <c r="G453" s="24"/>
      <c r="H453" s="24"/>
      <c r="I453" s="24"/>
      <c r="J453" s="1818"/>
      <c r="K453" s="24"/>
      <c r="L453" s="24"/>
      <c r="M453" s="24"/>
      <c r="N453" s="24"/>
      <c r="O453" s="30"/>
      <c r="P453" s="1782"/>
      <c r="Q453" s="24"/>
      <c r="R453" s="24"/>
      <c r="S453" s="24"/>
      <c r="T453" s="1782"/>
      <c r="U453" s="24"/>
      <c r="V453" s="24"/>
      <c r="W453" s="24"/>
      <c r="X453" s="24"/>
      <c r="Y453" s="24"/>
      <c r="Z453" s="24"/>
      <c r="AA453" s="1816"/>
      <c r="AB453" s="24"/>
      <c r="AC453" s="24"/>
      <c r="AD453" s="24"/>
      <c r="AE453" s="24"/>
      <c r="AF453" s="24"/>
      <c r="AG453" s="30"/>
      <c r="AH453" s="24"/>
      <c r="AI453" s="24"/>
      <c r="AJ453" s="24"/>
      <c r="AK453" s="24"/>
      <c r="AL453" s="24"/>
      <c r="AM453" s="24"/>
      <c r="AN453" s="24"/>
      <c r="AO453" s="24"/>
      <c r="AP453" s="24"/>
      <c r="AR453" s="798"/>
      <c r="AS453" s="798"/>
    </row>
    <row r="454" spans="1:45" hidden="1" outlineLevel="2">
      <c r="A454" s="1579"/>
      <c r="B454" s="1908">
        <v>2002</v>
      </c>
      <c r="C454" s="24"/>
      <c r="D454" s="24"/>
      <c r="E454" s="30"/>
      <c r="F454" s="1816"/>
      <c r="G454" s="30"/>
      <c r="H454" s="24"/>
      <c r="I454" s="30"/>
      <c r="J454" s="1818"/>
      <c r="K454" s="24"/>
      <c r="L454" s="24"/>
      <c r="M454" s="24"/>
      <c r="N454" s="24"/>
      <c r="O454" s="30"/>
      <c r="P454" s="1953"/>
      <c r="Q454" s="35"/>
      <c r="R454" s="24"/>
      <c r="S454" s="24"/>
      <c r="T454" s="1782"/>
      <c r="U454" s="24"/>
      <c r="V454" s="24"/>
      <c r="W454" s="24"/>
      <c r="X454" s="24"/>
      <c r="Y454" s="24"/>
      <c r="Z454" s="30"/>
      <c r="AA454" s="1816"/>
      <c r="AB454" s="24"/>
      <c r="AC454" s="24"/>
      <c r="AD454" s="24"/>
      <c r="AE454" s="24"/>
      <c r="AF454" s="24"/>
      <c r="AG454" s="30"/>
      <c r="AH454" s="35"/>
      <c r="AI454" s="35"/>
      <c r="AJ454" s="24"/>
      <c r="AK454" s="24"/>
      <c r="AL454" s="24"/>
      <c r="AM454" s="24"/>
      <c r="AN454" s="24"/>
      <c r="AO454" s="24"/>
      <c r="AP454" s="30"/>
      <c r="AR454" s="798"/>
      <c r="AS454" s="798"/>
    </row>
    <row r="455" spans="1:45" hidden="1" outlineLevel="2">
      <c r="A455" s="24" t="str">
        <f>$A$27</f>
        <v>1Q</v>
      </c>
      <c r="B455" s="29" t="str">
        <f>$B$27</f>
        <v>Apr</v>
      </c>
      <c r="C455" s="24"/>
      <c r="D455" s="1581">
        <f>(S455/S448-1)*100</f>
        <v>-15.207373271889402</v>
      </c>
      <c r="E455" s="30" t="s">
        <v>489</v>
      </c>
      <c r="F455" s="1921">
        <v>-20</v>
      </c>
      <c r="G455" s="30" t="s">
        <v>489</v>
      </c>
      <c r="H455" s="1581">
        <f>D455-F455</f>
        <v>4.7926267281105979</v>
      </c>
      <c r="I455" s="30" t="s">
        <v>489</v>
      </c>
      <c r="J455" s="1818">
        <v>1863</v>
      </c>
      <c r="K455" s="24" t="s">
        <v>31</v>
      </c>
      <c r="L455" s="1583">
        <f>AVERAGE(J455,J451)</f>
        <v>1860.5</v>
      </c>
      <c r="M455" s="24"/>
      <c r="N455" s="1581">
        <f>(L455/L448-1)*100</f>
        <v>-4.4427324088341047</v>
      </c>
      <c r="O455" s="30" t="s">
        <v>489</v>
      </c>
      <c r="P455" s="1952">
        <f>H455/N455*100</f>
        <v>-107.87565594949517</v>
      </c>
      <c r="Q455" s="35" t="s">
        <v>489</v>
      </c>
      <c r="R455" s="24"/>
      <c r="S455" s="1916">
        <v>1104</v>
      </c>
      <c r="T455" s="1824">
        <f t="shared" ref="T455:T459" si="340">S455-AQ455</f>
        <v>1104</v>
      </c>
      <c r="U455" s="1916"/>
      <c r="V455" s="24">
        <f>T455/L455</f>
        <v>0.59338887395861328</v>
      </c>
      <c r="W455" s="1586">
        <f>S455/L455</f>
        <v>0.59338887395861328</v>
      </c>
      <c r="X455" s="24">
        <f t="shared" ref="X455:Y459" si="341">(V455/V448-1)*100</f>
        <v>-11.265120000198149</v>
      </c>
      <c r="Y455" s="1587">
        <f t="shared" si="341"/>
        <v>-11.265120000198149</v>
      </c>
      <c r="Z455" s="30" t="s">
        <v>489</v>
      </c>
      <c r="AA455" s="1816">
        <v>16.8</v>
      </c>
      <c r="AB455" s="1597"/>
      <c r="AC455" s="1588">
        <f>AVERAGE(AA455,AA451)</f>
        <v>16.75</v>
      </c>
      <c r="AD455" s="1588"/>
      <c r="AE455" s="24">
        <f t="shared" ref="AE455:AE459" si="342">AC455/AC448-1</f>
        <v>0.20938628158844752</v>
      </c>
      <c r="AF455" s="1581"/>
      <c r="AG455" s="30" t="s">
        <v>489</v>
      </c>
      <c r="AH455" s="1589">
        <f t="shared" ref="AH455:AH459" si="343">IFERROR(H455/AE455, "NM")</f>
        <v>22.888924201493733</v>
      </c>
      <c r="AI455" s="35" t="s">
        <v>489</v>
      </c>
      <c r="AJ455" s="1590">
        <f>T455</f>
        <v>1104</v>
      </c>
      <c r="AK455" s="1590">
        <f>S455</f>
        <v>1104</v>
      </c>
      <c r="AL455" s="1586">
        <f t="shared" ref="AL455:AL459" si="344">AJ455/AC455</f>
        <v>65.910447761194035</v>
      </c>
      <c r="AM455" s="1591"/>
      <c r="AN455" s="24"/>
      <c r="AO455" s="1587"/>
      <c r="AP455" s="30" t="s">
        <v>489</v>
      </c>
      <c r="AR455" s="798"/>
      <c r="AS455" s="1"/>
    </row>
    <row r="456" spans="1:45" hidden="1" outlineLevel="2">
      <c r="A456" s="24" t="str">
        <f>$A$28</f>
        <v>2Q</v>
      </c>
      <c r="B456" s="29" t="str">
        <f>$B$28</f>
        <v>Jul</v>
      </c>
      <c r="C456" s="24"/>
      <c r="D456" s="1581">
        <f>(S456/S449-1)*100</f>
        <v>-8.7356321839080486</v>
      </c>
      <c r="E456" s="24"/>
      <c r="F456" s="1921">
        <v>-13</v>
      </c>
      <c r="G456" s="24"/>
      <c r="H456" s="1581">
        <f>D456-F456</f>
        <v>4.2643678160919514</v>
      </c>
      <c r="I456" s="24"/>
      <c r="J456" s="1818">
        <v>1857</v>
      </c>
      <c r="K456" s="24"/>
      <c r="L456" s="1583">
        <f>AVERAGE(J456,J455)</f>
        <v>1860</v>
      </c>
      <c r="M456" s="24"/>
      <c r="N456" s="1581">
        <f>(L456/L449-1)*100</f>
        <v>1.6949152542372836</v>
      </c>
      <c r="O456" s="30"/>
      <c r="P456" s="1952">
        <f>H456/N456*100</f>
        <v>251.5977011494258</v>
      </c>
      <c r="Q456" s="35"/>
      <c r="R456" s="24"/>
      <c r="S456" s="1917">
        <v>1191</v>
      </c>
      <c r="T456" s="1954">
        <f t="shared" si="340"/>
        <v>1191</v>
      </c>
      <c r="U456" s="1917"/>
      <c r="V456" s="24">
        <f>T456/L456</f>
        <v>0.64032258064516134</v>
      </c>
      <c r="W456" s="1586">
        <f>S456/L456</f>
        <v>0.64032258064516134</v>
      </c>
      <c r="X456" s="24">
        <f t="shared" si="341"/>
        <v>-10.256704980842912</v>
      </c>
      <c r="Y456" s="1587">
        <f t="shared" si="341"/>
        <v>-10.256704980842912</v>
      </c>
      <c r="Z456" s="30"/>
      <c r="AA456" s="1816">
        <v>16.900000000000002</v>
      </c>
      <c r="AB456" s="1597"/>
      <c r="AC456" s="1588">
        <f>AVERAGE(AA456,AA455)</f>
        <v>16.850000000000001</v>
      </c>
      <c r="AD456" s="1588"/>
      <c r="AE456" s="24">
        <f t="shared" si="342"/>
        <v>6.9841269841270037E-2</v>
      </c>
      <c r="AF456" s="1581"/>
      <c r="AG456" s="30"/>
      <c r="AH456" s="1589">
        <f t="shared" si="343"/>
        <v>61.057993730407311</v>
      </c>
      <c r="AI456" s="35"/>
      <c r="AJ456" s="1590">
        <f>T456</f>
        <v>1191</v>
      </c>
      <c r="AK456" s="1590">
        <f>S456</f>
        <v>1191</v>
      </c>
      <c r="AL456" s="1586">
        <f t="shared" si="344"/>
        <v>70.682492581602375</v>
      </c>
      <c r="AM456" s="1604"/>
      <c r="AN456" s="24"/>
      <c r="AO456" s="1587"/>
      <c r="AP456" s="30"/>
      <c r="AR456" s="798"/>
      <c r="AS456" s="1"/>
    </row>
    <row r="457" spans="1:45" hidden="1" outlineLevel="2">
      <c r="A457" s="24" t="str">
        <f>$A$29</f>
        <v>3Q</v>
      </c>
      <c r="B457" s="29" t="str">
        <f>$B$29</f>
        <v>Oct</v>
      </c>
      <c r="C457" s="24"/>
      <c r="D457" s="1581">
        <f>(S457/S450-1)*100</f>
        <v>1.7686072218128235</v>
      </c>
      <c r="E457" s="24"/>
      <c r="F457" s="1616">
        <v>-2</v>
      </c>
      <c r="G457" s="24"/>
      <c r="H457" s="1581">
        <f>D457-F457</f>
        <v>3.7686072218128235</v>
      </c>
      <c r="I457" s="24"/>
      <c r="J457" s="1818">
        <v>1862</v>
      </c>
      <c r="K457" s="24"/>
      <c r="L457" s="1583">
        <f>AVERAGE(J457,J456)</f>
        <v>1859.5</v>
      </c>
      <c r="M457" s="24"/>
      <c r="N457" s="1581">
        <f>(L457/L450-1)*100</f>
        <v>0.35078251484079725</v>
      </c>
      <c r="O457" s="30"/>
      <c r="P457" s="1952">
        <f>H457/N457*100</f>
        <v>1074.3429510798755</v>
      </c>
      <c r="Q457" s="35"/>
      <c r="R457" s="24"/>
      <c r="S457" s="1917">
        <v>1381</v>
      </c>
      <c r="T457" s="1954">
        <f t="shared" si="340"/>
        <v>1381</v>
      </c>
      <c r="U457" s="1917"/>
      <c r="V457" s="24">
        <f>T457/L457</f>
        <v>0.74267276149502559</v>
      </c>
      <c r="W457" s="1586">
        <f>S457/L457</f>
        <v>0.74267276149502559</v>
      </c>
      <c r="X457" s="24">
        <f t="shared" si="341"/>
        <v>1.4128686109272204</v>
      </c>
      <c r="Y457" s="1587">
        <f t="shared" si="341"/>
        <v>1.4128686109272204</v>
      </c>
      <c r="Z457" s="30"/>
      <c r="AA457" s="1816">
        <v>16.900000000000002</v>
      </c>
      <c r="AB457" s="1597"/>
      <c r="AC457" s="1588">
        <f t="shared" ref="AC457:AC458" si="345">AVERAGE(AA457,AA456)</f>
        <v>16.900000000000002</v>
      </c>
      <c r="AD457" s="1588"/>
      <c r="AE457" s="24">
        <f t="shared" si="342"/>
        <v>4.3209876543210068E-2</v>
      </c>
      <c r="AF457" s="1581"/>
      <c r="AG457" s="30"/>
      <c r="AH457" s="1589">
        <f t="shared" si="343"/>
        <v>87.216338561953521</v>
      </c>
      <c r="AI457" s="35"/>
      <c r="AJ457" s="1590">
        <f>T457</f>
        <v>1381</v>
      </c>
      <c r="AK457" s="1590">
        <f>S457</f>
        <v>1381</v>
      </c>
      <c r="AL457" s="1586">
        <f t="shared" si="344"/>
        <v>81.715976331360935</v>
      </c>
      <c r="AM457" s="1604"/>
      <c r="AN457" s="24"/>
      <c r="AO457" s="1587"/>
      <c r="AP457" s="30"/>
      <c r="AR457" s="1"/>
      <c r="AS457" s="1"/>
    </row>
    <row r="458" spans="1:45" hidden="1" outlineLevel="2">
      <c r="A458" s="24" t="str">
        <f>$A$30</f>
        <v>4Q</v>
      </c>
      <c r="B458" s="29" t="str">
        <f>$B$30</f>
        <v>Jan</v>
      </c>
      <c r="C458" s="24"/>
      <c r="D458" s="1606">
        <f>(S458/S451-1)*100</f>
        <v>6.925880923450789</v>
      </c>
      <c r="E458" s="24"/>
      <c r="F458" s="1607">
        <v>4</v>
      </c>
      <c r="G458" s="24"/>
      <c r="H458" s="1606">
        <f>D458-F458</f>
        <v>2.925880923450789</v>
      </c>
      <c r="I458" s="24"/>
      <c r="J458" s="1818">
        <v>1834</v>
      </c>
      <c r="K458" s="1913"/>
      <c r="L458" s="1608">
        <f>AVERAGE(J458,J457)</f>
        <v>1848</v>
      </c>
      <c r="M458" s="24"/>
      <c r="N458" s="1606">
        <f>(L458/L451-1)*100</f>
        <v>-0.671862402579948</v>
      </c>
      <c r="O458" s="30"/>
      <c r="P458" s="1955">
        <f>H458/N458*100</f>
        <v>-435.48811664641784</v>
      </c>
      <c r="Q458" s="35"/>
      <c r="R458" s="24"/>
      <c r="S458" s="1918">
        <v>1760</v>
      </c>
      <c r="T458" s="1826">
        <f t="shared" si="340"/>
        <v>1760</v>
      </c>
      <c r="U458" s="1919"/>
      <c r="V458" s="24">
        <f>T458/L458</f>
        <v>0.95238095238095233</v>
      </c>
      <c r="W458" s="1586">
        <f>S458/L458</f>
        <v>0.95238095238095233</v>
      </c>
      <c r="X458" s="24">
        <f t="shared" si="341"/>
        <v>7.6491349881386173</v>
      </c>
      <c r="Y458" s="1612">
        <f t="shared" si="341"/>
        <v>7.6491349881386173</v>
      </c>
      <c r="Z458" s="30"/>
      <c r="AA458" s="1816">
        <v>16.8</v>
      </c>
      <c r="AB458" s="1597"/>
      <c r="AC458" s="1588">
        <f t="shared" si="345"/>
        <v>16.850000000000001</v>
      </c>
      <c r="AD458" s="1613"/>
      <c r="AE458" s="24">
        <f t="shared" si="342"/>
        <v>1.5060240963855387E-2</v>
      </c>
      <c r="AF458" s="1606"/>
      <c r="AG458" s="30"/>
      <c r="AH458" s="1608">
        <f t="shared" si="343"/>
        <v>194.27849331713284</v>
      </c>
      <c r="AI458" s="35"/>
      <c r="AJ458" s="1590">
        <f>T458</f>
        <v>1760</v>
      </c>
      <c r="AK458" s="1590">
        <f>S458</f>
        <v>1760</v>
      </c>
      <c r="AL458" s="1586">
        <f t="shared" si="344"/>
        <v>104.45103857566765</v>
      </c>
      <c r="AM458" s="1615"/>
      <c r="AN458" s="24"/>
      <c r="AO458" s="1612"/>
      <c r="AP458" s="30"/>
      <c r="AR458" s="798"/>
      <c r="AS458" s="798"/>
    </row>
    <row r="459" spans="1:45" hidden="1" outlineLevel="2">
      <c r="A459" s="24"/>
      <c r="B459" s="29" t="str">
        <f>$B$31</f>
        <v>Year</v>
      </c>
      <c r="C459" s="24"/>
      <c r="D459" s="1581">
        <f>(S459/S452-1)*100</f>
        <v>-3.1016042780748654</v>
      </c>
      <c r="E459" s="24"/>
      <c r="F459" s="1920">
        <v>-7.0000000000000009</v>
      </c>
      <c r="G459" s="24"/>
      <c r="H459" s="1581">
        <f>D459-F459</f>
        <v>3.8983957219251355</v>
      </c>
      <c r="I459" s="24"/>
      <c r="J459" s="1816"/>
      <c r="K459" s="24"/>
      <c r="L459" s="1583">
        <f>AVERAGE(L455:L458)</f>
        <v>1857</v>
      </c>
      <c r="M459" s="24"/>
      <c r="N459" s="1581">
        <f>(L459/L452-1)*100</f>
        <v>-0.82114960945323112</v>
      </c>
      <c r="O459" s="30"/>
      <c r="P459" s="1952">
        <f>H459/N459*100</f>
        <v>-474.74853267249466</v>
      </c>
      <c r="Q459" s="35"/>
      <c r="R459" s="24"/>
      <c r="S459" s="1590">
        <v>5436</v>
      </c>
      <c r="T459" s="1824">
        <f t="shared" si="340"/>
        <v>5436</v>
      </c>
      <c r="U459" s="1590"/>
      <c r="V459" s="24">
        <f>T459/L459</f>
        <v>2.9273021001615507</v>
      </c>
      <c r="W459" s="1586">
        <f>S459/L459</f>
        <v>2.9273021001615507</v>
      </c>
      <c r="X459" s="24">
        <f t="shared" si="341"/>
        <v>-2.2993356543674959</v>
      </c>
      <c r="Y459" s="1587">
        <f t="shared" si="341"/>
        <v>-2.2993356543674959</v>
      </c>
      <c r="Z459" s="30"/>
      <c r="AA459" s="1816"/>
      <c r="AB459" s="24"/>
      <c r="AC459" s="1597">
        <f>AVERAGE(AC455:AC458)</f>
        <v>16.837499999999999</v>
      </c>
      <c r="AD459" s="1588"/>
      <c r="AE459" s="24">
        <f t="shared" si="342"/>
        <v>7.9326923076922906E-2</v>
      </c>
      <c r="AF459" s="1581"/>
      <c r="AG459" s="30"/>
      <c r="AH459" s="1589">
        <f t="shared" si="343"/>
        <v>49.143412736995757</v>
      </c>
      <c r="AI459" s="35"/>
      <c r="AJ459" s="1590">
        <f>T459</f>
        <v>5436</v>
      </c>
      <c r="AK459" s="1590">
        <f>S459</f>
        <v>5436</v>
      </c>
      <c r="AL459" s="1586">
        <f t="shared" si="344"/>
        <v>322.85077951002228</v>
      </c>
      <c r="AM459" s="1591"/>
      <c r="AN459" s="24"/>
      <c r="AO459" s="1587"/>
      <c r="AP459" s="30"/>
      <c r="AR459" s="798"/>
      <c r="AS459" s="798"/>
    </row>
    <row r="460" spans="1:45" hidden="1" outlineLevel="2">
      <c r="A460" s="24"/>
      <c r="B460" s="29"/>
      <c r="C460" s="24"/>
      <c r="D460" s="24"/>
      <c r="E460" s="24"/>
      <c r="F460" s="1816"/>
      <c r="G460" s="24"/>
      <c r="H460" s="24"/>
      <c r="I460" s="24"/>
      <c r="J460" s="1816"/>
      <c r="K460" s="24"/>
      <c r="L460" s="24"/>
      <c r="M460" s="24"/>
      <c r="N460" s="24"/>
      <c r="O460" s="30"/>
      <c r="P460" s="1782"/>
      <c r="Q460" s="24"/>
      <c r="R460" s="24"/>
      <c r="S460" s="24"/>
      <c r="T460" s="1782"/>
      <c r="U460" s="24"/>
      <c r="V460" s="24"/>
      <c r="W460" s="24"/>
      <c r="X460" s="24"/>
      <c r="Y460" s="24"/>
      <c r="Z460" s="24"/>
      <c r="AA460" s="1816"/>
      <c r="AB460" s="24"/>
      <c r="AC460" s="24"/>
      <c r="AD460" s="24"/>
      <c r="AE460" s="24"/>
      <c r="AF460" s="24"/>
      <c r="AG460" s="30"/>
      <c r="AH460" s="24"/>
      <c r="AI460" s="24"/>
      <c r="AJ460" s="24"/>
      <c r="AK460" s="24"/>
      <c r="AL460" s="24"/>
      <c r="AM460" s="24"/>
      <c r="AN460" s="24"/>
      <c r="AO460" s="24"/>
      <c r="AP460" s="24"/>
      <c r="AR460" s="798"/>
      <c r="AS460" s="798"/>
    </row>
    <row r="461" spans="1:45" hidden="1" outlineLevel="2">
      <c r="A461" s="1579"/>
      <c r="B461" s="1908">
        <v>2003</v>
      </c>
      <c r="C461" s="24"/>
      <c r="D461" s="24"/>
      <c r="E461" s="30"/>
      <c r="F461" s="1816"/>
      <c r="G461" s="30"/>
      <c r="H461" s="24"/>
      <c r="I461" s="30"/>
      <c r="J461" s="1816"/>
      <c r="K461" s="24"/>
      <c r="L461" s="24"/>
      <c r="M461" s="24"/>
      <c r="N461" s="24"/>
      <c r="O461" s="30"/>
      <c r="P461" s="1953"/>
      <c r="Q461" s="35"/>
      <c r="R461" s="24"/>
      <c r="S461" s="24"/>
      <c r="T461" s="1782"/>
      <c r="U461" s="24"/>
      <c r="V461" s="24"/>
      <c r="W461" s="24"/>
      <c r="X461" s="24"/>
      <c r="Y461" s="24"/>
      <c r="Z461" s="30"/>
      <c r="AA461" s="1816"/>
      <c r="AB461" s="24"/>
      <c r="AC461" s="24"/>
      <c r="AD461" s="24"/>
      <c r="AE461" s="24"/>
      <c r="AF461" s="24"/>
      <c r="AG461" s="30"/>
      <c r="AH461" s="35"/>
      <c r="AI461" s="35"/>
      <c r="AJ461" s="24"/>
      <c r="AK461" s="24"/>
      <c r="AL461" s="24"/>
      <c r="AM461" s="24"/>
      <c r="AN461" s="24"/>
      <c r="AO461" s="24"/>
      <c r="AP461" s="30"/>
      <c r="AR461" s="798"/>
      <c r="AS461" s="798"/>
    </row>
    <row r="462" spans="1:45" hidden="1" outlineLevel="2">
      <c r="A462" s="24" t="str">
        <f>$A$27</f>
        <v>1Q</v>
      </c>
      <c r="B462" s="29" t="str">
        <f>$B$27</f>
        <v>Apr</v>
      </c>
      <c r="C462" s="24"/>
      <c r="D462" s="1581">
        <f>(S462/S455-1)*100</f>
        <v>12.137681159420289</v>
      </c>
      <c r="E462" s="30" t="s">
        <v>489</v>
      </c>
      <c r="F462" s="1616">
        <v>12</v>
      </c>
      <c r="G462" s="30" t="s">
        <v>489</v>
      </c>
      <c r="H462" s="1581">
        <f>D462-F462</f>
        <v>0.13768115942028913</v>
      </c>
      <c r="I462" s="30" t="s">
        <v>489</v>
      </c>
      <c r="J462" s="1818">
        <v>1822</v>
      </c>
      <c r="K462" s="1913"/>
      <c r="L462" s="1583">
        <f>AVERAGE(J462,J458)</f>
        <v>1828</v>
      </c>
      <c r="M462" s="24"/>
      <c r="N462" s="1581">
        <f>(L462/L455-1)*100</f>
        <v>-1.7468422467078693</v>
      </c>
      <c r="O462" s="30" t="s">
        <v>489</v>
      </c>
      <c r="P462" s="1952">
        <f>H462/N462*100</f>
        <v>-7.881716833890728</v>
      </c>
      <c r="Q462" s="35" t="s">
        <v>489</v>
      </c>
      <c r="R462" s="24"/>
      <c r="S462" s="1916">
        <v>1238</v>
      </c>
      <c r="T462" s="1824">
        <f t="shared" ref="T462:T466" si="346">S462-AQ462</f>
        <v>1238</v>
      </c>
      <c r="U462" s="1916"/>
      <c r="V462" s="24">
        <f>T462/L462</f>
        <v>0.67724288840262581</v>
      </c>
      <c r="W462" s="1586">
        <f>S462/L462</f>
        <v>0.67724288840262581</v>
      </c>
      <c r="X462" s="24">
        <f t="shared" ref="X462:Y466" si="347">(V462/V455-1)*100</f>
        <v>14.131376256620044</v>
      </c>
      <c r="Y462" s="1587">
        <f t="shared" si="347"/>
        <v>14.131376256620044</v>
      </c>
      <c r="Z462" s="30" t="s">
        <v>489</v>
      </c>
      <c r="AA462" s="1816">
        <v>16.700000000000003</v>
      </c>
      <c r="AB462" s="1597"/>
      <c r="AC462" s="1588">
        <f>AVERAGE(AA462,AA458)</f>
        <v>16.75</v>
      </c>
      <c r="AD462" s="1588"/>
      <c r="AE462" s="24">
        <f t="shared" ref="AE462:AE466" si="348">AC462/AC455-1</f>
        <v>0</v>
      </c>
      <c r="AF462" s="1581"/>
      <c r="AG462" s="30" t="s">
        <v>489</v>
      </c>
      <c r="AH462" s="1589" t="str">
        <f t="shared" ref="AH462:AH466" si="349">IFERROR(H462/AE462, "NM")</f>
        <v>NM</v>
      </c>
      <c r="AI462" s="35" t="s">
        <v>489</v>
      </c>
      <c r="AJ462" s="1590">
        <f>T462</f>
        <v>1238</v>
      </c>
      <c r="AK462" s="1590">
        <f>S462</f>
        <v>1238</v>
      </c>
      <c r="AL462" s="1586">
        <f t="shared" ref="AL462:AL466" si="350">AJ462/AC462</f>
        <v>73.910447761194035</v>
      </c>
      <c r="AM462" s="1591"/>
      <c r="AN462" s="24"/>
      <c r="AO462" s="1587"/>
      <c r="AP462" s="30" t="s">
        <v>489</v>
      </c>
      <c r="AR462" s="798"/>
      <c r="AS462" s="1"/>
    </row>
    <row r="463" spans="1:45" hidden="1" outlineLevel="2">
      <c r="A463" s="24" t="str">
        <f>$A$28</f>
        <v>2Q</v>
      </c>
      <c r="B463" s="29" t="str">
        <f>$B$28</f>
        <v>Jul</v>
      </c>
      <c r="C463" s="24"/>
      <c r="D463" s="1581">
        <f>(S463/S456-1)*100</f>
        <v>9.2359361880772539</v>
      </c>
      <c r="E463" s="24"/>
      <c r="F463" s="1616">
        <v>9</v>
      </c>
      <c r="G463" s="24"/>
      <c r="H463" s="1581">
        <f>D463-F463</f>
        <v>0.23593618807725392</v>
      </c>
      <c r="I463" s="24"/>
      <c r="J463" s="1818">
        <v>1813</v>
      </c>
      <c r="K463" s="1913"/>
      <c r="L463" s="1583">
        <f>AVERAGE(J463,J462)</f>
        <v>1817.5</v>
      </c>
      <c r="M463" s="24"/>
      <c r="N463" s="1581">
        <f>(L463/L456-1)*100</f>
        <v>-2.2849462365591378</v>
      </c>
      <c r="O463" s="30"/>
      <c r="P463" s="1952">
        <f>H463/N463*100</f>
        <v>-10.325677878204534</v>
      </c>
      <c r="Q463" s="35"/>
      <c r="R463" s="24"/>
      <c r="S463" s="1917">
        <v>1301</v>
      </c>
      <c r="T463" s="1954">
        <f t="shared" si="346"/>
        <v>1301</v>
      </c>
      <c r="U463" s="1917"/>
      <c r="V463" s="24">
        <f>T463/L463</f>
        <v>0.71581843191196703</v>
      </c>
      <c r="W463" s="1586">
        <f>S463/L463</f>
        <v>0.71581843191196703</v>
      </c>
      <c r="X463" s="24">
        <f t="shared" si="347"/>
        <v>11.790284076931879</v>
      </c>
      <c r="Y463" s="1587">
        <f t="shared" si="347"/>
        <v>11.790284076931879</v>
      </c>
      <c r="Z463" s="30"/>
      <c r="AA463" s="1816">
        <v>16.600000000000001</v>
      </c>
      <c r="AB463" s="1597"/>
      <c r="AC463" s="1588">
        <f>AVERAGE(AA463,AA462)</f>
        <v>16.650000000000002</v>
      </c>
      <c r="AD463" s="1588"/>
      <c r="AE463" s="24">
        <f t="shared" si="348"/>
        <v>-1.1869436201780381E-2</v>
      </c>
      <c r="AF463" s="1581"/>
      <c r="AG463" s="30"/>
      <c r="AH463" s="1589">
        <f t="shared" si="349"/>
        <v>-19.877623845508701</v>
      </c>
      <c r="AI463" s="35"/>
      <c r="AJ463" s="1590">
        <f>T463</f>
        <v>1301</v>
      </c>
      <c r="AK463" s="1590">
        <f>S463</f>
        <v>1301</v>
      </c>
      <c r="AL463" s="1586">
        <f t="shared" si="350"/>
        <v>78.138138138138132</v>
      </c>
      <c r="AM463" s="1604"/>
      <c r="AN463" s="24"/>
      <c r="AO463" s="1587"/>
      <c r="AP463" s="30"/>
      <c r="AR463" s="798"/>
      <c r="AS463" s="1"/>
    </row>
    <row r="464" spans="1:45" hidden="1" outlineLevel="2">
      <c r="A464" s="24" t="str">
        <f>$A$29</f>
        <v>3Q</v>
      </c>
      <c r="B464" s="29" t="str">
        <f>$B$29</f>
        <v>Oct</v>
      </c>
      <c r="C464" s="24"/>
      <c r="D464" s="1581">
        <f>(S464/S457-1)*100</f>
        <v>5.0687907313540892</v>
      </c>
      <c r="E464" s="24"/>
      <c r="F464" s="1616">
        <v>5</v>
      </c>
      <c r="G464" s="24"/>
      <c r="H464" s="1581">
        <f>D464-F464</f>
        <v>6.8790731354089196E-2</v>
      </c>
      <c r="I464" s="24"/>
      <c r="J464" s="1818">
        <v>1794</v>
      </c>
      <c r="K464" s="1913"/>
      <c r="L464" s="1583">
        <f>AVERAGE(J464,J463)</f>
        <v>1803.5</v>
      </c>
      <c r="M464" s="24"/>
      <c r="N464" s="1581">
        <f>(L464/L457-1)*100</f>
        <v>-3.0115622479161108</v>
      </c>
      <c r="O464" s="30"/>
      <c r="P464" s="1821">
        <f t="shared" ref="P464:P465" si="351">H464/N464*100</f>
        <v>-2.2842208027308692</v>
      </c>
      <c r="Q464" s="35"/>
      <c r="R464" s="24"/>
      <c r="S464" s="1917">
        <v>1451</v>
      </c>
      <c r="T464" s="1954">
        <f t="shared" si="346"/>
        <v>1451</v>
      </c>
      <c r="U464" s="1917"/>
      <c r="V464" s="24">
        <f>T464/L464</f>
        <v>0.80454671472137507</v>
      </c>
      <c r="W464" s="1586">
        <f>S464/L464</f>
        <v>0.80454671472137507</v>
      </c>
      <c r="X464" s="24">
        <f t="shared" si="347"/>
        <v>8.3312538757709618</v>
      </c>
      <c r="Y464" s="1587">
        <f t="shared" si="347"/>
        <v>8.3312538757709618</v>
      </c>
      <c r="Z464" s="30"/>
      <c r="AA464" s="1816">
        <v>16.500000000000004</v>
      </c>
      <c r="AB464" s="1597"/>
      <c r="AC464" s="1588">
        <f t="shared" ref="AC464:AC465" si="352">AVERAGE(AA464,AA463)</f>
        <v>16.550000000000004</v>
      </c>
      <c r="AD464" s="1588"/>
      <c r="AE464" s="24">
        <f t="shared" si="348"/>
        <v>-2.0710059171597517E-2</v>
      </c>
      <c r="AF464" s="1581"/>
      <c r="AG464" s="30"/>
      <c r="AH464" s="1589">
        <f t="shared" si="349"/>
        <v>-3.3216095996688968</v>
      </c>
      <c r="AI464" s="35"/>
      <c r="AJ464" s="1590">
        <f>T464</f>
        <v>1451</v>
      </c>
      <c r="AK464" s="1590">
        <f>S464</f>
        <v>1451</v>
      </c>
      <c r="AL464" s="1586">
        <f t="shared" si="350"/>
        <v>87.673716012084569</v>
      </c>
      <c r="AM464" s="1604"/>
      <c r="AN464" s="24"/>
      <c r="AO464" s="1587"/>
      <c r="AP464" s="30"/>
      <c r="AR464" s="1"/>
      <c r="AS464" s="1"/>
    </row>
    <row r="465" spans="1:45" hidden="1" outlineLevel="2">
      <c r="A465" s="24" t="str">
        <f>$A$30</f>
        <v>4Q</v>
      </c>
      <c r="B465" s="29" t="str">
        <f>$B$30</f>
        <v>Jan</v>
      </c>
      <c r="C465" s="24"/>
      <c r="D465" s="1606">
        <f>(S465/S458-1)*100</f>
        <v>1.5340909090909127</v>
      </c>
      <c r="E465" s="24"/>
      <c r="F465" s="1607">
        <v>3</v>
      </c>
      <c r="G465" s="24"/>
      <c r="H465" s="1606">
        <f>D465-F465</f>
        <v>-1.4659090909090873</v>
      </c>
      <c r="I465" s="24"/>
      <c r="J465" s="1818">
        <v>1747</v>
      </c>
      <c r="K465" s="1913"/>
      <c r="L465" s="1608">
        <f>AVERAGE(J465,J464)</f>
        <v>1770.5</v>
      </c>
      <c r="M465" s="24"/>
      <c r="N465" s="1606">
        <f>(L465/L458-1)*100</f>
        <v>-4.1937229437229444</v>
      </c>
      <c r="O465" s="30"/>
      <c r="P465" s="1822">
        <f t="shared" si="351"/>
        <v>34.954838709677325</v>
      </c>
      <c r="Q465" s="35"/>
      <c r="R465" s="24"/>
      <c r="S465" s="1918">
        <v>1787</v>
      </c>
      <c r="T465" s="1826">
        <f t="shared" si="346"/>
        <v>1787</v>
      </c>
      <c r="U465" s="1919"/>
      <c r="V465" s="24">
        <f>T465/L465</f>
        <v>1.0093194012990681</v>
      </c>
      <c r="W465" s="1586">
        <f>S465/L465</f>
        <v>1.0093194012990681</v>
      </c>
      <c r="X465" s="24">
        <f t="shared" si="347"/>
        <v>5.9785371364021511</v>
      </c>
      <c r="Y465" s="1612">
        <f t="shared" si="347"/>
        <v>5.9785371364021511</v>
      </c>
      <c r="Z465" s="30"/>
      <c r="AA465" s="1816">
        <v>16.207457000000002</v>
      </c>
      <c r="AB465" s="1597"/>
      <c r="AC465" s="1588">
        <f t="shared" si="352"/>
        <v>16.353728500000003</v>
      </c>
      <c r="AD465" s="1613"/>
      <c r="AE465" s="24">
        <f t="shared" si="348"/>
        <v>-2.9452314540059255E-2</v>
      </c>
      <c r="AF465" s="1606"/>
      <c r="AG465" s="30"/>
      <c r="AH465" s="1608">
        <f t="shared" si="349"/>
        <v>49.772288317620898</v>
      </c>
      <c r="AI465" s="35"/>
      <c r="AJ465" s="1590">
        <f>T465</f>
        <v>1787</v>
      </c>
      <c r="AK465" s="1590">
        <f>S465</f>
        <v>1787</v>
      </c>
      <c r="AL465" s="1586">
        <f t="shared" si="350"/>
        <v>109.27171745574715</v>
      </c>
      <c r="AM465" s="1615"/>
      <c r="AN465" s="24"/>
      <c r="AO465" s="1612"/>
      <c r="AP465" s="30"/>
      <c r="AR465" s="798"/>
      <c r="AS465" s="798"/>
    </row>
    <row r="466" spans="1:45" hidden="1" outlineLevel="2">
      <c r="A466" s="24"/>
      <c r="B466" s="29" t="str">
        <f>$B$31</f>
        <v>Year</v>
      </c>
      <c r="C466" s="24"/>
      <c r="D466" s="1581">
        <f>(S466/S459-1)*100</f>
        <v>6.272994849153779</v>
      </c>
      <c r="E466" s="24"/>
      <c r="F466" s="1920">
        <v>6</v>
      </c>
      <c r="G466" s="24"/>
      <c r="H466" s="1581">
        <f>D466-F466</f>
        <v>0.27299484915377903</v>
      </c>
      <c r="I466" s="24"/>
      <c r="J466" s="1816"/>
      <c r="K466" s="24"/>
      <c r="L466" s="1583">
        <f>AVERAGE(L462:L465)</f>
        <v>1804.875</v>
      </c>
      <c r="M466" s="24"/>
      <c r="N466" s="1581">
        <f>(L466/L459-1)*100</f>
        <v>-2.8069466882067906</v>
      </c>
      <c r="O466" s="30"/>
      <c r="P466" s="1952">
        <f>H466/N466*100</f>
        <v>-9.7256870000684259</v>
      </c>
      <c r="Q466" s="35"/>
      <c r="R466" s="24"/>
      <c r="S466" s="1590">
        <v>5777</v>
      </c>
      <c r="T466" s="1824">
        <f t="shared" si="346"/>
        <v>5777</v>
      </c>
      <c r="U466" s="1590"/>
      <c r="V466" s="24">
        <f>T466/L466</f>
        <v>3.2007756769859408</v>
      </c>
      <c r="W466" s="1586">
        <f>S466/L466</f>
        <v>3.2007756769859408</v>
      </c>
      <c r="X466" s="24">
        <f t="shared" si="347"/>
        <v>9.3421713054248059</v>
      </c>
      <c r="Y466" s="1587">
        <f t="shared" si="347"/>
        <v>9.3421713054248059</v>
      </c>
      <c r="Z466" s="30"/>
      <c r="AA466" s="1816"/>
      <c r="AB466" s="24"/>
      <c r="AC466" s="1597">
        <f>AVERAGE(AC462:AC465)</f>
        <v>16.575932125000001</v>
      </c>
      <c r="AD466" s="1588"/>
      <c r="AE466" s="24">
        <f t="shared" si="348"/>
        <v>-1.5534840386042914E-2</v>
      </c>
      <c r="AF466" s="1581"/>
      <c r="AG466" s="30"/>
      <c r="AH466" s="1589">
        <f t="shared" si="349"/>
        <v>-17.573070747418036</v>
      </c>
      <c r="AI466" s="35"/>
      <c r="AJ466" s="1590">
        <f>T466</f>
        <v>5777</v>
      </c>
      <c r="AK466" s="1590">
        <f>S466</f>
        <v>5777</v>
      </c>
      <c r="AL466" s="1586">
        <f t="shared" si="350"/>
        <v>348.5173537412756</v>
      </c>
      <c r="AM466" s="1591"/>
      <c r="AN466" s="24"/>
      <c r="AO466" s="1587"/>
      <c r="AP466" s="30"/>
      <c r="AR466" s="798"/>
      <c r="AS466" s="798"/>
    </row>
    <row r="467" spans="1:45" hidden="1" outlineLevel="2">
      <c r="A467" s="24"/>
      <c r="B467" s="29"/>
      <c r="C467" s="24"/>
      <c r="D467" s="24"/>
      <c r="E467" s="24"/>
      <c r="F467" s="1816"/>
      <c r="G467" s="24"/>
      <c r="H467" s="24"/>
      <c r="I467" s="24"/>
      <c r="J467" s="1816"/>
      <c r="K467" s="24"/>
      <c r="L467" s="24"/>
      <c r="M467" s="24"/>
      <c r="N467" s="24"/>
      <c r="O467" s="30"/>
      <c r="P467" s="1782"/>
      <c r="Q467" s="24"/>
      <c r="R467" s="24"/>
      <c r="S467" s="24"/>
      <c r="T467" s="1782"/>
      <c r="U467" s="24"/>
      <c r="V467" s="24"/>
      <c r="W467" s="24"/>
      <c r="X467" s="24"/>
      <c r="Y467" s="24"/>
      <c r="Z467" s="24"/>
      <c r="AA467" s="1816"/>
      <c r="AB467" s="24"/>
      <c r="AC467" s="24"/>
      <c r="AD467" s="24"/>
      <c r="AE467" s="24"/>
      <c r="AF467" s="24"/>
      <c r="AG467" s="30"/>
      <c r="AH467" s="24"/>
      <c r="AI467" s="24"/>
      <c r="AJ467" s="24"/>
      <c r="AK467" s="24"/>
      <c r="AL467" s="24"/>
      <c r="AM467" s="24"/>
      <c r="AN467" s="24"/>
      <c r="AO467" s="24"/>
      <c r="AP467" s="24"/>
      <c r="AR467" s="798"/>
      <c r="AS467" s="798"/>
    </row>
    <row r="468" spans="1:45" hidden="1" outlineLevel="2">
      <c r="A468" s="1579"/>
      <c r="B468" s="1580">
        <f>+B461+1</f>
        <v>2004</v>
      </c>
      <c r="C468" s="24"/>
      <c r="D468" s="24"/>
      <c r="E468" s="30"/>
      <c r="F468" s="1816"/>
      <c r="G468" s="30"/>
      <c r="H468" s="24"/>
      <c r="I468" s="30"/>
      <c r="J468" s="1816"/>
      <c r="K468" s="24"/>
      <c r="L468" s="24"/>
      <c r="M468" s="24"/>
      <c r="N468" s="24"/>
      <c r="O468" s="30"/>
      <c r="P468" s="1953"/>
      <c r="Q468" s="35"/>
      <c r="R468" s="24"/>
      <c r="S468" s="24"/>
      <c r="T468" s="1782"/>
      <c r="U468" s="24"/>
      <c r="V468" s="24"/>
      <c r="W468" s="24"/>
      <c r="X468" s="24"/>
      <c r="Y468" s="24"/>
      <c r="Z468" s="30"/>
      <c r="AA468" s="1816"/>
      <c r="AB468" s="24"/>
      <c r="AC468" s="24"/>
      <c r="AD468" s="24"/>
      <c r="AE468" s="24"/>
      <c r="AF468" s="24"/>
      <c r="AG468" s="30"/>
      <c r="AH468" s="35"/>
      <c r="AI468" s="35"/>
      <c r="AJ468" s="24"/>
      <c r="AK468" s="24"/>
      <c r="AL468" s="24"/>
      <c r="AM468" s="24"/>
      <c r="AN468" s="24"/>
      <c r="AO468" s="24"/>
      <c r="AP468" s="30"/>
      <c r="AR468" s="798"/>
      <c r="AS468" s="798"/>
    </row>
    <row r="469" spans="1:45" hidden="1" outlineLevel="2">
      <c r="A469" s="24" t="str">
        <f>$A$27</f>
        <v>1Q</v>
      </c>
      <c r="B469" s="29" t="str">
        <f>$B$27</f>
        <v>Apr</v>
      </c>
      <c r="C469" s="24"/>
      <c r="D469" s="1581">
        <f>(S469/S462-1)*100</f>
        <v>31.663974151857843</v>
      </c>
      <c r="E469" s="30" t="s">
        <v>489</v>
      </c>
      <c r="F469" s="1616">
        <v>4</v>
      </c>
      <c r="G469" s="30" t="s">
        <v>489</v>
      </c>
      <c r="H469" s="1581">
        <f>D469-F469</f>
        <v>27.663974151857843</v>
      </c>
      <c r="I469" s="30" t="s">
        <v>489</v>
      </c>
      <c r="J469" s="1996">
        <f>'Store New'!B6</f>
        <v>1735</v>
      </c>
      <c r="K469" s="1913"/>
      <c r="L469" s="1583">
        <f>AVERAGE(J469,J465)</f>
        <v>1741</v>
      </c>
      <c r="M469" s="24"/>
      <c r="N469" s="1581">
        <f>(L469/L462-1)*100</f>
        <v>-4.759299781181614</v>
      </c>
      <c r="O469" s="30" t="s">
        <v>489</v>
      </c>
      <c r="P469" s="1821">
        <f>H469/N469*100</f>
        <v>-581.26143390340451</v>
      </c>
      <c r="Q469" s="35" t="s">
        <v>489</v>
      </c>
      <c r="R469" s="24"/>
      <c r="S469" s="1916">
        <f>1277+189+150+14</f>
        <v>1630</v>
      </c>
      <c r="T469" s="1824">
        <f t="shared" ref="T469:T473" si="353">S469-AQ469</f>
        <v>1572</v>
      </c>
      <c r="U469" s="1916"/>
      <c r="V469" s="24">
        <f>T469/L469</f>
        <v>0.90292935094773119</v>
      </c>
      <c r="W469" s="1586">
        <f>S469/L469</f>
        <v>0.9362435381964388</v>
      </c>
      <c r="X469" s="24">
        <f t="shared" ref="X469:Y473" si="354">(V469/V462-1)*100</f>
        <v>33.324301577742531</v>
      </c>
      <c r="Y469" s="1587">
        <f t="shared" si="354"/>
        <v>38.243391585063826</v>
      </c>
      <c r="Z469" s="30" t="s">
        <v>489</v>
      </c>
      <c r="AA469" s="1816">
        <v>16.099999999999998</v>
      </c>
      <c r="AB469" s="1597"/>
      <c r="AC469" s="1588">
        <f>AVERAGE(AA469,AA465)</f>
        <v>16.1537285</v>
      </c>
      <c r="AD469" s="1588"/>
      <c r="AE469" s="24">
        <f t="shared" ref="AE469:AE473" si="355">AC469/AC462-1</f>
        <v>-3.5598298507462656E-2</v>
      </c>
      <c r="AF469" s="1581"/>
      <c r="AG469" s="30" t="s">
        <v>489</v>
      </c>
      <c r="AH469" s="1589">
        <f t="shared" ref="AH469:AH473" si="356">IFERROR(H469/AE469, "NM")</f>
        <v>-777.11506762208035</v>
      </c>
      <c r="AI469" s="35" t="s">
        <v>489</v>
      </c>
      <c r="AJ469" s="1590">
        <f>T469</f>
        <v>1572</v>
      </c>
      <c r="AK469" s="1590">
        <f>S469</f>
        <v>1630</v>
      </c>
      <c r="AL469" s="1586">
        <f t="shared" ref="AL469:AL473" si="357">AJ469/AC469</f>
        <v>97.314994491828926</v>
      </c>
      <c r="AM469" s="1591"/>
      <c r="AN469" s="24"/>
      <c r="AO469" s="1587"/>
      <c r="AP469" s="30" t="s">
        <v>489</v>
      </c>
      <c r="AQ469" s="1941">
        <v>58</v>
      </c>
      <c r="AR469" s="798"/>
      <c r="AS469" s="1"/>
    </row>
    <row r="470" spans="1:45" hidden="1" outlineLevel="2">
      <c r="A470" s="24" t="str">
        <f>$A$28</f>
        <v>2Q</v>
      </c>
      <c r="B470" s="29" t="str">
        <f>$B$28</f>
        <v>Jul</v>
      </c>
      <c r="C470" s="24"/>
      <c r="D470" s="1581">
        <f>(S470/S463-1)*100</f>
        <v>25.903151421983097</v>
      </c>
      <c r="E470" s="24"/>
      <c r="F470" s="1616">
        <v>1</v>
      </c>
      <c r="G470" s="24"/>
      <c r="H470" s="1581">
        <f>D470-F470</f>
        <v>24.903151421983097</v>
      </c>
      <c r="I470" s="24"/>
      <c r="J470" s="1996">
        <f>'Store New'!C6</f>
        <v>1699</v>
      </c>
      <c r="K470" s="1913"/>
      <c r="L470" s="1583">
        <f>AVERAGE(J470,J469)</f>
        <v>1717</v>
      </c>
      <c r="M470" s="24"/>
      <c r="N470" s="1581">
        <f>(L470/L463-1)*100</f>
        <v>-5.5295735900962821</v>
      </c>
      <c r="O470" s="30"/>
      <c r="P470" s="1821">
        <f>H470/N470*100</f>
        <v>-450.36296228312744</v>
      </c>
      <c r="Q470" s="35"/>
      <c r="R470" s="24"/>
      <c r="S470" s="1917">
        <f>1288+201+138+11</f>
        <v>1638</v>
      </c>
      <c r="T470" s="1954">
        <f t="shared" si="353"/>
        <v>1595</v>
      </c>
      <c r="U470" s="1917"/>
      <c r="V470" s="24">
        <f>T470/L470</f>
        <v>0.92894583576004663</v>
      </c>
      <c r="W470" s="1586">
        <f>S470/L470</f>
        <v>0.95398951659871867</v>
      </c>
      <c r="X470" s="24">
        <f t="shared" si="354"/>
        <v>29.773947463019578</v>
      </c>
      <c r="Y470" s="1587">
        <f t="shared" si="354"/>
        <v>33.272555451050813</v>
      </c>
      <c r="Z470" s="30"/>
      <c r="AA470" s="1997">
        <f>'Store New'!C28</f>
        <v>15.8</v>
      </c>
      <c r="AB470" s="1597"/>
      <c r="AC470" s="1588">
        <f>AVERAGE(AA470,AA469)</f>
        <v>15.95</v>
      </c>
      <c r="AD470" s="1588"/>
      <c r="AE470" s="24">
        <f t="shared" si="355"/>
        <v>-4.2042042042042205E-2</v>
      </c>
      <c r="AF470" s="1581"/>
      <c r="AG470" s="30"/>
      <c r="AH470" s="1589">
        <f t="shared" si="356"/>
        <v>-592.33924453716713</v>
      </c>
      <c r="AI470" s="35"/>
      <c r="AJ470" s="1590">
        <f>T470</f>
        <v>1595</v>
      </c>
      <c r="AK470" s="1590">
        <f>S470</f>
        <v>1638</v>
      </c>
      <c r="AL470" s="1586">
        <f t="shared" si="357"/>
        <v>100</v>
      </c>
      <c r="AM470" s="1604"/>
      <c r="AN470" s="24"/>
      <c r="AO470" s="1587"/>
      <c r="AP470" s="30"/>
      <c r="AQ470" s="1941">
        <v>43</v>
      </c>
      <c r="AR470" s="798"/>
      <c r="AS470" s="1"/>
    </row>
    <row r="471" spans="1:45" hidden="1" outlineLevel="2">
      <c r="A471" s="24" t="str">
        <f>$A$29</f>
        <v>3Q</v>
      </c>
      <c r="B471" s="29" t="str">
        <f>$B$29</f>
        <v>Oct</v>
      </c>
      <c r="C471" s="24"/>
      <c r="D471" s="1581">
        <f>(S471/S464-1)*100</f>
        <v>21.984838042729148</v>
      </c>
      <c r="E471" s="24"/>
      <c r="F471" s="1616">
        <v>0</v>
      </c>
      <c r="G471" s="24"/>
      <c r="H471" s="1581">
        <f>D471-F471</f>
        <v>21.984838042729148</v>
      </c>
      <c r="I471" s="24"/>
      <c r="J471" s="1996">
        <f>'Store New'!D6</f>
        <v>1705</v>
      </c>
      <c r="K471" s="1913"/>
      <c r="L471" s="1583">
        <f>AVERAGE(J471,J470)</f>
        <v>1702</v>
      </c>
      <c r="M471" s="24"/>
      <c r="N471" s="1581">
        <f>(L471/L464-1)*100</f>
        <v>-5.6279456612143068</v>
      </c>
      <c r="O471" s="30"/>
      <c r="P471" s="1821">
        <f t="shared" ref="P471:P472" si="358">H471/N471*100</f>
        <v>-390.63699911391143</v>
      </c>
      <c r="Q471" s="35"/>
      <c r="R471" s="24"/>
      <c r="S471" s="1917">
        <f>1433+212+125</f>
        <v>1770</v>
      </c>
      <c r="T471" s="1954">
        <f t="shared" si="353"/>
        <v>1710</v>
      </c>
      <c r="U471" s="1917"/>
      <c r="V471" s="24">
        <f>T471/L471</f>
        <v>1.0047003525264395</v>
      </c>
      <c r="W471" s="1586">
        <f>S471/L471</f>
        <v>1.0399529964747356</v>
      </c>
      <c r="X471" s="24">
        <f t="shared" si="354"/>
        <v>24.877814319878276</v>
      </c>
      <c r="Y471" s="1587">
        <f t="shared" si="354"/>
        <v>29.259492015312595</v>
      </c>
      <c r="Z471" s="30"/>
      <c r="AA471" s="1997">
        <f>'Store New'!D28</f>
        <v>15.8</v>
      </c>
      <c r="AB471" s="1597"/>
      <c r="AC471" s="1588">
        <f t="shared" ref="AC471:AC472" si="359">AVERAGE(AA471,AA470)</f>
        <v>15.8</v>
      </c>
      <c r="AD471" s="1588"/>
      <c r="AE471" s="24">
        <f t="shared" si="355"/>
        <v>-4.5317220543806824E-2</v>
      </c>
      <c r="AF471" s="1581"/>
      <c r="AG471" s="30"/>
      <c r="AH471" s="1589">
        <f t="shared" si="356"/>
        <v>-485.13209280955465</v>
      </c>
      <c r="AI471" s="35"/>
      <c r="AJ471" s="1590">
        <f>T471</f>
        <v>1710</v>
      </c>
      <c r="AK471" s="1590">
        <f>S471</f>
        <v>1770</v>
      </c>
      <c r="AL471" s="1586">
        <f t="shared" si="357"/>
        <v>108.22784810126582</v>
      </c>
      <c r="AM471" s="1604"/>
      <c r="AN471" s="24"/>
      <c r="AO471" s="1587"/>
      <c r="AP471" s="30"/>
      <c r="AQ471" s="1941">
        <v>60</v>
      </c>
    </row>
    <row r="472" spans="1:45" hidden="1" outlineLevel="2">
      <c r="A472" s="24" t="str">
        <f>$A$30</f>
        <v>4Q</v>
      </c>
      <c r="B472" s="29" t="str">
        <f>$B$30</f>
        <v>Jan</v>
      </c>
      <c r="C472" s="24"/>
      <c r="D472" s="1606">
        <f>(S472/S465-1)*100</f>
        <v>23.22327923894796</v>
      </c>
      <c r="E472" s="24"/>
      <c r="F472" s="1607">
        <v>0</v>
      </c>
      <c r="G472" s="24"/>
      <c r="H472" s="1606">
        <f>D472-F472</f>
        <v>23.22327923894796</v>
      </c>
      <c r="I472" s="24"/>
      <c r="J472" s="1996">
        <f>'Store New'!E6</f>
        <v>1643</v>
      </c>
      <c r="K472" s="1913"/>
      <c r="L472" s="1608">
        <f>AVERAGE(J472,J471)</f>
        <v>1674</v>
      </c>
      <c r="M472" s="24"/>
      <c r="N472" s="1606">
        <f>(L472/L465-1)*100</f>
        <v>-5.4504377294549595</v>
      </c>
      <c r="O472" s="30"/>
      <c r="P472" s="1822">
        <f t="shared" si="358"/>
        <v>-426.08099370525741</v>
      </c>
      <c r="Q472" s="35"/>
      <c r="R472" s="24"/>
      <c r="S472" s="1918">
        <f>S473-SUM(S469:S471)</f>
        <v>2202</v>
      </c>
      <c r="T472" s="1826">
        <f t="shared" si="353"/>
        <v>2127</v>
      </c>
      <c r="U472" s="1919"/>
      <c r="V472" s="24">
        <f>T472/L472</f>
        <v>1.2706093189964158</v>
      </c>
      <c r="W472" s="1586">
        <f>S472/L472</f>
        <v>1.3154121863799284</v>
      </c>
      <c r="X472" s="24">
        <f t="shared" si="354"/>
        <v>25.887733591670624</v>
      </c>
      <c r="Y472" s="1612">
        <f t="shared" si="354"/>
        <v>30.326652265565947</v>
      </c>
      <c r="Z472" s="30"/>
      <c r="AA472" s="1997">
        <f>'Store New'!E28</f>
        <v>15.4</v>
      </c>
      <c r="AB472" s="1597"/>
      <c r="AC472" s="1588">
        <f t="shared" si="359"/>
        <v>15.600000000000001</v>
      </c>
      <c r="AD472" s="1613"/>
      <c r="AE472" s="24">
        <f t="shared" si="355"/>
        <v>-4.6089092160237377E-2</v>
      </c>
      <c r="AF472" s="1606"/>
      <c r="AG472" s="30"/>
      <c r="AH472" s="1608">
        <f t="shared" si="356"/>
        <v>-503.87799261065658</v>
      </c>
      <c r="AI472" s="35"/>
      <c r="AJ472" s="1590">
        <f>T472</f>
        <v>2127</v>
      </c>
      <c r="AK472" s="1590">
        <f>S472</f>
        <v>2202</v>
      </c>
      <c r="AL472" s="1586">
        <f t="shared" si="357"/>
        <v>136.34615384615384</v>
      </c>
      <c r="AM472" s="1615"/>
      <c r="AN472" s="24"/>
      <c r="AO472" s="1612"/>
      <c r="AP472" s="30"/>
      <c r="AQ472" s="1941">
        <f>AQ473-SUM(AQ469:AQ471)</f>
        <v>75</v>
      </c>
    </row>
    <row r="473" spans="1:45" hidden="1" outlineLevel="2">
      <c r="A473" s="24"/>
      <c r="B473" s="29" t="str">
        <f>$B$31</f>
        <v>Year</v>
      </c>
      <c r="C473" s="24"/>
      <c r="D473" s="1581">
        <f>(S473/S466-1)*100</f>
        <v>25.324562921931793</v>
      </c>
      <c r="E473" s="24"/>
      <c r="F473" s="1616">
        <v>1</v>
      </c>
      <c r="G473" s="24"/>
      <c r="H473" s="1581">
        <f>D473-F473</f>
        <v>24.324562921931793</v>
      </c>
      <c r="I473" s="24"/>
      <c r="J473" s="1997"/>
      <c r="K473" s="24"/>
      <c r="L473" s="1583">
        <f>AVERAGE(L469:L472)</f>
        <v>1708.5</v>
      </c>
      <c r="M473" s="24"/>
      <c r="N473" s="1581">
        <f>(L473/L466-1)*100</f>
        <v>-5.3397049657178508</v>
      </c>
      <c r="O473" s="30"/>
      <c r="P473" s="1821">
        <f>H473/N473*100</f>
        <v>-455.54132818388189</v>
      </c>
      <c r="Q473" s="35"/>
      <c r="R473" s="24"/>
      <c r="S473" s="1590">
        <v>7240</v>
      </c>
      <c r="T473" s="1824">
        <f t="shared" si="353"/>
        <v>7004</v>
      </c>
      <c r="U473" s="1590"/>
      <c r="V473" s="24">
        <f>T473/L473</f>
        <v>4.099502487562189</v>
      </c>
      <c r="W473" s="1586">
        <f>S473/L473</f>
        <v>4.237635352648522</v>
      </c>
      <c r="X473" s="24">
        <f t="shared" si="354"/>
        <v>28.078406651182377</v>
      </c>
      <c r="Y473" s="1587">
        <f t="shared" si="354"/>
        <v>32.394012586316443</v>
      </c>
      <c r="Z473" s="30"/>
      <c r="AA473" s="1997"/>
      <c r="AB473" s="24"/>
      <c r="AC473" s="1597">
        <f>AVERAGE(AC469:AC472)</f>
        <v>15.875932125</v>
      </c>
      <c r="AD473" s="1588"/>
      <c r="AE473" s="24">
        <f t="shared" si="355"/>
        <v>-4.2229902651703899E-2</v>
      </c>
      <c r="AF473" s="1581"/>
      <c r="AG473" s="30"/>
      <c r="AH473" s="1589">
        <f t="shared" si="356"/>
        <v>-576.00329137747474</v>
      </c>
      <c r="AI473" s="35"/>
      <c r="AJ473" s="1590">
        <f>T473</f>
        <v>7004</v>
      </c>
      <c r="AK473" s="1590">
        <f>S473</f>
        <v>7240</v>
      </c>
      <c r="AL473" s="1586">
        <f t="shared" si="357"/>
        <v>441.17094636419654</v>
      </c>
      <c r="AM473" s="1591"/>
      <c r="AN473" s="24"/>
      <c r="AO473" s="1587"/>
      <c r="AP473" s="30"/>
      <c r="AQ473" s="1942">
        <v>236</v>
      </c>
    </row>
    <row r="474" spans="1:45" hidden="1" outlineLevel="2">
      <c r="A474" s="24"/>
      <c r="B474" s="29"/>
      <c r="C474" s="24"/>
      <c r="D474" s="24"/>
      <c r="E474" s="24"/>
      <c r="F474" s="1816"/>
      <c r="G474" s="24"/>
      <c r="H474" s="24"/>
      <c r="I474" s="24"/>
      <c r="J474" s="1997"/>
      <c r="K474" s="24"/>
      <c r="L474" s="24"/>
      <c r="M474" s="24"/>
      <c r="N474" s="24"/>
      <c r="O474" s="30"/>
      <c r="P474" s="1782"/>
      <c r="Q474" s="24"/>
      <c r="R474" s="24"/>
      <c r="S474" s="24"/>
      <c r="T474" s="1782"/>
      <c r="U474" s="24"/>
      <c r="V474" s="24"/>
      <c r="W474" s="24"/>
      <c r="X474" s="24"/>
      <c r="Y474" s="24"/>
      <c r="Z474" s="24"/>
      <c r="AA474" s="1997"/>
      <c r="AB474" s="24"/>
      <c r="AC474" s="24"/>
      <c r="AD474" s="24"/>
      <c r="AE474" s="24"/>
      <c r="AF474" s="24"/>
      <c r="AG474" s="30"/>
      <c r="AH474" s="24"/>
      <c r="AI474" s="24"/>
      <c r="AJ474" s="24"/>
      <c r="AK474" s="24"/>
      <c r="AL474" s="24"/>
      <c r="AM474" s="24"/>
      <c r="AN474" s="24"/>
      <c r="AO474" s="24"/>
      <c r="AP474" s="24"/>
      <c r="AQ474" s="1941"/>
    </row>
    <row r="475" spans="1:45" hidden="1" outlineLevel="2">
      <c r="A475" s="1579"/>
      <c r="B475" s="1580">
        <f>+B468+1</f>
        <v>2005</v>
      </c>
      <c r="C475" s="24"/>
      <c r="D475" s="24"/>
      <c r="E475" s="30"/>
      <c r="F475" s="1816"/>
      <c r="G475" s="30"/>
      <c r="H475" s="24"/>
      <c r="I475" s="30"/>
      <c r="J475" s="1997"/>
      <c r="K475" s="24"/>
      <c r="L475" s="24"/>
      <c r="M475" s="24"/>
      <c r="N475" s="24"/>
      <c r="O475" s="30"/>
      <c r="P475" s="1953"/>
      <c r="Q475" s="35"/>
      <c r="R475" s="24"/>
      <c r="S475" s="24"/>
      <c r="T475" s="1782"/>
      <c r="U475" s="24"/>
      <c r="V475" s="24"/>
      <c r="W475" s="24"/>
      <c r="X475" s="24"/>
      <c r="Y475" s="24"/>
      <c r="Z475" s="30"/>
      <c r="AA475" s="1997"/>
      <c r="AB475" s="24"/>
      <c r="AC475" s="24"/>
      <c r="AD475" s="24"/>
      <c r="AE475" s="24"/>
      <c r="AF475" s="24"/>
      <c r="AG475" s="30"/>
      <c r="AH475" s="35"/>
      <c r="AI475" s="35"/>
      <c r="AJ475" s="24"/>
      <c r="AK475" s="24"/>
      <c r="AL475" s="24"/>
      <c r="AM475" s="24"/>
      <c r="AN475" s="24"/>
      <c r="AO475" s="24"/>
      <c r="AP475" s="30"/>
      <c r="AQ475" s="1941"/>
    </row>
    <row r="476" spans="1:45" hidden="1" outlineLevel="2">
      <c r="A476" s="24" t="str">
        <f>$A$27</f>
        <v>1Q</v>
      </c>
      <c r="B476" s="29" t="str">
        <f>$B$27</f>
        <v>Apr</v>
      </c>
      <c r="C476" s="24"/>
      <c r="D476" s="1581">
        <f>(S476/S469-1)*100</f>
        <v>-5.705521472392638</v>
      </c>
      <c r="E476" s="30" t="s">
        <v>489</v>
      </c>
      <c r="F476" s="1616">
        <v>-4</v>
      </c>
      <c r="G476" s="30" t="s">
        <v>489</v>
      </c>
      <c r="H476" s="1581">
        <f>D476-F476</f>
        <v>-1.705521472392638</v>
      </c>
      <c r="I476" s="30" t="s">
        <v>489</v>
      </c>
      <c r="J476" s="1996">
        <f>'Store New'!F6</f>
        <v>1641</v>
      </c>
      <c r="K476" s="1913"/>
      <c r="L476" s="1583">
        <f>AVERAGE(J476,J472)</f>
        <v>1642</v>
      </c>
      <c r="M476" s="24"/>
      <c r="N476" s="1581">
        <f>(L476/L469-1)*100</f>
        <v>-5.6863871338311274</v>
      </c>
      <c r="O476" s="30" t="s">
        <v>489</v>
      </c>
      <c r="P476" s="1821">
        <f>H476/N476*100</f>
        <v>29.993059428642272</v>
      </c>
      <c r="Q476" s="35" t="s">
        <v>489</v>
      </c>
      <c r="R476" s="24"/>
      <c r="S476" s="1916">
        <f>1200+193+144</f>
        <v>1537</v>
      </c>
      <c r="T476" s="1824">
        <f t="shared" ref="T476:T480" si="360">S476-AQ476</f>
        <v>1482</v>
      </c>
      <c r="U476" s="1916"/>
      <c r="V476" s="24">
        <f>T476/L476</f>
        <v>0.90255785627283802</v>
      </c>
      <c r="W476" s="1586">
        <f>S476/L476</f>
        <v>0.9360535931790499</v>
      </c>
      <c r="X476" s="24">
        <f t="shared" ref="X476:Y480" si="361">(V476/V469-1)*100</f>
        <v>-4.1143271564181294E-2</v>
      </c>
      <c r="Y476" s="1587">
        <f t="shared" si="361"/>
        <v>-2.0287992348100303E-2</v>
      </c>
      <c r="Z476" s="30" t="s">
        <v>489</v>
      </c>
      <c r="AA476" s="1997">
        <f>'Store New'!F28</f>
        <v>15.4</v>
      </c>
      <c r="AB476" s="1597"/>
      <c r="AC476" s="1588">
        <f>AVERAGE(AA476,AA472)</f>
        <v>15.4</v>
      </c>
      <c r="AD476" s="1588"/>
      <c r="AE476" s="24">
        <f t="shared" ref="AE476:AE480" si="362">AC476/AC469-1</f>
        <v>-4.6659723171650347E-2</v>
      </c>
      <c r="AF476" s="1581"/>
      <c r="AG476" s="30" t="s">
        <v>489</v>
      </c>
      <c r="AH476" s="1589">
        <f t="shared" ref="AH476:AH480" si="363">IFERROR(H476/AE476, "NM")</f>
        <v>36.552327284892336</v>
      </c>
      <c r="AI476" s="35" t="s">
        <v>489</v>
      </c>
      <c r="AJ476" s="1590">
        <f>T476</f>
        <v>1482</v>
      </c>
      <c r="AK476" s="1590">
        <f>S476</f>
        <v>1537</v>
      </c>
      <c r="AL476" s="1586">
        <f t="shared" ref="AL476:AL480" si="364">AJ476/AC476</f>
        <v>96.233766233766232</v>
      </c>
      <c r="AM476" s="1591"/>
      <c r="AN476" s="24"/>
      <c r="AO476" s="1587"/>
      <c r="AP476" s="30" t="s">
        <v>489</v>
      </c>
      <c r="AQ476" s="1941">
        <v>55</v>
      </c>
      <c r="AR476" s="1797">
        <f>AQ476/AQ469-1</f>
        <v>-5.1724137931034475E-2</v>
      </c>
    </row>
    <row r="477" spans="1:45" hidden="1" outlineLevel="1" collapsed="1">
      <c r="A477" s="24" t="str">
        <f>$A$28</f>
        <v>2Q</v>
      </c>
      <c r="B477" s="29" t="str">
        <f>$B$28</f>
        <v>Jul</v>
      </c>
      <c r="C477" s="24"/>
      <c r="D477" s="1581">
        <f>(S477/S470-1)*100</f>
        <v>-4.2124542124542081</v>
      </c>
      <c r="E477" s="24"/>
      <c r="F477" s="1616">
        <v>-4</v>
      </c>
      <c r="G477" s="24"/>
      <c r="H477" s="1581">
        <f>D477-F477</f>
        <v>-0.21245421245420815</v>
      </c>
      <c r="I477" s="24"/>
      <c r="J477" s="1996">
        <f>'Store New'!G6</f>
        <v>1635</v>
      </c>
      <c r="K477" s="1913"/>
      <c r="L477" s="1583">
        <f>AVERAGE(J477,J476)</f>
        <v>1638</v>
      </c>
      <c r="M477" s="24"/>
      <c r="N477" s="1581">
        <f>(L477/L470-1)*100</f>
        <v>-4.6010483401281332</v>
      </c>
      <c r="O477" s="30"/>
      <c r="P477" s="1821">
        <f>H477/N477*100</f>
        <v>4.6175175035933567</v>
      </c>
      <c r="Q477" s="35"/>
      <c r="R477" s="24"/>
      <c r="S477" s="1917">
        <f>1214+201+154</f>
        <v>1569</v>
      </c>
      <c r="T477" s="1954">
        <f t="shared" si="360"/>
        <v>1529</v>
      </c>
      <c r="U477" s="1917"/>
      <c r="V477" s="24">
        <f>T477/L477</f>
        <v>0.93345543345543347</v>
      </c>
      <c r="W477" s="1586">
        <f>S477/L477</f>
        <v>0.95787545787545791</v>
      </c>
      <c r="X477" s="24">
        <f t="shared" si="361"/>
        <v>0.48545324407394119</v>
      </c>
      <c r="Y477" s="1587">
        <f t="shared" si="361"/>
        <v>0.4073358468962951</v>
      </c>
      <c r="Z477" s="30"/>
      <c r="AA477" s="1997">
        <f>'Store New'!G28</f>
        <v>15.3</v>
      </c>
      <c r="AB477" s="1597"/>
      <c r="AC477" s="1588">
        <f>AVERAGE(AA477,AA476)</f>
        <v>15.350000000000001</v>
      </c>
      <c r="AD477" s="1588"/>
      <c r="AE477" s="24">
        <f t="shared" si="362"/>
        <v>-3.7617554858934033E-2</v>
      </c>
      <c r="AF477" s="1581"/>
      <c r="AG477" s="30"/>
      <c r="AH477" s="1589">
        <f t="shared" si="363"/>
        <v>5.647741147741054</v>
      </c>
      <c r="AI477" s="35"/>
      <c r="AJ477" s="1590">
        <f>T477</f>
        <v>1529</v>
      </c>
      <c r="AK477" s="1590">
        <f>S477</f>
        <v>1569</v>
      </c>
      <c r="AL477" s="1586">
        <f t="shared" si="364"/>
        <v>99.609120521172628</v>
      </c>
      <c r="AM477" s="1604"/>
      <c r="AN477" s="24"/>
      <c r="AO477" s="1587"/>
      <c r="AP477" s="30"/>
      <c r="AQ477" s="1941">
        <v>40</v>
      </c>
      <c r="AR477" s="1797">
        <f t="shared" ref="AR477:AR480" si="365">AQ477/AQ470-1</f>
        <v>-6.9767441860465129E-2</v>
      </c>
    </row>
    <row r="478" spans="1:45" hidden="1" outlineLevel="2">
      <c r="A478" s="24" t="str">
        <f>$A$29</f>
        <v>3Q</v>
      </c>
      <c r="B478" s="29" t="str">
        <f>$B$29</f>
        <v>Oct</v>
      </c>
      <c r="C478" s="24"/>
      <c r="D478" s="1581">
        <f>(S478/S471-1)*100</f>
        <v>-6.2146892655367214</v>
      </c>
      <c r="E478" s="24"/>
      <c r="F478" s="1616">
        <v>-4</v>
      </c>
      <c r="G478" s="24"/>
      <c r="H478" s="1581">
        <f>D478-F478</f>
        <v>-2.2146892655367214</v>
      </c>
      <c r="I478" s="24"/>
      <c r="J478" s="1996">
        <f>'Store New'!H6</f>
        <v>1655</v>
      </c>
      <c r="K478" s="1913"/>
      <c r="L478" s="1583">
        <f>AVERAGE(J478,J477)</f>
        <v>1645</v>
      </c>
      <c r="M478" s="24"/>
      <c r="N478" s="1581">
        <f>(L478/L471-1)*100</f>
        <v>-3.3490011750881288</v>
      </c>
      <c r="O478" s="30"/>
      <c r="P478" s="1821">
        <f t="shared" ref="P478:P479" si="366">H478/N478*100</f>
        <v>66.129844384973737</v>
      </c>
      <c r="Q478" s="35"/>
      <c r="R478" s="24"/>
      <c r="S478" s="1917">
        <f>1349+183+128</f>
        <v>1660</v>
      </c>
      <c r="T478" s="1954">
        <f t="shared" si="360"/>
        <v>1608</v>
      </c>
      <c r="U478" s="1917"/>
      <c r="V478" s="24">
        <f>T478/L478</f>
        <v>0.97750759878419458</v>
      </c>
      <c r="W478" s="1586">
        <f>S478/L478</f>
        <v>1.0091185410334347</v>
      </c>
      <c r="X478" s="24">
        <f t="shared" si="361"/>
        <v>-2.7065536180877703</v>
      </c>
      <c r="Y478" s="1587">
        <f t="shared" si="361"/>
        <v>-2.9649854893273542</v>
      </c>
      <c r="Z478" s="30"/>
      <c r="AA478" s="1997">
        <f>'Store New'!H28</f>
        <v>15.6</v>
      </c>
      <c r="AB478" s="1597"/>
      <c r="AC478" s="1588">
        <f t="shared" ref="AC478:AC479" si="367">AVERAGE(AA478,AA477)</f>
        <v>15.45</v>
      </c>
      <c r="AD478" s="1588"/>
      <c r="AE478" s="24">
        <f t="shared" si="362"/>
        <v>-2.2151898734177333E-2</v>
      </c>
      <c r="AF478" s="1581"/>
      <c r="AG478" s="30"/>
      <c r="AH478" s="1589">
        <f t="shared" si="363"/>
        <v>99.977401129942891</v>
      </c>
      <c r="AI478" s="35"/>
      <c r="AJ478" s="1590">
        <f>T478</f>
        <v>1608</v>
      </c>
      <c r="AK478" s="1590">
        <f>S478</f>
        <v>1660</v>
      </c>
      <c r="AL478" s="1586">
        <f t="shared" si="364"/>
        <v>104.07766990291263</v>
      </c>
      <c r="AM478" s="1604"/>
      <c r="AN478" s="24"/>
      <c r="AO478" s="1587"/>
      <c r="AP478" s="30"/>
      <c r="AQ478" s="1941">
        <v>52</v>
      </c>
      <c r="AR478" s="1797">
        <f t="shared" si="365"/>
        <v>-0.1333333333333333</v>
      </c>
    </row>
    <row r="479" spans="1:45" hidden="1" outlineLevel="2">
      <c r="A479" s="24" t="str">
        <f>$A$30</f>
        <v>4Q</v>
      </c>
      <c r="B479" s="29" t="str">
        <f>$B$30</f>
        <v>Jan</v>
      </c>
      <c r="C479" s="24"/>
      <c r="D479" s="1606">
        <f>(S479/S472-1)*100</f>
        <v>-5.9491371480472344</v>
      </c>
      <c r="E479" s="24"/>
      <c r="F479" s="1607">
        <v>-7</v>
      </c>
      <c r="G479" s="24"/>
      <c r="H479" s="1606">
        <f>D479-F479</f>
        <v>1.0508628519527656</v>
      </c>
      <c r="I479" s="24"/>
      <c r="J479" s="1996">
        <f>'Store New'!I6</f>
        <v>1591</v>
      </c>
      <c r="K479" s="1913"/>
      <c r="L479" s="1608">
        <f>AVERAGE(J479,J478)</f>
        <v>1623</v>
      </c>
      <c r="M479" s="24"/>
      <c r="N479" s="1606">
        <f>(L479/L472-1)*100</f>
        <v>-3.046594982078854</v>
      </c>
      <c r="O479" s="30"/>
      <c r="P479" s="1822">
        <f t="shared" si="366"/>
        <v>-34.493027728802531</v>
      </c>
      <c r="Q479" s="35"/>
      <c r="R479" s="24"/>
      <c r="S479" s="1918">
        <f>S480-SUM(S476:S478)</f>
        <v>2071</v>
      </c>
      <c r="T479" s="1826">
        <f t="shared" si="360"/>
        <v>1985</v>
      </c>
      <c r="U479" s="1919"/>
      <c r="V479" s="24">
        <f>T479/L479</f>
        <v>1.2230437461491066</v>
      </c>
      <c r="W479" s="1586">
        <f>S479/L479</f>
        <v>1.2760320394331486</v>
      </c>
      <c r="X479" s="24">
        <f t="shared" si="361"/>
        <v>-3.743524633116857</v>
      </c>
      <c r="Y479" s="1612">
        <f t="shared" si="361"/>
        <v>-2.9937495907769951</v>
      </c>
      <c r="Z479" s="30"/>
      <c r="AA479" s="1997">
        <f>'Store New'!I28</f>
        <v>15.1</v>
      </c>
      <c r="AB479" s="1597"/>
      <c r="AC479" s="1588">
        <f t="shared" si="367"/>
        <v>15.35</v>
      </c>
      <c r="AD479" s="1613"/>
      <c r="AE479" s="24">
        <f t="shared" si="362"/>
        <v>-1.6025641025641191E-2</v>
      </c>
      <c r="AF479" s="1606"/>
      <c r="AG479" s="30"/>
      <c r="AH479" s="1608">
        <f t="shared" si="363"/>
        <v>-65.573841961851898</v>
      </c>
      <c r="AI479" s="35"/>
      <c r="AJ479" s="1590">
        <f>T479</f>
        <v>1985</v>
      </c>
      <c r="AK479" s="1590">
        <f>S479</f>
        <v>2071</v>
      </c>
      <c r="AL479" s="1586">
        <f t="shared" si="364"/>
        <v>129.31596091205213</v>
      </c>
      <c r="AM479" s="1615"/>
      <c r="AN479" s="24"/>
      <c r="AO479" s="1612"/>
      <c r="AP479" s="30"/>
      <c r="AQ479" s="1941">
        <f>AQ480-SUM(AQ476:AQ478)</f>
        <v>86</v>
      </c>
      <c r="AR479" s="1797">
        <f t="shared" si="365"/>
        <v>0.14666666666666672</v>
      </c>
    </row>
    <row r="480" spans="1:45" hidden="1" outlineLevel="2">
      <c r="A480" s="24"/>
      <c r="B480" s="29" t="str">
        <f>$B$31</f>
        <v>Year</v>
      </c>
      <c r="C480" s="24"/>
      <c r="D480" s="1581">
        <f>(S480/S473-1)*100</f>
        <v>-5.5662983425414314</v>
      </c>
      <c r="E480" s="24"/>
      <c r="F480" s="1616">
        <v>-4.9129229062673323</v>
      </c>
      <c r="G480" s="24"/>
      <c r="H480" s="1581">
        <f>D480-F480</f>
        <v>-0.65337543627409911</v>
      </c>
      <c r="I480" s="24"/>
      <c r="J480" s="1997"/>
      <c r="K480" s="24"/>
      <c r="L480" s="1583">
        <f>AVERAGE(L476:L479)</f>
        <v>1637</v>
      </c>
      <c r="M480" s="24"/>
      <c r="N480" s="1581">
        <f>(L480/L473-1)*100</f>
        <v>-4.1849575651155995</v>
      </c>
      <c r="O480" s="30"/>
      <c r="P480" s="1821">
        <f>H480/N480*100</f>
        <v>15.612474585654518</v>
      </c>
      <c r="Q480" s="35"/>
      <c r="R480" s="24"/>
      <c r="S480" s="1590">
        <v>6837</v>
      </c>
      <c r="T480" s="1824">
        <f t="shared" si="360"/>
        <v>6604</v>
      </c>
      <c r="U480" s="1590"/>
      <c r="V480" s="24">
        <f>T480/L480</f>
        <v>4.0342089187538184</v>
      </c>
      <c r="W480" s="1586">
        <f>S480/L480</f>
        <v>4.1765424557116679</v>
      </c>
      <c r="X480" s="24">
        <f t="shared" si="361"/>
        <v>-1.5927193362236025</v>
      </c>
      <c r="Y480" s="1587">
        <f t="shared" si="361"/>
        <v>-1.4416742322736931</v>
      </c>
      <c r="Z480" s="30"/>
      <c r="AA480" s="1997"/>
      <c r="AB480" s="24"/>
      <c r="AC480" s="1597">
        <f>AVERAGE(AC476:AC479)</f>
        <v>15.387500000000001</v>
      </c>
      <c r="AD480" s="1588"/>
      <c r="AE480" s="24">
        <f t="shared" si="362"/>
        <v>-3.0765571504986489E-2</v>
      </c>
      <c r="AF480" s="1581"/>
      <c r="AG480" s="30"/>
      <c r="AH480" s="1589">
        <f t="shared" si="363"/>
        <v>21.237227339274355</v>
      </c>
      <c r="AI480" s="35"/>
      <c r="AJ480" s="1590">
        <f>T480</f>
        <v>6604</v>
      </c>
      <c r="AK480" s="1590">
        <f>S480</f>
        <v>6837</v>
      </c>
      <c r="AL480" s="1586">
        <f t="shared" si="364"/>
        <v>429.17952883834278</v>
      </c>
      <c r="AM480" s="1591"/>
      <c r="AN480" s="24"/>
      <c r="AO480" s="1587"/>
      <c r="AP480" s="30"/>
      <c r="AQ480" s="1942">
        <v>233</v>
      </c>
      <c r="AR480" s="1797">
        <f t="shared" si="365"/>
        <v>-1.2711864406779627E-2</v>
      </c>
    </row>
    <row r="481" spans="1:44" hidden="1" outlineLevel="2">
      <c r="A481" s="24"/>
      <c r="B481" s="29"/>
      <c r="C481" s="24"/>
      <c r="D481" s="24"/>
      <c r="E481" s="24"/>
      <c r="F481" s="1816"/>
      <c r="G481" s="24"/>
      <c r="H481" s="24"/>
      <c r="I481" s="24"/>
      <c r="J481" s="1997"/>
      <c r="K481" s="24"/>
      <c r="L481" s="24"/>
      <c r="M481" s="24"/>
      <c r="N481" s="24"/>
      <c r="O481" s="30"/>
      <c r="P481" s="1782"/>
      <c r="Q481" s="24"/>
      <c r="R481" s="24"/>
      <c r="S481" s="1675"/>
      <c r="T481" s="1956"/>
      <c r="U481" s="1675"/>
      <c r="V481" s="24"/>
      <c r="W481" s="24"/>
      <c r="X481" s="24"/>
      <c r="Y481" s="24"/>
      <c r="Z481" s="24"/>
      <c r="AA481" s="1997"/>
      <c r="AB481" s="24"/>
      <c r="AC481" s="24"/>
      <c r="AD481" s="24"/>
      <c r="AE481" s="24"/>
      <c r="AF481" s="24"/>
      <c r="AG481" s="30"/>
      <c r="AH481" s="24"/>
      <c r="AI481" s="24"/>
      <c r="AJ481" s="24"/>
      <c r="AK481" s="24"/>
      <c r="AL481" s="24"/>
      <c r="AM481" s="24"/>
      <c r="AN481" s="24"/>
      <c r="AO481" s="24"/>
      <c r="AP481" s="24"/>
      <c r="AQ481" s="1941"/>
    </row>
    <row r="482" spans="1:44" hidden="1" outlineLevel="2">
      <c r="A482" s="1579"/>
      <c r="B482" s="1580">
        <f>+B475+1</f>
        <v>2006</v>
      </c>
      <c r="C482" s="24"/>
      <c r="D482" s="24"/>
      <c r="E482" s="30"/>
      <c r="F482" s="1816"/>
      <c r="G482" s="30"/>
      <c r="H482" s="24"/>
      <c r="I482" s="30"/>
      <c r="J482" s="1997"/>
      <c r="K482" s="24"/>
      <c r="L482" s="24"/>
      <c r="M482" s="24"/>
      <c r="N482" s="24"/>
      <c r="O482" s="30"/>
      <c r="P482" s="1953"/>
      <c r="Q482" s="35"/>
      <c r="R482" s="24"/>
      <c r="S482" s="24"/>
      <c r="T482" s="1782"/>
      <c r="U482" s="24"/>
      <c r="V482" s="24"/>
      <c r="W482" s="24"/>
      <c r="X482" s="24"/>
      <c r="Y482" s="24"/>
      <c r="Z482" s="30"/>
      <c r="AA482" s="1997"/>
      <c r="AB482" s="24"/>
      <c r="AC482" s="24"/>
      <c r="AD482" s="24"/>
      <c r="AE482" s="24"/>
      <c r="AF482" s="24"/>
      <c r="AG482" s="30"/>
      <c r="AH482" s="35"/>
      <c r="AI482" s="35"/>
      <c r="AJ482" s="24"/>
      <c r="AK482" s="24"/>
      <c r="AL482" s="24"/>
      <c r="AM482" s="24"/>
      <c r="AN482" s="24"/>
      <c r="AO482" s="24"/>
      <c r="AP482" s="30"/>
      <c r="AQ482" s="1941"/>
    </row>
    <row r="483" spans="1:44" hidden="1" outlineLevel="2">
      <c r="A483" s="24" t="str">
        <f>$A$27</f>
        <v>1Q</v>
      </c>
      <c r="B483" s="29" t="str">
        <f>$B$27</f>
        <v>Apr</v>
      </c>
      <c r="C483" s="24"/>
      <c r="D483" s="1581">
        <f>(S483/S476-1)*100</f>
        <v>-8.7833441769681215</v>
      </c>
      <c r="E483" s="30" t="s">
        <v>489</v>
      </c>
      <c r="F483" s="1616">
        <v>-8</v>
      </c>
      <c r="G483" s="30" t="s">
        <v>489</v>
      </c>
      <c r="H483" s="1581">
        <f>D483-F483</f>
        <v>-0.78334417696812153</v>
      </c>
      <c r="I483" s="30" t="s">
        <v>489</v>
      </c>
      <c r="J483" s="1996">
        <f>'Store New'!J6</f>
        <v>1590</v>
      </c>
      <c r="K483" s="1913"/>
      <c r="L483" s="1583">
        <f>AVERAGE(J483,J479)</f>
        <v>1590.5</v>
      </c>
      <c r="M483" s="24"/>
      <c r="N483" s="1581">
        <f>(L483/L476-1)*100</f>
        <v>-3.1364190012180271</v>
      </c>
      <c r="O483" s="30" t="s">
        <v>489</v>
      </c>
      <c r="P483" s="1821">
        <f>H483/N483*100</f>
        <v>24.975750263721462</v>
      </c>
      <c r="Q483" s="35" t="s">
        <v>489</v>
      </c>
      <c r="R483" s="24"/>
      <c r="S483" s="1916">
        <f>1121+156+125</f>
        <v>1402</v>
      </c>
      <c r="T483" s="1824">
        <f t="shared" ref="T483:T487" si="368">S483-AQ483</f>
        <v>1343</v>
      </c>
      <c r="U483" s="1916"/>
      <c r="V483" s="24">
        <f>T483/L483</f>
        <v>0.84438855705752913</v>
      </c>
      <c r="W483" s="1586">
        <f>S483/L483</f>
        <v>0.88148381012260291</v>
      </c>
      <c r="X483" s="24">
        <f t="shared" ref="X483:Y487" si="369">(V483/V476-1)*100</f>
        <v>-6.4449385500362499</v>
      </c>
      <c r="Y483" s="1587">
        <f t="shared" si="369"/>
        <v>-5.8297712282814551</v>
      </c>
      <c r="Z483" s="30" t="s">
        <v>489</v>
      </c>
      <c r="AA483" s="1997">
        <f>'Store New'!J28</f>
        <v>15.1</v>
      </c>
      <c r="AB483" s="1597"/>
      <c r="AC483" s="1588">
        <f>AVERAGE(AA483,AA479)</f>
        <v>15.1</v>
      </c>
      <c r="AD483" s="1588"/>
      <c r="AE483" s="24">
        <f t="shared" ref="AE483:AE487" si="370">AC483/AC476-1</f>
        <v>-1.9480519480519543E-2</v>
      </c>
      <c r="AF483" s="1581"/>
      <c r="AG483" s="30" t="s">
        <v>489</v>
      </c>
      <c r="AH483" s="1589">
        <f t="shared" ref="AH483:AH487" si="371">IFERROR(H483/AE483, "NM")</f>
        <v>40.211667751030113</v>
      </c>
      <c r="AI483" s="35" t="s">
        <v>489</v>
      </c>
      <c r="AJ483" s="1590">
        <f>T483</f>
        <v>1343</v>
      </c>
      <c r="AK483" s="1590">
        <f>S483</f>
        <v>1402</v>
      </c>
      <c r="AL483" s="1586">
        <f t="shared" ref="AL483:AL487" si="372">AJ483/AC483</f>
        <v>88.940397350993379</v>
      </c>
      <c r="AM483" s="1591"/>
      <c r="AN483" s="24"/>
      <c r="AO483" s="1587"/>
      <c r="AP483" s="30" t="s">
        <v>489</v>
      </c>
      <c r="AQ483" s="1945">
        <v>59</v>
      </c>
      <c r="AR483" s="1797">
        <f>AQ483/AQ476-1</f>
        <v>7.2727272727272751E-2</v>
      </c>
    </row>
    <row r="484" spans="1:44" hidden="1" outlineLevel="1" collapsed="1">
      <c r="A484" s="24" t="str">
        <f>$A$28</f>
        <v>2Q</v>
      </c>
      <c r="B484" s="29" t="str">
        <f>$B$28</f>
        <v>Jul</v>
      </c>
      <c r="C484" s="24"/>
      <c r="D484" s="1581">
        <f>(S484/S477-1)*100</f>
        <v>-5.9910771191841956</v>
      </c>
      <c r="E484" s="24"/>
      <c r="F484" s="1616">
        <v>-6</v>
      </c>
      <c r="G484" s="24"/>
      <c r="H484" s="1581">
        <f>D484-F484</f>
        <v>8.9228808158043904E-3</v>
      </c>
      <c r="I484" s="24"/>
      <c r="J484" s="1996">
        <f>'Store New'!K6</f>
        <v>1587</v>
      </c>
      <c r="K484" s="1913"/>
      <c r="L484" s="1583">
        <f>AVERAGE(J484,J483)</f>
        <v>1588.5</v>
      </c>
      <c r="M484" s="24"/>
      <c r="N484" s="1581">
        <f>(L484/L477-1)*100</f>
        <v>-3.0219780219780223</v>
      </c>
      <c r="O484" s="30"/>
      <c r="P484" s="1821">
        <f>H484/N484*100</f>
        <v>-0.29526623790479978</v>
      </c>
      <c r="Q484" s="35"/>
      <c r="R484" s="24"/>
      <c r="S484" s="1917">
        <f>1155+182+138</f>
        <v>1475</v>
      </c>
      <c r="T484" s="1954">
        <f t="shared" si="368"/>
        <v>1429</v>
      </c>
      <c r="U484" s="1917"/>
      <c r="V484" s="24">
        <f>T484/L484</f>
        <v>0.89959080893925092</v>
      </c>
      <c r="W484" s="1586">
        <f>S484/L484</f>
        <v>0.92854894554611267</v>
      </c>
      <c r="X484" s="24">
        <f t="shared" si="369"/>
        <v>-3.627878022073705</v>
      </c>
      <c r="Y484" s="1587">
        <f t="shared" si="369"/>
        <v>-3.0616205988188372</v>
      </c>
      <c r="Z484" s="30"/>
      <c r="AA484" s="1997">
        <f>'Store New'!K28</f>
        <v>15</v>
      </c>
      <c r="AB484" s="1597"/>
      <c r="AC484" s="1588">
        <f>AVERAGE(AA484,AA483)</f>
        <v>15.05</v>
      </c>
      <c r="AD484" s="1588"/>
      <c r="AE484" s="24">
        <f t="shared" si="370"/>
        <v>-1.9543973941368087E-2</v>
      </c>
      <c r="AF484" s="1581"/>
      <c r="AG484" s="30"/>
      <c r="AH484" s="1589">
        <f t="shared" si="371"/>
        <v>-0.45655406840865775</v>
      </c>
      <c r="AI484" s="35"/>
      <c r="AJ484" s="1590">
        <f>T484</f>
        <v>1429</v>
      </c>
      <c r="AK484" s="1590">
        <f>S484</f>
        <v>1475</v>
      </c>
      <c r="AL484" s="1586">
        <f t="shared" si="372"/>
        <v>94.950166112956808</v>
      </c>
      <c r="AM484" s="1604"/>
      <c r="AN484" s="24"/>
      <c r="AO484" s="1587"/>
      <c r="AP484" s="30"/>
      <c r="AQ484" s="1941">
        <v>46</v>
      </c>
      <c r="AR484" s="1797">
        <f t="shared" ref="AR484:AR487" si="373">AQ484/AQ477-1</f>
        <v>0.14999999999999991</v>
      </c>
    </row>
    <row r="485" spans="1:44" hidden="1" outlineLevel="1">
      <c r="A485" s="24" t="str">
        <f>$A$29</f>
        <v>3Q</v>
      </c>
      <c r="B485" s="29" t="str">
        <f>$B$29</f>
        <v>Oct</v>
      </c>
      <c r="C485" s="24"/>
      <c r="D485" s="1581">
        <f>(S485/S478-1)*100</f>
        <v>-4.2168674698795154</v>
      </c>
      <c r="E485" s="24"/>
      <c r="F485" s="1616">
        <v>-7</v>
      </c>
      <c r="G485" s="24"/>
      <c r="H485" s="1581">
        <f>D485-F485</f>
        <v>2.7831325301204846</v>
      </c>
      <c r="I485" s="24"/>
      <c r="J485" s="1996">
        <f>'Store New'!L6</f>
        <v>1607</v>
      </c>
      <c r="K485" s="1913"/>
      <c r="L485" s="1583">
        <f>AVERAGE(J485,J484)</f>
        <v>1597</v>
      </c>
      <c r="M485" s="24"/>
      <c r="N485" s="1581">
        <f>(L485/L478-1)*100</f>
        <v>-2.9179331306990908</v>
      </c>
      <c r="O485" s="30"/>
      <c r="P485" s="1821">
        <f t="shared" ref="P485:P486" si="374">H485/N485*100</f>
        <v>-95.380271084337352</v>
      </c>
      <c r="Q485" s="35"/>
      <c r="R485" s="24"/>
      <c r="S485" s="1917">
        <f>1282+187+121</f>
        <v>1590</v>
      </c>
      <c r="T485" s="1954">
        <f t="shared" si="368"/>
        <v>1523</v>
      </c>
      <c r="U485" s="1917"/>
      <c r="V485" s="24">
        <f>T485/L485</f>
        <v>0.95366311834690043</v>
      </c>
      <c r="W485" s="1586">
        <f>S485/L485</f>
        <v>0.99561678146524735</v>
      </c>
      <c r="X485" s="24">
        <f t="shared" si="369"/>
        <v>-2.4393140745863739</v>
      </c>
      <c r="Y485" s="1587">
        <f t="shared" si="369"/>
        <v>-1.3379755716667607</v>
      </c>
      <c r="Z485" s="30"/>
      <c r="AA485" s="1997">
        <f>'Store New'!L28</f>
        <v>15.2</v>
      </c>
      <c r="AB485" s="1597"/>
      <c r="AC485" s="1588">
        <f t="shared" ref="AC485:AC486" si="375">AVERAGE(AA485,AA484)</f>
        <v>15.1</v>
      </c>
      <c r="AD485" s="1588"/>
      <c r="AE485" s="24">
        <f t="shared" si="370"/>
        <v>-2.2653721682847849E-2</v>
      </c>
      <c r="AF485" s="1581"/>
      <c r="AG485" s="30"/>
      <c r="AH485" s="1589">
        <f t="shared" si="371"/>
        <v>-122.85542168674736</v>
      </c>
      <c r="AI485" s="35"/>
      <c r="AJ485" s="1590">
        <f>T485</f>
        <v>1523</v>
      </c>
      <c r="AK485" s="1590">
        <f>S485</f>
        <v>1590</v>
      </c>
      <c r="AL485" s="1586">
        <f t="shared" si="372"/>
        <v>100.86092715231788</v>
      </c>
      <c r="AM485" s="1604"/>
      <c r="AN485" s="24"/>
      <c r="AO485" s="1587"/>
      <c r="AP485" s="30"/>
      <c r="AQ485" s="1941">
        <v>67</v>
      </c>
      <c r="AR485" s="1797">
        <f t="shared" si="373"/>
        <v>0.28846153846153855</v>
      </c>
    </row>
    <row r="486" spans="1:44" hidden="1" outlineLevel="1">
      <c r="A486" s="24" t="str">
        <f>$A$30</f>
        <v>4Q</v>
      </c>
      <c r="B486" s="29" t="str">
        <f>$B$30</f>
        <v>Jan</v>
      </c>
      <c r="C486" s="24"/>
      <c r="D486" s="1606">
        <f>(S486/S479-1)*100</f>
        <v>-1.4968614196040564</v>
      </c>
      <c r="E486" s="24"/>
      <c r="F486" s="1607">
        <v>-8</v>
      </c>
      <c r="G486" s="24"/>
      <c r="H486" s="1606">
        <f>D486-F486</f>
        <v>6.5031385803959436</v>
      </c>
      <c r="I486" s="24"/>
      <c r="J486" s="1996">
        <f>'Store New'!M6</f>
        <v>1566</v>
      </c>
      <c r="K486" s="1913"/>
      <c r="L486" s="1608">
        <f>AVERAGE(J486,J485)</f>
        <v>1586.5</v>
      </c>
      <c r="M486" s="24"/>
      <c r="N486" s="1606">
        <f>(L486/L479-1)*100</f>
        <v>-2.2489217498459668</v>
      </c>
      <c r="O486" s="30"/>
      <c r="P486" s="1822">
        <f t="shared" si="374"/>
        <v>-289.1669566022631</v>
      </c>
      <c r="Q486" s="35"/>
      <c r="R486" s="24"/>
      <c r="S486" s="1918">
        <f>S487-SUM(S483:S485)</f>
        <v>2040</v>
      </c>
      <c r="T486" s="1826">
        <f t="shared" si="368"/>
        <v>1951</v>
      </c>
      <c r="U486" s="1919"/>
      <c r="V486" s="24">
        <f>T486/L486</f>
        <v>1.2297510242672549</v>
      </c>
      <c r="W486" s="1586">
        <f>S486/L486</f>
        <v>1.2858493539237315</v>
      </c>
      <c r="X486" s="24">
        <f t="shared" si="369"/>
        <v>0.54840868442089796</v>
      </c>
      <c r="Y486" s="1612">
        <f t="shared" si="369"/>
        <v>0.76936269523013578</v>
      </c>
      <c r="Z486" s="30"/>
      <c r="AA486" s="1997">
        <f>'Store New'!M28</f>
        <v>14.8</v>
      </c>
      <c r="AB486" s="1597"/>
      <c r="AC486" s="1588">
        <f t="shared" si="375"/>
        <v>15</v>
      </c>
      <c r="AD486" s="1613"/>
      <c r="AE486" s="24">
        <f t="shared" si="370"/>
        <v>-2.2801302931596101E-2</v>
      </c>
      <c r="AF486" s="1606"/>
      <c r="AG486" s="30"/>
      <c r="AH486" s="1608">
        <f t="shared" si="371"/>
        <v>-285.20907774022197</v>
      </c>
      <c r="AI486" s="35"/>
      <c r="AJ486" s="1590">
        <f>T486</f>
        <v>1951</v>
      </c>
      <c r="AK486" s="1590">
        <f>S486</f>
        <v>2040</v>
      </c>
      <c r="AL486" s="1586">
        <f t="shared" si="372"/>
        <v>130.06666666666666</v>
      </c>
      <c r="AM486" s="1615"/>
      <c r="AN486" s="24"/>
      <c r="AO486" s="1612"/>
      <c r="AP486" s="30"/>
      <c r="AQ486" s="1944">
        <f>AQ487-SUM(AQ483:AQ485)</f>
        <v>89</v>
      </c>
      <c r="AR486" s="1797">
        <f t="shared" si="373"/>
        <v>3.488372093023262E-2</v>
      </c>
    </row>
    <row r="487" spans="1:44" hidden="1" outlineLevel="1">
      <c r="A487" s="24"/>
      <c r="B487" s="29" t="str">
        <f>$B$31</f>
        <v>Year</v>
      </c>
      <c r="C487" s="24"/>
      <c r="D487" s="1581">
        <f>(S487/S480-1)*100</f>
        <v>-4.8266783677051279</v>
      </c>
      <c r="E487" s="24"/>
      <c r="F487" s="1616">
        <v>-7.3003506038176855</v>
      </c>
      <c r="G487" s="24"/>
      <c r="H487" s="1581">
        <f>D487-F487</f>
        <v>2.4736722361125576</v>
      </c>
      <c r="I487" s="24"/>
      <c r="J487" s="1997"/>
      <c r="K487" s="24"/>
      <c r="L487" s="1583">
        <f>AVERAGE(L483:L486)</f>
        <v>1590.625</v>
      </c>
      <c r="M487" s="24"/>
      <c r="N487" s="1581">
        <f>(L487/L480-1)*100</f>
        <v>-2.8329260843005466</v>
      </c>
      <c r="O487" s="30"/>
      <c r="P487" s="1821">
        <f>H487/N487*100</f>
        <v>-87.318629660728007</v>
      </c>
      <c r="Q487" s="35"/>
      <c r="R487" s="24"/>
      <c r="S487" s="1590">
        <v>6507</v>
      </c>
      <c r="T487" s="1824">
        <f t="shared" si="368"/>
        <v>6246</v>
      </c>
      <c r="U487" s="1590"/>
      <c r="V487" s="24">
        <f>T487/L487</f>
        <v>3.9267583497053047</v>
      </c>
      <c r="W487" s="1586">
        <f>S487/L487</f>
        <v>4.0908447937131633</v>
      </c>
      <c r="X487" s="24">
        <f t="shared" si="369"/>
        <v>-2.6634854865599134</v>
      </c>
      <c r="Y487" s="1587">
        <f t="shared" si="369"/>
        <v>-2.0518805425120967</v>
      </c>
      <c r="Z487" s="30"/>
      <c r="AA487" s="1997"/>
      <c r="AB487" s="24"/>
      <c r="AC487" s="1597">
        <f>AVERAGE(AC483:AC486)</f>
        <v>15.0625</v>
      </c>
      <c r="AD487" s="1588"/>
      <c r="AE487" s="24">
        <f t="shared" si="370"/>
        <v>-2.1121039805036657E-2</v>
      </c>
      <c r="AF487" s="1581"/>
      <c r="AG487" s="30"/>
      <c r="AH487" s="1589">
        <f t="shared" si="371"/>
        <v>-117.118866255944</v>
      </c>
      <c r="AI487" s="35"/>
      <c r="AJ487" s="1590">
        <f>T487</f>
        <v>6246</v>
      </c>
      <c r="AK487" s="1590">
        <f>S487</f>
        <v>6507</v>
      </c>
      <c r="AL487" s="1586">
        <f t="shared" si="372"/>
        <v>414.67219917012449</v>
      </c>
      <c r="AM487" s="1591"/>
      <c r="AN487" s="24"/>
      <c r="AO487" s="1587"/>
      <c r="AP487" s="30"/>
      <c r="AQ487" s="1941">
        <v>261</v>
      </c>
      <c r="AR487" s="1797">
        <f t="shared" si="373"/>
        <v>0.12017167381974247</v>
      </c>
    </row>
    <row r="488" spans="1:44" collapsed="1">
      <c r="A488" s="24"/>
      <c r="B488" s="29"/>
      <c r="C488" s="24"/>
      <c r="D488" s="1581"/>
      <c r="E488" s="24"/>
      <c r="F488" s="1616"/>
      <c r="G488" s="24"/>
      <c r="H488" s="1581"/>
      <c r="I488" s="24"/>
      <c r="J488" s="1997"/>
      <c r="K488" s="24"/>
      <c r="L488" s="1583"/>
      <c r="M488" s="24"/>
      <c r="N488" s="1581"/>
      <c r="O488" s="30"/>
      <c r="P488" s="1821"/>
      <c r="Q488" s="35"/>
      <c r="R488" s="24"/>
      <c r="S488" s="1590"/>
      <c r="T488" s="1824"/>
      <c r="U488" s="1590"/>
      <c r="V488" s="24"/>
      <c r="W488" s="1586"/>
      <c r="X488" s="24"/>
      <c r="Y488" s="1587"/>
      <c r="Z488" s="30"/>
      <c r="AA488" s="1997"/>
      <c r="AB488" s="24"/>
      <c r="AC488" s="24"/>
      <c r="AD488" s="1588"/>
      <c r="AE488" s="24"/>
      <c r="AF488" s="1581"/>
      <c r="AG488" s="30"/>
      <c r="AH488" s="1589"/>
      <c r="AI488" s="35"/>
      <c r="AJ488" s="24"/>
      <c r="AK488" s="1590"/>
      <c r="AL488" s="24"/>
      <c r="AM488" s="1591"/>
      <c r="AN488" s="24"/>
      <c r="AO488" s="1587"/>
      <c r="AP488" s="30"/>
      <c r="AQ488" s="1941"/>
    </row>
    <row r="489" spans="1:44">
      <c r="A489" s="1579"/>
      <c r="B489" s="1580">
        <f>+B482+1</f>
        <v>2007</v>
      </c>
      <c r="C489" s="24"/>
      <c r="D489" s="24"/>
      <c r="E489" s="30"/>
      <c r="F489" s="1816"/>
      <c r="G489" s="30"/>
      <c r="H489" s="24"/>
      <c r="I489" s="30"/>
      <c r="J489" s="1997"/>
      <c r="K489" s="24"/>
      <c r="L489" s="24"/>
      <c r="M489" s="24"/>
      <c r="N489" s="24"/>
      <c r="O489" s="30"/>
      <c r="P489" s="1953"/>
      <c r="Q489" s="35"/>
      <c r="R489" s="24"/>
      <c r="S489" s="24"/>
      <c r="T489" s="1782"/>
      <c r="U489" s="24"/>
      <c r="V489" s="24"/>
      <c r="W489" s="24"/>
      <c r="X489" s="24"/>
      <c r="Y489" s="24"/>
      <c r="Z489" s="30"/>
      <c r="AA489" s="1997"/>
      <c r="AB489" s="24"/>
      <c r="AC489" s="24"/>
      <c r="AD489" s="24"/>
      <c r="AE489" s="24"/>
      <c r="AF489" s="24"/>
      <c r="AG489" s="30"/>
      <c r="AH489" s="35"/>
      <c r="AI489" s="35"/>
      <c r="AJ489" s="24"/>
      <c r="AK489" s="24"/>
      <c r="AL489" s="24"/>
      <c r="AM489" s="24"/>
      <c r="AN489" s="24"/>
      <c r="AO489" s="24"/>
      <c r="AP489" s="30"/>
      <c r="AQ489" s="1941"/>
    </row>
    <row r="490" spans="1:44">
      <c r="A490" s="24" t="str">
        <f>$A$27</f>
        <v>1Q</v>
      </c>
      <c r="B490" s="29" t="str">
        <f>$B$27</f>
        <v>Apr</v>
      </c>
      <c r="C490" s="24"/>
      <c r="D490" s="1581">
        <f>(S490/S483-1)*100</f>
        <v>7.1326676176886039E-2</v>
      </c>
      <c r="E490" s="30" t="s">
        <v>489</v>
      </c>
      <c r="F490" s="1616">
        <v>-4</v>
      </c>
      <c r="G490" s="30" t="s">
        <v>489</v>
      </c>
      <c r="H490" s="1581">
        <f>D490-F490</f>
        <v>4.071326676176886</v>
      </c>
      <c r="I490" s="30" t="s">
        <v>489</v>
      </c>
      <c r="J490" s="1996">
        <f>'Store New'!N6</f>
        <v>1570</v>
      </c>
      <c r="K490" s="1913"/>
      <c r="L490" s="1583">
        <f>AVERAGE(J490,J486)</f>
        <v>1568</v>
      </c>
      <c r="M490" s="24"/>
      <c r="N490" s="1581">
        <f>(L490/L483-1)*100</f>
        <v>-1.4146494812951937</v>
      </c>
      <c r="O490" s="30" t="s">
        <v>489</v>
      </c>
      <c r="P490" s="1821">
        <f>H490/N490*100</f>
        <v>-287.79755904263646</v>
      </c>
      <c r="Q490" s="35" t="s">
        <v>489</v>
      </c>
      <c r="R490" s="24"/>
      <c r="S490" s="1916">
        <f>1086+180+137</f>
        <v>1403</v>
      </c>
      <c r="T490" s="1824">
        <f t="shared" ref="T490:T494" si="376">S490-AQ490</f>
        <v>1335</v>
      </c>
      <c r="U490" s="1916"/>
      <c r="V490" s="24">
        <f>T490/L490</f>
        <v>0.85140306122448983</v>
      </c>
      <c r="W490" s="1586">
        <f>S490/L490</f>
        <v>0.89477040816326525</v>
      </c>
      <c r="X490" s="24">
        <f t="shared" ref="X490:Y494" si="377">(V490/V483-1)*100</f>
        <v>0.83071994620633749</v>
      </c>
      <c r="Y490" s="1587">
        <f t="shared" si="377"/>
        <v>1.5072991571807082</v>
      </c>
      <c r="Z490" s="30" t="s">
        <v>489</v>
      </c>
      <c r="AA490" s="1997">
        <f>'Store New'!N28</f>
        <v>14.9</v>
      </c>
      <c r="AB490" s="1597"/>
      <c r="AC490" s="1588">
        <f>AVERAGE(AA490,AA486)</f>
        <v>14.850000000000001</v>
      </c>
      <c r="AD490" s="1588"/>
      <c r="AE490" s="24">
        <f t="shared" ref="AE490:AE494" si="378">AC490/AC483-1</f>
        <v>-1.6556291390728339E-2</v>
      </c>
      <c r="AF490" s="1581"/>
      <c r="AG490" s="30" t="s">
        <v>489</v>
      </c>
      <c r="AH490" s="1589">
        <f t="shared" ref="AH490:AH494" si="379">IFERROR(H490/AE490, "NM")</f>
        <v>-245.90813124108595</v>
      </c>
      <c r="AI490" s="35" t="s">
        <v>489</v>
      </c>
      <c r="AJ490" s="1590">
        <f>T490</f>
        <v>1335</v>
      </c>
      <c r="AK490" s="1590">
        <f>S490</f>
        <v>1403</v>
      </c>
      <c r="AL490" s="1586">
        <f t="shared" ref="AL490:AL494" si="380">AJ490/AC490</f>
        <v>89.898989898989896</v>
      </c>
      <c r="AM490" s="1591"/>
      <c r="AN490" s="24"/>
      <c r="AO490" s="1587"/>
      <c r="AP490" s="30" t="s">
        <v>489</v>
      </c>
      <c r="AQ490" s="1945">
        <v>68</v>
      </c>
      <c r="AR490" s="1797">
        <f>AQ490/AQ483-1</f>
        <v>0.15254237288135597</v>
      </c>
    </row>
    <row r="491" spans="1:44">
      <c r="A491" s="24" t="str">
        <f>$A$28</f>
        <v>2Q</v>
      </c>
      <c r="B491" s="29" t="str">
        <f>$B$28</f>
        <v>Jul</v>
      </c>
      <c r="C491" s="24"/>
      <c r="D491" s="1581">
        <f>(S491/S484-1)*100</f>
        <v>-4.3389830508474558</v>
      </c>
      <c r="E491" s="24"/>
      <c r="F491" s="1616">
        <v>-6</v>
      </c>
      <c r="G491" s="24"/>
      <c r="H491" s="1581">
        <f>D491-F491</f>
        <v>1.6610169491525442</v>
      </c>
      <c r="I491" s="24"/>
      <c r="J491" s="1996">
        <f>'Store New'!O6</f>
        <v>1558</v>
      </c>
      <c r="K491" s="1913"/>
      <c r="L491" s="1583">
        <f>AVERAGE(J491,J490)</f>
        <v>1564</v>
      </c>
      <c r="M491" s="24"/>
      <c r="N491" s="1581">
        <f>(L491/L484-1)*100</f>
        <v>-1.5423355366698144</v>
      </c>
      <c r="O491" s="30"/>
      <c r="P491" s="1821">
        <f>H491/N491*100</f>
        <v>-107.6949152542374</v>
      </c>
      <c r="Q491" s="35"/>
      <c r="R491" s="24"/>
      <c r="S491" s="1917">
        <f>1079+204+128</f>
        <v>1411</v>
      </c>
      <c r="T491" s="1954">
        <f t="shared" si="376"/>
        <v>1356</v>
      </c>
      <c r="U491" s="1917"/>
      <c r="V491" s="24">
        <f>T491/L491</f>
        <v>0.86700767263427114</v>
      </c>
      <c r="W491" s="1586">
        <f>S491/L491</f>
        <v>0.90217391304347827</v>
      </c>
      <c r="X491" s="24">
        <f t="shared" si="377"/>
        <v>-3.621995242859366</v>
      </c>
      <c r="Y491" s="1587">
        <f t="shared" si="377"/>
        <v>-2.8404568901989613</v>
      </c>
      <c r="Z491" s="30"/>
      <c r="AA491" s="1997">
        <f>'Store New'!O28</f>
        <v>14.9</v>
      </c>
      <c r="AB491" s="1597"/>
      <c r="AC491" s="1588">
        <f>AVERAGE(AA491,AA490)</f>
        <v>14.9</v>
      </c>
      <c r="AD491" s="1588"/>
      <c r="AE491" s="24">
        <f t="shared" si="378"/>
        <v>-9.966777408637939E-3</v>
      </c>
      <c r="AF491" s="1581"/>
      <c r="AG491" s="30"/>
      <c r="AH491" s="1589">
        <f t="shared" si="379"/>
        <v>-166.65536723163751</v>
      </c>
      <c r="AI491" s="35"/>
      <c r="AJ491" s="1590">
        <f>T491</f>
        <v>1356</v>
      </c>
      <c r="AK491" s="1590">
        <f>S491</f>
        <v>1411</v>
      </c>
      <c r="AL491" s="1586">
        <f t="shared" si="380"/>
        <v>91.006711409395976</v>
      </c>
      <c r="AM491" s="1604"/>
      <c r="AN491" s="24"/>
      <c r="AO491" s="1587"/>
      <c r="AP491" s="30"/>
      <c r="AQ491" s="1945">
        <v>55</v>
      </c>
      <c r="AR491" s="1797">
        <f t="shared" ref="AR491:AR494" si="381">AQ491/AQ484-1</f>
        <v>0.19565217391304346</v>
      </c>
    </row>
    <row r="492" spans="1:44">
      <c r="A492" s="24" t="str">
        <f>$A$29</f>
        <v>3Q</v>
      </c>
      <c r="B492" s="29" t="str">
        <f>$B$29</f>
        <v>Oct</v>
      </c>
      <c r="C492" s="24"/>
      <c r="D492" s="1581">
        <f>(S492/S485-1)*100</f>
        <v>-2.0754716981132071</v>
      </c>
      <c r="E492" s="24"/>
      <c r="F492" s="1616">
        <v>-6</v>
      </c>
      <c r="G492" s="24"/>
      <c r="H492" s="1581">
        <f>D492-F492</f>
        <v>3.9245283018867929</v>
      </c>
      <c r="I492" s="24"/>
      <c r="J492" s="1996">
        <f>'Store New'!P6</f>
        <v>1559</v>
      </c>
      <c r="K492" s="1913"/>
      <c r="L492" s="1583">
        <f>AVERAGE(J492,J491)</f>
        <v>1558.5</v>
      </c>
      <c r="M492" s="24"/>
      <c r="N492" s="1581">
        <f>(L492/L485-1)*100</f>
        <v>-2.4107701941139648</v>
      </c>
      <c r="O492" s="30"/>
      <c r="P492" s="1821">
        <f t="shared" ref="P492:P493" si="382">H492/N492*100</f>
        <v>-162.79147267826508</v>
      </c>
      <c r="Q492" s="35"/>
      <c r="R492" s="24"/>
      <c r="S492" s="1917">
        <f>1224+197+136</f>
        <v>1557</v>
      </c>
      <c r="T492" s="1954">
        <f t="shared" si="376"/>
        <v>1474</v>
      </c>
      <c r="U492" s="1917"/>
      <c r="V492" s="24">
        <f>T492/L492</f>
        <v>0.94578119987167153</v>
      </c>
      <c r="W492" s="1586">
        <f>S492/L492</f>
        <v>0.99903753609239654</v>
      </c>
      <c r="X492" s="24">
        <f t="shared" si="377"/>
        <v>-0.82648875935262822</v>
      </c>
      <c r="Y492" s="1587">
        <f t="shared" si="377"/>
        <v>0.34358145531807605</v>
      </c>
      <c r="Z492" s="30"/>
      <c r="AA492" s="1997">
        <f>'Store New'!P28</f>
        <v>14.9</v>
      </c>
      <c r="AB492" s="1597"/>
      <c r="AC492" s="1588">
        <f t="shared" ref="AC492:AC493" si="383">AVERAGE(AA492,AA491)</f>
        <v>14.9</v>
      </c>
      <c r="AD492" s="1588"/>
      <c r="AE492" s="24">
        <f t="shared" si="378"/>
        <v>-1.3245033112582738E-2</v>
      </c>
      <c r="AF492" s="1581"/>
      <c r="AG492" s="30"/>
      <c r="AH492" s="1589">
        <f t="shared" si="379"/>
        <v>-296.30188679245384</v>
      </c>
      <c r="AI492" s="35"/>
      <c r="AJ492" s="1590">
        <f>T492</f>
        <v>1474</v>
      </c>
      <c r="AK492" s="1590">
        <f>S492</f>
        <v>1557</v>
      </c>
      <c r="AL492" s="1586">
        <f t="shared" si="380"/>
        <v>98.926174496644293</v>
      </c>
      <c r="AM492" s="1604"/>
      <c r="AN492" s="24"/>
      <c r="AO492" s="1587"/>
      <c r="AP492" s="30"/>
      <c r="AQ492" s="1945">
        <v>83</v>
      </c>
      <c r="AR492" s="1797">
        <f t="shared" si="381"/>
        <v>0.23880597014925375</v>
      </c>
    </row>
    <row r="493" spans="1:44">
      <c r="A493" s="24" t="str">
        <f>$A$30</f>
        <v>4Q</v>
      </c>
      <c r="B493" s="29" t="str">
        <f>$B$30</f>
        <v>Jan</v>
      </c>
      <c r="C493" s="24"/>
      <c r="D493" s="1606">
        <f>(S493/S486-1)*100</f>
        <v>-7.745098039215681</v>
      </c>
      <c r="E493" s="24"/>
      <c r="F493" s="1607">
        <v>-5</v>
      </c>
      <c r="G493" s="24"/>
      <c r="H493" s="1606">
        <f>D493-F493</f>
        <v>-2.745098039215681</v>
      </c>
      <c r="I493" s="24"/>
      <c r="J493" s="1996">
        <f>'Store New'!Q6</f>
        <v>1532</v>
      </c>
      <c r="K493" s="1913"/>
      <c r="L493" s="1608">
        <f>AVERAGE(J493,J492)</f>
        <v>1545.5</v>
      </c>
      <c r="M493" s="24"/>
      <c r="N493" s="1606">
        <f>(L493/L486-1)*100</f>
        <v>-2.5843050740623985</v>
      </c>
      <c r="O493" s="30"/>
      <c r="P493" s="1822">
        <f t="shared" si="382"/>
        <v>106.22190339550446</v>
      </c>
      <c r="Q493" s="35"/>
      <c r="R493" s="24"/>
      <c r="S493" s="1918">
        <f>S494-SUM(S490:S492)</f>
        <v>1882</v>
      </c>
      <c r="T493" s="1826">
        <f t="shared" si="376"/>
        <v>1780</v>
      </c>
      <c r="U493" s="1919"/>
      <c r="V493" s="24">
        <f>T493/L493</f>
        <v>1.1517308314461339</v>
      </c>
      <c r="W493" s="1586">
        <f>S493/L493</f>
        <v>1.2177288903267551</v>
      </c>
      <c r="X493" s="24">
        <f t="shared" si="377"/>
        <v>-6.3443893342239104</v>
      </c>
      <c r="Y493" s="1612">
        <f t="shared" si="377"/>
        <v>-5.2977017400295594</v>
      </c>
      <c r="Z493" s="30"/>
      <c r="AA493" s="1997">
        <f>'Store New'!Q28</f>
        <v>14.799999999999999</v>
      </c>
      <c r="AB493" s="1597"/>
      <c r="AC493" s="1588">
        <f t="shared" si="383"/>
        <v>14.85</v>
      </c>
      <c r="AD493" s="1613"/>
      <c r="AE493" s="24">
        <f t="shared" si="378"/>
        <v>-1.0000000000000009E-2</v>
      </c>
      <c r="AF493" s="1606"/>
      <c r="AG493" s="30"/>
      <c r="AH493" s="1608">
        <f t="shared" si="379"/>
        <v>274.50980392156788</v>
      </c>
      <c r="AI493" s="35"/>
      <c r="AJ493" s="1590">
        <f>T493</f>
        <v>1780</v>
      </c>
      <c r="AK493" s="1590">
        <f>S493</f>
        <v>1882</v>
      </c>
      <c r="AL493" s="1586">
        <f t="shared" si="380"/>
        <v>119.86531986531986</v>
      </c>
      <c r="AM493" s="1615"/>
      <c r="AN493" s="24"/>
      <c r="AO493" s="1612"/>
      <c r="AP493" s="30"/>
      <c r="AQ493" s="1945">
        <v>102</v>
      </c>
      <c r="AR493" s="1797">
        <f t="shared" si="381"/>
        <v>0.14606741573033699</v>
      </c>
    </row>
    <row r="494" spans="1:44">
      <c r="A494" s="24"/>
      <c r="B494" s="29" t="str">
        <f>$B$31</f>
        <v>Year</v>
      </c>
      <c r="C494" s="24"/>
      <c r="D494" s="1581">
        <f>(S494/S487-1)*100</f>
        <v>-3.9034885507914563</v>
      </c>
      <c r="E494" s="24"/>
      <c r="F494" s="1616">
        <v>-5.2525944375259446</v>
      </c>
      <c r="G494" s="24"/>
      <c r="H494" s="1581">
        <f>D494-F494</f>
        <v>1.3491058867344883</v>
      </c>
      <c r="I494" s="24"/>
      <c r="J494" s="1997"/>
      <c r="K494" s="24"/>
      <c r="L494" s="1583">
        <f>AVERAGE(L490:L493)</f>
        <v>1559</v>
      </c>
      <c r="M494" s="24"/>
      <c r="N494" s="1581">
        <f>(L494/L487-1)*100</f>
        <v>-1.9882121807465625</v>
      </c>
      <c r="O494" s="30"/>
      <c r="P494" s="1821">
        <f>H494/N494*100</f>
        <v>-67.855226911843317</v>
      </c>
      <c r="Q494" s="35"/>
      <c r="R494" s="24"/>
      <c r="S494" s="1590">
        <v>6253</v>
      </c>
      <c r="T494" s="1824">
        <f t="shared" si="376"/>
        <v>5945</v>
      </c>
      <c r="U494" s="1590"/>
      <c r="V494" s="24">
        <f>T494/L494</f>
        <v>3.8133418858242463</v>
      </c>
      <c r="W494" s="1586">
        <f>S494/L494</f>
        <v>4.0109044259140472</v>
      </c>
      <c r="X494" s="24">
        <f t="shared" si="377"/>
        <v>-2.8882975161832913</v>
      </c>
      <c r="Y494" s="1587">
        <f t="shared" si="377"/>
        <v>-1.9541285927534791</v>
      </c>
      <c r="Z494" s="30"/>
      <c r="AA494" s="1997"/>
      <c r="AB494" s="24"/>
      <c r="AC494" s="1597">
        <f>AVERAGE(AC490:AC493)</f>
        <v>14.875</v>
      </c>
      <c r="AD494" s="1588"/>
      <c r="AE494" s="24">
        <f t="shared" si="378"/>
        <v>-1.2448132780082943E-2</v>
      </c>
      <c r="AF494" s="1581"/>
      <c r="AG494" s="30"/>
      <c r="AH494" s="1589">
        <f t="shared" si="379"/>
        <v>-108.37817290100428</v>
      </c>
      <c r="AI494" s="35"/>
      <c r="AJ494" s="1590">
        <f>T494</f>
        <v>5945</v>
      </c>
      <c r="AK494" s="1590">
        <f>S494</f>
        <v>6253</v>
      </c>
      <c r="AL494" s="1586">
        <f t="shared" si="380"/>
        <v>399.66386554621846</v>
      </c>
      <c r="AM494" s="1591"/>
      <c r="AN494" s="24"/>
      <c r="AO494" s="1587"/>
      <c r="AP494" s="30"/>
      <c r="AQ494" s="1945">
        <v>308</v>
      </c>
      <c r="AR494" s="1797">
        <f t="shared" si="381"/>
        <v>0.18007662835249039</v>
      </c>
    </row>
    <row r="495" spans="1:44">
      <c r="A495" s="24"/>
      <c r="B495" s="29"/>
      <c r="C495" s="24"/>
      <c r="D495" s="24"/>
      <c r="E495" s="24"/>
      <c r="F495" s="1816"/>
      <c r="G495" s="24"/>
      <c r="H495" s="24"/>
      <c r="I495" s="24"/>
      <c r="J495" s="1997"/>
      <c r="K495" s="24"/>
      <c r="L495" s="24"/>
      <c r="M495" s="24"/>
      <c r="N495" s="24"/>
      <c r="O495" s="30"/>
      <c r="P495" s="1782"/>
      <c r="Q495" s="24"/>
      <c r="R495" s="24"/>
      <c r="S495" s="1630"/>
      <c r="T495" s="1957"/>
      <c r="U495" s="1630"/>
      <c r="V495" s="24"/>
      <c r="W495" s="24"/>
      <c r="X495" s="24"/>
      <c r="Y495" s="24"/>
      <c r="Z495" s="24"/>
      <c r="AA495" s="1997"/>
      <c r="AB495" s="24"/>
      <c r="AC495" s="24"/>
      <c r="AD495" s="24"/>
      <c r="AE495" s="24"/>
      <c r="AF495" s="24"/>
      <c r="AG495" s="30"/>
      <c r="AH495" s="24"/>
      <c r="AI495" s="24"/>
      <c r="AJ495" s="24"/>
      <c r="AK495" s="24"/>
      <c r="AL495" s="24"/>
      <c r="AM495" s="24"/>
      <c r="AN495" s="24"/>
      <c r="AO495" s="24"/>
      <c r="AP495" s="24"/>
      <c r="AQ495" s="1945"/>
    </row>
    <row r="496" spans="1:44">
      <c r="A496" s="1579"/>
      <c r="B496" s="1580">
        <f>+B489+1</f>
        <v>2008</v>
      </c>
      <c r="C496" s="24"/>
      <c r="D496" s="24"/>
      <c r="E496" s="30"/>
      <c r="F496" s="1816"/>
      <c r="G496" s="30"/>
      <c r="H496" s="24"/>
      <c r="I496" s="30"/>
      <c r="J496" s="1997"/>
      <c r="K496" s="24"/>
      <c r="L496" s="24"/>
      <c r="M496" s="24"/>
      <c r="N496" s="24"/>
      <c r="O496" s="30"/>
      <c r="P496" s="1953"/>
      <c r="Q496" s="35"/>
      <c r="R496" s="24"/>
      <c r="S496" s="24"/>
      <c r="T496" s="1782"/>
      <c r="U496" s="24"/>
      <c r="V496" s="24"/>
      <c r="W496" s="24"/>
      <c r="X496" s="24"/>
      <c r="Y496" s="24"/>
      <c r="Z496" s="30"/>
      <c r="AA496" s="1997"/>
      <c r="AB496" s="24"/>
      <c r="AC496" s="24"/>
      <c r="AD496" s="24"/>
      <c r="AE496" s="24"/>
      <c r="AF496" s="24"/>
      <c r="AG496" s="30"/>
      <c r="AH496" s="35"/>
      <c r="AI496" s="35"/>
      <c r="AJ496" s="24"/>
      <c r="AK496" s="24"/>
      <c r="AL496" s="24"/>
      <c r="AM496" s="24"/>
      <c r="AN496" s="24"/>
      <c r="AO496" s="24"/>
      <c r="AP496" s="30"/>
      <c r="AQ496" s="1945"/>
    </row>
    <row r="497" spans="1:44">
      <c r="A497" s="24" t="str">
        <f>$A$27</f>
        <v>1Q</v>
      </c>
      <c r="B497" s="29" t="str">
        <f>$B$27</f>
        <v>Apr</v>
      </c>
      <c r="C497" s="24"/>
      <c r="D497" s="1581">
        <f>(S497/S490-1)*100</f>
        <v>-0.78403421240199611</v>
      </c>
      <c r="E497" s="30" t="s">
        <v>489</v>
      </c>
      <c r="F497" s="1616">
        <v>-7</v>
      </c>
      <c r="G497" s="30" t="s">
        <v>489</v>
      </c>
      <c r="H497" s="1581">
        <f>D497-F497</f>
        <v>6.2159657875980034</v>
      </c>
      <c r="I497" s="30" t="s">
        <v>489</v>
      </c>
      <c r="J497" s="1996">
        <f>'Store New'!R6</f>
        <v>1528</v>
      </c>
      <c r="K497" s="1913"/>
      <c r="L497" s="1583">
        <f>AVERAGE(J497,J493)</f>
        <v>1530</v>
      </c>
      <c r="M497" s="24"/>
      <c r="N497" s="1581">
        <f>(L497/L490-1)*100</f>
        <v>-2.4234693877551061</v>
      </c>
      <c r="O497" s="30" t="s">
        <v>489</v>
      </c>
      <c r="P497" s="1821">
        <f>H497/N497*100</f>
        <v>-256.49037776193825</v>
      </c>
      <c r="Q497" s="35" t="s">
        <v>489</v>
      </c>
      <c r="R497" s="24"/>
      <c r="S497" s="1916">
        <f>976+76+172+168</f>
        <v>1392</v>
      </c>
      <c r="T497" s="1824">
        <f t="shared" ref="T497:T501" si="384">S497-AQ497</f>
        <v>1316</v>
      </c>
      <c r="U497" s="1916"/>
      <c r="V497" s="24">
        <f>T497/L497</f>
        <v>0.86013071895424842</v>
      </c>
      <c r="W497" s="1586">
        <f>S497/L497</f>
        <v>0.90980392156862744</v>
      </c>
      <c r="X497" s="24">
        <f t="shared" ref="X497:Y501" si="385">(V497/V490-1)*100</f>
        <v>1.0250911850383071</v>
      </c>
      <c r="Y497" s="1587">
        <f t="shared" si="385"/>
        <v>1.6801531731723385</v>
      </c>
      <c r="Z497" s="30" t="s">
        <v>489</v>
      </c>
      <c r="AA497" s="1997">
        <f>'Store New'!R28</f>
        <v>14.7</v>
      </c>
      <c r="AB497" s="1597"/>
      <c r="AC497" s="1588">
        <f>AVERAGE(AA497,AA493)</f>
        <v>14.75</v>
      </c>
      <c r="AD497" s="1588"/>
      <c r="AE497" s="24">
        <f t="shared" ref="AE497:AE501" si="386">AC497/AC490-1</f>
        <v>-6.7340067340068144E-3</v>
      </c>
      <c r="AF497" s="1581"/>
      <c r="AG497" s="30" t="s">
        <v>489</v>
      </c>
      <c r="AH497" s="1589">
        <f t="shared" ref="AH497:AH501" si="387">IFERROR(H497/AE497, "NM")</f>
        <v>-923.07091945829245</v>
      </c>
      <c r="AI497" s="35" t="s">
        <v>489</v>
      </c>
      <c r="AJ497" s="1590">
        <f>T497</f>
        <v>1316</v>
      </c>
      <c r="AK497" s="1590">
        <f>S497</f>
        <v>1392</v>
      </c>
      <c r="AL497" s="1586">
        <f t="shared" ref="AL497:AL501" si="388">AJ497/AC497</f>
        <v>89.220338983050851</v>
      </c>
      <c r="AM497" s="1591"/>
      <c r="AN497" s="24"/>
      <c r="AO497" s="1587"/>
      <c r="AP497" s="30" t="s">
        <v>489</v>
      </c>
      <c r="AQ497" s="1945">
        <v>76</v>
      </c>
      <c r="AR497" s="1797">
        <f>AQ497/AQ490-1</f>
        <v>0.11764705882352944</v>
      </c>
    </row>
    <row r="498" spans="1:44">
      <c r="A498" s="24" t="str">
        <f>$A$28</f>
        <v>2Q</v>
      </c>
      <c r="B498" s="29" t="str">
        <f>$B$28</f>
        <v>Jul</v>
      </c>
      <c r="C498" s="24"/>
      <c r="D498" s="1581">
        <f>(S498/S491-1)*100</f>
        <v>-0.56697377746278699</v>
      </c>
      <c r="E498" s="24"/>
      <c r="F498" s="1616">
        <v>-6</v>
      </c>
      <c r="G498" s="24"/>
      <c r="H498" s="1581">
        <f>D498-F498</f>
        <v>5.4330262225372135</v>
      </c>
      <c r="I498" s="24"/>
      <c r="J498" s="1996">
        <f>'Store New'!S6</f>
        <v>1510</v>
      </c>
      <c r="K498" s="1913"/>
      <c r="L498" s="1583">
        <f>AVERAGE(J498,J497)</f>
        <v>1519</v>
      </c>
      <c r="M498" s="24"/>
      <c r="N498" s="1581">
        <f>(L498/L491-1)*100</f>
        <v>-2.8772378516624064</v>
      </c>
      <c r="O498" s="30"/>
      <c r="P498" s="1821">
        <f>H498/N498*100</f>
        <v>-188.8278447121821</v>
      </c>
      <c r="Q498" s="35"/>
      <c r="R498" s="24"/>
      <c r="S498" s="1917">
        <f>999+185+160+59</f>
        <v>1403</v>
      </c>
      <c r="T498" s="1954">
        <f t="shared" si="384"/>
        <v>1344</v>
      </c>
      <c r="U498" s="1917"/>
      <c r="V498" s="24">
        <f>T498/L498</f>
        <v>0.88479262672811065</v>
      </c>
      <c r="W498" s="1586">
        <f>S498/L498</f>
        <v>0.92363396971691902</v>
      </c>
      <c r="X498" s="24">
        <f t="shared" si="385"/>
        <v>2.051302964805668</v>
      </c>
      <c r="Y498" s="1587">
        <f t="shared" si="385"/>
        <v>2.3787050770560869</v>
      </c>
      <c r="Z498" s="30"/>
      <c r="AA498" s="1997">
        <f>'Store New'!S28</f>
        <v>14.6</v>
      </c>
      <c r="AB498" s="1597"/>
      <c r="AC498" s="1588">
        <f>AVERAGE(AA498,AA497)</f>
        <v>14.649999999999999</v>
      </c>
      <c r="AD498" s="1588"/>
      <c r="AE498" s="24">
        <f t="shared" si="386"/>
        <v>-1.6778523489933028E-2</v>
      </c>
      <c r="AF498" s="1581"/>
      <c r="AG498" s="30"/>
      <c r="AH498" s="1589">
        <f t="shared" si="387"/>
        <v>-323.80836286321517</v>
      </c>
      <c r="AI498" s="35"/>
      <c r="AJ498" s="1590">
        <f>T498</f>
        <v>1344</v>
      </c>
      <c r="AK498" s="1590">
        <f>S498</f>
        <v>1403</v>
      </c>
      <c r="AL498" s="1586">
        <f t="shared" si="388"/>
        <v>91.740614334471005</v>
      </c>
      <c r="AM498" s="1604"/>
      <c r="AN498" s="24"/>
      <c r="AO498" s="1587"/>
      <c r="AP498" s="30"/>
      <c r="AQ498" s="1945">
        <v>59</v>
      </c>
      <c r="AR498" s="1797">
        <f t="shared" ref="AR498:AR501" si="389">AQ498/AQ491-1</f>
        <v>7.2727272727272751E-2</v>
      </c>
    </row>
    <row r="499" spans="1:44">
      <c r="A499" s="24" t="str">
        <f>$A$29</f>
        <v>3Q</v>
      </c>
      <c r="B499" s="29" t="str">
        <f>$B$29</f>
        <v>Oct</v>
      </c>
      <c r="C499" s="24"/>
      <c r="D499" s="1581">
        <f>(S499/S492-1)*100</f>
        <v>-3.5966602440590911</v>
      </c>
      <c r="E499" s="24"/>
      <c r="F499" s="1616">
        <v>-7</v>
      </c>
      <c r="G499" s="24"/>
      <c r="H499" s="1581">
        <f>D499-F499</f>
        <v>3.4033397559409089</v>
      </c>
      <c r="I499" s="24"/>
      <c r="J499" s="1996">
        <f>'Store New'!T6</f>
        <v>1512</v>
      </c>
      <c r="K499" s="1913"/>
      <c r="L499" s="1583">
        <f>AVERAGE(J499,J498)</f>
        <v>1511</v>
      </c>
      <c r="M499" s="24"/>
      <c r="N499" s="1581">
        <f>(L499/L492-1)*100</f>
        <v>-3.047802374077635</v>
      </c>
      <c r="O499" s="30"/>
      <c r="P499" s="1821">
        <f t="shared" ref="P499:P500" si="390">H499/N499*100</f>
        <v>-111.66536862387187</v>
      </c>
      <c r="Q499" s="35"/>
      <c r="R499" s="24"/>
      <c r="S499" s="1917">
        <f>1066+181+159+95</f>
        <v>1501</v>
      </c>
      <c r="T499" s="1954">
        <f t="shared" si="384"/>
        <v>1406</v>
      </c>
      <c r="U499" s="1917"/>
      <c r="V499" s="24">
        <f>T499/L499</f>
        <v>0.93050959629384511</v>
      </c>
      <c r="W499" s="1586">
        <f>S499/L499</f>
        <v>0.99338186631369951</v>
      </c>
      <c r="X499" s="24">
        <f t="shared" si="385"/>
        <v>-1.6147078816853733</v>
      </c>
      <c r="Y499" s="1587">
        <f t="shared" si="385"/>
        <v>-0.56611184008344972</v>
      </c>
      <c r="Z499" s="30"/>
      <c r="AA499" s="1997">
        <f>'Store New'!T28</f>
        <v>14.7</v>
      </c>
      <c r="AB499" s="1597"/>
      <c r="AC499" s="1588">
        <f t="shared" ref="AC499:AC500" si="391">AVERAGE(AA499,AA498)</f>
        <v>14.649999999999999</v>
      </c>
      <c r="AD499" s="1588"/>
      <c r="AE499" s="24">
        <f t="shared" si="386"/>
        <v>-1.6778523489933028E-2</v>
      </c>
      <c r="AF499" s="1581"/>
      <c r="AG499" s="30"/>
      <c r="AH499" s="1589">
        <f t="shared" si="387"/>
        <v>-202.83904945407645</v>
      </c>
      <c r="AI499" s="35"/>
      <c r="AJ499" s="1590">
        <f>T499</f>
        <v>1406</v>
      </c>
      <c r="AK499" s="1590">
        <f>S499</f>
        <v>1501</v>
      </c>
      <c r="AL499" s="1586">
        <f t="shared" si="388"/>
        <v>95.9726962457338</v>
      </c>
      <c r="AM499" s="1604"/>
      <c r="AN499" s="24"/>
      <c r="AO499" s="1587"/>
      <c r="AP499" s="30"/>
      <c r="AQ499" s="1945">
        <v>95</v>
      </c>
      <c r="AR499" s="1797">
        <f t="shared" si="389"/>
        <v>0.14457831325301207</v>
      </c>
    </row>
    <row r="500" spans="1:44">
      <c r="A500" s="24" t="str">
        <f>$A$30</f>
        <v>4Q</v>
      </c>
      <c r="B500" s="29" t="str">
        <f>$B$30</f>
        <v>Jan</v>
      </c>
      <c r="C500" s="24"/>
      <c r="D500" s="1606">
        <f>(S500/S493-1)*100</f>
        <v>-11.689691817215731</v>
      </c>
      <c r="E500" s="24"/>
      <c r="F500" s="1607">
        <v>-13</v>
      </c>
      <c r="G500" s="24"/>
      <c r="H500" s="1606">
        <f>D500-F500</f>
        <v>1.3103081827842686</v>
      </c>
      <c r="I500" s="24"/>
      <c r="J500" s="1996">
        <f>'Store New'!U6</f>
        <v>1479</v>
      </c>
      <c r="K500" s="1913"/>
      <c r="L500" s="1608">
        <f>AVERAGE(J500,J499)</f>
        <v>1495.5</v>
      </c>
      <c r="M500" s="24"/>
      <c r="N500" s="1606">
        <f>(L500/L493-1)*100</f>
        <v>-3.23519896473633</v>
      </c>
      <c r="O500" s="30"/>
      <c r="P500" s="1822">
        <f t="shared" si="390"/>
        <v>-40.50162592986176</v>
      </c>
      <c r="Q500" s="35"/>
      <c r="R500" s="24"/>
      <c r="S500" s="1918">
        <f>S501-SUM(S497:S499)</f>
        <v>1662</v>
      </c>
      <c r="T500" s="1826">
        <f t="shared" si="384"/>
        <v>1559</v>
      </c>
      <c r="U500" s="1919"/>
      <c r="V500" s="24">
        <f>T500/L500</f>
        <v>1.0424607154797727</v>
      </c>
      <c r="W500" s="1586">
        <f>S500/L500</f>
        <v>1.1113340020060181</v>
      </c>
      <c r="X500" s="24">
        <f t="shared" si="385"/>
        <v>-9.4874699003377074</v>
      </c>
      <c r="Y500" s="1612">
        <f t="shared" si="385"/>
        <v>-8.737157274160424</v>
      </c>
      <c r="Z500" s="30"/>
      <c r="AA500" s="1997">
        <f>'Store New'!U28</f>
        <v>14.3</v>
      </c>
      <c r="AB500" s="1597"/>
      <c r="AC500" s="1588">
        <f t="shared" si="391"/>
        <v>14.5</v>
      </c>
      <c r="AD500" s="1613"/>
      <c r="AE500" s="24">
        <f t="shared" si="386"/>
        <v>-2.3569023569023573E-2</v>
      </c>
      <c r="AF500" s="1606"/>
      <c r="AG500" s="30"/>
      <c r="AH500" s="1608">
        <f t="shared" si="387"/>
        <v>-55.594504326703962</v>
      </c>
      <c r="AI500" s="35"/>
      <c r="AJ500" s="1590">
        <f>T500</f>
        <v>1559</v>
      </c>
      <c r="AK500" s="1590">
        <f>S500</f>
        <v>1662</v>
      </c>
      <c r="AL500" s="1586">
        <f t="shared" si="388"/>
        <v>107.51724137931035</v>
      </c>
      <c r="AM500" s="1615"/>
      <c r="AN500" s="24"/>
      <c r="AO500" s="1612"/>
      <c r="AP500" s="30"/>
      <c r="AQ500" s="1945">
        <v>103</v>
      </c>
      <c r="AR500" s="1797">
        <f t="shared" si="389"/>
        <v>9.8039215686274161E-3</v>
      </c>
    </row>
    <row r="501" spans="1:44">
      <c r="A501" s="24"/>
      <c r="B501" s="29" t="str">
        <f>$B$31</f>
        <v>Year</v>
      </c>
      <c r="C501" s="24"/>
      <c r="D501" s="1581">
        <f>(S501/S494-1)*100</f>
        <v>-4.7177354869662569</v>
      </c>
      <c r="E501" s="24"/>
      <c r="F501" s="1616">
        <v>-8.3837850803550023</v>
      </c>
      <c r="G501" s="24"/>
      <c r="H501" s="1581">
        <f>D501-F501</f>
        <v>3.6660495933887454</v>
      </c>
      <c r="I501" s="24"/>
      <c r="J501" s="1997"/>
      <c r="K501" s="24"/>
      <c r="L501" s="1583">
        <f>AVERAGE(L497:L500)</f>
        <v>1513.875</v>
      </c>
      <c r="M501" s="24"/>
      <c r="N501" s="1581">
        <f>(L501/L494-1)*100</f>
        <v>-2.8944836433611343</v>
      </c>
      <c r="O501" s="30"/>
      <c r="P501" s="1821">
        <f>H501/N501*100</f>
        <v>-126.65642805746357</v>
      </c>
      <c r="Q501" s="35"/>
      <c r="R501" s="24"/>
      <c r="S501" s="1590">
        <v>5958</v>
      </c>
      <c r="T501" s="1824">
        <f t="shared" si="384"/>
        <v>5625</v>
      </c>
      <c r="U501" s="1590"/>
      <c r="V501" s="24">
        <f>T501/L501</f>
        <v>3.7156304186276938</v>
      </c>
      <c r="W501" s="1586">
        <f>S501/L501</f>
        <v>3.9355957394104535</v>
      </c>
      <c r="X501" s="24">
        <f t="shared" si="385"/>
        <v>-2.5623579034386057</v>
      </c>
      <c r="Y501" s="1587">
        <f t="shared" si="385"/>
        <v>-1.8775986288038116</v>
      </c>
      <c r="Z501" s="30"/>
      <c r="AA501" s="1997"/>
      <c r="AB501" s="24"/>
      <c r="AC501" s="1597">
        <f>AVERAGE(AC497:AC500)</f>
        <v>14.637499999999999</v>
      </c>
      <c r="AD501" s="1588"/>
      <c r="AE501" s="24">
        <f t="shared" si="386"/>
        <v>-1.5966386554621903E-2</v>
      </c>
      <c r="AF501" s="1581"/>
      <c r="AG501" s="30"/>
      <c r="AH501" s="1589">
        <f t="shared" si="387"/>
        <v>-229.61047453329434</v>
      </c>
      <c r="AI501" s="35"/>
      <c r="AJ501" s="1590">
        <f>T501</f>
        <v>5625</v>
      </c>
      <c r="AK501" s="1590">
        <f>S501</f>
        <v>5958</v>
      </c>
      <c r="AL501" s="1586">
        <f t="shared" si="388"/>
        <v>384.28693424423574</v>
      </c>
      <c r="AM501" s="1591"/>
      <c r="AN501" s="24"/>
      <c r="AO501" s="1587"/>
      <c r="AP501" s="30"/>
      <c r="AQ501" s="1945">
        <v>333</v>
      </c>
      <c r="AR501" s="1797">
        <f t="shared" si="389"/>
        <v>8.1168831168831224E-2</v>
      </c>
    </row>
    <row r="502" spans="1:44">
      <c r="A502" s="24"/>
      <c r="B502" s="29"/>
      <c r="C502" s="24"/>
      <c r="D502" s="1581"/>
      <c r="E502" s="24"/>
      <c r="F502" s="1616"/>
      <c r="G502" s="24"/>
      <c r="H502" s="1581"/>
      <c r="I502" s="24"/>
      <c r="J502" s="1997"/>
      <c r="K502" s="24"/>
      <c r="L502" s="1583"/>
      <c r="M502" s="24"/>
      <c r="N502" s="1581"/>
      <c r="O502" s="30"/>
      <c r="P502" s="1821"/>
      <c r="Q502" s="35"/>
      <c r="R502" s="24"/>
      <c r="S502" s="1590"/>
      <c r="T502" s="1824"/>
      <c r="U502" s="1590"/>
      <c r="V502" s="24"/>
      <c r="W502" s="1586"/>
      <c r="X502" s="24"/>
      <c r="Y502" s="1587"/>
      <c r="Z502" s="30"/>
      <c r="AA502" s="1997"/>
      <c r="AB502" s="24"/>
      <c r="AC502" s="24"/>
      <c r="AD502" s="1588"/>
      <c r="AE502" s="24"/>
      <c r="AF502" s="1581"/>
      <c r="AG502" s="30"/>
      <c r="AH502" s="1589"/>
      <c r="AI502" s="35"/>
      <c r="AJ502" s="24"/>
      <c r="AK502" s="1590"/>
      <c r="AL502" s="24"/>
      <c r="AM502" s="1591"/>
      <c r="AN502" s="24"/>
      <c r="AO502" s="1587"/>
      <c r="AP502" s="30"/>
      <c r="AQ502" s="1945"/>
    </row>
    <row r="503" spans="1:44">
      <c r="A503" s="1579"/>
      <c r="B503" s="1580">
        <f>+B496+1</f>
        <v>2009</v>
      </c>
      <c r="C503" s="24"/>
      <c r="D503" s="24"/>
      <c r="E503" s="30"/>
      <c r="F503" s="1816"/>
      <c r="G503" s="30"/>
      <c r="H503" s="24"/>
      <c r="I503" s="30"/>
      <c r="J503" s="1997"/>
      <c r="K503" s="24"/>
      <c r="L503" s="24"/>
      <c r="M503" s="24"/>
      <c r="N503" s="24"/>
      <c r="O503" s="30"/>
      <c r="P503" s="1953"/>
      <c r="Q503" s="35"/>
      <c r="R503" s="24"/>
      <c r="S503" s="24"/>
      <c r="T503" s="1782"/>
      <c r="U503" s="24"/>
      <c r="V503" s="24"/>
      <c r="W503" s="24"/>
      <c r="X503" s="24"/>
      <c r="Y503" s="24"/>
      <c r="Z503" s="30"/>
      <c r="AA503" s="1997"/>
      <c r="AB503" s="24"/>
      <c r="AC503" s="24"/>
      <c r="AD503" s="24"/>
      <c r="AE503" s="24"/>
      <c r="AF503" s="24"/>
      <c r="AG503" s="30"/>
      <c r="AH503" s="35"/>
      <c r="AI503" s="35"/>
      <c r="AJ503" s="24"/>
      <c r="AK503" s="24"/>
      <c r="AL503" s="24"/>
      <c r="AM503" s="24"/>
      <c r="AN503" s="24"/>
      <c r="AO503" s="24"/>
      <c r="AP503" s="30"/>
      <c r="AQ503" s="1945"/>
    </row>
    <row r="504" spans="1:44">
      <c r="A504" s="24" t="str">
        <f>$A$27</f>
        <v>1Q</v>
      </c>
      <c r="B504" s="29" t="str">
        <f>$B$27</f>
        <v>Apr</v>
      </c>
      <c r="C504" s="24"/>
      <c r="D504" s="1581">
        <f>(S504/S497-1)*100</f>
        <v>-12.643678160919535</v>
      </c>
      <c r="E504" s="30" t="s">
        <v>489</v>
      </c>
      <c r="F504" s="1616">
        <v>-12</v>
      </c>
      <c r="G504" s="30" t="s">
        <v>489</v>
      </c>
      <c r="H504" s="1581">
        <f>D504-F504</f>
        <v>-0.643678160919535</v>
      </c>
      <c r="I504" s="30" t="s">
        <v>489</v>
      </c>
      <c r="J504" s="1996">
        <f>'Store New'!V6</f>
        <v>1478</v>
      </c>
      <c r="K504" s="1913"/>
      <c r="L504" s="1583">
        <f>AVERAGE(J504,J500)</f>
        <v>1478.5</v>
      </c>
      <c r="M504" s="24"/>
      <c r="N504" s="1581">
        <f>(L504/L497-1)*100</f>
        <v>-3.366013071895424</v>
      </c>
      <c r="O504" s="30" t="s">
        <v>489</v>
      </c>
      <c r="P504" s="1821">
        <f>H504/N504*100</f>
        <v>19.122865751590073</v>
      </c>
      <c r="Q504" s="35" t="s">
        <v>489</v>
      </c>
      <c r="R504" s="24"/>
      <c r="S504" s="1916">
        <f>834+135+171+76</f>
        <v>1216</v>
      </c>
      <c r="T504" s="1824">
        <f t="shared" ref="T504:T508" si="392">S504-AQ504</f>
        <v>1140</v>
      </c>
      <c r="U504" s="1916"/>
      <c r="V504" s="24">
        <f>T504/L504</f>
        <v>0.77105174163003043</v>
      </c>
      <c r="W504" s="1586">
        <f>S504/L504</f>
        <v>0.82245519107203247</v>
      </c>
      <c r="X504" s="24">
        <f t="shared" ref="X504:Y508" si="393">(V504/V497-1)*100</f>
        <v>-10.356446451827772</v>
      </c>
      <c r="Y504" s="1587">
        <f t="shared" si="393"/>
        <v>-9.600830291651608</v>
      </c>
      <c r="Z504" s="30" t="s">
        <v>489</v>
      </c>
      <c r="AA504" s="1997">
        <f>'Store New'!V28</f>
        <v>14.4</v>
      </c>
      <c r="AB504" s="1597"/>
      <c r="AC504" s="1588">
        <f>AVERAGE(AA504,AA500)</f>
        <v>14.350000000000001</v>
      </c>
      <c r="AD504" s="1588"/>
      <c r="AE504" s="24">
        <f t="shared" ref="AE504:AE508" si="394">AC504/AC497-1</f>
        <v>-2.7118644067796516E-2</v>
      </c>
      <c r="AF504" s="1581"/>
      <c r="AG504" s="30" t="s">
        <v>489</v>
      </c>
      <c r="AH504" s="1719">
        <f t="shared" ref="AH504:AH508" si="395">IFERROR(H504/AE504, "NM")</f>
        <v>23.735632183907935</v>
      </c>
      <c r="AI504" s="35" t="s">
        <v>489</v>
      </c>
      <c r="AJ504" s="1590">
        <f>T504</f>
        <v>1140</v>
      </c>
      <c r="AK504" s="1590">
        <f>S504</f>
        <v>1216</v>
      </c>
      <c r="AL504" s="1586">
        <f t="shared" ref="AL504:AL508" si="396">AJ504/AC504</f>
        <v>79.442508710801391</v>
      </c>
      <c r="AM504" s="1591"/>
      <c r="AN504" s="24"/>
      <c r="AO504" s="1587"/>
      <c r="AP504" s="30" t="s">
        <v>489</v>
      </c>
      <c r="AQ504" s="1945">
        <v>76</v>
      </c>
      <c r="AR504" s="1797">
        <f>AQ504/AQ497-1</f>
        <v>0</v>
      </c>
    </row>
    <row r="505" spans="1:44">
      <c r="A505" s="24" t="str">
        <f>$A$28</f>
        <v>2Q</v>
      </c>
      <c r="B505" s="29" t="str">
        <f>$B$28</f>
        <v>Jul</v>
      </c>
      <c r="C505" s="24"/>
      <c r="D505" s="1581">
        <f>(S505/S498-1)*100</f>
        <v>-10.049893086243767</v>
      </c>
      <c r="E505" s="24"/>
      <c r="F505" s="1616">
        <v>-10</v>
      </c>
      <c r="G505" s="24"/>
      <c r="H505" s="1581">
        <f>D505-F505</f>
        <v>-4.989308624376676E-2</v>
      </c>
      <c r="I505" s="24"/>
      <c r="J505" s="1996">
        <f>'Store New'!W6</f>
        <v>1474</v>
      </c>
      <c r="K505" s="1913"/>
      <c r="L505" s="1583">
        <f>AVERAGE(J505,J504)</f>
        <v>1476</v>
      </c>
      <c r="M505" s="24"/>
      <c r="N505" s="1581">
        <f>(L505/L498-1)*100</f>
        <v>-2.8308097432521384</v>
      </c>
      <c r="O505" s="30"/>
      <c r="P505" s="1821">
        <f>H505/N505*100</f>
        <v>1.7625022791693428</v>
      </c>
      <c r="Q505" s="35"/>
      <c r="R505" s="24"/>
      <c r="S505" s="1919">
        <f>878+154+173+57</f>
        <v>1262</v>
      </c>
      <c r="T505" s="1825">
        <f t="shared" si="392"/>
        <v>1205</v>
      </c>
      <c r="U505" s="1919"/>
      <c r="V505" s="24">
        <f>T505/L505</f>
        <v>0.81639566395663954</v>
      </c>
      <c r="W505" s="1586">
        <f>S505/L505</f>
        <v>0.8550135501355014</v>
      </c>
      <c r="X505" s="24">
        <f t="shared" si="393"/>
        <v>-7.7302817299006454</v>
      </c>
      <c r="Y505" s="1587">
        <f t="shared" si="393"/>
        <v>-7.4293953916018118</v>
      </c>
      <c r="Z505" s="30"/>
      <c r="AA505" s="1997">
        <f>'Store New'!W28</f>
        <v>14.299999999999999</v>
      </c>
      <c r="AB505" s="1597"/>
      <c r="AC505" s="1588">
        <f>AVERAGE(AA505,AA504)</f>
        <v>14.35</v>
      </c>
      <c r="AD505" s="1588"/>
      <c r="AE505" s="24">
        <f t="shared" si="394"/>
        <v>-2.0477815699658675E-2</v>
      </c>
      <c r="AF505" s="1581"/>
      <c r="AG505" s="30"/>
      <c r="AH505" s="1589">
        <f t="shared" si="395"/>
        <v>2.4364457115706135</v>
      </c>
      <c r="AI505" s="35"/>
      <c r="AJ505" s="1590">
        <f>T505</f>
        <v>1205</v>
      </c>
      <c r="AK505" s="1590">
        <f>S505</f>
        <v>1262</v>
      </c>
      <c r="AL505" s="1586">
        <f t="shared" si="396"/>
        <v>83.972125435540079</v>
      </c>
      <c r="AM505" s="1604"/>
      <c r="AN505" s="24"/>
      <c r="AO505" s="1587"/>
      <c r="AP505" s="30"/>
      <c r="AQ505" s="1945">
        <v>57</v>
      </c>
      <c r="AR505" s="1797">
        <f t="shared" ref="AR505:AR508" si="397">AQ505/AQ498-1</f>
        <v>-3.3898305084745783E-2</v>
      </c>
    </row>
    <row r="506" spans="1:44">
      <c r="A506" s="24" t="str">
        <f>$A$29</f>
        <v>3Q</v>
      </c>
      <c r="B506" s="29" t="str">
        <f>$B$29</f>
        <v>Oct</v>
      </c>
      <c r="C506" s="24"/>
      <c r="D506" s="1581">
        <f>(S506/S499-1)*100</f>
        <v>-4.8634243837441744</v>
      </c>
      <c r="E506" s="24"/>
      <c r="F506" s="1616">
        <v>-7</v>
      </c>
      <c r="G506" s="24"/>
      <c r="H506" s="1581">
        <f>D506-F506</f>
        <v>2.1365756162558256</v>
      </c>
      <c r="I506" s="24"/>
      <c r="J506" s="1996">
        <f>'Store New'!X6</f>
        <v>1473</v>
      </c>
      <c r="K506" s="1913"/>
      <c r="L506" s="1583">
        <f>AVERAGE(J506,J505)</f>
        <v>1473.5</v>
      </c>
      <c r="M506" s="24"/>
      <c r="N506" s="1581">
        <f>(L506/L499-1)*100</f>
        <v>-2.481800132362677</v>
      </c>
      <c r="O506" s="30"/>
      <c r="P506" s="1821">
        <f t="shared" ref="P506:P507" si="398">H506/N506*100</f>
        <v>-86.089753497667957</v>
      </c>
      <c r="Q506" s="35"/>
      <c r="R506" s="24"/>
      <c r="S506" s="1919">
        <f>987+176+172+93</f>
        <v>1428</v>
      </c>
      <c r="T506" s="1825">
        <f t="shared" si="392"/>
        <v>1335</v>
      </c>
      <c r="U506" s="1919"/>
      <c r="V506" s="24">
        <f>T506/L506</f>
        <v>0.90600610790634539</v>
      </c>
      <c r="W506" s="1586">
        <f>S506/L506</f>
        <v>0.96912114014251782</v>
      </c>
      <c r="X506" s="24">
        <f t="shared" si="393"/>
        <v>-2.6333407506054063</v>
      </c>
      <c r="Y506" s="1587">
        <f t="shared" si="393"/>
        <v>-2.4422356592042282</v>
      </c>
      <c r="Z506" s="30"/>
      <c r="AA506" s="1997">
        <f>'Store New'!X28</f>
        <v>14.399999999999999</v>
      </c>
      <c r="AB506" s="1597"/>
      <c r="AC506" s="1588">
        <f t="shared" ref="AC506:AC507" si="399">AVERAGE(AA506,AA505)</f>
        <v>14.349999999999998</v>
      </c>
      <c r="AD506" s="1588"/>
      <c r="AE506" s="24">
        <f t="shared" si="394"/>
        <v>-2.0477815699658786E-2</v>
      </c>
      <c r="AF506" s="1581"/>
      <c r="AG506" s="30"/>
      <c r="AH506" s="1589">
        <f t="shared" si="395"/>
        <v>-104.33610926049239</v>
      </c>
      <c r="AI506" s="35"/>
      <c r="AJ506" s="1590">
        <f>T506</f>
        <v>1335</v>
      </c>
      <c r="AK506" s="1590">
        <f>S506</f>
        <v>1428</v>
      </c>
      <c r="AL506" s="1586">
        <f t="shared" si="396"/>
        <v>93.03135888501744</v>
      </c>
      <c r="AM506" s="1604"/>
      <c r="AN506" s="24"/>
      <c r="AO506" s="1587"/>
      <c r="AP506" s="30"/>
      <c r="AQ506" s="1945">
        <v>93</v>
      </c>
      <c r="AR506" s="1797">
        <f t="shared" si="397"/>
        <v>-2.1052631578947323E-2</v>
      </c>
    </row>
    <row r="507" spans="1:44">
      <c r="A507" s="24" t="str">
        <f>$A$30</f>
        <v>4Q</v>
      </c>
      <c r="B507" s="29" t="str">
        <f>$B$30</f>
        <v>Jan</v>
      </c>
      <c r="C507" s="24"/>
      <c r="D507" s="1606">
        <f>(S507/S500-1)*100</f>
        <v>1.9855595667870096</v>
      </c>
      <c r="E507" s="24"/>
      <c r="F507" s="1607">
        <v>-1</v>
      </c>
      <c r="G507" s="24"/>
      <c r="H507" s="1606">
        <f>D507-F507</f>
        <v>2.9855595667870096</v>
      </c>
      <c r="I507" s="24"/>
      <c r="J507" s="1996">
        <f>'Store New'!Y6</f>
        <v>1450</v>
      </c>
      <c r="K507" s="1913"/>
      <c r="L507" s="1608">
        <f>AVERAGE(J507,J506)</f>
        <v>1461.5</v>
      </c>
      <c r="M507" s="24"/>
      <c r="N507" s="1606">
        <f>(L507/L500-1)*100</f>
        <v>-2.2734871280508218</v>
      </c>
      <c r="O507" s="30"/>
      <c r="P507" s="1822">
        <f t="shared" si="398"/>
        <v>-131.32071565088143</v>
      </c>
      <c r="Q507" s="35"/>
      <c r="R507" s="24"/>
      <c r="S507" s="1918">
        <f>S508-SUM(S504:S506)</f>
        <v>1695</v>
      </c>
      <c r="T507" s="1826">
        <f t="shared" si="392"/>
        <v>1597</v>
      </c>
      <c r="U507" s="1919"/>
      <c r="V507" s="24">
        <f>T507/L507</f>
        <v>1.0927129661306876</v>
      </c>
      <c r="W507" s="1586">
        <f>S507/L507</f>
        <v>1.1597673622990079</v>
      </c>
      <c r="X507" s="24">
        <f t="shared" si="393"/>
        <v>4.8205414270970692</v>
      </c>
      <c r="Y507" s="1612">
        <f t="shared" si="393"/>
        <v>4.3581281779883518</v>
      </c>
      <c r="Z507" s="30"/>
      <c r="AA507" s="1997">
        <f>'Store New'!Y28</f>
        <v>14.2</v>
      </c>
      <c r="AB507" s="1597"/>
      <c r="AC507" s="1588">
        <f t="shared" si="399"/>
        <v>14.299999999999999</v>
      </c>
      <c r="AD507" s="1613"/>
      <c r="AE507" s="24">
        <f t="shared" si="394"/>
        <v>-1.379310344827589E-2</v>
      </c>
      <c r="AF507" s="1606"/>
      <c r="AG507" s="30"/>
      <c r="AH507" s="1608">
        <f t="shared" si="395"/>
        <v>-216.45306859205778</v>
      </c>
      <c r="AI507" s="35"/>
      <c r="AJ507" s="1590">
        <f>T507</f>
        <v>1597</v>
      </c>
      <c r="AK507" s="1590">
        <f>S507</f>
        <v>1695</v>
      </c>
      <c r="AL507" s="1586">
        <f t="shared" si="396"/>
        <v>111.67832167832168</v>
      </c>
      <c r="AM507" s="1615"/>
      <c r="AN507" s="24"/>
      <c r="AO507" s="1612"/>
      <c r="AP507" s="30"/>
      <c r="AQ507" s="1945">
        <v>98</v>
      </c>
      <c r="AR507" s="1797">
        <f t="shared" si="397"/>
        <v>-4.8543689320388328E-2</v>
      </c>
    </row>
    <row r="508" spans="1:44">
      <c r="A508" s="24"/>
      <c r="B508" s="29" t="str">
        <f>$B$31</f>
        <v>Year</v>
      </c>
      <c r="C508" s="24"/>
      <c r="D508" s="1581">
        <f>(S508/S501-1)*100</f>
        <v>-5.9919436052366599</v>
      </c>
      <c r="E508" s="24"/>
      <c r="F508" s="1616">
        <v>-7.02041884816754</v>
      </c>
      <c r="G508" s="24"/>
      <c r="H508" s="1581">
        <f>D508-F508</f>
        <v>1.0284752429308801</v>
      </c>
      <c r="I508" s="24"/>
      <c r="J508" s="1782"/>
      <c r="K508" s="24"/>
      <c r="L508" s="1583">
        <f>AVERAGE(L504:L507)</f>
        <v>1472.375</v>
      </c>
      <c r="M508" s="24"/>
      <c r="N508" s="1581">
        <f>(L508/L501-1)*100</f>
        <v>-2.7413095532986542</v>
      </c>
      <c r="O508" s="30"/>
      <c r="P508" s="1821">
        <f>H508/N508*100</f>
        <v>-37.51766164799966</v>
      </c>
      <c r="Q508" s="35"/>
      <c r="R508" s="24"/>
      <c r="S508" s="400">
        <v>5601</v>
      </c>
      <c r="T508" s="1823">
        <f t="shared" si="392"/>
        <v>5277</v>
      </c>
      <c r="U508" s="400"/>
      <c r="V508" s="24">
        <f>T508/L508</f>
        <v>3.584005433398421</v>
      </c>
      <c r="W508" s="1586">
        <f>S508/L508</f>
        <v>3.8040580694456234</v>
      </c>
      <c r="X508" s="24">
        <f t="shared" si="393"/>
        <v>-3.5424671024704923</v>
      </c>
      <c r="Y508" s="1587">
        <f t="shared" si="393"/>
        <v>-3.3422556246728297</v>
      </c>
      <c r="Z508" s="30"/>
      <c r="AA508" s="24"/>
      <c r="AB508" s="24"/>
      <c r="AC508" s="1597">
        <f>AVERAGE(AC504:AC507)</f>
        <v>14.337499999999999</v>
      </c>
      <c r="AD508" s="1588"/>
      <c r="AE508" s="24">
        <f t="shared" si="394"/>
        <v>-2.0495303159692613E-2</v>
      </c>
      <c r="AF508" s="1581"/>
      <c r="AG508" s="30"/>
      <c r="AH508" s="1589">
        <f t="shared" si="395"/>
        <v>-50.181021228002422</v>
      </c>
      <c r="AI508" s="35"/>
      <c r="AJ508" s="1590">
        <f>T508</f>
        <v>5277</v>
      </c>
      <c r="AK508" s="1590">
        <f>S508</f>
        <v>5601</v>
      </c>
      <c r="AL508" s="1586">
        <f t="shared" si="396"/>
        <v>368.0557977332171</v>
      </c>
      <c r="AM508" s="1591"/>
      <c r="AN508" s="24"/>
      <c r="AO508" s="1587"/>
      <c r="AP508" s="30"/>
      <c r="AQ508" s="1945">
        <v>324</v>
      </c>
      <c r="AR508" s="1797">
        <f t="shared" si="397"/>
        <v>-2.7027027027026973E-2</v>
      </c>
    </row>
    <row r="509" spans="1:44">
      <c r="A509" s="24"/>
      <c r="B509" s="29"/>
      <c r="C509" s="24"/>
      <c r="D509" s="1581"/>
      <c r="E509" s="24"/>
      <c r="F509" s="1582"/>
      <c r="G509" s="24"/>
      <c r="H509" s="1581"/>
      <c r="I509" s="24"/>
      <c r="J509" s="1782"/>
      <c r="K509" s="24"/>
      <c r="L509" s="1583"/>
      <c r="M509" s="24"/>
      <c r="N509" s="1581"/>
      <c r="O509" s="30"/>
      <c r="P509" s="1821"/>
      <c r="Q509" s="35"/>
      <c r="R509" s="24"/>
      <c r="S509" s="1590"/>
      <c r="T509" s="1824"/>
      <c r="U509" s="1590"/>
      <c r="V509" s="24"/>
      <c r="W509" s="1586"/>
      <c r="X509" s="24"/>
      <c r="Y509" s="1587"/>
      <c r="Z509" s="30"/>
      <c r="AA509" s="24"/>
      <c r="AB509" s="24"/>
      <c r="AC509" s="24"/>
      <c r="AD509" s="1588"/>
      <c r="AE509" s="24"/>
      <c r="AF509" s="1581"/>
      <c r="AG509" s="30"/>
      <c r="AH509" s="1589"/>
      <c r="AI509" s="35"/>
      <c r="AJ509" s="24"/>
      <c r="AK509" s="1590"/>
      <c r="AL509" s="24"/>
      <c r="AM509" s="1591"/>
      <c r="AN509" s="24"/>
      <c r="AO509" s="1587"/>
      <c r="AP509" s="30"/>
      <c r="AQ509" s="1945"/>
    </row>
    <row r="510" spans="1:44">
      <c r="A510" s="1579"/>
      <c r="B510" s="1580">
        <f>+B503+1</f>
        <v>2010</v>
      </c>
      <c r="C510" s="24"/>
      <c r="D510" s="24"/>
      <c r="E510" s="30"/>
      <c r="F510" s="24"/>
      <c r="G510" s="30"/>
      <c r="H510" s="24"/>
      <c r="I510" s="30"/>
      <c r="J510" s="1782"/>
      <c r="K510" s="24"/>
      <c r="L510" s="24"/>
      <c r="M510" s="24"/>
      <c r="N510" s="24"/>
      <c r="O510" s="30"/>
      <c r="P510" s="1953"/>
      <c r="Q510" s="35"/>
      <c r="R510" s="24"/>
      <c r="S510" s="24"/>
      <c r="T510" s="1782"/>
      <c r="U510" s="24"/>
      <c r="V510" s="24"/>
      <c r="W510" s="24"/>
      <c r="X510" s="24"/>
      <c r="Y510" s="24"/>
      <c r="Z510" s="30"/>
      <c r="AA510" s="24"/>
      <c r="AB510" s="24"/>
      <c r="AC510" s="24"/>
      <c r="AD510" s="24"/>
      <c r="AE510" s="24"/>
      <c r="AF510" s="24"/>
      <c r="AG510" s="30"/>
      <c r="AH510" s="35"/>
      <c r="AI510" s="35"/>
      <c r="AJ510" s="24"/>
      <c r="AK510" s="24"/>
      <c r="AL510" s="24"/>
      <c r="AM510" s="24"/>
      <c r="AN510" s="24"/>
      <c r="AO510" s="24"/>
      <c r="AP510" s="30"/>
      <c r="AQ510" s="1945"/>
    </row>
    <row r="511" spans="1:44">
      <c r="A511" s="24" t="str">
        <f>$A$27</f>
        <v>1Q</v>
      </c>
      <c r="B511" s="29" t="str">
        <f>$B$27</f>
        <v>Apr</v>
      </c>
      <c r="C511" s="24"/>
      <c r="D511" s="1581">
        <f>(S511/S504-1)*100</f>
        <v>4.9342105263157965</v>
      </c>
      <c r="E511" s="30" t="s">
        <v>489</v>
      </c>
      <c r="F511" s="1948">
        <v>2</v>
      </c>
      <c r="G511" s="30" t="s">
        <v>489</v>
      </c>
      <c r="H511" s="1581">
        <f>D511-F511</f>
        <v>2.9342105263157965</v>
      </c>
      <c r="I511" s="30" t="s">
        <v>489</v>
      </c>
      <c r="J511" s="1798">
        <f>'Store New'!Z6</f>
        <v>1444</v>
      </c>
      <c r="K511" s="1913"/>
      <c r="L511" s="1583">
        <f>AVERAGE(J511,J507)</f>
        <v>1447</v>
      </c>
      <c r="M511" s="24"/>
      <c r="N511" s="1581">
        <f>(L511/L504-1)*100</f>
        <v>-2.1305377071356157</v>
      </c>
      <c r="O511" s="30" t="s">
        <v>489</v>
      </c>
      <c r="P511" s="1821">
        <f>H511/N511*100</f>
        <v>-137.72159565580617</v>
      </c>
      <c r="Q511" s="35" t="s">
        <v>489</v>
      </c>
      <c r="R511" s="24"/>
      <c r="S511" s="1916">
        <f>861+156+180+79</f>
        <v>1276</v>
      </c>
      <c r="T511" s="1824">
        <f t="shared" ref="T511:T515" si="400">S511-AQ511</f>
        <v>1197</v>
      </c>
      <c r="U511" s="1916"/>
      <c r="V511" s="24">
        <f>T511/L511</f>
        <v>0.82722874913614375</v>
      </c>
      <c r="W511" s="1586">
        <f>S511/L511</f>
        <v>0.88182446440912232</v>
      </c>
      <c r="X511" s="24">
        <f t="shared" ref="X511:Y515" si="401">(V511/V504-1)*100</f>
        <v>7.2857636489288113</v>
      </c>
      <c r="Y511" s="1587">
        <f t="shared" si="401"/>
        <v>7.218541992507177</v>
      </c>
      <c r="Z511" s="30" t="s">
        <v>489</v>
      </c>
      <c r="AA511" s="24">
        <f>'Store New'!Z28</f>
        <v>14.2</v>
      </c>
      <c r="AB511" s="1597"/>
      <c r="AC511" s="1588">
        <f>AVERAGE(AA511,AA507)</f>
        <v>14.2</v>
      </c>
      <c r="AD511" s="1588"/>
      <c r="AE511" s="24">
        <f t="shared" ref="AE511:AE515" si="402">AC511/AC504-1</f>
        <v>-1.0452961672474004E-2</v>
      </c>
      <c r="AF511" s="1581"/>
      <c r="AG511" s="30" t="s">
        <v>489</v>
      </c>
      <c r="AH511" s="1589">
        <f t="shared" ref="AH511:AH515" si="403">IFERROR(H511/AE511, "NM")</f>
        <v>-280.70614035087419</v>
      </c>
      <c r="AI511" s="35" t="s">
        <v>489</v>
      </c>
      <c r="AJ511" s="1590">
        <f>T511</f>
        <v>1197</v>
      </c>
      <c r="AK511" s="1590">
        <f>S511</f>
        <v>1276</v>
      </c>
      <c r="AL511" s="1586">
        <f t="shared" ref="AL511:AL515" si="404">AJ511/AC511</f>
        <v>84.295774647887328</v>
      </c>
      <c r="AM511" s="1591"/>
      <c r="AN511" s="24"/>
      <c r="AO511" s="1587"/>
      <c r="AP511" s="30" t="s">
        <v>489</v>
      </c>
      <c r="AQ511" s="1945">
        <v>79</v>
      </c>
      <c r="AR511" s="1797">
        <f>AQ511/AQ504-1</f>
        <v>3.9473684210526327E-2</v>
      </c>
    </row>
    <row r="512" spans="1:44">
      <c r="A512" s="24" t="str">
        <f>$A$28</f>
        <v>2Q</v>
      </c>
      <c r="B512" s="29" t="str">
        <f>$B$28</f>
        <v>Jul</v>
      </c>
      <c r="C512" s="24"/>
      <c r="D512" s="1581">
        <f>(S512/S505-1)*100</f>
        <v>-0.23771790808241322</v>
      </c>
      <c r="E512" s="24"/>
      <c r="F512" s="1948">
        <v>-4</v>
      </c>
      <c r="G512" s="24"/>
      <c r="H512" s="1581">
        <f>D512-F512</f>
        <v>3.7622820919175868</v>
      </c>
      <c r="I512" s="24"/>
      <c r="J512" s="1798">
        <f>'Store New'!AA6</f>
        <v>1435</v>
      </c>
      <c r="K512" s="1913"/>
      <c r="L512" s="1583">
        <f>AVERAGE(J512,J511)</f>
        <v>1439.5</v>
      </c>
      <c r="M512" s="24"/>
      <c r="N512" s="1581">
        <f>(L512/L505-1)*100</f>
        <v>-2.4728997289972909</v>
      </c>
      <c r="O512" s="30"/>
      <c r="P512" s="1821">
        <f>H512/N512*100</f>
        <v>-152.14050322384537</v>
      </c>
      <c r="Q512" s="35"/>
      <c r="R512" s="24"/>
      <c r="S512" s="1919">
        <f>848+152+195+64</f>
        <v>1259</v>
      </c>
      <c r="T512" s="1825">
        <f t="shared" si="400"/>
        <v>1195</v>
      </c>
      <c r="U512" s="1919"/>
      <c r="V512" s="24">
        <f>T512/L512</f>
        <v>0.83014935741576934</v>
      </c>
      <c r="W512" s="1586">
        <f>S512/L512</f>
        <v>0.87460923931920809</v>
      </c>
      <c r="X512" s="24">
        <f t="shared" si="401"/>
        <v>1.6846847755747296</v>
      </c>
      <c r="Y512" s="1587">
        <f t="shared" si="401"/>
        <v>2.2918571501704399</v>
      </c>
      <c r="Z512" s="30"/>
      <c r="AA512" s="24">
        <f>'Store New'!AA28</f>
        <v>14.1</v>
      </c>
      <c r="AB512" s="1597"/>
      <c r="AC512" s="1588">
        <f>AVERAGE(AA512,AA511)</f>
        <v>14.149999999999999</v>
      </c>
      <c r="AD512" s="1588"/>
      <c r="AE512" s="24">
        <f t="shared" si="402"/>
        <v>-1.3937282229965264E-2</v>
      </c>
      <c r="AF512" s="1581"/>
      <c r="AG512" s="30"/>
      <c r="AH512" s="1589">
        <f t="shared" si="403"/>
        <v>-269.94374009508476</v>
      </c>
      <c r="AI512" s="35"/>
      <c r="AJ512" s="1590">
        <f>T512</f>
        <v>1195</v>
      </c>
      <c r="AK512" s="1590">
        <f>S512</f>
        <v>1259</v>
      </c>
      <c r="AL512" s="1586">
        <f t="shared" si="404"/>
        <v>84.452296819787989</v>
      </c>
      <c r="AM512" s="1604"/>
      <c r="AN512" s="24"/>
      <c r="AO512" s="1587"/>
      <c r="AP512" s="30"/>
      <c r="AQ512" s="1945">
        <v>64</v>
      </c>
      <c r="AR512" s="1797">
        <f t="shared" ref="AR512:AR515" si="405">AQ512/AQ505-1</f>
        <v>0.12280701754385959</v>
      </c>
    </row>
    <row r="513" spans="1:44">
      <c r="A513" s="24" t="str">
        <f>$A$29</f>
        <v>3Q</v>
      </c>
      <c r="B513" s="29" t="str">
        <f>$B$29</f>
        <v>Oct</v>
      </c>
      <c r="C513" s="24"/>
      <c r="D513" s="1581">
        <f>(S513/S506-1)*100</f>
        <v>2.6610644257702987</v>
      </c>
      <c r="E513" s="24"/>
      <c r="F513" s="1948">
        <v>2</v>
      </c>
      <c r="G513" s="24"/>
      <c r="H513" s="1581">
        <f>D513-F513</f>
        <v>0.66106442577029867</v>
      </c>
      <c r="I513" s="24"/>
      <c r="J513" s="1798">
        <f>'Store New'!AB6</f>
        <v>1437</v>
      </c>
      <c r="K513" s="1913"/>
      <c r="L513" s="1583">
        <f>AVERAGE(J513,J512)</f>
        <v>1436</v>
      </c>
      <c r="M513" s="24"/>
      <c r="N513" s="1581">
        <f>(L513/L506-1)*100</f>
        <v>-2.5449609772650206</v>
      </c>
      <c r="O513" s="30"/>
      <c r="P513" s="1821">
        <f t="shared" ref="P513:P514" si="406">H513/N513*100</f>
        <v>-25.97542483660088</v>
      </c>
      <c r="Q513" s="35"/>
      <c r="R513" s="24"/>
      <c r="S513" s="1919">
        <f>987+180+197+102</f>
        <v>1466</v>
      </c>
      <c r="T513" s="1825">
        <f t="shared" si="400"/>
        <v>1364</v>
      </c>
      <c r="U513" s="1919"/>
      <c r="V513" s="24">
        <f>T513/L513</f>
        <v>0.94986072423398327</v>
      </c>
      <c r="W513" s="1586">
        <f>S513/L513</f>
        <v>1.0208913649025069</v>
      </c>
      <c r="X513" s="24">
        <f t="shared" si="401"/>
        <v>4.8404327459756091</v>
      </c>
      <c r="Y513" s="1587">
        <f t="shared" si="401"/>
        <v>5.341976623518474</v>
      </c>
      <c r="Z513" s="30"/>
      <c r="AA513" s="24">
        <f>'Store New'!AB28</f>
        <v>13.999999999999998</v>
      </c>
      <c r="AB513" s="1597"/>
      <c r="AC513" s="1588">
        <f t="shared" ref="AC513:AC514" si="407">AVERAGE(AA513,AA512)</f>
        <v>14.049999999999999</v>
      </c>
      <c r="AD513" s="1588"/>
      <c r="AE513" s="24">
        <f t="shared" si="402"/>
        <v>-2.0905923344947674E-2</v>
      </c>
      <c r="AF513" s="1581"/>
      <c r="AG513" s="30"/>
      <c r="AH513" s="1589">
        <f t="shared" si="403"/>
        <v>-31.620915032679378</v>
      </c>
      <c r="AI513" s="35"/>
      <c r="AJ513" s="1590">
        <f>T513</f>
        <v>1364</v>
      </c>
      <c r="AK513" s="1590">
        <f>S513</f>
        <v>1466</v>
      </c>
      <c r="AL513" s="1586">
        <f t="shared" si="404"/>
        <v>97.081850533807838</v>
      </c>
      <c r="AM513" s="1604"/>
      <c r="AN513" s="24"/>
      <c r="AO513" s="1587"/>
      <c r="AP513" s="30"/>
      <c r="AQ513" s="1945">
        <v>102</v>
      </c>
      <c r="AR513" s="1797">
        <f t="shared" si="405"/>
        <v>9.6774193548387011E-2</v>
      </c>
    </row>
    <row r="514" spans="1:44">
      <c r="A514" s="24" t="str">
        <f>$A$30</f>
        <v>4Q</v>
      </c>
      <c r="B514" s="29" t="str">
        <f>$B$30</f>
        <v>Jan</v>
      </c>
      <c r="C514" s="24"/>
      <c r="D514" s="1606">
        <f>(S514/S507-1)*100</f>
        <v>2.3008849557522026</v>
      </c>
      <c r="E514" s="24"/>
      <c r="F514" s="1958">
        <v>0</v>
      </c>
      <c r="G514" s="24"/>
      <c r="H514" s="1606">
        <f>D514-F514</f>
        <v>2.3008849557522026</v>
      </c>
      <c r="I514" s="24"/>
      <c r="J514" s="1798">
        <f>'Store New'!AC6</f>
        <v>1430</v>
      </c>
      <c r="K514" s="1913"/>
      <c r="L514" s="1608">
        <f>AVERAGE(J514,J513)</f>
        <v>1433.5</v>
      </c>
      <c r="M514" s="24"/>
      <c r="N514" s="1606">
        <f>(L514/L507-1)*100</f>
        <v>-1.9158398905234297</v>
      </c>
      <c r="O514" s="30"/>
      <c r="P514" s="1822">
        <f t="shared" si="406"/>
        <v>-120.09797724399476</v>
      </c>
      <c r="Q514" s="35"/>
      <c r="R514" s="24"/>
      <c r="S514" s="1918">
        <f>S515-SUM(S511:S513)</f>
        <v>1734</v>
      </c>
      <c r="T514" s="1826">
        <f t="shared" si="400"/>
        <v>1614</v>
      </c>
      <c r="U514" s="1919"/>
      <c r="V514" s="24">
        <f>T514/L514</f>
        <v>1.1259155912103245</v>
      </c>
      <c r="W514" s="1586">
        <f>S514/L514</f>
        <v>1.2096267875828393</v>
      </c>
      <c r="X514" s="24">
        <f t="shared" si="401"/>
        <v>3.0385495650525618</v>
      </c>
      <c r="Y514" s="1612">
        <f t="shared" si="401"/>
        <v>4.2990884986619182</v>
      </c>
      <c r="Z514" s="30"/>
      <c r="AA514" s="24">
        <f>'Store New'!AC28</f>
        <v>14</v>
      </c>
      <c r="AB514" s="1597"/>
      <c r="AC514" s="1588">
        <f t="shared" si="407"/>
        <v>14</v>
      </c>
      <c r="AD514" s="1613"/>
      <c r="AE514" s="24">
        <f t="shared" si="402"/>
        <v>-2.0979020979020935E-2</v>
      </c>
      <c r="AF514" s="1606"/>
      <c r="AG514" s="30"/>
      <c r="AH514" s="1608">
        <f t="shared" si="403"/>
        <v>-109.67551622418856</v>
      </c>
      <c r="AI514" s="35"/>
      <c r="AJ514" s="1590">
        <f>T514</f>
        <v>1614</v>
      </c>
      <c r="AK514" s="1590">
        <f>S514</f>
        <v>1734</v>
      </c>
      <c r="AL514" s="1586">
        <f t="shared" si="404"/>
        <v>115.28571428571429</v>
      </c>
      <c r="AM514" s="1615"/>
      <c r="AN514" s="24"/>
      <c r="AO514" s="1612"/>
      <c r="AP514" s="30"/>
      <c r="AQ514" s="1945">
        <v>120</v>
      </c>
      <c r="AR514" s="1797">
        <f t="shared" si="405"/>
        <v>0.22448979591836737</v>
      </c>
    </row>
    <row r="515" spans="1:44">
      <c r="A515" s="24"/>
      <c r="B515" s="29" t="str">
        <f>$B$31</f>
        <v>Year</v>
      </c>
      <c r="C515" s="24"/>
      <c r="D515" s="1581">
        <f>(S515/S508-1)*100</f>
        <v>2.39242992322799</v>
      </c>
      <c r="E515" s="24"/>
      <c r="F515" s="1582">
        <v>8.0105401844532242E-2</v>
      </c>
      <c r="G515" s="24"/>
      <c r="H515" s="1581">
        <f>D515-F515</f>
        <v>2.3123245213834576</v>
      </c>
      <c r="I515" s="24"/>
      <c r="J515" s="1782"/>
      <c r="K515" s="24"/>
      <c r="L515" s="1583">
        <f>AVERAGE(L511:L514)</f>
        <v>1439</v>
      </c>
      <c r="M515" s="24"/>
      <c r="N515" s="1581">
        <f>(L515/L508-1)*100</f>
        <v>-2.2667459037269744</v>
      </c>
      <c r="O515" s="30"/>
      <c r="P515" s="1821">
        <f>H515/N515*100</f>
        <v>-102.01075107631354</v>
      </c>
      <c r="Q515" s="35"/>
      <c r="R515" s="24"/>
      <c r="S515" s="400">
        <v>5735</v>
      </c>
      <c r="T515" s="1823">
        <f t="shared" si="400"/>
        <v>5370</v>
      </c>
      <c r="U515" s="400"/>
      <c r="V515" s="24">
        <f>T515/L515</f>
        <v>3.7317581653926339</v>
      </c>
      <c r="W515" s="1586">
        <f>S515/L515</f>
        <v>3.9854065323141068</v>
      </c>
      <c r="X515" s="24">
        <f t="shared" si="401"/>
        <v>4.1225588169410576</v>
      </c>
      <c r="Y515" s="1587">
        <f t="shared" si="401"/>
        <v>4.7672369758254396</v>
      </c>
      <c r="Z515" s="30"/>
      <c r="AA515" s="24"/>
      <c r="AB515" s="24"/>
      <c r="AC515" s="1597">
        <f>AVERAGE(AC511:AC514)</f>
        <v>14.1</v>
      </c>
      <c r="AD515" s="1588"/>
      <c r="AE515" s="24">
        <f t="shared" si="402"/>
        <v>-1.6564952048822912E-2</v>
      </c>
      <c r="AF515" s="1581"/>
      <c r="AG515" s="30"/>
      <c r="AH515" s="1589">
        <f t="shared" si="403"/>
        <v>-139.59138031720224</v>
      </c>
      <c r="AI515" s="35"/>
      <c r="AJ515" s="1590">
        <f>T515</f>
        <v>5370</v>
      </c>
      <c r="AK515" s="1590">
        <f>S515</f>
        <v>5735</v>
      </c>
      <c r="AL515" s="1586">
        <f t="shared" si="404"/>
        <v>380.85106382978722</v>
      </c>
      <c r="AM515" s="1591"/>
      <c r="AN515" s="24"/>
      <c r="AO515" s="1587"/>
      <c r="AP515" s="30"/>
      <c r="AQ515" s="1945">
        <v>365</v>
      </c>
      <c r="AR515" s="1797">
        <f t="shared" si="405"/>
        <v>0.12654320987654311</v>
      </c>
    </row>
    <row r="516" spans="1:44">
      <c r="A516" s="24"/>
      <c r="B516" s="1928"/>
      <c r="C516" s="24"/>
      <c r="D516" s="1581"/>
      <c r="E516" s="24"/>
      <c r="F516" s="1582"/>
      <c r="G516" s="24"/>
      <c r="H516" s="1581"/>
      <c r="I516" s="24"/>
      <c r="J516" s="1782"/>
      <c r="K516" s="24"/>
      <c r="L516" s="1583"/>
      <c r="M516" s="24"/>
      <c r="N516" s="1581"/>
      <c r="O516" s="30"/>
      <c r="P516" s="1821"/>
      <c r="Q516" s="35"/>
      <c r="R516" s="24"/>
      <c r="S516" s="1590"/>
      <c r="T516" s="1959"/>
      <c r="U516" s="1590"/>
      <c r="V516" s="24"/>
      <c r="W516" s="1586"/>
      <c r="X516" s="24"/>
      <c r="Y516" s="1587"/>
      <c r="Z516" s="30"/>
      <c r="AA516" s="24"/>
      <c r="AB516" s="24"/>
      <c r="AC516" s="24"/>
      <c r="AD516" s="1588"/>
      <c r="AE516" s="24"/>
      <c r="AF516" s="1581"/>
      <c r="AG516" s="30"/>
      <c r="AH516" s="1589"/>
      <c r="AI516" s="35"/>
      <c r="AJ516" s="24"/>
      <c r="AK516" s="1590"/>
      <c r="AL516" s="24"/>
      <c r="AM516" s="1591"/>
      <c r="AN516" s="24"/>
      <c r="AO516" s="1587"/>
      <c r="AP516" s="30"/>
      <c r="AQ516" s="1945"/>
    </row>
    <row r="517" spans="1:44">
      <c r="A517" s="1579"/>
      <c r="B517" s="1580">
        <f>+B510+1</f>
        <v>2011</v>
      </c>
      <c r="C517" s="24"/>
      <c r="D517" s="24"/>
      <c r="E517" s="30"/>
      <c r="F517" s="24"/>
      <c r="G517" s="30"/>
      <c r="H517" s="24"/>
      <c r="I517" s="30"/>
      <c r="J517" s="1782"/>
      <c r="K517" s="24"/>
      <c r="L517" s="24"/>
      <c r="M517" s="24"/>
      <c r="N517" s="24"/>
      <c r="O517" s="30"/>
      <c r="P517" s="1953"/>
      <c r="Q517" s="35"/>
      <c r="R517" s="24"/>
      <c r="S517" s="24"/>
      <c r="T517" s="1782"/>
      <c r="U517" s="24"/>
      <c r="V517" s="24"/>
      <c r="W517" s="24"/>
      <c r="X517" s="24"/>
      <c r="Y517" s="24"/>
      <c r="Z517" s="30"/>
      <c r="AA517" s="24"/>
      <c r="AB517" s="24"/>
      <c r="AC517" s="24"/>
      <c r="AD517" s="24"/>
      <c r="AE517" s="24"/>
      <c r="AF517" s="24"/>
      <c r="AG517" s="30"/>
      <c r="AH517" s="35"/>
      <c r="AI517" s="35"/>
      <c r="AJ517" s="24"/>
      <c r="AK517" s="24"/>
      <c r="AL517" s="24"/>
      <c r="AM517" s="24"/>
      <c r="AN517" s="24"/>
      <c r="AO517" s="24"/>
      <c r="AP517" s="30"/>
      <c r="AQ517" s="1945"/>
    </row>
    <row r="518" spans="1:44">
      <c r="A518" s="24" t="str">
        <f>$A$27</f>
        <v>1Q</v>
      </c>
      <c r="B518" s="29" t="str">
        <f>$B$27</f>
        <v>Apr</v>
      </c>
      <c r="C518" s="24"/>
      <c r="D518" s="1581">
        <f>(T518/T511-1)*100</f>
        <v>-2.7568922305764465</v>
      </c>
      <c r="E518" s="30" t="s">
        <v>489</v>
      </c>
      <c r="F518" s="1948">
        <v>-4</v>
      </c>
      <c r="G518" s="30" t="s">
        <v>489</v>
      </c>
      <c r="H518" s="1581">
        <f>D518-F518</f>
        <v>1.2431077694235535</v>
      </c>
      <c r="I518" s="30" t="s">
        <v>489</v>
      </c>
      <c r="J518" s="1798">
        <f>'Store New'!AD6</f>
        <v>1426</v>
      </c>
      <c r="K518" s="1913"/>
      <c r="L518" s="1583">
        <f>AVERAGE(J518,J514)</f>
        <v>1428</v>
      </c>
      <c r="M518" s="24"/>
      <c r="N518" s="1581">
        <f>(L518/L511-1)*100</f>
        <v>-1.3130615065653051</v>
      </c>
      <c r="O518" s="30" t="s">
        <v>489</v>
      </c>
      <c r="P518" s="1821">
        <f t="shared" ref="P518:P522" si="408">H518/N518*100</f>
        <v>-94.672470650309748</v>
      </c>
      <c r="Q518" s="35" t="s">
        <v>489</v>
      </c>
      <c r="R518" s="24"/>
      <c r="S518" s="1916">
        <f>1164+96</f>
        <v>1260</v>
      </c>
      <c r="T518" s="1824">
        <f t="shared" ref="T518:T522" si="409">S518-AQ518</f>
        <v>1164</v>
      </c>
      <c r="U518" s="1916"/>
      <c r="V518" s="24">
        <f>T518/L518</f>
        <v>0.81512605042016806</v>
      </c>
      <c r="W518" s="1586">
        <f>S518/L518</f>
        <v>0.88235294117647056</v>
      </c>
      <c r="X518" s="24">
        <f t="shared" ref="X518:Y522" si="410">(V518/V511-1)*100</f>
        <v>-1.4630413568936351</v>
      </c>
      <c r="Y518" s="1587">
        <f t="shared" si="410"/>
        <v>5.9929928084079265E-2</v>
      </c>
      <c r="Z518" s="30" t="s">
        <v>489</v>
      </c>
      <c r="AA518" s="24">
        <f>'Store New'!AD28</f>
        <v>14</v>
      </c>
      <c r="AB518" s="1597"/>
      <c r="AC518" s="1588">
        <f>AVERAGE(AA518,AA514)</f>
        <v>14</v>
      </c>
      <c r="AD518" s="1588"/>
      <c r="AE518" s="24">
        <f t="shared" ref="AE518:AE522" si="411">AC518/AC511-1</f>
        <v>-1.4084507042253502E-2</v>
      </c>
      <c r="AF518" s="1581"/>
      <c r="AG518" s="30" t="s">
        <v>489</v>
      </c>
      <c r="AH518" s="1589">
        <f t="shared" ref="AH518:AH522" si="412">IFERROR(H518/AE518, "NM")</f>
        <v>-88.260651629072413</v>
      </c>
      <c r="AI518" s="35" t="s">
        <v>489</v>
      </c>
      <c r="AJ518" s="1590">
        <f>T518</f>
        <v>1164</v>
      </c>
      <c r="AK518" s="1590">
        <f>S518</f>
        <v>1260</v>
      </c>
      <c r="AL518" s="1586">
        <f t="shared" ref="AL518:AL522" si="413">AJ518/AC518</f>
        <v>83.142857142857139</v>
      </c>
      <c r="AM518" s="1591"/>
      <c r="AN518" s="24"/>
      <c r="AO518" s="1587"/>
      <c r="AP518" s="30" t="s">
        <v>489</v>
      </c>
      <c r="AQ518" s="1945">
        <v>96</v>
      </c>
      <c r="AR518" s="1797">
        <f>AQ518/AQ511-1</f>
        <v>0.21518987341772156</v>
      </c>
    </row>
    <row r="519" spans="1:44">
      <c r="A519" s="24" t="str">
        <f>$A$28</f>
        <v>2Q</v>
      </c>
      <c r="B519" s="29" t="str">
        <f>$B$28</f>
        <v>Jul</v>
      </c>
      <c r="C519" s="24"/>
      <c r="D519" s="1581">
        <f>(T519/T512-1)*100</f>
        <v>0.83682008368199945</v>
      </c>
      <c r="E519" s="24"/>
      <c r="F519" s="1948">
        <v>-4</v>
      </c>
      <c r="G519" s="24"/>
      <c r="H519" s="1581">
        <f>D519-F519</f>
        <v>4.8368200836819994</v>
      </c>
      <c r="I519" s="24"/>
      <c r="J519" s="1798">
        <f>'Store New'!AE6</f>
        <v>1417</v>
      </c>
      <c r="K519" s="1913"/>
      <c r="L519" s="1583">
        <f>AVERAGE(J519,J518)</f>
        <v>1421.5</v>
      </c>
      <c r="M519" s="24"/>
      <c r="N519" s="1581">
        <f>(L519/L512-1)*100</f>
        <v>-1.2504341785342099</v>
      </c>
      <c r="O519" s="30"/>
      <c r="P519" s="1821">
        <f t="shared" si="408"/>
        <v>-386.81125058112536</v>
      </c>
      <c r="Q519" s="35"/>
      <c r="R519" s="24"/>
      <c r="S519" s="1919">
        <f>77+1205</f>
        <v>1282</v>
      </c>
      <c r="T519" s="1825">
        <f t="shared" si="409"/>
        <v>1205</v>
      </c>
      <c r="U519" s="1919"/>
      <c r="V519" s="24">
        <f>T519/L519</f>
        <v>0.84769609567358428</v>
      </c>
      <c r="W519" s="1586">
        <f>S519/L519</f>
        <v>0.90186422792824483</v>
      </c>
      <c r="X519" s="24">
        <f t="shared" si="410"/>
        <v>2.1136844955752743</v>
      </c>
      <c r="Y519" s="1587">
        <f t="shared" si="410"/>
        <v>3.1162475061722317</v>
      </c>
      <c r="Z519" s="30"/>
      <c r="AA519" s="24">
        <f>'Store New'!AE28</f>
        <v>14</v>
      </c>
      <c r="AB519" s="1597"/>
      <c r="AC519" s="1588">
        <f>AVERAGE(AA519,AA518)</f>
        <v>14</v>
      </c>
      <c r="AD519" s="1588"/>
      <c r="AE519" s="24">
        <f t="shared" si="411"/>
        <v>-1.0600706713780772E-2</v>
      </c>
      <c r="AF519" s="1581"/>
      <c r="AG519" s="30"/>
      <c r="AH519" s="1589">
        <f t="shared" si="412"/>
        <v>-456.27336122734158</v>
      </c>
      <c r="AI519" s="35"/>
      <c r="AJ519" s="1590">
        <f>T519</f>
        <v>1205</v>
      </c>
      <c r="AK519" s="1590">
        <f>S519</f>
        <v>1282</v>
      </c>
      <c r="AL519" s="1586">
        <f t="shared" si="413"/>
        <v>86.071428571428569</v>
      </c>
      <c r="AM519" s="1604"/>
      <c r="AN519" s="24"/>
      <c r="AO519" s="1587"/>
      <c r="AP519" s="30"/>
      <c r="AQ519" s="1945">
        <v>77</v>
      </c>
      <c r="AR519" s="1797">
        <f t="shared" ref="AR519:AR522" si="414">AQ519/AQ512-1</f>
        <v>0.203125</v>
      </c>
    </row>
    <row r="520" spans="1:44">
      <c r="A520" s="24" t="str">
        <f>$A$29</f>
        <v>3Q</v>
      </c>
      <c r="B520" s="29" t="str">
        <f>$B$29</f>
        <v>Oct</v>
      </c>
      <c r="C520" s="24"/>
      <c r="D520" s="1581">
        <f>(T520/T513-1)*100</f>
        <v>-4.8387096774193505</v>
      </c>
      <c r="E520" s="24"/>
      <c r="F520" s="1948">
        <v>-7</v>
      </c>
      <c r="G520" s="24"/>
      <c r="H520" s="1581">
        <f>D520-F520</f>
        <v>2.1612903225806495</v>
      </c>
      <c r="I520" s="24"/>
      <c r="J520" s="1798">
        <f>'Store New'!AF6</f>
        <v>1418</v>
      </c>
      <c r="K520" s="1913"/>
      <c r="L520" s="1583">
        <f>AVERAGE(J520,J519)</f>
        <v>1417.5</v>
      </c>
      <c r="M520" s="24"/>
      <c r="N520" s="1581">
        <f>(L520/L513-1)*100</f>
        <v>-1.2883008356545989</v>
      </c>
      <c r="O520" s="30"/>
      <c r="P520" s="1821">
        <f t="shared" si="408"/>
        <v>-167.76285963382736</v>
      </c>
      <c r="Q520" s="35"/>
      <c r="R520" s="24"/>
      <c r="S520" s="1919">
        <f>1298+121</f>
        <v>1419</v>
      </c>
      <c r="T520" s="1825">
        <f t="shared" si="409"/>
        <v>1298</v>
      </c>
      <c r="U520" s="1919"/>
      <c r="V520" s="24">
        <f>T520/L520</f>
        <v>0.91569664902998238</v>
      </c>
      <c r="W520" s="1586">
        <f>S520/L520</f>
        <v>1.001058201058201</v>
      </c>
      <c r="X520" s="24">
        <f t="shared" si="410"/>
        <v>-3.5967457472833808</v>
      </c>
      <c r="Y520" s="1587">
        <f t="shared" si="410"/>
        <v>-1.9427301009838471</v>
      </c>
      <c r="Z520" s="30"/>
      <c r="AA520" s="24">
        <f>'Store New'!AF28</f>
        <v>14.1</v>
      </c>
      <c r="AB520" s="1597"/>
      <c r="AC520" s="1588">
        <f t="shared" ref="AC520:AC521" si="415">AVERAGE(AA520,AA519)</f>
        <v>14.05</v>
      </c>
      <c r="AD520" s="1588"/>
      <c r="AE520" s="24">
        <f t="shared" si="411"/>
        <v>0</v>
      </c>
      <c r="AF520" s="1581"/>
      <c r="AG520" s="30"/>
      <c r="AH520" s="1589" t="str">
        <f t="shared" si="412"/>
        <v>NM</v>
      </c>
      <c r="AI520" s="35"/>
      <c r="AJ520" s="1590">
        <f>T520</f>
        <v>1298</v>
      </c>
      <c r="AK520" s="1590">
        <f>S520</f>
        <v>1419</v>
      </c>
      <c r="AL520" s="1586">
        <f t="shared" si="413"/>
        <v>92.384341637010678</v>
      </c>
      <c r="AM520" s="1604"/>
      <c r="AN520" s="24"/>
      <c r="AO520" s="1587"/>
      <c r="AP520" s="30"/>
      <c r="AQ520" s="1945">
        <v>121</v>
      </c>
      <c r="AR520" s="1797">
        <f t="shared" si="414"/>
        <v>0.18627450980392157</v>
      </c>
    </row>
    <row r="521" spans="1:44">
      <c r="A521" s="24" t="str">
        <f>$A$30</f>
        <v>4Q</v>
      </c>
      <c r="B521" s="29" t="str">
        <f>$B$30</f>
        <v>Jan</v>
      </c>
      <c r="C521" s="24"/>
      <c r="D521" s="1606">
        <f>(T521/T514-1)*100</f>
        <v>-3.0359355638166052</v>
      </c>
      <c r="E521" s="24"/>
      <c r="F521" s="1958">
        <v>-5</v>
      </c>
      <c r="G521" s="24"/>
      <c r="H521" s="1606">
        <f>D521-F521</f>
        <v>1.9640644361833948</v>
      </c>
      <c r="I521" s="24"/>
      <c r="J521" s="1798">
        <f>'Store New'!AG6</f>
        <v>1388</v>
      </c>
      <c r="K521" s="1913"/>
      <c r="L521" s="1608">
        <f>AVERAGE(J521,J520)</f>
        <v>1403</v>
      </c>
      <c r="M521" s="24"/>
      <c r="N521" s="1606">
        <f>(L521/L514-1)*100</f>
        <v>-2.1276595744680882</v>
      </c>
      <c r="O521" s="30"/>
      <c r="P521" s="1822">
        <f t="shared" si="408"/>
        <v>-92.311028500619415</v>
      </c>
      <c r="Q521" s="35"/>
      <c r="R521" s="24"/>
      <c r="S521" s="1918">
        <f>S522-SUM(S518:S520)</f>
        <v>1704</v>
      </c>
      <c r="T521" s="1826">
        <f t="shared" si="409"/>
        <v>1565</v>
      </c>
      <c r="U521" s="1919"/>
      <c r="V521" s="24">
        <f>T521/L521</f>
        <v>1.1154668567355666</v>
      </c>
      <c r="W521" s="1586">
        <f>S521/L521</f>
        <v>1.2145402708481825</v>
      </c>
      <c r="X521" s="24">
        <f t="shared" si="410"/>
        <v>-0.92802111955175848</v>
      </c>
      <c r="Y521" s="1612">
        <f t="shared" si="410"/>
        <v>0.4061982849405732</v>
      </c>
      <c r="Z521" s="30"/>
      <c r="AA521" s="24">
        <f>'Store New'!AG28</f>
        <v>13.899999999999999</v>
      </c>
      <c r="AB521" s="1597"/>
      <c r="AC521" s="1588">
        <f t="shared" si="415"/>
        <v>14</v>
      </c>
      <c r="AD521" s="1613"/>
      <c r="AE521" s="24">
        <f t="shared" si="411"/>
        <v>0</v>
      </c>
      <c r="AF521" s="1606"/>
      <c r="AG521" s="30"/>
      <c r="AH521" s="1608" t="str">
        <f t="shared" si="412"/>
        <v>NM</v>
      </c>
      <c r="AI521" s="35"/>
      <c r="AJ521" s="1590">
        <f>T521</f>
        <v>1565</v>
      </c>
      <c r="AK521" s="1590">
        <f>S521</f>
        <v>1704</v>
      </c>
      <c r="AL521" s="1586">
        <f t="shared" si="413"/>
        <v>111.78571428571429</v>
      </c>
      <c r="AM521" s="1615"/>
      <c r="AN521" s="24"/>
      <c r="AO521" s="1612"/>
      <c r="AP521" s="30"/>
      <c r="AQ521" s="1945">
        <v>139</v>
      </c>
      <c r="AR521" s="1797">
        <f t="shared" si="414"/>
        <v>0.15833333333333344</v>
      </c>
    </row>
    <row r="522" spans="1:44">
      <c r="A522" s="24"/>
      <c r="B522" s="29" t="str">
        <f>$B$31</f>
        <v>Year</v>
      </c>
      <c r="C522" s="24"/>
      <c r="D522" s="1581">
        <f>(T522/T515-1)*100</f>
        <v>-2.5698324022346397</v>
      </c>
      <c r="E522" s="24"/>
      <c r="F522" s="1582">
        <v>-5</v>
      </c>
      <c r="G522" s="24"/>
      <c r="H522" s="1581">
        <f>D522-F522</f>
        <v>2.4301675977653603</v>
      </c>
      <c r="I522" s="24"/>
      <c r="J522" s="1782"/>
      <c r="K522" s="24"/>
      <c r="L522" s="1583">
        <f>AVERAGE(L518:L521)</f>
        <v>1417.5</v>
      </c>
      <c r="M522" s="24"/>
      <c r="N522" s="1581">
        <f>(L522/L515-1)*100</f>
        <v>-1.4940931202223728</v>
      </c>
      <c r="O522" s="30"/>
      <c r="P522" s="1821">
        <f t="shared" si="408"/>
        <v>-162.6516824736913</v>
      </c>
      <c r="Q522" s="35"/>
      <c r="R522" s="24"/>
      <c r="S522" s="400">
        <v>5665</v>
      </c>
      <c r="T522" s="1823">
        <f t="shared" si="409"/>
        <v>5232</v>
      </c>
      <c r="U522" s="400"/>
      <c r="V522" s="24">
        <f>T522/L522</f>
        <v>3.6910052910052911</v>
      </c>
      <c r="W522" s="1586">
        <f>S522/L522</f>
        <v>3.9964726631393299</v>
      </c>
      <c r="X522" s="24">
        <f t="shared" si="410"/>
        <v>-1.0920556097464895</v>
      </c>
      <c r="Y522" s="1587">
        <f t="shared" si="410"/>
        <v>0.27766629917167496</v>
      </c>
      <c r="Z522" s="30"/>
      <c r="AA522" s="24"/>
      <c r="AB522" s="24"/>
      <c r="AC522" s="1597">
        <f>AVERAGE(AC518:AC521)</f>
        <v>14.012499999999999</v>
      </c>
      <c r="AD522" s="1588"/>
      <c r="AE522" s="24">
        <f t="shared" si="411"/>
        <v>-6.2056737588652711E-3</v>
      </c>
      <c r="AF522" s="1581"/>
      <c r="AG522" s="30"/>
      <c r="AH522" s="1589">
        <f t="shared" si="412"/>
        <v>-391.60415003990232</v>
      </c>
      <c r="AI522" s="35"/>
      <c r="AJ522" s="1590">
        <f>T522</f>
        <v>5232</v>
      </c>
      <c r="AK522" s="1590">
        <f>S522</f>
        <v>5665</v>
      </c>
      <c r="AL522" s="1586">
        <f t="shared" si="413"/>
        <v>373.38090990187334</v>
      </c>
      <c r="AM522" s="1591"/>
      <c r="AN522" s="24"/>
      <c r="AO522" s="1587"/>
      <c r="AP522" s="30"/>
      <c r="AQ522" s="1945">
        <v>433</v>
      </c>
      <c r="AR522" s="1797">
        <f t="shared" si="414"/>
        <v>0.1863013698630136</v>
      </c>
    </row>
    <row r="523" spans="1:44">
      <c r="A523" s="24"/>
      <c r="B523" s="29"/>
      <c r="C523" s="24"/>
      <c r="D523" s="1581"/>
      <c r="E523" s="24"/>
      <c r="F523" s="1582"/>
      <c r="G523" s="24"/>
      <c r="H523" s="1581"/>
      <c r="I523" s="24"/>
      <c r="J523" s="1782"/>
      <c r="K523" s="24"/>
      <c r="L523" s="1583"/>
      <c r="M523" s="24"/>
      <c r="N523" s="1581"/>
      <c r="O523" s="30"/>
      <c r="P523" s="1821"/>
      <c r="Q523" s="35"/>
      <c r="R523" s="24"/>
      <c r="S523" s="1590"/>
      <c r="T523" s="1824"/>
      <c r="U523" s="1590"/>
      <c r="V523" s="24"/>
      <c r="W523" s="1586"/>
      <c r="X523" s="24"/>
      <c r="Y523" s="1587"/>
      <c r="Z523" s="30"/>
      <c r="AA523" s="24"/>
      <c r="AB523" s="24"/>
      <c r="AC523" s="24"/>
      <c r="AD523" s="1588"/>
      <c r="AE523" s="24"/>
      <c r="AF523" s="1581"/>
      <c r="AG523" s="30"/>
      <c r="AH523" s="1589"/>
      <c r="AI523" s="35"/>
      <c r="AJ523" s="24"/>
      <c r="AK523" s="1590"/>
      <c r="AL523" s="24"/>
      <c r="AM523" s="1591"/>
      <c r="AN523" s="24"/>
      <c r="AO523" s="1587"/>
      <c r="AP523" s="30"/>
      <c r="AQ523" s="1819"/>
    </row>
    <row r="524" spans="1:44">
      <c r="A524" s="1579"/>
      <c r="B524" s="1580">
        <f>+B517+1</f>
        <v>2012</v>
      </c>
      <c r="C524" s="24"/>
      <c r="D524" s="24"/>
      <c r="E524" s="30"/>
      <c r="F524" s="24"/>
      <c r="G524" s="30"/>
      <c r="H524" s="24"/>
      <c r="I524" s="30"/>
      <c r="J524" s="1782"/>
      <c r="K524" s="24"/>
      <c r="L524" s="24"/>
      <c r="M524" s="24"/>
      <c r="N524" s="24"/>
      <c r="O524" s="30"/>
      <c r="P524" s="1953"/>
      <c r="Q524" s="35"/>
      <c r="R524" s="24"/>
      <c r="S524" s="24"/>
      <c r="T524" s="1782"/>
      <c r="U524" s="24"/>
      <c r="V524" s="24"/>
      <c r="W524" s="24"/>
      <c r="X524" s="24"/>
      <c r="Y524" s="24"/>
      <c r="Z524" s="30"/>
      <c r="AA524" s="24"/>
      <c r="AB524" s="24"/>
      <c r="AC524" s="24"/>
      <c r="AD524" s="24"/>
      <c r="AE524" s="24"/>
      <c r="AF524" s="24"/>
      <c r="AG524" s="30"/>
      <c r="AH524" s="35"/>
      <c r="AI524" s="35"/>
      <c r="AJ524" s="24"/>
      <c r="AK524" s="24"/>
      <c r="AL524" s="24"/>
      <c r="AM524" s="24"/>
      <c r="AN524" s="24"/>
      <c r="AO524" s="24"/>
      <c r="AP524" s="30"/>
      <c r="AQ524" s="1960"/>
    </row>
    <row r="525" spans="1:44">
      <c r="A525" s="24" t="str">
        <f>$A$27</f>
        <v>1Q</v>
      </c>
      <c r="B525" s="29" t="str">
        <f>$B$27</f>
        <v>Apr</v>
      </c>
      <c r="C525" s="24"/>
      <c r="D525" s="1581">
        <f>(T525/T518-1)*100</f>
        <v>-5.841924398625431</v>
      </c>
      <c r="E525" s="30" t="s">
        <v>489</v>
      </c>
      <c r="F525" s="1948">
        <v>2</v>
      </c>
      <c r="G525" s="30" t="s">
        <v>489</v>
      </c>
      <c r="H525" s="1581">
        <f>D525-F525</f>
        <v>-7.841924398625431</v>
      </c>
      <c r="I525" s="30" t="s">
        <v>489</v>
      </c>
      <c r="J525" s="1798">
        <f>'Store New'!AH6</f>
        <v>1375</v>
      </c>
      <c r="K525" s="1913"/>
      <c r="L525" s="1583">
        <f>AVERAGE(J525,J521)</f>
        <v>1381.5</v>
      </c>
      <c r="M525" s="24"/>
      <c r="N525" s="1581">
        <f>(L525/L518-1)*100</f>
        <v>-3.2563025210084029</v>
      </c>
      <c r="O525" s="30" t="s">
        <v>489</v>
      </c>
      <c r="P525" s="1821">
        <f t="shared" ref="P525:P529" si="416">H525/N525*100</f>
        <v>240.82296862875521</v>
      </c>
      <c r="Q525" s="35" t="s">
        <v>489</v>
      </c>
      <c r="R525" s="24"/>
      <c r="S525" s="1916">
        <f>757+73+153+223</f>
        <v>1206</v>
      </c>
      <c r="T525" s="1824">
        <f t="shared" ref="T525:T529" si="417">S525-AQ525</f>
        <v>1096</v>
      </c>
      <c r="U525" s="1916"/>
      <c r="V525" s="24">
        <f>T525/L525</f>
        <v>0.79334057184220053</v>
      </c>
      <c r="W525" s="1586">
        <f>S525/L525</f>
        <v>0.87296416938110755</v>
      </c>
      <c r="X525" s="24">
        <f t="shared" ref="X525:Y529" si="418">(V525/V518-1)*100</f>
        <v>-2.67265149564756</v>
      </c>
      <c r="Y525" s="1587">
        <f t="shared" si="418"/>
        <v>-1.0640608034744758</v>
      </c>
      <c r="Z525" s="30" t="s">
        <v>489</v>
      </c>
      <c r="AA525" s="24">
        <f>'Store New'!AH28</f>
        <v>13.799999999999999</v>
      </c>
      <c r="AB525" s="1597"/>
      <c r="AC525" s="1588">
        <f>AVERAGE(AA525,AA521)</f>
        <v>13.849999999999998</v>
      </c>
      <c r="AD525" s="1588"/>
      <c r="AE525" s="24">
        <f t="shared" ref="AE525:AE529" si="419">AC525/AC518-1</f>
        <v>-1.0714285714285898E-2</v>
      </c>
      <c r="AF525" s="1581"/>
      <c r="AG525" s="30" t="s">
        <v>489</v>
      </c>
      <c r="AH525" s="1589">
        <f t="shared" ref="AH525:AH529" si="420">IFERROR(H525/AE525, "NM")</f>
        <v>731.91294387169432</v>
      </c>
      <c r="AI525" s="35" t="s">
        <v>489</v>
      </c>
      <c r="AJ525" s="1590">
        <f>T525</f>
        <v>1096</v>
      </c>
      <c r="AK525" s="1590">
        <f>S525</f>
        <v>1206</v>
      </c>
      <c r="AL525" s="1586">
        <f t="shared" ref="AL525:AL529" si="421">AJ525/AC525</f>
        <v>79.133574007220233</v>
      </c>
      <c r="AM525" s="1591"/>
      <c r="AN525" s="24"/>
      <c r="AO525" s="1587"/>
      <c r="AP525" s="30" t="s">
        <v>489</v>
      </c>
      <c r="AQ525" s="1945">
        <v>110</v>
      </c>
      <c r="AR525" s="1797">
        <f>AQ525/AQ518-1</f>
        <v>0.14583333333333326</v>
      </c>
    </row>
    <row r="526" spans="1:44">
      <c r="A526" s="24" t="str">
        <f>$A$30</f>
        <v>4Q</v>
      </c>
      <c r="B526" s="29" t="str">
        <f>$B$30</f>
        <v>Jan</v>
      </c>
      <c r="C526" s="24"/>
      <c r="D526" s="1581">
        <f>(T526/T519-1)*100</f>
        <v>2.7385892116182475</v>
      </c>
      <c r="E526" s="24"/>
      <c r="F526" s="1948">
        <v>3</v>
      </c>
      <c r="G526" s="24"/>
      <c r="H526" s="1581">
        <f>D526-F526</f>
        <v>-0.26141078838175247</v>
      </c>
      <c r="I526" s="24"/>
      <c r="J526" s="1798">
        <f>'Store New'!AI6</f>
        <v>1373</v>
      </c>
      <c r="K526" s="1913"/>
      <c r="L526" s="1583">
        <f>AVERAGE(J526,J525)</f>
        <v>1374</v>
      </c>
      <c r="M526" s="24"/>
      <c r="N526" s="1581">
        <f>(L526/L519-1)*100</f>
        <v>-3.3415406260991931</v>
      </c>
      <c r="O526" s="30"/>
      <c r="P526" s="1821">
        <f t="shared" si="416"/>
        <v>7.8230618038875974</v>
      </c>
      <c r="Q526" s="35"/>
      <c r="R526" s="24"/>
      <c r="S526" s="1919">
        <f>756+78+156+248+96</f>
        <v>1334</v>
      </c>
      <c r="T526" s="1825">
        <f t="shared" si="417"/>
        <v>1238</v>
      </c>
      <c r="U526" s="1919"/>
      <c r="V526" s="24">
        <f>T526/L526</f>
        <v>0.90101892285298402</v>
      </c>
      <c r="W526" s="1586">
        <f>S526/L526</f>
        <v>0.97088791848617173</v>
      </c>
      <c r="X526" s="24">
        <f t="shared" si="418"/>
        <v>6.2903235548146696</v>
      </c>
      <c r="Y526" s="1587">
        <f t="shared" si="418"/>
        <v>7.6534458758263035</v>
      </c>
      <c r="Z526" s="30"/>
      <c r="AA526" s="24">
        <f>'Store New'!AI28</f>
        <v>13.7</v>
      </c>
      <c r="AB526" s="1597"/>
      <c r="AC526" s="1588">
        <f>AVERAGE(AA526,AA525)</f>
        <v>13.75</v>
      </c>
      <c r="AD526" s="1588"/>
      <c r="AE526" s="24">
        <f t="shared" si="419"/>
        <v>-1.7857142857142905E-2</v>
      </c>
      <c r="AF526" s="1581"/>
      <c r="AG526" s="30"/>
      <c r="AH526" s="1589">
        <f t="shared" si="420"/>
        <v>14.639004149378099</v>
      </c>
      <c r="AI526" s="35"/>
      <c r="AJ526" s="1590">
        <f>T526</f>
        <v>1238</v>
      </c>
      <c r="AK526" s="1590">
        <f>S526</f>
        <v>1334</v>
      </c>
      <c r="AL526" s="1586">
        <f t="shared" si="421"/>
        <v>90.036363636363632</v>
      </c>
      <c r="AM526" s="1604"/>
      <c r="AN526" s="24"/>
      <c r="AO526" s="1587"/>
      <c r="AP526" s="30"/>
      <c r="AQ526" s="1945">
        <v>96</v>
      </c>
      <c r="AR526" s="1797">
        <f t="shared" ref="AR526:AR529" si="422">AQ526/AQ519-1</f>
        <v>0.24675324675324672</v>
      </c>
    </row>
    <row r="527" spans="1:44">
      <c r="A527" s="24" t="str">
        <f>$A$28</f>
        <v>2Q</v>
      </c>
      <c r="B527" s="29" t="str">
        <f>$B$28</f>
        <v>Jul</v>
      </c>
      <c r="C527" s="24"/>
      <c r="D527" s="1581">
        <f>(T527/T520-1)*100</f>
        <v>3.3127889060092341</v>
      </c>
      <c r="E527" s="24"/>
      <c r="F527" s="1948">
        <v>4</v>
      </c>
      <c r="G527" s="24"/>
      <c r="H527" s="1581">
        <f>D527-F527</f>
        <v>-0.68721109399076585</v>
      </c>
      <c r="I527" s="24"/>
      <c r="J527" s="1798">
        <f>'Store New'!AJ6</f>
        <v>1387</v>
      </c>
      <c r="K527" s="1913"/>
      <c r="L527" s="1583">
        <f>AVERAGE(J527,J526)</f>
        <v>1380</v>
      </c>
      <c r="M527" s="24"/>
      <c r="N527" s="1581">
        <f>(L527/L520-1)*100</f>
        <v>-2.6455026455026509</v>
      </c>
      <c r="O527" s="30"/>
      <c r="P527" s="1821">
        <f t="shared" si="416"/>
        <v>25.976579352850898</v>
      </c>
      <c r="Q527" s="35"/>
      <c r="R527" s="24"/>
      <c r="S527" s="1919">
        <f>838+93+165+245+146</f>
        <v>1487</v>
      </c>
      <c r="T527" s="1825">
        <f t="shared" si="417"/>
        <v>1341</v>
      </c>
      <c r="U527" s="1919"/>
      <c r="V527" s="24">
        <f>T527/L527</f>
        <v>0.97173913043478266</v>
      </c>
      <c r="W527" s="1586">
        <f>S527/L527</f>
        <v>1.077536231884058</v>
      </c>
      <c r="X527" s="24">
        <f t="shared" si="418"/>
        <v>6.1202016480203625</v>
      </c>
      <c r="Y527" s="1587">
        <f t="shared" si="418"/>
        <v>7.6397187241474596</v>
      </c>
      <c r="Z527" s="30"/>
      <c r="AA527" s="24">
        <f>'Store New'!AJ28</f>
        <v>13.899999999999999</v>
      </c>
      <c r="AB527" s="1597"/>
      <c r="AC527" s="1588">
        <f t="shared" ref="AC527:AC528" si="423">AVERAGE(AA527,AA526)</f>
        <v>13.799999999999999</v>
      </c>
      <c r="AD527" s="1588"/>
      <c r="AE527" s="24">
        <f t="shared" si="419"/>
        <v>-1.7793594306049987E-2</v>
      </c>
      <c r="AF527" s="1581"/>
      <c r="AG527" s="30"/>
      <c r="AH527" s="1589">
        <f t="shared" si="420"/>
        <v>38.621263482280682</v>
      </c>
      <c r="AI527" s="35"/>
      <c r="AJ527" s="1590">
        <f>T527</f>
        <v>1341</v>
      </c>
      <c r="AK527" s="1590">
        <f>S527</f>
        <v>1487</v>
      </c>
      <c r="AL527" s="1586">
        <f t="shared" si="421"/>
        <v>97.173913043478265</v>
      </c>
      <c r="AM527" s="1604"/>
      <c r="AN527" s="24"/>
      <c r="AO527" s="1587"/>
      <c r="AP527" s="30"/>
      <c r="AQ527" s="1945">
        <v>146</v>
      </c>
      <c r="AR527" s="1797">
        <f t="shared" si="422"/>
        <v>0.20661157024793386</v>
      </c>
    </row>
    <row r="528" spans="1:44">
      <c r="A528" s="24" t="str">
        <f>$A$29</f>
        <v>3Q</v>
      </c>
      <c r="B528" s="29" t="str">
        <f>$B$29</f>
        <v>Oct</v>
      </c>
      <c r="C528" s="24"/>
      <c r="D528" s="1606">
        <f>(T528/T521-1)*100</f>
        <v>12.012779552715646</v>
      </c>
      <c r="E528" s="24"/>
      <c r="F528" s="1958">
        <v>2</v>
      </c>
      <c r="G528" s="24"/>
      <c r="H528" s="1606">
        <f>D528-F528</f>
        <v>10.012779552715646</v>
      </c>
      <c r="I528" s="24"/>
      <c r="J528" s="1798">
        <f>'Store New'!AK6</f>
        <v>1379</v>
      </c>
      <c r="K528" s="1913"/>
      <c r="L528" s="1608">
        <f>AVERAGE(J528,J527)</f>
        <v>1383</v>
      </c>
      <c r="M528" s="24"/>
      <c r="N528" s="1606">
        <f>(L528/L521-1)*100</f>
        <v>-1.4255167498218091</v>
      </c>
      <c r="O528" s="30"/>
      <c r="P528" s="1822">
        <f t="shared" si="416"/>
        <v>-702.39648562300317</v>
      </c>
      <c r="Q528" s="35"/>
      <c r="R528" s="24"/>
      <c r="S528" s="1918">
        <f>S529-SUM(S525:S527)</f>
        <v>1938</v>
      </c>
      <c r="T528" s="1826">
        <f t="shared" si="417"/>
        <v>1753</v>
      </c>
      <c r="U528" s="1919"/>
      <c r="V528" s="24">
        <f>T528/L528</f>
        <v>1.267534345625452</v>
      </c>
      <c r="W528" s="1586">
        <f>S528/L528</f>
        <v>1.4013015184381779</v>
      </c>
      <c r="X528" s="24">
        <f t="shared" si="418"/>
        <v>13.632631751598034</v>
      </c>
      <c r="Y528" s="1612">
        <f t="shared" si="418"/>
        <v>15.377114458260777</v>
      </c>
      <c r="Z528" s="30"/>
      <c r="AA528" s="24">
        <f>'Store New'!AK28</f>
        <v>13.799999999999999</v>
      </c>
      <c r="AB528" s="1597"/>
      <c r="AC528" s="1588">
        <f t="shared" si="423"/>
        <v>13.849999999999998</v>
      </c>
      <c r="AD528" s="1613"/>
      <c r="AE528" s="24">
        <f t="shared" si="419"/>
        <v>-1.0714285714285898E-2</v>
      </c>
      <c r="AF528" s="1606"/>
      <c r="AG528" s="30"/>
      <c r="AH528" s="1608">
        <f t="shared" si="420"/>
        <v>-934.52609158677751</v>
      </c>
      <c r="AI528" s="35"/>
      <c r="AJ528" s="1590">
        <f>T528</f>
        <v>1753</v>
      </c>
      <c r="AK528" s="1590">
        <f>S528</f>
        <v>1938</v>
      </c>
      <c r="AL528" s="1586">
        <f t="shared" si="421"/>
        <v>126.57039711191338</v>
      </c>
      <c r="AM528" s="1615"/>
      <c r="AN528" s="24"/>
      <c r="AO528" s="1612"/>
      <c r="AP528" s="30"/>
      <c r="AQ528" s="1945">
        <v>185</v>
      </c>
      <c r="AR528" s="1797">
        <f t="shared" si="422"/>
        <v>0.33093525179856109</v>
      </c>
    </row>
    <row r="529" spans="1:44">
      <c r="A529" s="24"/>
      <c r="B529" s="29" t="str">
        <f>$B$31</f>
        <v>Year</v>
      </c>
      <c r="C529" s="24"/>
      <c r="D529" s="1581">
        <f>(T529/T522-1)*100</f>
        <v>3.7461773700305789</v>
      </c>
      <c r="E529" s="24"/>
      <c r="F529" s="1582">
        <v>3</v>
      </c>
      <c r="G529" s="24"/>
      <c r="H529" s="1581">
        <f>D529-F529</f>
        <v>0.74617737003057893</v>
      </c>
      <c r="I529" s="24"/>
      <c r="J529" s="1782"/>
      <c r="K529" s="24"/>
      <c r="L529" s="1583">
        <f>AVERAGE(L525:L528)</f>
        <v>1379.625</v>
      </c>
      <c r="M529" s="24"/>
      <c r="N529" s="1581">
        <f>(L529/L522-1)*100</f>
        <v>-2.6719576719576699</v>
      </c>
      <c r="O529" s="30"/>
      <c r="P529" s="1821">
        <f t="shared" si="416"/>
        <v>-27.926242165500899</v>
      </c>
      <c r="Q529" s="35"/>
      <c r="R529" s="24"/>
      <c r="S529" s="400">
        <v>5965</v>
      </c>
      <c r="T529" s="1823">
        <f t="shared" si="417"/>
        <v>5428</v>
      </c>
      <c r="U529" s="400"/>
      <c r="V529" s="24">
        <f>T529/L529</f>
        <v>3.9344024644378002</v>
      </c>
      <c r="W529" s="1586">
        <f>S529/L529</f>
        <v>4.3236386699284228</v>
      </c>
      <c r="X529" s="24">
        <f t="shared" si="418"/>
        <v>6.594332823787874</v>
      </c>
      <c r="Y529" s="1587">
        <f t="shared" si="418"/>
        <v>8.1863691901772118</v>
      </c>
      <c r="Z529" s="30"/>
      <c r="AA529" s="24"/>
      <c r="AB529" s="24"/>
      <c r="AC529" s="1597">
        <f>AVERAGE(AC525:AC528)</f>
        <v>13.8125</v>
      </c>
      <c r="AD529" s="1588"/>
      <c r="AE529" s="24">
        <f t="shared" si="419"/>
        <v>-1.4272970561998166E-2</v>
      </c>
      <c r="AF529" s="1581"/>
      <c r="AG529" s="30"/>
      <c r="AH529" s="1589">
        <f t="shared" si="420"/>
        <v>-52.279051987767616</v>
      </c>
      <c r="AI529" s="35"/>
      <c r="AJ529" s="1590">
        <f>T529</f>
        <v>5428</v>
      </c>
      <c r="AK529" s="1590">
        <f>S529</f>
        <v>5965</v>
      </c>
      <c r="AL529" s="1586">
        <f t="shared" si="421"/>
        <v>392.97737556561088</v>
      </c>
      <c r="AM529" s="1591"/>
      <c r="AN529" s="24"/>
      <c r="AO529" s="1587"/>
      <c r="AP529" s="30"/>
      <c r="AQ529" s="1945">
        <v>537</v>
      </c>
      <c r="AR529" s="1797">
        <f t="shared" si="422"/>
        <v>0.24018475750577362</v>
      </c>
    </row>
    <row r="530" spans="1:44">
      <c r="A530" s="24"/>
      <c r="B530" s="29"/>
      <c r="C530" s="24"/>
      <c r="D530" s="1581"/>
      <c r="E530" s="24"/>
      <c r="F530" s="1582"/>
      <c r="G530" s="24"/>
      <c r="H530" s="1581"/>
      <c r="I530" s="24"/>
      <c r="J530" s="1782"/>
      <c r="K530" s="24"/>
      <c r="L530" s="1583"/>
      <c r="M530" s="24"/>
      <c r="N530" s="1581"/>
      <c r="O530" s="30"/>
      <c r="P530" s="1821"/>
      <c r="Q530" s="35"/>
      <c r="R530" s="24"/>
      <c r="S530" s="400"/>
      <c r="T530" s="1823"/>
      <c r="U530" s="400"/>
      <c r="V530" s="24"/>
      <c r="W530" s="1586"/>
      <c r="X530" s="24"/>
      <c r="Y530" s="1587"/>
      <c r="Z530" s="30"/>
      <c r="AA530" s="24"/>
      <c r="AB530" s="24"/>
      <c r="AC530" s="24"/>
      <c r="AD530" s="1588"/>
      <c r="AE530" s="24"/>
      <c r="AF530" s="1581"/>
      <c r="AG530" s="30"/>
      <c r="AH530" s="1589"/>
      <c r="AI530" s="35"/>
      <c r="AJ530" s="24"/>
      <c r="AK530" s="1590"/>
      <c r="AL530" s="24"/>
      <c r="AM530" s="1591"/>
      <c r="AN530" s="24"/>
      <c r="AO530" s="1587"/>
      <c r="AP530" s="30"/>
      <c r="AQ530" s="1743"/>
    </row>
    <row r="531" spans="1:44">
      <c r="A531" s="1579"/>
      <c r="B531" s="1580">
        <f>+B524+1</f>
        <v>2013</v>
      </c>
      <c r="C531" s="24"/>
      <c r="D531" s="1581"/>
      <c r="E531" s="24"/>
      <c r="F531" s="1582"/>
      <c r="G531" s="24"/>
      <c r="H531" s="1581"/>
      <c r="I531" s="24"/>
      <c r="J531" s="1782"/>
      <c r="K531" s="24"/>
      <c r="L531" s="1583"/>
      <c r="M531" s="24"/>
      <c r="N531" s="1581"/>
      <c r="O531" s="30"/>
      <c r="P531" s="1821"/>
      <c r="Q531" s="35"/>
      <c r="R531" s="24"/>
      <c r="S531" s="400"/>
      <c r="T531" s="1823"/>
      <c r="U531" s="400"/>
      <c r="V531" s="24"/>
      <c r="W531" s="1586"/>
      <c r="X531" s="24"/>
      <c r="Y531" s="1587"/>
      <c r="Z531" s="30"/>
      <c r="AA531" s="24"/>
      <c r="AB531" s="24"/>
      <c r="AC531" s="24"/>
      <c r="AD531" s="1588"/>
      <c r="AE531" s="24"/>
      <c r="AF531" s="1581"/>
      <c r="AG531" s="30"/>
      <c r="AH531" s="1589"/>
      <c r="AI531" s="35"/>
      <c r="AJ531" s="24"/>
      <c r="AK531" s="1590"/>
      <c r="AL531" s="24"/>
      <c r="AM531" s="1591"/>
      <c r="AN531" s="24"/>
      <c r="AO531" s="1587"/>
      <c r="AP531" s="30"/>
      <c r="AQ531" s="1739"/>
    </row>
    <row r="532" spans="1:44">
      <c r="A532" s="24" t="str">
        <f>$A$27</f>
        <v>1Q</v>
      </c>
      <c r="B532" s="29" t="str">
        <f>$B$27</f>
        <v>Apr</v>
      </c>
      <c r="C532" s="24"/>
      <c r="D532" s="1581">
        <f>(T532/T525-1)*100</f>
        <v>33.576642335766429</v>
      </c>
      <c r="E532" s="30" t="s">
        <v>489</v>
      </c>
      <c r="F532" s="1948">
        <v>3</v>
      </c>
      <c r="G532" s="30" t="s">
        <v>489</v>
      </c>
      <c r="H532" s="1581">
        <f>D532-F532</f>
        <v>30.576642335766429</v>
      </c>
      <c r="I532" s="30" t="s">
        <v>489</v>
      </c>
      <c r="J532" s="1798">
        <f>'Store New'!AL6</f>
        <v>1377</v>
      </c>
      <c r="K532" s="24"/>
      <c r="L532" s="1583">
        <f>AVERAGE(J532,J528)</f>
        <v>1378</v>
      </c>
      <c r="M532" s="24"/>
      <c r="N532" s="1581">
        <f>(L532/L525-1)*100</f>
        <v>-0.25334781035106779</v>
      </c>
      <c r="O532" s="30" t="s">
        <v>489</v>
      </c>
      <c r="P532" s="1821">
        <f t="shared" ref="P532:P536" si="424">H532/N532*100</f>
        <v>-12069.037539103228</v>
      </c>
      <c r="Q532" s="35" t="s">
        <v>489</v>
      </c>
      <c r="R532" s="24"/>
      <c r="S532" s="1596">
        <v>1464</v>
      </c>
      <c r="T532" s="1824">
        <f t="shared" ref="T532:T536" si="425">S532-AQ532</f>
        <v>1464</v>
      </c>
      <c r="U532" s="1596"/>
      <c r="V532" s="24">
        <f>T532/L532</f>
        <v>1.0624092888243832</v>
      </c>
      <c r="W532" s="1586">
        <f>S532/L532</f>
        <v>1.0624092888243832</v>
      </c>
      <c r="X532" s="24">
        <f t="shared" ref="X532:Y536" si="426">(V532/V525-1)*100</f>
        <v>33.915915375080786</v>
      </c>
      <c r="Y532" s="1587">
        <f t="shared" si="426"/>
        <v>21.701362563091653</v>
      </c>
      <c r="Z532" s="30" t="s">
        <v>489</v>
      </c>
      <c r="AA532" s="24">
        <f>'Store New'!AL28</f>
        <v>13.799999999999999</v>
      </c>
      <c r="AB532" s="1597"/>
      <c r="AC532" s="1588">
        <f>AVERAGE(AA532,AA528)</f>
        <v>13.799999999999999</v>
      </c>
      <c r="AD532" s="1588"/>
      <c r="AE532" s="24">
        <f t="shared" ref="AE532:AE536" si="427">AC532/AC525-1</f>
        <v>-3.6101083032490378E-3</v>
      </c>
      <c r="AF532" s="1581"/>
      <c r="AG532" s="30" t="s">
        <v>489</v>
      </c>
      <c r="AH532" s="1589">
        <f t="shared" ref="AH532:AH536" si="428">IFERROR(H532/AE532, "NM")</f>
        <v>-8469.7299270074418</v>
      </c>
      <c r="AI532" s="35" t="s">
        <v>489</v>
      </c>
      <c r="AJ532" s="1590">
        <f>T532</f>
        <v>1464</v>
      </c>
      <c r="AK532" s="1590">
        <f>S532</f>
        <v>1464</v>
      </c>
      <c r="AL532" s="1586">
        <f t="shared" ref="AL532:AL536" si="429">AJ532/AC532</f>
        <v>106.08695652173914</v>
      </c>
      <c r="AM532" s="1591"/>
      <c r="AN532" s="24"/>
      <c r="AO532" s="1587"/>
      <c r="AP532" s="30" t="s">
        <v>489</v>
      </c>
      <c r="AQ532" s="1738"/>
    </row>
    <row r="533" spans="1:44">
      <c r="A533" s="24" t="str">
        <f>$A$28</f>
        <v>2Q</v>
      </c>
      <c r="B533" s="29" t="str">
        <f>$B$28</f>
        <v>Jul</v>
      </c>
      <c r="C533" s="24"/>
      <c r="D533" s="1581">
        <f>(T533/T526-1)*100</f>
        <v>18.820678513731814</v>
      </c>
      <c r="E533" s="24"/>
      <c r="F533" s="1948">
        <v>6</v>
      </c>
      <c r="G533" s="24"/>
      <c r="H533" s="1581">
        <f>D533-F533</f>
        <v>12.820678513731814</v>
      </c>
      <c r="I533" s="24"/>
      <c r="J533" s="1798">
        <f>'Store New'!AM6</f>
        <v>1367</v>
      </c>
      <c r="K533" s="24"/>
      <c r="L533" s="1583">
        <f>AVERAGE(J533,J532)</f>
        <v>1372</v>
      </c>
      <c r="M533" s="24"/>
      <c r="N533" s="1581">
        <f>(L533/L526-1)*100</f>
        <v>-0.14556040756914523</v>
      </c>
      <c r="O533" s="30"/>
      <c r="P533" s="1821">
        <f t="shared" si="424"/>
        <v>-8807.8061389335126</v>
      </c>
      <c r="Q533" s="35"/>
      <c r="R533" s="24"/>
      <c r="S533" s="1601">
        <v>1471</v>
      </c>
      <c r="T533" s="1825">
        <f t="shared" si="425"/>
        <v>1471</v>
      </c>
      <c r="U533" s="1601"/>
      <c r="V533" s="24">
        <f>T533/L533</f>
        <v>1.0721574344023324</v>
      </c>
      <c r="W533" s="1586">
        <f>S533/L533</f>
        <v>1.0721574344023324</v>
      </c>
      <c r="X533" s="24">
        <f t="shared" si="426"/>
        <v>18.993886499903432</v>
      </c>
      <c r="Y533" s="1587">
        <f t="shared" si="426"/>
        <v>10.430608311004841</v>
      </c>
      <c r="Z533" s="30"/>
      <c r="AA533" s="24">
        <f>'Store New'!AM28</f>
        <v>13.799999999999999</v>
      </c>
      <c r="AB533" s="1597"/>
      <c r="AC533" s="1588">
        <f>AVERAGE(AA533,AA532)</f>
        <v>13.799999999999999</v>
      </c>
      <c r="AD533" s="1588"/>
      <c r="AE533" s="24">
        <f t="shared" si="427"/>
        <v>3.6363636363636598E-3</v>
      </c>
      <c r="AF533" s="1581"/>
      <c r="AG533" s="30"/>
      <c r="AH533" s="1589">
        <f t="shared" si="428"/>
        <v>3525.686591276226</v>
      </c>
      <c r="AI533" s="35"/>
      <c r="AJ533" s="1590">
        <f>T533</f>
        <v>1471</v>
      </c>
      <c r="AK533" s="1590">
        <f>S533</f>
        <v>1471</v>
      </c>
      <c r="AL533" s="1586">
        <f t="shared" si="429"/>
        <v>106.59420289855073</v>
      </c>
      <c r="AM533" s="1604"/>
      <c r="AN533" s="24"/>
      <c r="AO533" s="1587"/>
      <c r="AP533" s="30"/>
      <c r="AQ533" s="1738"/>
    </row>
    <row r="534" spans="1:44">
      <c r="A534" s="24" t="str">
        <f>$A$29</f>
        <v>3Q</v>
      </c>
      <c r="B534" s="29" t="str">
        <f>$B$29</f>
        <v>Oct</v>
      </c>
      <c r="C534" s="24"/>
      <c r="D534" s="1581">
        <f>(T534/T527-1)*100</f>
        <v>19.686800894854596</v>
      </c>
      <c r="E534" s="24"/>
      <c r="F534" s="1948">
        <v>1</v>
      </c>
      <c r="G534" s="24"/>
      <c r="H534" s="1581">
        <f>D534-F534</f>
        <v>18.686800894854596</v>
      </c>
      <c r="I534" s="24"/>
      <c r="J534" s="1798">
        <f>'Store New'!AN6</f>
        <v>1392</v>
      </c>
      <c r="K534" s="24"/>
      <c r="L534" s="1583">
        <f>AVERAGE(J534,J533)</f>
        <v>1379.5</v>
      </c>
      <c r="M534" s="24"/>
      <c r="N534" s="1581">
        <f>(L534/L527-1)*100</f>
        <v>-3.6231884057968955E-2</v>
      </c>
      <c r="O534" s="30"/>
      <c r="P534" s="1821">
        <f t="shared" si="424"/>
        <v>-51575.57046980162</v>
      </c>
      <c r="Q534" s="35"/>
      <c r="R534" s="24"/>
      <c r="S534" s="1601">
        <v>1605</v>
      </c>
      <c r="T534" s="1825">
        <f t="shared" si="425"/>
        <v>1605</v>
      </c>
      <c r="U534" s="1601"/>
      <c r="V534" s="24">
        <f>T534/L534</f>
        <v>1.1634650235592605</v>
      </c>
      <c r="W534" s="1586">
        <f>S534/L534</f>
        <v>1.1634650235592605</v>
      </c>
      <c r="X534" s="24">
        <f t="shared" si="426"/>
        <v>19.730181395360134</v>
      </c>
      <c r="Y534" s="1587">
        <f t="shared" si="426"/>
        <v>7.974561702204408</v>
      </c>
      <c r="Z534" s="30"/>
      <c r="AA534" s="24">
        <f>'Store New'!AN28</f>
        <v>14.099999999999998</v>
      </c>
      <c r="AB534" s="1597"/>
      <c r="AC534" s="1588">
        <f t="shared" ref="AC534:AC535" si="430">AVERAGE(AA534,AA533)</f>
        <v>13.95</v>
      </c>
      <c r="AD534" s="1588"/>
      <c r="AE534" s="24">
        <f t="shared" si="427"/>
        <v>1.0869565217391353E-2</v>
      </c>
      <c r="AF534" s="1581"/>
      <c r="AG534" s="30"/>
      <c r="AH534" s="1589">
        <f t="shared" si="428"/>
        <v>1719.1856823266151</v>
      </c>
      <c r="AI534" s="35"/>
      <c r="AJ534" s="1590">
        <f>T534</f>
        <v>1605</v>
      </c>
      <c r="AK534" s="1590">
        <f>S534</f>
        <v>1605</v>
      </c>
      <c r="AL534" s="1586">
        <f t="shared" si="429"/>
        <v>115.05376344086022</v>
      </c>
      <c r="AM534" s="1604"/>
      <c r="AN534" s="24"/>
      <c r="AO534" s="1587"/>
      <c r="AP534" s="30"/>
      <c r="AQ534" s="1738"/>
    </row>
    <row r="535" spans="1:44">
      <c r="A535" s="24" t="str">
        <f>$A$30</f>
        <v>4Q</v>
      </c>
      <c r="B535" s="29" t="str">
        <f>$B$30</f>
        <v>Jan</v>
      </c>
      <c r="C535" s="24"/>
      <c r="D535" s="1606">
        <f>(T535/T528-1)*100</f>
        <v>3.30861380490588</v>
      </c>
      <c r="E535" s="24"/>
      <c r="F535" s="1958">
        <v>1</v>
      </c>
      <c r="G535" s="24"/>
      <c r="H535" s="1606">
        <f>D535-F535</f>
        <v>2.30861380490588</v>
      </c>
      <c r="I535" s="24"/>
      <c r="J535" s="1798">
        <f>'Store New'!AO6</f>
        <v>1389</v>
      </c>
      <c r="K535" s="24"/>
      <c r="L535" s="1608">
        <f>AVERAGE(J535,J534)</f>
        <v>1390.5</v>
      </c>
      <c r="M535" s="24"/>
      <c r="N535" s="1606">
        <f>(L535/L528-1)*100</f>
        <v>0.54229934924077128</v>
      </c>
      <c r="O535" s="30"/>
      <c r="P535" s="1822">
        <f t="shared" si="424"/>
        <v>425.70838562465178</v>
      </c>
      <c r="Q535" s="35"/>
      <c r="R535" s="24"/>
      <c r="S535" s="1601">
        <v>1811</v>
      </c>
      <c r="T535" s="1826">
        <f t="shared" si="425"/>
        <v>1811</v>
      </c>
      <c r="U535" s="1601"/>
      <c r="V535" s="24">
        <f>T535/L535</f>
        <v>1.3024092053218266</v>
      </c>
      <c r="W535" s="1586">
        <f>S535/L535</f>
        <v>1.3024092053218266</v>
      </c>
      <c r="X535" s="24">
        <f t="shared" si="426"/>
        <v>2.751393665720836</v>
      </c>
      <c r="Y535" s="1612">
        <f t="shared" si="426"/>
        <v>-7.0571759050523148</v>
      </c>
      <c r="Z535" s="30"/>
      <c r="AA535" s="24">
        <f>'Store New'!AO28</f>
        <v>14.099999999999998</v>
      </c>
      <c r="AB535" s="1597"/>
      <c r="AC535" s="1588">
        <f t="shared" si="430"/>
        <v>14.099999999999998</v>
      </c>
      <c r="AD535" s="1613"/>
      <c r="AE535" s="24">
        <f t="shared" si="427"/>
        <v>1.8050541516245522E-2</v>
      </c>
      <c r="AF535" s="1606"/>
      <c r="AG535" s="30"/>
      <c r="AH535" s="1608">
        <f t="shared" si="428"/>
        <v>127.89720479178551</v>
      </c>
      <c r="AI535" s="35"/>
      <c r="AJ535" s="1590">
        <f>T535</f>
        <v>1811</v>
      </c>
      <c r="AK535" s="1590">
        <f>S535</f>
        <v>1811</v>
      </c>
      <c r="AL535" s="1586">
        <f t="shared" si="429"/>
        <v>128.43971631205676</v>
      </c>
      <c r="AM535" s="1615"/>
      <c r="AN535" s="24"/>
      <c r="AO535" s="1612"/>
      <c r="AP535" s="30"/>
      <c r="AQ535" s="1738"/>
    </row>
    <row r="536" spans="1:44">
      <c r="A536" s="24"/>
      <c r="B536" s="29" t="str">
        <f>$B$31</f>
        <v>Year</v>
      </c>
      <c r="C536" s="24"/>
      <c r="D536" s="1581">
        <f>(T536/T529-1)*100</f>
        <v>17.004421518054524</v>
      </c>
      <c r="E536" s="24"/>
      <c r="F536" s="1948">
        <v>3</v>
      </c>
      <c r="G536" s="24"/>
      <c r="H536" s="1581">
        <f>D536-F536</f>
        <v>14.004421518054524</v>
      </c>
      <c r="I536" s="24"/>
      <c r="J536" s="1782"/>
      <c r="K536" s="24"/>
      <c r="L536" s="1583">
        <f>AVERAGE(L532:L535)</f>
        <v>1380</v>
      </c>
      <c r="M536" s="24"/>
      <c r="N536" s="1581">
        <f>(L536/L529-1)*100</f>
        <v>2.7181299266110237E-2</v>
      </c>
      <c r="O536" s="30"/>
      <c r="P536" s="1821">
        <f t="shared" si="424"/>
        <v>51522.266764912514</v>
      </c>
      <c r="Q536" s="35"/>
      <c r="R536" s="24"/>
      <c r="S536" s="1585">
        <v>6351</v>
      </c>
      <c r="T536" s="1823">
        <f t="shared" si="425"/>
        <v>6351</v>
      </c>
      <c r="U536" s="1585"/>
      <c r="V536" s="24">
        <f>T536/L536</f>
        <v>4.6021739130434787</v>
      </c>
      <c r="W536" s="1586">
        <f>S536/L536</f>
        <v>4.6021739130434787</v>
      </c>
      <c r="X536" s="24">
        <f t="shared" si="426"/>
        <v>16.97262683829419</v>
      </c>
      <c r="Y536" s="1587">
        <f t="shared" si="426"/>
        <v>6.4421489485768424</v>
      </c>
      <c r="Z536" s="30"/>
      <c r="AA536" s="24"/>
      <c r="AB536" s="24"/>
      <c r="AC536" s="1597">
        <f>AVERAGE(AC532:AC535)</f>
        <v>13.912499999999998</v>
      </c>
      <c r="AD536" s="1588"/>
      <c r="AE536" s="24">
        <f t="shared" si="427"/>
        <v>7.2398190045246391E-3</v>
      </c>
      <c r="AF536" s="1581"/>
      <c r="AG536" s="30"/>
      <c r="AH536" s="1589">
        <f t="shared" si="428"/>
        <v>1934.3607221813475</v>
      </c>
      <c r="AI536" s="35"/>
      <c r="AJ536" s="1590">
        <f>T536</f>
        <v>6351</v>
      </c>
      <c r="AK536" s="1590">
        <f>S536</f>
        <v>6351</v>
      </c>
      <c r="AL536" s="1586">
        <f t="shared" si="429"/>
        <v>456.49595687331544</v>
      </c>
      <c r="AM536" s="1591"/>
      <c r="AN536" s="24"/>
      <c r="AO536" s="1587"/>
      <c r="AP536" s="30"/>
      <c r="AQ536" s="1742"/>
    </row>
    <row r="537" spans="1:44">
      <c r="A537" s="24"/>
      <c r="B537" s="29"/>
      <c r="C537" s="24"/>
      <c r="D537" s="1581"/>
      <c r="E537" s="24"/>
      <c r="F537" s="1582"/>
      <c r="G537" s="24"/>
      <c r="H537" s="1581"/>
      <c r="I537" s="24"/>
      <c r="J537" s="1782"/>
      <c r="K537" s="24"/>
      <c r="L537" s="1583"/>
      <c r="M537" s="24"/>
      <c r="N537" s="1581"/>
      <c r="O537" s="30"/>
      <c r="P537" s="1821"/>
      <c r="Q537" s="35"/>
      <c r="R537" s="24"/>
      <c r="S537" s="1585"/>
      <c r="T537" s="1823"/>
      <c r="U537" s="1585"/>
      <c r="V537" s="24"/>
      <c r="W537" s="1586"/>
      <c r="X537" s="24"/>
      <c r="Y537" s="1587"/>
      <c r="Z537" s="30"/>
      <c r="AA537" s="24"/>
      <c r="AB537" s="24"/>
      <c r="AC537" s="24"/>
      <c r="AD537" s="1588"/>
      <c r="AE537" s="24"/>
      <c r="AF537" s="1581"/>
      <c r="AG537" s="30"/>
      <c r="AH537" s="1589"/>
      <c r="AI537" s="35"/>
      <c r="AJ537" s="24"/>
      <c r="AK537" s="1590"/>
      <c r="AL537" s="24"/>
      <c r="AM537" s="1591"/>
      <c r="AN537" s="24"/>
      <c r="AO537" s="1587"/>
      <c r="AP537" s="30"/>
      <c r="AQ537" s="1742"/>
    </row>
    <row r="538" spans="1:44" ht="14.25" customHeight="1">
      <c r="A538" s="1579"/>
      <c r="B538" s="1580">
        <f>+B531+1</f>
        <v>2014</v>
      </c>
      <c r="C538" s="24"/>
      <c r="D538" s="1581"/>
      <c r="E538" s="24"/>
      <c r="F538" s="1582"/>
      <c r="G538" s="24"/>
      <c r="H538" s="1581"/>
      <c r="I538" s="24"/>
      <c r="J538" s="1782"/>
      <c r="K538" s="24"/>
      <c r="L538" s="1583"/>
      <c r="M538" s="24"/>
      <c r="N538" s="1581"/>
      <c r="O538" s="30"/>
      <c r="P538" s="1821"/>
      <c r="Q538" s="35"/>
      <c r="R538" s="24"/>
      <c r="S538" s="1585"/>
      <c r="T538" s="1823"/>
      <c r="U538" s="1585"/>
      <c r="V538" s="24"/>
      <c r="W538" s="1586"/>
      <c r="X538" s="24"/>
      <c r="Y538" s="1587"/>
      <c r="Z538" s="30"/>
      <c r="AA538" s="24"/>
      <c r="AB538" s="24"/>
      <c r="AC538" s="24"/>
      <c r="AD538" s="1588"/>
      <c r="AE538" s="24"/>
      <c r="AF538" s="1581"/>
      <c r="AG538" s="30"/>
      <c r="AH538" s="1589"/>
      <c r="AI538" s="35"/>
      <c r="AJ538" s="24"/>
      <c r="AK538" s="1590"/>
      <c r="AL538" s="24"/>
      <c r="AM538" s="1591"/>
      <c r="AN538" s="24"/>
      <c r="AO538" s="1587"/>
      <c r="AP538" s="30"/>
      <c r="AQ538" s="1742"/>
    </row>
    <row r="539" spans="1:44">
      <c r="A539" s="24" t="str">
        <f>$A$27</f>
        <v>1Q</v>
      </c>
      <c r="B539" s="29" t="str">
        <f>$B$27</f>
        <v>Apr</v>
      </c>
      <c r="C539" s="24"/>
      <c r="D539" s="1581">
        <f>(T539/T532-1)*100</f>
        <v>-1.5710382513661192</v>
      </c>
      <c r="E539" s="30" t="s">
        <v>489</v>
      </c>
      <c r="F539" s="1948">
        <v>-5</v>
      </c>
      <c r="G539" s="30" t="s">
        <v>489</v>
      </c>
      <c r="H539" s="1581">
        <f>D539-F539</f>
        <v>3.4289617486338808</v>
      </c>
      <c r="I539" s="30" t="s">
        <v>489</v>
      </c>
      <c r="J539" s="1798">
        <f>'Store New'!AP6</f>
        <v>1387</v>
      </c>
      <c r="K539" s="24"/>
      <c r="L539" s="1583">
        <f>AVERAGE(J539,J535)</f>
        <v>1388</v>
      </c>
      <c r="M539" s="24"/>
      <c r="N539" s="1581">
        <f>(L539/L532-1)*100</f>
        <v>0.72568940493469292</v>
      </c>
      <c r="O539" s="30" t="s">
        <v>489</v>
      </c>
      <c r="P539" s="1821">
        <f t="shared" ref="P539:P543" si="431">H539/N539*100</f>
        <v>472.51092896174549</v>
      </c>
      <c r="Q539" s="35" t="s">
        <v>489</v>
      </c>
      <c r="R539" s="24"/>
      <c r="S539" s="1596">
        <v>1441</v>
      </c>
      <c r="T539" s="1824">
        <f t="shared" ref="T539:T543" si="432">S539-AQ539</f>
        <v>1441</v>
      </c>
      <c r="U539" s="1596"/>
      <c r="V539" s="24">
        <f>T539/L539</f>
        <v>1.0381844380403458</v>
      </c>
      <c r="W539" s="1586">
        <f>S539/L539</f>
        <v>1.0381844380403458</v>
      </c>
      <c r="X539" s="24">
        <f t="shared" ref="X539:Y543" si="433">(V539/V532-1)*100</f>
        <v>-2.2801806270767555</v>
      </c>
      <c r="Y539" s="1587">
        <f t="shared" si="433"/>
        <v>-2.2801806270767555</v>
      </c>
      <c r="Z539" s="30" t="s">
        <v>489</v>
      </c>
      <c r="AA539" s="24">
        <f>'Store New'!AP28</f>
        <v>14</v>
      </c>
      <c r="AB539" s="1597"/>
      <c r="AC539" s="1588">
        <f>AVERAGE(AA539,AA535)</f>
        <v>14.049999999999999</v>
      </c>
      <c r="AD539" s="1588"/>
      <c r="AE539" s="24">
        <f t="shared" ref="AE539:AE543" si="434">AC539/AC532-1</f>
        <v>1.8115942028985588E-2</v>
      </c>
      <c r="AF539" s="1581"/>
      <c r="AG539" s="30" t="s">
        <v>489</v>
      </c>
      <c r="AH539" s="1589">
        <f t="shared" ref="AH539:AH543" si="435">IFERROR(H539/AE539, "NM")</f>
        <v>189.27868852458937</v>
      </c>
      <c r="AI539" s="35" t="s">
        <v>489</v>
      </c>
      <c r="AJ539" s="1590">
        <f>T539</f>
        <v>1441</v>
      </c>
      <c r="AK539" s="1590">
        <f>S539</f>
        <v>1441</v>
      </c>
      <c r="AL539" s="1586">
        <f t="shared" ref="AL539:AL543" si="436">AJ539/AC539</f>
        <v>102.56227758007118</v>
      </c>
      <c r="AM539" s="1591"/>
      <c r="AN539" s="24"/>
      <c r="AO539" s="1587"/>
      <c r="AP539" s="30" t="s">
        <v>489</v>
      </c>
      <c r="AQ539" s="1742"/>
    </row>
    <row r="540" spans="1:44">
      <c r="A540" s="24" t="str">
        <f>$A$28</f>
        <v>2Q</v>
      </c>
      <c r="B540" s="29" t="str">
        <f>$B$28</f>
        <v>Jul</v>
      </c>
      <c r="C540" s="24"/>
      <c r="D540" s="1581">
        <f>(T540/T533-1)*100</f>
        <v>-0.13596193065941176</v>
      </c>
      <c r="E540" s="24"/>
      <c r="F540" s="1948">
        <v>-5</v>
      </c>
      <c r="G540" s="24"/>
      <c r="H540" s="1581">
        <f>D540-F540</f>
        <v>4.8640380693405882</v>
      </c>
      <c r="I540" s="24"/>
      <c r="J540" s="1798">
        <f>'Store New'!AQ6</f>
        <v>1391</v>
      </c>
      <c r="K540" s="24"/>
      <c r="L540" s="1583">
        <f>AVERAGE(J540,J539)</f>
        <v>1389</v>
      </c>
      <c r="M540" s="24"/>
      <c r="N540" s="1581">
        <f>(L540/L533-1)*100</f>
        <v>1.2390670553935834</v>
      </c>
      <c r="O540" s="30"/>
      <c r="P540" s="1821">
        <f t="shared" si="431"/>
        <v>392.55648418442945</v>
      </c>
      <c r="Q540" s="35"/>
      <c r="R540" s="24"/>
      <c r="S540" s="1596">
        <v>1469</v>
      </c>
      <c r="T540" s="1825">
        <f t="shared" si="432"/>
        <v>1469</v>
      </c>
      <c r="U540" s="1596"/>
      <c r="V540" s="24">
        <f>T540/L540</f>
        <v>1.0575953923686106</v>
      </c>
      <c r="W540" s="1586">
        <f>S540/L540</f>
        <v>1.0575953923686106</v>
      </c>
      <c r="X540" s="24">
        <f t="shared" si="433"/>
        <v>-1.3581999775843845</v>
      </c>
      <c r="Y540" s="1587">
        <f t="shared" si="433"/>
        <v>-1.3581999775843845</v>
      </c>
      <c r="Z540" s="30"/>
      <c r="AA540" s="24">
        <f>'Store New'!AQ28</f>
        <v>14.1</v>
      </c>
      <c r="AB540" s="1597"/>
      <c r="AC540" s="1588">
        <f>AVERAGE(AA540,AA539)</f>
        <v>14.05</v>
      </c>
      <c r="AD540" s="1588"/>
      <c r="AE540" s="24">
        <f t="shared" si="434"/>
        <v>1.8115942028985588E-2</v>
      </c>
      <c r="AF540" s="1581"/>
      <c r="AG540" s="30"/>
      <c r="AH540" s="1589">
        <f t="shared" si="435"/>
        <v>268.4949014275993</v>
      </c>
      <c r="AI540" s="35"/>
      <c r="AJ540" s="1590">
        <f>T540</f>
        <v>1469</v>
      </c>
      <c r="AK540" s="1590">
        <f>S540</f>
        <v>1469</v>
      </c>
      <c r="AL540" s="1586">
        <f t="shared" si="436"/>
        <v>104.55516014234875</v>
      </c>
      <c r="AM540" s="1604"/>
      <c r="AN540" s="24"/>
      <c r="AO540" s="1587"/>
      <c r="AP540" s="30"/>
    </row>
    <row r="541" spans="1:44">
      <c r="A541" s="24" t="str">
        <f>$A$29</f>
        <v>3Q</v>
      </c>
      <c r="B541" s="29" t="str">
        <f>$B$29</f>
        <v>Oct</v>
      </c>
      <c r="C541" s="24"/>
      <c r="D541" s="1581">
        <f>(T541/T534-1)*100</f>
        <v>-3.1152647975077885</v>
      </c>
      <c r="E541" s="24"/>
      <c r="F541" s="1948">
        <v>-5</v>
      </c>
      <c r="G541" s="24"/>
      <c r="H541" s="1581">
        <f>D541-F541</f>
        <v>1.8847352024922115</v>
      </c>
      <c r="I541" s="24"/>
      <c r="J541" s="1798">
        <f>'Store New'!AR6</f>
        <v>1415</v>
      </c>
      <c r="K541" s="24"/>
      <c r="L541" s="1583">
        <f>AVERAGE(J541,J540)</f>
        <v>1403</v>
      </c>
      <c r="M541" s="24"/>
      <c r="N541" s="1581">
        <f>(L541/L534-1)*100</f>
        <v>1.7035157665820977</v>
      </c>
      <c r="O541" s="30"/>
      <c r="P541" s="1821">
        <f t="shared" si="431"/>
        <v>110.63796646119155</v>
      </c>
      <c r="Q541" s="35"/>
      <c r="R541" s="24"/>
      <c r="S541" s="1596">
        <v>1555</v>
      </c>
      <c r="T541" s="1825">
        <f t="shared" si="432"/>
        <v>1555</v>
      </c>
      <c r="U541" s="1596"/>
      <c r="V541" s="24">
        <f>T541/L541</f>
        <v>1.1083392729864576</v>
      </c>
      <c r="W541" s="1586">
        <f>S541/L541</f>
        <v>1.1083392729864576</v>
      </c>
      <c r="X541" s="24">
        <f t="shared" si="433"/>
        <v>-4.7380668482979171</v>
      </c>
      <c r="Y541" s="1587">
        <f t="shared" si="433"/>
        <v>-4.7380668482979171</v>
      </c>
      <c r="Z541" s="30"/>
      <c r="AA541" s="24">
        <f>'Store New'!AR28</f>
        <v>14.299999999999999</v>
      </c>
      <c r="AB541" s="1597"/>
      <c r="AC541" s="1588">
        <f t="shared" ref="AC541:AC542" si="437">AVERAGE(AA541,AA540)</f>
        <v>14.2</v>
      </c>
      <c r="AD541" s="1588"/>
      <c r="AE541" s="24">
        <f t="shared" si="434"/>
        <v>1.7921146953405076E-2</v>
      </c>
      <c r="AF541" s="1581"/>
      <c r="AG541" s="30"/>
      <c r="AH541" s="1589">
        <f t="shared" si="435"/>
        <v>105.16822429906506</v>
      </c>
      <c r="AI541" s="35"/>
      <c r="AJ541" s="1590">
        <f>T541</f>
        <v>1555</v>
      </c>
      <c r="AK541" s="1590">
        <f>S541</f>
        <v>1555</v>
      </c>
      <c r="AL541" s="1586">
        <f t="shared" si="436"/>
        <v>109.50704225352113</v>
      </c>
      <c r="AM541" s="1604"/>
      <c r="AN541" s="24"/>
      <c r="AO541" s="1587"/>
      <c r="AP541" s="30"/>
    </row>
    <row r="542" spans="1:44">
      <c r="A542" s="24" t="str">
        <f>$A$30</f>
        <v>4Q</v>
      </c>
      <c r="B542" s="29" t="str">
        <f>$B$30</f>
        <v>Jan</v>
      </c>
      <c r="C542" s="24"/>
      <c r="D542" s="1606">
        <f>(T542/T535-1)*100</f>
        <v>-6.1292103810049685</v>
      </c>
      <c r="E542" s="24"/>
      <c r="F542" s="1958">
        <v>-6</v>
      </c>
      <c r="G542" s="24"/>
      <c r="H542" s="1606">
        <f>D542-F542</f>
        <v>-0.12921038100496851</v>
      </c>
      <c r="I542" s="24"/>
      <c r="J542" s="1798">
        <f>'Store New'!AS6</f>
        <v>1415</v>
      </c>
      <c r="K542" s="24"/>
      <c r="L542" s="1608">
        <f>AVERAGE(J542,J541)</f>
        <v>1415</v>
      </c>
      <c r="M542" s="24"/>
      <c r="N542" s="1606">
        <f>(L542/L535-1)*100</f>
        <v>1.7619561308881648</v>
      </c>
      <c r="O542" s="30"/>
      <c r="P542" s="1822">
        <f t="shared" si="431"/>
        <v>-7.3333483586697641</v>
      </c>
      <c r="Q542" s="35"/>
      <c r="R542" s="24"/>
      <c r="S542" s="1947">
        <v>1700</v>
      </c>
      <c r="T542" s="1826">
        <f t="shared" si="432"/>
        <v>1700</v>
      </c>
      <c r="U542" s="1601"/>
      <c r="V542" s="24">
        <f>T542/L542</f>
        <v>1.2014134275618376</v>
      </c>
      <c r="W542" s="1586">
        <f>S542/L542</f>
        <v>1.2014134275618376</v>
      </c>
      <c r="X542" s="24">
        <f t="shared" si="433"/>
        <v>-7.7545350069168855</v>
      </c>
      <c r="Y542" s="1612">
        <f t="shared" si="433"/>
        <v>-7.7545350069168855</v>
      </c>
      <c r="Z542" s="30"/>
      <c r="AA542" s="24">
        <f>'Store New'!AS28</f>
        <v>14.3</v>
      </c>
      <c r="AB542" s="1597"/>
      <c r="AC542" s="1588">
        <f t="shared" si="437"/>
        <v>14.3</v>
      </c>
      <c r="AD542" s="1613"/>
      <c r="AE542" s="24">
        <f t="shared" si="434"/>
        <v>1.418439716312081E-2</v>
      </c>
      <c r="AF542" s="1606"/>
      <c r="AG542" s="30"/>
      <c r="AH542" s="1608">
        <f t="shared" si="435"/>
        <v>-9.1093318608501246</v>
      </c>
      <c r="AI542" s="35"/>
      <c r="AJ542" s="1590">
        <f>T542</f>
        <v>1700</v>
      </c>
      <c r="AK542" s="1590">
        <f>S542</f>
        <v>1700</v>
      </c>
      <c r="AL542" s="1586">
        <f t="shared" si="436"/>
        <v>118.88111888111888</v>
      </c>
      <c r="AM542" s="1615"/>
      <c r="AN542" s="24"/>
      <c r="AO542" s="1612"/>
      <c r="AP542" s="30"/>
    </row>
    <row r="543" spans="1:44">
      <c r="A543" s="24"/>
      <c r="B543" s="29" t="str">
        <f>$B$31</f>
        <v>Year</v>
      </c>
      <c r="C543" s="24"/>
      <c r="D543" s="1581">
        <f>(T543/T536-1)*100</f>
        <v>-2.9286726499763827</v>
      </c>
      <c r="E543" s="24"/>
      <c r="F543" s="2129">
        <v>5</v>
      </c>
      <c r="G543" s="24"/>
      <c r="H543" s="1581">
        <f>D543-F543</f>
        <v>-7.9286726499763827</v>
      </c>
      <c r="I543" s="24"/>
      <c r="J543" s="1782"/>
      <c r="K543" s="24"/>
      <c r="L543" s="1583">
        <f>AVERAGE(L539:L542)</f>
        <v>1398.75</v>
      </c>
      <c r="M543" s="24"/>
      <c r="N543" s="1581">
        <f>(L543/L536-1)*100</f>
        <v>1.3586956521739024</v>
      </c>
      <c r="O543" s="30"/>
      <c r="P543" s="1821">
        <f t="shared" si="431"/>
        <v>-583.55030703826628</v>
      </c>
      <c r="Q543" s="35"/>
      <c r="R543" s="24"/>
      <c r="S543" s="1618">
        <v>6165</v>
      </c>
      <c r="T543" s="1823">
        <f t="shared" si="432"/>
        <v>6165</v>
      </c>
      <c r="U543" s="1618"/>
      <c r="V543" s="24">
        <f>T543/L543</f>
        <v>4.4075067024128689</v>
      </c>
      <c r="W543" s="1586">
        <f>S543/L543</f>
        <v>4.4075067024128689</v>
      </c>
      <c r="X543" s="24">
        <f t="shared" si="433"/>
        <v>-4.2298968771884997</v>
      </c>
      <c r="Y543" s="1587">
        <f t="shared" si="433"/>
        <v>-4.2298968771884997</v>
      </c>
      <c r="Z543" s="30"/>
      <c r="AA543" s="24"/>
      <c r="AB543" s="24"/>
      <c r="AC543" s="1597">
        <f>AVERAGE(AC539:AC542)</f>
        <v>14.149999999999999</v>
      </c>
      <c r="AD543" s="1588"/>
      <c r="AE543" s="24">
        <f t="shared" si="434"/>
        <v>1.7070979335130243E-2</v>
      </c>
      <c r="AF543" s="1581"/>
      <c r="AG543" s="30"/>
      <c r="AH543" s="1589">
        <f t="shared" si="435"/>
        <v>-464.45329786440698</v>
      </c>
      <c r="AI543" s="35"/>
      <c r="AJ543" s="1590">
        <f>T543</f>
        <v>6165</v>
      </c>
      <c r="AK543" s="1590">
        <f>S543</f>
        <v>6165</v>
      </c>
      <c r="AL543" s="1586">
        <f t="shared" si="436"/>
        <v>435.68904593639581</v>
      </c>
      <c r="AM543" s="1591"/>
      <c r="AN543" s="24"/>
      <c r="AO543" s="1587"/>
      <c r="AP543" s="30"/>
    </row>
    <row r="544" spans="1:44">
      <c r="A544" s="24"/>
      <c r="B544" s="29"/>
      <c r="C544" s="24"/>
      <c r="D544" s="1581"/>
      <c r="E544" s="24"/>
      <c r="F544" s="1962"/>
      <c r="G544" s="24"/>
      <c r="H544" s="1581"/>
      <c r="I544" s="24"/>
      <c r="J544" s="1782"/>
      <c r="K544" s="24"/>
      <c r="L544" s="1583"/>
      <c r="M544" s="24"/>
      <c r="N544" s="1581"/>
      <c r="O544" s="30"/>
      <c r="P544" s="1821"/>
      <c r="Q544" s="35"/>
      <c r="R544" s="24"/>
      <c r="S544" s="1618"/>
      <c r="T544" s="798"/>
      <c r="U544" s="1618"/>
      <c r="V544" s="24"/>
      <c r="W544" s="1586"/>
      <c r="X544" s="24"/>
      <c r="Y544" s="1587"/>
      <c r="Z544" s="30"/>
      <c r="AA544" s="24"/>
      <c r="AB544" s="24"/>
      <c r="AC544" s="24"/>
      <c r="AD544" s="1588"/>
      <c r="AE544" s="24"/>
      <c r="AF544" s="1581"/>
      <c r="AG544" s="30"/>
      <c r="AH544" s="1589"/>
      <c r="AI544" s="35"/>
      <c r="AJ544" s="24"/>
      <c r="AK544" s="1590"/>
      <c r="AL544" s="24"/>
      <c r="AM544" s="1591"/>
      <c r="AN544" s="24"/>
      <c r="AO544" s="1587"/>
      <c r="AP544" s="30"/>
    </row>
    <row r="545" spans="1:42">
      <c r="A545" s="1579"/>
      <c r="B545" s="1580">
        <f>+B538+1</f>
        <v>2015</v>
      </c>
      <c r="C545" s="24"/>
      <c r="D545" s="1581"/>
      <c r="E545" s="24"/>
      <c r="F545" s="1582"/>
      <c r="G545" s="24"/>
      <c r="H545" s="1581"/>
      <c r="I545" s="24"/>
      <c r="J545" s="1782"/>
      <c r="K545" s="24"/>
      <c r="L545" s="1583"/>
      <c r="M545" s="24"/>
      <c r="N545" s="1581"/>
      <c r="O545" s="30"/>
      <c r="P545" s="1821"/>
      <c r="Q545" s="35"/>
      <c r="R545" s="24"/>
      <c r="S545" s="1585"/>
      <c r="T545" s="1823"/>
      <c r="U545" s="1585"/>
      <c r="V545" s="24"/>
      <c r="W545" s="1586"/>
      <c r="X545" s="24"/>
      <c r="Y545" s="1587"/>
      <c r="Z545" s="30"/>
      <c r="AA545" s="24"/>
      <c r="AB545" s="24"/>
      <c r="AC545" s="24"/>
      <c r="AD545" s="1588"/>
      <c r="AE545" s="24"/>
      <c r="AF545" s="1581"/>
      <c r="AG545" s="30"/>
      <c r="AH545" s="1589"/>
      <c r="AI545" s="35"/>
      <c r="AJ545" s="24"/>
      <c r="AK545" s="1590"/>
      <c r="AL545" s="24"/>
      <c r="AM545" s="1591"/>
      <c r="AN545" s="24"/>
      <c r="AO545" s="1587"/>
      <c r="AP545" s="30"/>
    </row>
    <row r="546" spans="1:42">
      <c r="A546" s="24" t="str">
        <f>$A$27</f>
        <v>1Q</v>
      </c>
      <c r="B546" s="29" t="str">
        <f>$B$27</f>
        <v>Apr</v>
      </c>
      <c r="C546" s="24"/>
      <c r="D546" s="1581">
        <f>(T546/T539-1)*100</f>
        <v>-9.2297015961138147</v>
      </c>
      <c r="E546" s="30" t="s">
        <v>489</v>
      </c>
      <c r="F546" s="1593">
        <v>-10</v>
      </c>
      <c r="G546" s="30" t="s">
        <v>489</v>
      </c>
      <c r="H546" s="1581">
        <f>D546-F546</f>
        <v>0.77029840388618531</v>
      </c>
      <c r="I546" s="30" t="s">
        <v>489</v>
      </c>
      <c r="J546" s="1798">
        <f>'Store New'!AT6</f>
        <v>1432</v>
      </c>
      <c r="K546" s="24"/>
      <c r="L546" s="1583">
        <f>AVERAGE(J546,J542)</f>
        <v>1423.5</v>
      </c>
      <c r="M546" s="24"/>
      <c r="N546" s="1581">
        <f>(L546/L539-1)*100</f>
        <v>2.5576368876080613</v>
      </c>
      <c r="O546" s="30" t="s">
        <v>489</v>
      </c>
      <c r="P546" s="1821">
        <f t="shared" ref="P546:P550" si="438">H546/N546*100</f>
        <v>30.117582664620524</v>
      </c>
      <c r="Q546" s="35" t="s">
        <v>489</v>
      </c>
      <c r="R546" s="24"/>
      <c r="S546" s="1596">
        <v>1308</v>
      </c>
      <c r="T546" s="1824">
        <f t="shared" ref="T546:T550" si="439">S546-AQ546</f>
        <v>1308</v>
      </c>
      <c r="U546" s="1596"/>
      <c r="V546" s="24">
        <f>T546/L546</f>
        <v>0.91886195995785036</v>
      </c>
      <c r="W546" s="1586">
        <f>S546/L546</f>
        <v>0.91886195995785036</v>
      </c>
      <c r="X546" s="24">
        <f t="shared" ref="X546:Y550" si="440">(V546/V539-1)*100</f>
        <v>-11.493379568251472</v>
      </c>
      <c r="Y546" s="1587">
        <f t="shared" si="440"/>
        <v>-11.493379568251472</v>
      </c>
      <c r="Z546" s="30" t="s">
        <v>489</v>
      </c>
      <c r="AA546" s="24">
        <f>'Store New'!AT28</f>
        <v>14.5</v>
      </c>
      <c r="AB546" s="1597"/>
      <c r="AC546" s="1588">
        <f>AVERAGE(AA546,AA542)</f>
        <v>14.4</v>
      </c>
      <c r="AD546" s="1588"/>
      <c r="AE546" s="24">
        <f t="shared" ref="AE546:AE550" si="441">AC546/AC539-1</f>
        <v>2.4911032028469782E-2</v>
      </c>
      <c r="AF546" s="1581"/>
      <c r="AG546" s="30" t="s">
        <v>489</v>
      </c>
      <c r="AH546" s="1589">
        <f t="shared" ref="AH546:AH550" si="442">IFERROR(H546/AE546, "NM")</f>
        <v>30.921978784573973</v>
      </c>
      <c r="AI546" s="35" t="s">
        <v>489</v>
      </c>
      <c r="AJ546" s="1590">
        <f>T546</f>
        <v>1308</v>
      </c>
      <c r="AK546" s="1590">
        <f>S546</f>
        <v>1308</v>
      </c>
      <c r="AL546" s="1586">
        <f t="shared" ref="AL546:AL550" si="443">AJ546/AC546</f>
        <v>90.833333333333329</v>
      </c>
      <c r="AM546" s="1591"/>
      <c r="AN546" s="24"/>
      <c r="AO546" s="1587"/>
      <c r="AP546" s="30" t="s">
        <v>489</v>
      </c>
    </row>
    <row r="547" spans="1:42">
      <c r="A547" s="24" t="str">
        <f>$A$28</f>
        <v>2Q</v>
      </c>
      <c r="B547" s="29" t="str">
        <f>$B$28</f>
        <v>Jul</v>
      </c>
      <c r="C547" s="24"/>
      <c r="D547" s="1581">
        <f>(T547/T540-1)*100</f>
        <v>-6.8754254594962543</v>
      </c>
      <c r="E547" s="24"/>
      <c r="F547" s="1593">
        <v>-6</v>
      </c>
      <c r="G547" s="24"/>
      <c r="H547" s="1581">
        <f>D547-F547</f>
        <v>-0.87542545949625428</v>
      </c>
      <c r="I547" s="24"/>
      <c r="J547" s="1798">
        <f>'Store New'!AU6</f>
        <v>1418</v>
      </c>
      <c r="K547" s="24"/>
      <c r="L547" s="1583">
        <f>AVERAGE(J547,J546)</f>
        <v>1425</v>
      </c>
      <c r="M547" s="24"/>
      <c r="N547" s="1581">
        <f>(L547/L540-1)*100</f>
        <v>2.591792656587466</v>
      </c>
      <c r="O547" s="30"/>
      <c r="P547" s="1821">
        <f t="shared" si="438"/>
        <v>-33.776832312230567</v>
      </c>
      <c r="Q547" s="35"/>
      <c r="R547" s="24"/>
      <c r="S547" s="1601">
        <v>1368</v>
      </c>
      <c r="T547" s="1825">
        <f t="shared" si="439"/>
        <v>1368</v>
      </c>
      <c r="U547" s="1601"/>
      <c r="V547" s="24">
        <f>T547/L547</f>
        <v>0.96</v>
      </c>
      <c r="W547" s="1586">
        <f>S547/L547</f>
        <v>0.96</v>
      </c>
      <c r="X547" s="24">
        <f t="shared" si="440"/>
        <v>-9.2280462899931965</v>
      </c>
      <c r="Y547" s="1587">
        <f t="shared" si="440"/>
        <v>-9.2280462899931965</v>
      </c>
      <c r="Z547" s="30"/>
      <c r="AA547" s="24">
        <f>'Store New'!AU28</f>
        <v>14.3</v>
      </c>
      <c r="AB547" s="1597"/>
      <c r="AC547" s="1588">
        <f>AVERAGE(AA547,AA546)</f>
        <v>14.4</v>
      </c>
      <c r="AD547" s="1588"/>
      <c r="AE547" s="24">
        <f t="shared" si="441"/>
        <v>2.4911032028469782E-2</v>
      </c>
      <c r="AF547" s="1581"/>
      <c r="AG547" s="30"/>
      <c r="AH547" s="1589">
        <f t="shared" si="442"/>
        <v>-35.142079159778163</v>
      </c>
      <c r="AI547" s="35"/>
      <c r="AJ547" s="1590">
        <f>T547</f>
        <v>1368</v>
      </c>
      <c r="AK547" s="1590">
        <f>S547</f>
        <v>1368</v>
      </c>
      <c r="AL547" s="1586">
        <f t="shared" si="443"/>
        <v>95</v>
      </c>
      <c r="AM547" s="1604"/>
      <c r="AN547" s="24"/>
      <c r="AO547" s="1587"/>
      <c r="AP547" s="30"/>
    </row>
    <row r="548" spans="1:42">
      <c r="A548" s="24" t="str">
        <f>$A$29</f>
        <v>3Q</v>
      </c>
      <c r="B548" s="29" t="str">
        <f>$B$29</f>
        <v>Oct</v>
      </c>
      <c r="C548" s="24"/>
      <c r="D548" s="1581">
        <f>(T548/T541-1)*100</f>
        <v>-6.881028938906752</v>
      </c>
      <c r="E548" s="24"/>
      <c r="F548" s="1593">
        <v>-4</v>
      </c>
      <c r="G548" s="24"/>
      <c r="H548" s="1581">
        <f>D548-F548</f>
        <v>-2.881028938906752</v>
      </c>
      <c r="I548" s="24"/>
      <c r="J548" s="1798">
        <f>'Store New'!AV6</f>
        <v>1422</v>
      </c>
      <c r="K548" s="24"/>
      <c r="L548" s="1583">
        <f>AVERAGE(J548,J547)</f>
        <v>1420</v>
      </c>
      <c r="M548" s="24"/>
      <c r="N548" s="1581">
        <f>(L548/L541-1)*100</f>
        <v>1.2116892373485344</v>
      </c>
      <c r="O548" s="30"/>
      <c r="P548" s="1821">
        <f t="shared" si="438"/>
        <v>-237.76962360506988</v>
      </c>
      <c r="Q548" s="35"/>
      <c r="R548" s="24"/>
      <c r="S548" s="1601">
        <v>1448</v>
      </c>
      <c r="T548" s="1825">
        <f t="shared" si="439"/>
        <v>1448</v>
      </c>
      <c r="U548" s="1601"/>
      <c r="V548" s="24">
        <f>T548/L548</f>
        <v>1.0197183098591549</v>
      </c>
      <c r="W548" s="1586">
        <f>S548/L548</f>
        <v>1.0197183098591549</v>
      </c>
      <c r="X548" s="24">
        <f t="shared" si="440"/>
        <v>-7.995833522032525</v>
      </c>
      <c r="Y548" s="1587">
        <f t="shared" si="440"/>
        <v>-7.995833522032525</v>
      </c>
      <c r="Z548" s="30"/>
      <c r="AA548" s="24">
        <f>'Store New'!AV28</f>
        <v>14.3</v>
      </c>
      <c r="AB548" s="1597"/>
      <c r="AC548" s="1588">
        <f t="shared" ref="AC548:AC549" si="444">AVERAGE(AA548,AA547)</f>
        <v>14.3</v>
      </c>
      <c r="AD548" s="1588"/>
      <c r="AE548" s="24">
        <f t="shared" si="441"/>
        <v>7.0422535211267512E-3</v>
      </c>
      <c r="AF548" s="1581"/>
      <c r="AG548" s="30"/>
      <c r="AH548" s="1589">
        <f t="shared" si="442"/>
        <v>-409.10610932475936</v>
      </c>
      <c r="AI548" s="35"/>
      <c r="AJ548" s="1590">
        <f>T548</f>
        <v>1448</v>
      </c>
      <c r="AK548" s="1590">
        <f>S548</f>
        <v>1448</v>
      </c>
      <c r="AL548" s="1586">
        <f t="shared" si="443"/>
        <v>101.25874125874125</v>
      </c>
      <c r="AM548" s="1604"/>
      <c r="AN548" s="24"/>
      <c r="AO548" s="1587"/>
      <c r="AP548" s="30"/>
    </row>
    <row r="549" spans="1:42">
      <c r="A549" s="24" t="str">
        <f>$A$30</f>
        <v>4Q</v>
      </c>
      <c r="B549" s="29" t="str">
        <f>$B$30</f>
        <v>Jan</v>
      </c>
      <c r="C549" s="24"/>
      <c r="D549" s="1606">
        <f>(T549/T542-1)*100</f>
        <v>-4.294117647058826</v>
      </c>
      <c r="E549" s="24"/>
      <c r="F549" s="1958">
        <v>-3</v>
      </c>
      <c r="G549" s="24"/>
      <c r="H549" s="1606">
        <f>D549-F549</f>
        <v>-1.294117647058826</v>
      </c>
      <c r="I549" s="24"/>
      <c r="J549" s="1798">
        <f>'Store New'!AW6</f>
        <v>1346</v>
      </c>
      <c r="K549" s="24"/>
      <c r="L549" s="1608">
        <f>AVERAGE(J549,J548)</f>
        <v>1384</v>
      </c>
      <c r="M549" s="24"/>
      <c r="N549" s="1606">
        <f>(L549/L542-1)*100</f>
        <v>-2.1908127208480566</v>
      </c>
      <c r="O549" s="30"/>
      <c r="P549" s="1822">
        <f t="shared" si="438"/>
        <v>59.070208728652865</v>
      </c>
      <c r="Q549" s="35"/>
      <c r="R549" s="24"/>
      <c r="S549" s="1947">
        <v>1627</v>
      </c>
      <c r="T549" s="1826">
        <f t="shared" si="439"/>
        <v>1627</v>
      </c>
      <c r="U549" s="1601"/>
      <c r="V549" s="24">
        <f>T549/L549</f>
        <v>1.175578034682081</v>
      </c>
      <c r="W549" s="1586">
        <f>S549/L549</f>
        <v>1.175578034682081</v>
      </c>
      <c r="X549" s="24">
        <f t="shared" si="440"/>
        <v>-2.1504165249915053</v>
      </c>
      <c r="Y549" s="1612">
        <f t="shared" si="440"/>
        <v>-2.1504165249915053</v>
      </c>
      <c r="Z549" s="30"/>
      <c r="AA549" s="24">
        <f>'Store New'!AW28</f>
        <v>13.6</v>
      </c>
      <c r="AB549" s="1597"/>
      <c r="AC549" s="1588">
        <f t="shared" si="444"/>
        <v>13.95</v>
      </c>
      <c r="AD549" s="1613"/>
      <c r="AE549" s="24">
        <f t="shared" si="441"/>
        <v>-2.447552447552459E-2</v>
      </c>
      <c r="AF549" s="1606"/>
      <c r="AG549" s="30"/>
      <c r="AH549" s="1608">
        <f t="shared" si="442"/>
        <v>52.873949579831788</v>
      </c>
      <c r="AI549" s="35"/>
      <c r="AJ549" s="1590">
        <f>T549</f>
        <v>1627</v>
      </c>
      <c r="AK549" s="1590">
        <f>S549</f>
        <v>1627</v>
      </c>
      <c r="AL549" s="1586">
        <f t="shared" si="443"/>
        <v>116.63082437275986</v>
      </c>
      <c r="AM549" s="1615"/>
      <c r="AN549" s="24"/>
      <c r="AO549" s="1612"/>
      <c r="AP549" s="30"/>
    </row>
    <row r="550" spans="1:42">
      <c r="A550" s="24"/>
      <c r="B550" s="29" t="str">
        <f>$B$31</f>
        <v>Year</v>
      </c>
      <c r="C550" s="24"/>
      <c r="D550" s="1581">
        <f>(T550/T543-1)*100</f>
        <v>-6.7153284671532809</v>
      </c>
      <c r="E550" s="24"/>
      <c r="F550" s="1616">
        <v>6</v>
      </c>
      <c r="G550" s="24"/>
      <c r="H550" s="1581">
        <f>D550-F550</f>
        <v>-12.715328467153281</v>
      </c>
      <c r="I550" s="24"/>
      <c r="J550" s="1782"/>
      <c r="K550" s="24"/>
      <c r="L550" s="1583">
        <f>AVERAGE(L546:L549)</f>
        <v>1413.125</v>
      </c>
      <c r="M550" s="24"/>
      <c r="N550" s="1581">
        <f>(L550/L543-1)*100</f>
        <v>1.0277033065236862</v>
      </c>
      <c r="O550" s="30"/>
      <c r="P550" s="1821">
        <f t="shared" si="438"/>
        <v>-1237.2567438908227</v>
      </c>
      <c r="Q550" s="35"/>
      <c r="R550" s="24"/>
      <c r="S550" s="1618">
        <v>5751</v>
      </c>
      <c r="T550" s="1823">
        <f t="shared" si="439"/>
        <v>5751</v>
      </c>
      <c r="U550" s="1618"/>
      <c r="V550" s="24">
        <f>T550/L550</f>
        <v>4.0697036709420606</v>
      </c>
      <c r="W550" s="1586">
        <f>S550/L550</f>
        <v>4.0697036709420606</v>
      </c>
      <c r="X550" s="24">
        <f t="shared" si="440"/>
        <v>-7.6642658600128648</v>
      </c>
      <c r="Y550" s="1587">
        <f t="shared" si="440"/>
        <v>-7.6642658600128648</v>
      </c>
      <c r="Z550" s="30"/>
      <c r="AA550" s="24"/>
      <c r="AB550" s="24"/>
      <c r="AC550" s="1597">
        <f>AVERAGE(AC546:AC549)</f>
        <v>14.262499999999999</v>
      </c>
      <c r="AD550" s="1588"/>
      <c r="AE550" s="24">
        <f t="shared" si="441"/>
        <v>7.9505300353357455E-3</v>
      </c>
      <c r="AF550" s="1581"/>
      <c r="AG550" s="30"/>
      <c r="AH550" s="1589">
        <f t="shared" si="442"/>
        <v>-1599.3057583130458</v>
      </c>
      <c r="AI550" s="35"/>
      <c r="AJ550" s="1590">
        <f>T550</f>
        <v>5751</v>
      </c>
      <c r="AK550" s="1590">
        <f>S550</f>
        <v>5751</v>
      </c>
      <c r="AL550" s="1586">
        <f t="shared" si="443"/>
        <v>403.22524101665209</v>
      </c>
      <c r="AM550" s="1591"/>
      <c r="AN550" s="24"/>
      <c r="AO550" s="1587"/>
      <c r="AP550" s="30"/>
    </row>
    <row r="551" spans="1:42">
      <c r="A551" s="24"/>
      <c r="B551" s="29"/>
      <c r="C551" s="24"/>
      <c r="D551" s="1581"/>
      <c r="E551" s="24"/>
      <c r="F551" s="1582"/>
      <c r="G551" s="24"/>
      <c r="H551" s="1581"/>
      <c r="I551" s="24"/>
      <c r="J551" s="1782"/>
      <c r="K551" s="24"/>
      <c r="L551" s="1583"/>
      <c r="M551" s="24"/>
      <c r="N551" s="1581"/>
      <c r="O551" s="30"/>
      <c r="P551" s="1821"/>
      <c r="Q551" s="35"/>
      <c r="R551" s="24"/>
      <c r="S551" s="1618"/>
      <c r="T551" s="1823"/>
      <c r="U551" s="1618"/>
      <c r="V551" s="24"/>
      <c r="W551" s="1586"/>
      <c r="X551" s="24"/>
      <c r="Y551" s="1587"/>
      <c r="Z551" s="30"/>
      <c r="AA551" s="24"/>
      <c r="AB551" s="24"/>
      <c r="AC551" s="24"/>
      <c r="AD551" s="1588"/>
      <c r="AE551" s="24"/>
      <c r="AF551" s="1581"/>
      <c r="AG551" s="30"/>
      <c r="AH551" s="1589"/>
      <c r="AI551" s="35"/>
      <c r="AJ551" s="24"/>
      <c r="AK551" s="1590"/>
      <c r="AL551" s="24"/>
      <c r="AM551" s="1591"/>
      <c r="AN551" s="24"/>
      <c r="AO551" s="1587"/>
      <c r="AP551" s="30"/>
    </row>
    <row r="552" spans="1:42">
      <c r="A552" s="1579"/>
      <c r="B552" s="1580">
        <f>+B545+1</f>
        <v>2016</v>
      </c>
      <c r="C552" s="24"/>
      <c r="D552" s="1581"/>
      <c r="E552" s="24"/>
      <c r="F552" s="1582"/>
      <c r="G552" s="24"/>
      <c r="H552" s="1581"/>
      <c r="I552" s="24"/>
      <c r="J552" s="1782"/>
      <c r="K552" s="24"/>
      <c r="L552" s="1583"/>
      <c r="M552" s="24"/>
      <c r="N552" s="1581"/>
      <c r="O552" s="30"/>
      <c r="P552" s="1821"/>
      <c r="Q552" s="35"/>
      <c r="R552" s="24"/>
      <c r="S552" s="1585"/>
      <c r="T552" s="1823"/>
      <c r="U552" s="1585"/>
      <c r="V552" s="24"/>
      <c r="W552" s="1586"/>
      <c r="X552" s="24"/>
      <c r="Y552" s="1587"/>
      <c r="Z552" s="30"/>
      <c r="AA552" s="24"/>
      <c r="AB552" s="24"/>
      <c r="AC552" s="24"/>
      <c r="AD552" s="1588"/>
      <c r="AE552" s="24"/>
      <c r="AF552" s="1581"/>
      <c r="AG552" s="30"/>
      <c r="AH552" s="1589"/>
      <c r="AI552" s="35"/>
      <c r="AJ552" s="24"/>
      <c r="AK552" s="1590"/>
      <c r="AL552" s="24"/>
      <c r="AM552" s="1591"/>
      <c r="AN552" s="24"/>
      <c r="AO552" s="1587"/>
      <c r="AP552" s="30"/>
    </row>
    <row r="553" spans="1:42">
      <c r="A553" s="24" t="str">
        <f>$A$27</f>
        <v>1Q</v>
      </c>
      <c r="B553" s="29" t="str">
        <f>$B$27</f>
        <v>Apr</v>
      </c>
      <c r="C553" s="24"/>
      <c r="D553" s="1581">
        <f>(T553/T546-1)*100</f>
        <v>-6.498470948012236</v>
      </c>
      <c r="E553" s="30" t="s">
        <v>489</v>
      </c>
      <c r="F553" s="1593">
        <v>-3</v>
      </c>
      <c r="G553" s="30" t="s">
        <v>489</v>
      </c>
      <c r="H553" s="1581">
        <f>D553-F553</f>
        <v>-3.498470948012236</v>
      </c>
      <c r="I553" s="30" t="s">
        <v>489</v>
      </c>
      <c r="J553" s="1798">
        <f>'Store New'!AX6</f>
        <v>1347</v>
      </c>
      <c r="K553" s="24"/>
      <c r="L553" s="1583">
        <f>AVERAGE(J553,J549)</f>
        <v>1346.5</v>
      </c>
      <c r="M553" s="24"/>
      <c r="N553" s="1581">
        <f>(L553/L546-1)*100</f>
        <v>-5.4092026694766426</v>
      </c>
      <c r="O553" s="30" t="s">
        <v>489</v>
      </c>
      <c r="P553" s="1821">
        <f t="shared" ref="P553:P557" si="445">H553/N553*100</f>
        <v>64.676277850589841</v>
      </c>
      <c r="Q553" s="35" t="s">
        <v>489</v>
      </c>
      <c r="R553" s="24"/>
      <c r="S553" s="1596">
        <v>1223</v>
      </c>
      <c r="T553" s="1824">
        <f t="shared" ref="T553:T557" si="446">S553-AQ553</f>
        <v>1223</v>
      </c>
      <c r="U553" s="1596"/>
      <c r="V553" s="24">
        <f>T553/L553</f>
        <v>0.90828072781284808</v>
      </c>
      <c r="W553" s="1586">
        <f>S553/L553</f>
        <v>0.90828072781284808</v>
      </c>
      <c r="X553" s="24">
        <f t="shared" ref="X553:Y557" si="447">(V553/V546-1)*100</f>
        <v>-1.1515584066063234</v>
      </c>
      <c r="Y553" s="1587">
        <f t="shared" si="447"/>
        <v>-1.1515584066063234</v>
      </c>
      <c r="Z553" s="30" t="s">
        <v>489</v>
      </c>
      <c r="AA553" s="24">
        <f>'Store New'!AX28</f>
        <v>13.5</v>
      </c>
      <c r="AB553" s="1597"/>
      <c r="AC553" s="1588">
        <f>AVERAGE(AA553,AA549)</f>
        <v>13.55</v>
      </c>
      <c r="AD553" s="1588"/>
      <c r="AE553" s="24">
        <f t="shared" ref="AE553:AE557" si="448">AC553/AC546-1</f>
        <v>-5.902777777777779E-2</v>
      </c>
      <c r="AF553" s="1581"/>
      <c r="AG553" s="30" t="s">
        <v>489</v>
      </c>
      <c r="AH553" s="1589">
        <f t="shared" ref="AH553:AH557" si="449">IFERROR(H553/AE553, "NM")</f>
        <v>59.268213707501396</v>
      </c>
      <c r="AI553" s="35" t="s">
        <v>489</v>
      </c>
      <c r="AJ553" s="1590">
        <f>T553</f>
        <v>1223</v>
      </c>
      <c r="AK553" s="1590">
        <f>S553</f>
        <v>1223</v>
      </c>
      <c r="AL553" s="1586">
        <f t="shared" ref="AL553:AL557" si="450">AJ553/AC553</f>
        <v>90.258302583025824</v>
      </c>
      <c r="AM553" s="1591"/>
      <c r="AN553" s="24"/>
      <c r="AO553" s="1587"/>
      <c r="AP553" s="30" t="s">
        <v>489</v>
      </c>
    </row>
    <row r="554" spans="1:42">
      <c r="A554" s="24" t="str">
        <f>$A$28</f>
        <v>2Q</v>
      </c>
      <c r="B554" s="29" t="str">
        <f>$B$28</f>
        <v>Jul</v>
      </c>
      <c r="C554" s="24"/>
      <c r="D554" s="1581">
        <f>(T554/T547-1)*100</f>
        <v>-4.0204678362573132</v>
      </c>
      <c r="E554" s="24"/>
      <c r="F554" s="1593">
        <v>-3</v>
      </c>
      <c r="G554" s="24"/>
      <c r="H554" s="1581">
        <f>D554-F554</f>
        <v>-1.0204678362573132</v>
      </c>
      <c r="I554" s="24"/>
      <c r="J554" s="1798">
        <f>'Store New'!AY6</f>
        <v>1337</v>
      </c>
      <c r="K554" s="24"/>
      <c r="L554" s="1583">
        <f>AVERAGE(J554,J553)</f>
        <v>1342</v>
      </c>
      <c r="M554" s="24"/>
      <c r="N554" s="1581">
        <f>(L554/L547-1)*100</f>
        <v>-5.8245614035087767</v>
      </c>
      <c r="O554" s="30"/>
      <c r="P554" s="1821">
        <f t="shared" si="445"/>
        <v>17.520080321285182</v>
      </c>
      <c r="Q554" s="35"/>
      <c r="R554" s="24"/>
      <c r="S554" s="1601">
        <v>1313</v>
      </c>
      <c r="T554" s="1825">
        <f t="shared" si="446"/>
        <v>1313</v>
      </c>
      <c r="U554" s="1601"/>
      <c r="V554" s="24">
        <f>T554/L554</f>
        <v>0.9783904619970194</v>
      </c>
      <c r="W554" s="1586">
        <f>S554/L554</f>
        <v>0.9783904619970194</v>
      </c>
      <c r="X554" s="24">
        <f t="shared" si="447"/>
        <v>1.9156731246895209</v>
      </c>
      <c r="Y554" s="1587">
        <f t="shared" si="447"/>
        <v>1.9156731246895209</v>
      </c>
      <c r="Z554" s="30"/>
      <c r="AA554" s="24">
        <f>'Store New'!AY28</f>
        <v>13.4</v>
      </c>
      <c r="AB554" s="1597"/>
      <c r="AC554" s="1588">
        <f>AVERAGE(AA554,AA553)</f>
        <v>13.45</v>
      </c>
      <c r="AD554" s="1588"/>
      <c r="AE554" s="24">
        <f t="shared" si="448"/>
        <v>-6.5972222222222321E-2</v>
      </c>
      <c r="AF554" s="1581"/>
      <c r="AG554" s="30"/>
      <c r="AH554" s="1589">
        <f t="shared" si="449"/>
        <v>15.468144044321356</v>
      </c>
      <c r="AI554" s="35"/>
      <c r="AJ554" s="1590">
        <f>T554</f>
        <v>1313</v>
      </c>
      <c r="AK554" s="1590">
        <f>S554</f>
        <v>1313</v>
      </c>
      <c r="AL554" s="1586">
        <f t="shared" si="450"/>
        <v>97.620817843866178</v>
      </c>
      <c r="AM554" s="1604"/>
      <c r="AN554" s="24"/>
      <c r="AO554" s="1587"/>
      <c r="AP554" s="30"/>
    </row>
    <row r="555" spans="1:42">
      <c r="A555" s="24" t="str">
        <f>$A$29</f>
        <v>3Q</v>
      </c>
      <c r="B555" s="29" t="str">
        <f>$B$29</f>
        <v>Oct</v>
      </c>
      <c r="C555" s="24"/>
      <c r="D555" s="1581">
        <f t="shared" ref="D555:D556" si="451">(T555/T548-1)*100</f>
        <v>-7.4585635359115994</v>
      </c>
      <c r="E555" s="24"/>
      <c r="F555" s="1593">
        <v>-8</v>
      </c>
      <c r="G555" s="24"/>
      <c r="H555" s="1581">
        <f t="shared" ref="H555:H556" si="452">D555-F555</f>
        <v>0.54143646408840063</v>
      </c>
      <c r="I555" s="24"/>
      <c r="J555" s="1798">
        <f>'Store New'!AZ6</f>
        <v>1339</v>
      </c>
      <c r="K555" s="24"/>
      <c r="L555" s="1583">
        <f>AVERAGE(J555,J554)</f>
        <v>1338</v>
      </c>
      <c r="M555" s="24"/>
      <c r="N555" s="1581">
        <f>(L555/L548-1)*100</f>
        <v>-5.7746478873239475</v>
      </c>
      <c r="O555" s="30"/>
      <c r="P555" s="1821">
        <f t="shared" si="445"/>
        <v>-9.3760948659210772</v>
      </c>
      <c r="Q555" s="35"/>
      <c r="R555" s="24"/>
      <c r="S555" s="1601">
        <v>1340</v>
      </c>
      <c r="T555" s="1825">
        <f t="shared" si="446"/>
        <v>1340</v>
      </c>
      <c r="U555" s="1601"/>
      <c r="V555" s="24">
        <f>T555/L555</f>
        <v>1.0014947683109119</v>
      </c>
      <c r="W555" s="1586">
        <f>S555/L555</f>
        <v>1.0014947683109119</v>
      </c>
      <c r="X555" s="24">
        <f t="shared" si="447"/>
        <v>-1.7871152623276987</v>
      </c>
      <c r="Y555" s="1587">
        <f t="shared" si="447"/>
        <v>-1.7871152623276987</v>
      </c>
      <c r="Z555" s="30"/>
      <c r="AA555" s="24">
        <f>'Store New'!AZ28</f>
        <v>13.4</v>
      </c>
      <c r="AB555" s="1597"/>
      <c r="AC555" s="1588">
        <f t="shared" ref="AC555:AC556" si="453">AVERAGE(AA555,AA554)</f>
        <v>13.4</v>
      </c>
      <c r="AD555" s="1588"/>
      <c r="AE555" s="24">
        <f t="shared" si="448"/>
        <v>-6.2937062937062915E-2</v>
      </c>
      <c r="AF555" s="1581"/>
      <c r="AG555" s="30"/>
      <c r="AH555" s="1589">
        <f t="shared" si="449"/>
        <v>-8.60282381829348</v>
      </c>
      <c r="AI555" s="35"/>
      <c r="AJ555" s="1590">
        <f>T555</f>
        <v>1340</v>
      </c>
      <c r="AK555" s="1590">
        <f>S555</f>
        <v>1340</v>
      </c>
      <c r="AL555" s="1586">
        <f t="shared" si="450"/>
        <v>100</v>
      </c>
      <c r="AM555" s="1604"/>
      <c r="AN555" s="24"/>
      <c r="AO555" s="1587"/>
      <c r="AP555" s="30"/>
    </row>
    <row r="556" spans="1:42">
      <c r="A556" s="24" t="str">
        <f>$A$30</f>
        <v>4Q</v>
      </c>
      <c r="B556" s="29" t="str">
        <f>$B$30</f>
        <v>Jan</v>
      </c>
      <c r="C556" s="24"/>
      <c r="D556" s="1606">
        <f t="shared" si="451"/>
        <v>-2.950215119852484</v>
      </c>
      <c r="E556" s="24"/>
      <c r="F556" s="1607">
        <v>0</v>
      </c>
      <c r="G556" s="24"/>
      <c r="H556" s="1606">
        <f t="shared" si="452"/>
        <v>-2.950215119852484</v>
      </c>
      <c r="I556" s="24"/>
      <c r="J556" s="1798">
        <f>'Store New'!BA6</f>
        <v>1319</v>
      </c>
      <c r="K556" s="24"/>
      <c r="L556" s="1608">
        <f>AVERAGE(J556,J555)</f>
        <v>1329</v>
      </c>
      <c r="M556" s="24"/>
      <c r="N556" s="1606">
        <f>(L556/L549-1)*100</f>
        <v>-3.9739884393063529</v>
      </c>
      <c r="O556" s="30"/>
      <c r="P556" s="1822">
        <f t="shared" si="445"/>
        <v>74.238140470469887</v>
      </c>
      <c r="Q556" s="35"/>
      <c r="R556" s="24"/>
      <c r="S556" s="1556">
        <v>1579</v>
      </c>
      <c r="T556" s="1826">
        <f t="shared" si="446"/>
        <v>1579</v>
      </c>
      <c r="U556" s="1716"/>
      <c r="V556" s="24">
        <f>T556/L556</f>
        <v>1.1881113619262604</v>
      </c>
      <c r="W556" s="1586">
        <f>S556/L556</f>
        <v>1.1881113619262604</v>
      </c>
      <c r="X556" s="24">
        <f t="shared" si="447"/>
        <v>1.0661416660076473</v>
      </c>
      <c r="Y556" s="1612">
        <f t="shared" si="447"/>
        <v>1.0661416660076473</v>
      </c>
      <c r="Z556" s="30"/>
      <c r="AA556" s="24">
        <f>'Store New'!BA28</f>
        <v>13.200000000000001</v>
      </c>
      <c r="AB556" s="1597"/>
      <c r="AC556" s="1588">
        <f t="shared" si="453"/>
        <v>13.3</v>
      </c>
      <c r="AD556" s="1613"/>
      <c r="AE556" s="24">
        <f t="shared" si="448"/>
        <v>-4.6594982078852931E-2</v>
      </c>
      <c r="AF556" s="1606"/>
      <c r="AG556" s="30"/>
      <c r="AH556" s="1608">
        <f t="shared" si="449"/>
        <v>63.316155264526543</v>
      </c>
      <c r="AI556" s="35"/>
      <c r="AJ556" s="1590">
        <f>T556</f>
        <v>1579</v>
      </c>
      <c r="AK556" s="1590">
        <f>S556</f>
        <v>1579</v>
      </c>
      <c r="AL556" s="1586">
        <f t="shared" si="450"/>
        <v>118.72180451127819</v>
      </c>
      <c r="AM556" s="1615"/>
      <c r="AN556" s="24"/>
      <c r="AO556" s="1612"/>
      <c r="AP556" s="30"/>
    </row>
    <row r="557" spans="1:42">
      <c r="A557" s="24"/>
      <c r="B557" s="29" t="str">
        <f>$B$31</f>
        <v>Year</v>
      </c>
      <c r="C557" s="24"/>
      <c r="D557" s="1581">
        <f>(T557/T550-1)*100</f>
        <v>-5.146930968527208</v>
      </c>
      <c r="E557" s="24"/>
      <c r="F557" s="1616">
        <v>-3</v>
      </c>
      <c r="G557" s="24"/>
      <c r="H557" s="1581">
        <f>D557-F557</f>
        <v>-2.146930968527208</v>
      </c>
      <c r="I557" s="24"/>
      <c r="J557" s="1798"/>
      <c r="K557" s="24"/>
      <c r="L557" s="1583">
        <f>AVERAGE(L553:L556)</f>
        <v>1338.875</v>
      </c>
      <c r="M557" s="24"/>
      <c r="N557" s="1581">
        <f>(L557/L550-1)*100</f>
        <v>-5.254312251216275</v>
      </c>
      <c r="O557" s="30"/>
      <c r="P557" s="1821">
        <f t="shared" si="445"/>
        <v>40.860361278114631</v>
      </c>
      <c r="Q557" s="35"/>
      <c r="R557" s="24"/>
      <c r="S557" s="1618">
        <v>5455</v>
      </c>
      <c r="T557" s="1823">
        <f t="shared" si="446"/>
        <v>5455</v>
      </c>
      <c r="U557" s="1618"/>
      <c r="V557" s="24">
        <f>T557/L557</f>
        <v>4.0743161236112408</v>
      </c>
      <c r="W557" s="1586">
        <f>S557/L557</f>
        <v>4.0743161236112408</v>
      </c>
      <c r="X557" s="24">
        <f t="shared" si="447"/>
        <v>0.11333632721501896</v>
      </c>
      <c r="Y557" s="1587">
        <f t="shared" si="447"/>
        <v>0.11333632721501896</v>
      </c>
      <c r="Z557" s="30"/>
      <c r="AA557" s="24"/>
      <c r="AB557" s="24"/>
      <c r="AC557" s="1597">
        <f>AVERAGE(AC553:AC556)</f>
        <v>13.425000000000001</v>
      </c>
      <c r="AD557" s="1588"/>
      <c r="AE557" s="24">
        <f t="shared" si="448"/>
        <v>-5.8720420683610719E-2</v>
      </c>
      <c r="AF557" s="1581"/>
      <c r="AG557" s="30"/>
      <c r="AH557" s="1589">
        <f t="shared" si="449"/>
        <v>36.561913956560453</v>
      </c>
      <c r="AI557" s="35"/>
      <c r="AJ557" s="1590">
        <f>T557</f>
        <v>5455</v>
      </c>
      <c r="AK557" s="1590">
        <f>S557</f>
        <v>5455</v>
      </c>
      <c r="AL557" s="1586">
        <f t="shared" si="450"/>
        <v>406.33147113594038</v>
      </c>
      <c r="AM557" s="1591"/>
      <c r="AN557" s="24"/>
      <c r="AO557" s="1587"/>
      <c r="AP557" s="30"/>
    </row>
    <row r="558" spans="1:42">
      <c r="A558" s="24"/>
      <c r="B558" s="29"/>
      <c r="C558" s="24"/>
      <c r="D558" s="1675"/>
      <c r="E558" s="24"/>
      <c r="F558" s="1582"/>
      <c r="G558" s="24"/>
      <c r="H558" s="1581"/>
      <c r="I558" s="24"/>
      <c r="J558" s="1782"/>
      <c r="K558" s="24"/>
      <c r="L558" s="1583"/>
      <c r="M558" s="24"/>
      <c r="N558" s="1581"/>
      <c r="O558" s="30"/>
      <c r="P558" s="1821"/>
      <c r="Q558" s="35"/>
      <c r="R558" s="24"/>
      <c r="S558" s="1618"/>
      <c r="T558" s="1823"/>
      <c r="U558" s="1618"/>
      <c r="V558" s="24"/>
      <c r="W558" s="1586"/>
      <c r="X558" s="24"/>
      <c r="Y558" s="1587"/>
      <c r="Z558" s="30"/>
      <c r="AA558" s="24"/>
      <c r="AB558" s="24"/>
      <c r="AC558" s="24"/>
      <c r="AD558" s="1588"/>
      <c r="AE558" s="24"/>
      <c r="AF558" s="1581"/>
      <c r="AG558" s="30"/>
      <c r="AH558" s="1589"/>
      <c r="AI558" s="35"/>
      <c r="AJ558" s="24"/>
      <c r="AK558" s="1590"/>
      <c r="AL558" s="24"/>
      <c r="AM558" s="1591"/>
      <c r="AN558" s="24"/>
      <c r="AO558" s="1587"/>
      <c r="AP558" s="30"/>
    </row>
    <row r="559" spans="1:42">
      <c r="A559" s="1579"/>
      <c r="B559" s="1715">
        <f>+B552+1</f>
        <v>2017</v>
      </c>
      <c r="C559" s="24"/>
      <c r="D559" s="1581"/>
      <c r="E559" s="24"/>
      <c r="F559" s="1582"/>
      <c r="G559" s="24"/>
      <c r="H559" s="1581"/>
      <c r="I559" s="24"/>
      <c r="J559" s="1782"/>
      <c r="K559" s="24"/>
      <c r="L559" s="1583"/>
      <c r="M559" s="24"/>
      <c r="N559" s="1581"/>
      <c r="O559" s="30"/>
      <c r="P559" s="1821"/>
      <c r="Q559" s="35"/>
      <c r="R559" s="24"/>
      <c r="S559" s="1585"/>
      <c r="T559" s="1823"/>
      <c r="U559" s="1585"/>
      <c r="V559" s="24"/>
      <c r="W559" s="1586"/>
      <c r="X559" s="24"/>
      <c r="Y559" s="1587"/>
      <c r="Z559" s="30"/>
      <c r="AA559" s="24"/>
      <c r="AB559" s="24"/>
      <c r="AC559" s="24"/>
      <c r="AD559" s="1588"/>
      <c r="AE559" s="24"/>
      <c r="AF559" s="1581"/>
      <c r="AG559" s="30"/>
      <c r="AH559" s="1589"/>
      <c r="AI559" s="35"/>
      <c r="AJ559" s="24"/>
      <c r="AK559" s="1590"/>
      <c r="AL559" s="24"/>
      <c r="AM559" s="1591"/>
      <c r="AN559" s="24"/>
      <c r="AO559" s="1587"/>
      <c r="AP559" s="30"/>
    </row>
    <row r="560" spans="1:42">
      <c r="A560" s="24" t="str">
        <f>$A$27</f>
        <v>1Q</v>
      </c>
      <c r="B560" s="29" t="str">
        <f>$B$27</f>
        <v>Apr</v>
      </c>
      <c r="C560" s="24"/>
      <c r="D560" s="1581">
        <f>(T560/T553-1)*100</f>
        <v>-5.3147996729353997</v>
      </c>
      <c r="E560" s="30" t="s">
        <v>489</v>
      </c>
      <c r="F560" s="1813">
        <v>-4</v>
      </c>
      <c r="G560" s="30" t="s">
        <v>489</v>
      </c>
      <c r="H560" s="1581">
        <f>D560-F560</f>
        <v>-1.3147996729353997</v>
      </c>
      <c r="I560" s="30" t="s">
        <v>489</v>
      </c>
      <c r="J560" s="1798">
        <f>'Store New'!BB6</f>
        <v>1305</v>
      </c>
      <c r="K560" s="24"/>
      <c r="L560" s="1583">
        <f>AVERAGE(J560,J556)</f>
        <v>1312</v>
      </c>
      <c r="M560" s="24"/>
      <c r="N560" s="1581">
        <f>(L560/L553-1)*100</f>
        <v>-2.562198291867801</v>
      </c>
      <c r="O560" s="30" t="s">
        <v>489</v>
      </c>
      <c r="P560" s="1821">
        <f t="shared" ref="P560:P563" si="454">H560/N560*100</f>
        <v>51.315297379928083</v>
      </c>
      <c r="Q560" s="35" t="s">
        <v>489</v>
      </c>
      <c r="R560" s="24"/>
      <c r="S560" s="1596">
        <v>1158</v>
      </c>
      <c r="T560" s="1824">
        <f t="shared" ref="T560:T564" si="455">S560-AQ560</f>
        <v>1158</v>
      </c>
      <c r="U560" s="1596"/>
      <c r="V560" s="24">
        <f>T560/L560</f>
        <v>0.88262195121951215</v>
      </c>
      <c r="W560" s="1586">
        <f>S560/L560</f>
        <v>0.88262195121951215</v>
      </c>
      <c r="X560" s="24">
        <f t="shared" ref="X560:Y564" si="456">(V560/V553-1)*100</f>
        <v>-2.8249830484813443</v>
      </c>
      <c r="Y560" s="1587">
        <f t="shared" si="456"/>
        <v>-2.8249830484813443</v>
      </c>
      <c r="Z560" s="30" t="s">
        <v>489</v>
      </c>
      <c r="AA560" s="24">
        <f>'Store New'!BB28</f>
        <v>12.9</v>
      </c>
      <c r="AB560" s="1597"/>
      <c r="AC560" s="1588">
        <f>AVERAGE(AA560,AA556)</f>
        <v>13.05</v>
      </c>
      <c r="AD560" s="1588"/>
      <c r="AE560" s="24">
        <f t="shared" ref="AE560:AE564" si="457">AC560/AC553-1</f>
        <v>-3.6900369003689981E-2</v>
      </c>
      <c r="AF560" s="1581"/>
      <c r="AG560" s="30" t="s">
        <v>489</v>
      </c>
      <c r="AH560" s="1589">
        <f t="shared" ref="AH560:AH564" si="458">IFERROR(H560/AE560, "NM")</f>
        <v>35.631071136549387</v>
      </c>
      <c r="AI560" s="35" t="s">
        <v>489</v>
      </c>
      <c r="AJ560" s="1590">
        <f>T560</f>
        <v>1158</v>
      </c>
      <c r="AK560" s="1590">
        <f>S560</f>
        <v>1158</v>
      </c>
      <c r="AL560" s="1586">
        <f t="shared" ref="AL560:AL564" si="459">AJ560/AC560</f>
        <v>88.735632183908038</v>
      </c>
      <c r="AM560" s="1591"/>
      <c r="AN560" s="24"/>
      <c r="AO560" s="1587"/>
      <c r="AP560" s="30" t="s">
        <v>489</v>
      </c>
    </row>
    <row r="561" spans="1:42">
      <c r="A561" s="24" t="str">
        <f>$A$28</f>
        <v>2Q</v>
      </c>
      <c r="B561" s="29" t="str">
        <f>$B$28</f>
        <v>Jul</v>
      </c>
      <c r="C561" s="24"/>
      <c r="D561" s="1581">
        <f>(T561/T554-1)*100</f>
        <v>-6.1690784463061643</v>
      </c>
      <c r="E561" s="24"/>
      <c r="F561" s="1813">
        <v>-1</v>
      </c>
      <c r="G561" s="24"/>
      <c r="H561" s="1581">
        <f>D561-F561</f>
        <v>-5.1690784463061643</v>
      </c>
      <c r="I561" s="24"/>
      <c r="J561" s="1798">
        <f>'Store New'!BC6</f>
        <v>1298</v>
      </c>
      <c r="K561" s="24"/>
      <c r="L561" s="1583">
        <f>AVERAGE(J561,J560)</f>
        <v>1301.5</v>
      </c>
      <c r="M561" s="24"/>
      <c r="N561" s="1581">
        <f>(L561/L554-1)*100</f>
        <v>-3.0178837555886684</v>
      </c>
      <c r="O561" s="30"/>
      <c r="P561" s="1821">
        <f t="shared" si="454"/>
        <v>171.28156234426874</v>
      </c>
      <c r="Q561" s="35"/>
      <c r="R561" s="24"/>
      <c r="S561" s="1716">
        <v>1232</v>
      </c>
      <c r="T561" s="1824">
        <f t="shared" si="455"/>
        <v>1232</v>
      </c>
      <c r="U561" s="1716"/>
      <c r="V561" s="24">
        <f>T561/L561</f>
        <v>0.94660007683442182</v>
      </c>
      <c r="W561" s="1586">
        <f>S561/L561</f>
        <v>0.94660007683442182</v>
      </c>
      <c r="X561" s="24">
        <f t="shared" si="456"/>
        <v>-3.2492533806706692</v>
      </c>
      <c r="Y561" s="1587">
        <f t="shared" si="456"/>
        <v>-3.2492533806706692</v>
      </c>
      <c r="Z561" s="30"/>
      <c r="AA561" s="24">
        <f>'Store New'!BC28</f>
        <v>12.9</v>
      </c>
      <c r="AB561" s="1597"/>
      <c r="AC561" s="1588">
        <f>AVERAGE(AA561,AA560)</f>
        <v>12.9</v>
      </c>
      <c r="AD561" s="1588"/>
      <c r="AE561" s="24">
        <f t="shared" si="457"/>
        <v>-4.0892193308550095E-2</v>
      </c>
      <c r="AF561" s="1581"/>
      <c r="AG561" s="30"/>
      <c r="AH561" s="1589">
        <f t="shared" si="458"/>
        <v>126.40746382330558</v>
      </c>
      <c r="AI561" s="35"/>
      <c r="AJ561" s="1590">
        <f>T561</f>
        <v>1232</v>
      </c>
      <c r="AK561" s="1590">
        <f>S561</f>
        <v>1232</v>
      </c>
      <c r="AL561" s="1586">
        <f t="shared" si="459"/>
        <v>95.503875968992247</v>
      </c>
      <c r="AM561" s="1604"/>
      <c r="AN561" s="24"/>
      <c r="AO561" s="1587"/>
      <c r="AP561" s="30"/>
    </row>
    <row r="562" spans="1:42">
      <c r="A562" s="24" t="str">
        <f>$A$29</f>
        <v>3Q</v>
      </c>
      <c r="B562" s="29" t="str">
        <f>$B$29</f>
        <v>Oct</v>
      </c>
      <c r="C562" s="24"/>
      <c r="D562" s="1581">
        <f>(T562/T555-1)*100</f>
        <v>-1.3432835820895495</v>
      </c>
      <c r="E562" s="24"/>
      <c r="F562" s="1813">
        <v>1</v>
      </c>
      <c r="G562" s="24"/>
      <c r="H562" s="1581">
        <f>D562-F562</f>
        <v>-2.3432835820895495</v>
      </c>
      <c r="I562" s="24"/>
      <c r="J562" s="1798">
        <f>'Store New'!BD6</f>
        <v>1301</v>
      </c>
      <c r="K562" s="1582"/>
      <c r="L562" s="1583">
        <f>AVERAGE(J562,J561)</f>
        <v>1299.5</v>
      </c>
      <c r="M562" s="24"/>
      <c r="N562" s="1581">
        <f>(L562/L555-1)*100</f>
        <v>-2.877428998505227</v>
      </c>
      <c r="O562" s="30"/>
      <c r="P562" s="1821">
        <f t="shared" si="454"/>
        <v>81.43671254119019</v>
      </c>
      <c r="Q562" s="35"/>
      <c r="R562" s="24"/>
      <c r="S562" s="1716">
        <v>1322</v>
      </c>
      <c r="T562" s="1824">
        <f t="shared" si="455"/>
        <v>1322</v>
      </c>
      <c r="U562" s="1716"/>
      <c r="V562" s="24">
        <f>T562/L562</f>
        <v>1.0173143516737206</v>
      </c>
      <c r="W562" s="1586">
        <f>S562/L562</f>
        <v>1.0173143516737206</v>
      </c>
      <c r="X562" s="24">
        <f t="shared" si="456"/>
        <v>1.5795972044356787</v>
      </c>
      <c r="Y562" s="1587">
        <f t="shared" si="456"/>
        <v>1.5795972044356787</v>
      </c>
      <c r="Z562" s="30"/>
      <c r="AA562" s="24">
        <f>'Store New'!BD28</f>
        <v>12.9</v>
      </c>
      <c r="AB562" s="1597"/>
      <c r="AC562" s="1588">
        <f t="shared" ref="AC562:AC563" si="460">AVERAGE(AA562,AA561)</f>
        <v>12.9</v>
      </c>
      <c r="AD562" s="1588"/>
      <c r="AE562" s="24">
        <f t="shared" si="457"/>
        <v>-3.7313432835820892E-2</v>
      </c>
      <c r="AF562" s="1581"/>
      <c r="AG562" s="30"/>
      <c r="AH562" s="1589">
        <f t="shared" si="458"/>
        <v>62.799999999999933</v>
      </c>
      <c r="AI562" s="35"/>
      <c r="AJ562" s="1590">
        <f>T562</f>
        <v>1322</v>
      </c>
      <c r="AK562" s="1590">
        <f>S562</f>
        <v>1322</v>
      </c>
      <c r="AL562" s="1586">
        <f t="shared" si="459"/>
        <v>102.48062015503875</v>
      </c>
      <c r="AM562" s="1604"/>
      <c r="AN562" s="24"/>
      <c r="AO562" s="1587"/>
      <c r="AP562" s="30"/>
    </row>
    <row r="563" spans="1:42">
      <c r="A563" s="24" t="str">
        <f>$A$30</f>
        <v>4Q</v>
      </c>
      <c r="B563" s="29" t="str">
        <f>$B$30</f>
        <v>Jan</v>
      </c>
      <c r="C563" s="24"/>
      <c r="D563" s="1606">
        <f>(T563/T556-1)*100</f>
        <v>1.7099430018999273</v>
      </c>
      <c r="E563" s="24"/>
      <c r="F563" s="1607">
        <v>0</v>
      </c>
      <c r="G563" s="24"/>
      <c r="H563" s="1581">
        <f>D563-F563</f>
        <v>1.7099430018999273</v>
      </c>
      <c r="I563" s="24"/>
      <c r="J563" s="1798">
        <f>'Store New'!BE6</f>
        <v>1278</v>
      </c>
      <c r="K563" s="1582"/>
      <c r="L563" s="1608">
        <f>AVERAGE(J563,J562)</f>
        <v>1289.5</v>
      </c>
      <c r="M563" s="24"/>
      <c r="N563" s="1606">
        <f>(L563/L556-1)*100</f>
        <v>-2.9721595184349137</v>
      </c>
      <c r="O563" s="30"/>
      <c r="P563" s="1822">
        <f t="shared" si="454"/>
        <v>-57.532006317088694</v>
      </c>
      <c r="Q563" s="35"/>
      <c r="R563" s="24"/>
      <c r="S563" s="1556">
        <v>1606</v>
      </c>
      <c r="T563" s="1826">
        <f t="shared" si="455"/>
        <v>1606</v>
      </c>
      <c r="U563" s="1618"/>
      <c r="V563" s="24">
        <f>T563/L563</f>
        <v>1.2454439705312137</v>
      </c>
      <c r="W563" s="1586">
        <f>S563/L563</f>
        <v>1.2454439705312137</v>
      </c>
      <c r="X563" s="24">
        <f t="shared" si="456"/>
        <v>4.8255248154517316</v>
      </c>
      <c r="Y563" s="1612">
        <f t="shared" si="456"/>
        <v>4.8255248154517316</v>
      </c>
      <c r="Z563" s="30"/>
      <c r="AA563" s="24">
        <f>'Store New'!BE28</f>
        <v>12.700000000000001</v>
      </c>
      <c r="AB563" s="1597"/>
      <c r="AC563" s="1588">
        <f t="shared" si="460"/>
        <v>12.8</v>
      </c>
      <c r="AD563" s="1613"/>
      <c r="AE563" s="24">
        <f t="shared" si="457"/>
        <v>-3.7593984962406068E-2</v>
      </c>
      <c r="AF563" s="1606"/>
      <c r="AG563" s="30"/>
      <c r="AH563" s="1608">
        <f t="shared" si="458"/>
        <v>-45.484483850538005</v>
      </c>
      <c r="AI563" s="35"/>
      <c r="AJ563" s="1590">
        <f>T563</f>
        <v>1606</v>
      </c>
      <c r="AK563" s="1590">
        <f>S563</f>
        <v>1606</v>
      </c>
      <c r="AL563" s="1586">
        <f t="shared" si="459"/>
        <v>125.46875</v>
      </c>
      <c r="AM563" s="1615"/>
      <c r="AN563" s="24"/>
      <c r="AO563" s="1612"/>
      <c r="AP563" s="30"/>
    </row>
    <row r="564" spans="1:42">
      <c r="A564" s="24"/>
      <c r="B564" s="29" t="str">
        <f>$B$31</f>
        <v>Year</v>
      </c>
      <c r="C564" s="24"/>
      <c r="D564" s="1581">
        <f>(T564/T557-1)*100</f>
        <v>-2.5114573785517846</v>
      </c>
      <c r="E564" s="24"/>
      <c r="F564" s="1616">
        <v>-1</v>
      </c>
      <c r="G564" s="24"/>
      <c r="H564" s="1581">
        <f>D564-F564</f>
        <v>-1.5114573785517846</v>
      </c>
      <c r="I564" s="24"/>
      <c r="J564" s="1798"/>
      <c r="K564" s="24"/>
      <c r="L564" s="1583">
        <f>AVERAGE(L560:L563)</f>
        <v>1300.625</v>
      </c>
      <c r="M564" s="24"/>
      <c r="N564" s="1581">
        <f>(L564/L557-1)*100</f>
        <v>-2.856876108673323</v>
      </c>
      <c r="O564" s="30"/>
      <c r="P564" s="1821">
        <f t="shared" ref="P564" si="461">H564/N564*100</f>
        <v>52.905947652510413</v>
      </c>
      <c r="Q564" s="35"/>
      <c r="R564" s="24"/>
      <c r="S564" s="1618">
        <f>SUM(S560:S563)</f>
        <v>5318</v>
      </c>
      <c r="T564" s="1823">
        <f t="shared" si="455"/>
        <v>5318</v>
      </c>
      <c r="U564" s="1618"/>
      <c r="V564" s="24">
        <f>T564/L564</f>
        <v>4.0888034598750602</v>
      </c>
      <c r="W564" s="1586">
        <f>S564/L564</f>
        <v>4.0888034598750602</v>
      </c>
      <c r="X564" s="24">
        <f t="shared" si="456"/>
        <v>0.35557712814338061</v>
      </c>
      <c r="Y564" s="1587">
        <f t="shared" si="456"/>
        <v>0.35557712814338061</v>
      </c>
      <c r="Z564" s="30"/>
      <c r="AA564" s="24"/>
      <c r="AB564" s="24"/>
      <c r="AC564" s="1597">
        <f>AVERAGE(AC560:AC563)</f>
        <v>12.912500000000001</v>
      </c>
      <c r="AD564" s="1588"/>
      <c r="AE564" s="24">
        <f t="shared" si="457"/>
        <v>-3.8175046554934755E-2</v>
      </c>
      <c r="AF564" s="1581"/>
      <c r="AG564" s="30"/>
      <c r="AH564" s="1589">
        <f t="shared" si="458"/>
        <v>39.592810355234626</v>
      </c>
      <c r="AI564" s="35"/>
      <c r="AJ564" s="1590">
        <f>T564</f>
        <v>5318</v>
      </c>
      <c r="AK564" s="1590">
        <f>S564</f>
        <v>5318</v>
      </c>
      <c r="AL564" s="1586">
        <f t="shared" si="459"/>
        <v>411.84898354307836</v>
      </c>
      <c r="AM564" s="1591"/>
      <c r="AN564" s="24"/>
      <c r="AO564" s="1587"/>
      <c r="AP564" s="30"/>
    </row>
    <row r="565" spans="1:42">
      <c r="A565" s="24"/>
      <c r="B565" s="29"/>
      <c r="C565" s="24"/>
      <c r="D565" s="1581"/>
      <c r="E565" s="24"/>
      <c r="F565" s="1582"/>
      <c r="G565" s="24"/>
      <c r="H565" s="1581"/>
      <c r="I565" s="24"/>
      <c r="J565" s="1798"/>
      <c r="K565" s="24"/>
      <c r="L565" s="1583"/>
      <c r="M565" s="24"/>
      <c r="N565" s="1581"/>
      <c r="O565" s="30"/>
      <c r="P565" s="1584"/>
      <c r="Q565" s="35"/>
      <c r="R565" s="24"/>
      <c r="S565" s="1618"/>
      <c r="T565" s="1823"/>
      <c r="U565" s="1618"/>
      <c r="V565" s="24"/>
      <c r="W565" s="1586"/>
      <c r="X565" s="24"/>
      <c r="Y565" s="1587"/>
      <c r="Z565" s="30"/>
      <c r="AA565" s="24"/>
      <c r="AB565" s="24"/>
      <c r="AC565" s="24"/>
      <c r="AD565" s="1588"/>
      <c r="AE565" s="24"/>
      <c r="AF565" s="1581"/>
      <c r="AG565" s="30"/>
      <c r="AH565" s="1589"/>
      <c r="AI565" s="35"/>
      <c r="AJ565" s="24"/>
      <c r="AK565" s="1590"/>
      <c r="AL565" s="24"/>
      <c r="AM565" s="1591"/>
      <c r="AN565" s="24"/>
      <c r="AO565" s="1587"/>
      <c r="AP565" s="30"/>
    </row>
    <row r="566" spans="1:42">
      <c r="A566" s="1579"/>
      <c r="B566" s="1715">
        <f>+B559+1</f>
        <v>2018</v>
      </c>
      <c r="C566" s="24"/>
      <c r="D566" s="1581"/>
      <c r="E566" s="24"/>
      <c r="F566" s="1582"/>
      <c r="G566" s="24"/>
      <c r="H566" s="1838"/>
      <c r="I566" s="1782"/>
      <c r="J566" s="1782"/>
      <c r="K566" s="24"/>
      <c r="L566" s="1583"/>
      <c r="M566" s="24"/>
      <c r="N566" s="1581"/>
      <c r="O566" s="30"/>
      <c r="P566" s="1584"/>
      <c r="Q566" s="35"/>
      <c r="R566" s="24"/>
      <c r="S566" s="1585"/>
      <c r="T566" s="1823"/>
      <c r="U566" s="1585"/>
      <c r="V566" s="24"/>
      <c r="W566" s="1586"/>
      <c r="X566" s="24"/>
      <c r="Y566" s="1587"/>
      <c r="Z566" s="30"/>
      <c r="AA566" s="24"/>
      <c r="AB566" s="24"/>
      <c r="AC566" s="24"/>
      <c r="AD566" s="1588"/>
      <c r="AE566" s="24"/>
      <c r="AF566" s="1581"/>
      <c r="AG566" s="30"/>
      <c r="AH566" s="1589"/>
      <c r="AI566" s="35"/>
      <c r="AJ566" s="24"/>
      <c r="AK566" s="1590"/>
      <c r="AL566" s="24"/>
      <c r="AM566" s="1591"/>
      <c r="AN566" s="24"/>
      <c r="AO566" s="1587"/>
      <c r="AP566" s="30"/>
    </row>
    <row r="567" spans="1:42">
      <c r="A567" s="24" t="str">
        <f>$A$27</f>
        <v>1Q</v>
      </c>
      <c r="B567" s="29" t="str">
        <f>$B$27</f>
        <v>Apr</v>
      </c>
      <c r="C567" s="24"/>
      <c r="D567" s="1581">
        <f t="shared" ref="D567:D570" si="462">F567+H567</f>
        <v>1.1425304878048785</v>
      </c>
      <c r="E567" s="30" t="s">
        <v>489</v>
      </c>
      <c r="F567" s="1937">
        <v>1</v>
      </c>
      <c r="G567" s="30" t="s">
        <v>489</v>
      </c>
      <c r="H567" s="1838">
        <f>N567*P567/100+1</f>
        <v>0.14253048780487854</v>
      </c>
      <c r="I567" s="1839" t="s">
        <v>489</v>
      </c>
      <c r="J567" s="1798">
        <f>'Store New'!BF6</f>
        <v>1271</v>
      </c>
      <c r="K567" s="24"/>
      <c r="L567" s="1583">
        <f>AVERAGE(J567,J563)</f>
        <v>1274.5</v>
      </c>
      <c r="M567" s="24"/>
      <c r="N567" s="1581">
        <f>(L567/L560-1)*100</f>
        <v>-2.8582317073170715</v>
      </c>
      <c r="O567" s="30" t="s">
        <v>489</v>
      </c>
      <c r="P567" s="1584">
        <v>30</v>
      </c>
      <c r="Q567" s="35" t="s">
        <v>489</v>
      </c>
      <c r="R567" s="24"/>
      <c r="S567" s="1811">
        <f t="shared" ref="S567:S570" si="463">S560*(1+D567/100)</f>
        <v>1171.2305030487805</v>
      </c>
      <c r="T567" s="1824">
        <f t="shared" ref="T567:T571" si="464">S567-AQ567</f>
        <v>1171.2305030487805</v>
      </c>
      <c r="U567" s="1596"/>
      <c r="V567" s="24">
        <f>T567/L567</f>
        <v>0.91897254064243272</v>
      </c>
      <c r="W567" s="1586">
        <f>S567/L567</f>
        <v>0.91897254064243272</v>
      </c>
      <c r="X567" s="24">
        <f t="shared" ref="X567:Y571" si="465">(V567/V560-1)*100</f>
        <v>4.118477834444878</v>
      </c>
      <c r="Y567" s="1587">
        <f t="shared" si="465"/>
        <v>4.118477834444878</v>
      </c>
      <c r="Z567" s="30" t="s">
        <v>489</v>
      </c>
      <c r="AA567" s="24">
        <f>'Store New'!BF28</f>
        <v>12.63</v>
      </c>
      <c r="AB567" s="1597"/>
      <c r="AC567" s="1588">
        <f>AVERAGE(AA567,AA563)</f>
        <v>12.665000000000001</v>
      </c>
      <c r="AD567" s="1588"/>
      <c r="AE567" s="24">
        <f t="shared" ref="AE567:AE571" si="466">AC567/AC560-1</f>
        <v>-2.9501915708812221E-2</v>
      </c>
      <c r="AF567" s="1581"/>
      <c r="AG567" s="30" t="s">
        <v>489</v>
      </c>
      <c r="AH567" s="1589">
        <f t="shared" ref="AH567:AH571" si="467">IFERROR(H567/AE567, "NM")</f>
        <v>-4.8312282229965389</v>
      </c>
      <c r="AI567" s="35" t="s">
        <v>489</v>
      </c>
      <c r="AJ567" s="1590">
        <f>T567</f>
        <v>1171.2305030487805</v>
      </c>
      <c r="AK567" s="1590">
        <f>S567</f>
        <v>1171.2305030487805</v>
      </c>
      <c r="AL567" s="1586">
        <f t="shared" ref="AL567:AL571" si="468">AJ567/AC567</f>
        <v>92.477734153081755</v>
      </c>
      <c r="AM567" s="1591"/>
      <c r="AN567" s="24"/>
      <c r="AO567" s="1587"/>
      <c r="AP567" s="30" t="s">
        <v>489</v>
      </c>
    </row>
    <row r="568" spans="1:42">
      <c r="A568" s="24" t="str">
        <f>$A$28</f>
        <v>2Q</v>
      </c>
      <c r="B568" s="29" t="str">
        <f>$B$28</f>
        <v>Jul</v>
      </c>
      <c r="C568" s="24"/>
      <c r="D568" s="1581">
        <f t="shared" si="462"/>
        <v>-0.79523626584709906</v>
      </c>
      <c r="E568" s="24"/>
      <c r="F568" s="1937">
        <v>0</v>
      </c>
      <c r="G568" s="24"/>
      <c r="H568" s="1838">
        <f t="shared" ref="H568:H569" si="469">N568*P568/100</f>
        <v>-0.79523626584709906</v>
      </c>
      <c r="I568" s="1782"/>
      <c r="J568" s="1798">
        <f>'Store New'!BG6</f>
        <v>1263</v>
      </c>
      <c r="K568" s="24"/>
      <c r="L568" s="1583">
        <f>AVERAGE(J568,J567)</f>
        <v>1267</v>
      </c>
      <c r="M568" s="24"/>
      <c r="N568" s="1581">
        <f>(L568/L561-1)*100</f>
        <v>-2.6507875528236635</v>
      </c>
      <c r="O568" s="30"/>
      <c r="P568" s="1584">
        <v>30</v>
      </c>
      <c r="Q568" s="35"/>
      <c r="R568" s="24"/>
      <c r="S568" s="1812">
        <f t="shared" si="463"/>
        <v>1222.2026892047638</v>
      </c>
      <c r="T568" s="1824">
        <f t="shared" si="464"/>
        <v>1222.2026892047638</v>
      </c>
      <c r="U568" s="1716"/>
      <c r="V568" s="24">
        <f>T568/L568</f>
        <v>0.96464300647574097</v>
      </c>
      <c r="W568" s="1586">
        <f>S568/L568</f>
        <v>0.96464300647574097</v>
      </c>
      <c r="X568" s="24">
        <f t="shared" si="465"/>
        <v>1.9060773480663151</v>
      </c>
      <c r="Y568" s="1587">
        <f t="shared" si="465"/>
        <v>1.9060773480663151</v>
      </c>
      <c r="Z568" s="30"/>
      <c r="AA568" s="24">
        <f>'Store New'!BG28</f>
        <v>12.55</v>
      </c>
      <c r="AB568" s="1597"/>
      <c r="AC568" s="1588">
        <f>AVERAGE(AA568,AA567)</f>
        <v>12.59</v>
      </c>
      <c r="AD568" s="1588"/>
      <c r="AE568" s="24">
        <f t="shared" si="466"/>
        <v>-2.4031007751938005E-2</v>
      </c>
      <c r="AF568" s="1581"/>
      <c r="AG568" s="30"/>
      <c r="AH568" s="1589">
        <f t="shared" si="467"/>
        <v>33.092089772346995</v>
      </c>
      <c r="AI568" s="35"/>
      <c r="AJ568" s="1590">
        <f>T568</f>
        <v>1222.2026892047638</v>
      </c>
      <c r="AK568" s="1590">
        <f>S568</f>
        <v>1222.2026892047638</v>
      </c>
      <c r="AL568" s="1586">
        <f t="shared" si="468"/>
        <v>97.077258872499115</v>
      </c>
      <c r="AM568" s="1604"/>
      <c r="AN568" s="24"/>
      <c r="AO568" s="1587"/>
      <c r="AP568" s="30"/>
    </row>
    <row r="569" spans="1:42">
      <c r="A569" s="24" t="str">
        <f>$A$29</f>
        <v>3Q</v>
      </c>
      <c r="B569" s="29" t="str">
        <f>$B$29</f>
        <v>Oct</v>
      </c>
      <c r="C569" s="24"/>
      <c r="D569" s="1581">
        <f t="shared" si="462"/>
        <v>-3.5042323970757994</v>
      </c>
      <c r="E569" s="24"/>
      <c r="F569" s="1937">
        <v>-2.5</v>
      </c>
      <c r="G569" s="24"/>
      <c r="H569" s="1838">
        <f t="shared" si="469"/>
        <v>-1.0042323970757994</v>
      </c>
      <c r="I569" s="1782"/>
      <c r="J569" s="1798">
        <f>'Store New'!BH6</f>
        <v>1249</v>
      </c>
      <c r="K569" s="24"/>
      <c r="L569" s="1583">
        <f>AVERAGE(J569,J568)</f>
        <v>1256</v>
      </c>
      <c r="M569" s="24"/>
      <c r="N569" s="1581">
        <f>(L569/L562-1)*100</f>
        <v>-3.3474413235859979</v>
      </c>
      <c r="O569" s="30"/>
      <c r="P569" s="1584">
        <v>30</v>
      </c>
      <c r="Q569" s="35"/>
      <c r="R569" s="24"/>
      <c r="S569" s="1812">
        <f t="shared" si="463"/>
        <v>1275.674047710658</v>
      </c>
      <c r="T569" s="1824">
        <f t="shared" si="464"/>
        <v>1275.674047710658</v>
      </c>
      <c r="U569" s="1716"/>
      <c r="V569" s="24">
        <f>T569/L569</f>
        <v>1.0156640507250461</v>
      </c>
      <c r="W569" s="1586">
        <f>S569/L569</f>
        <v>1.0156640507250461</v>
      </c>
      <c r="X569" s="24">
        <f t="shared" si="465"/>
        <v>-0.16222133757962665</v>
      </c>
      <c r="Y569" s="1587">
        <f t="shared" si="465"/>
        <v>-0.16222133757962665</v>
      </c>
      <c r="Z569" s="30"/>
      <c r="AA569" s="24">
        <f>'Store New'!BH28</f>
        <v>12.41</v>
      </c>
      <c r="AB569" s="1597"/>
      <c r="AC569" s="1588">
        <f t="shared" ref="AC569:AC570" si="470">AVERAGE(AA569,AA568)</f>
        <v>12.48</v>
      </c>
      <c r="AD569" s="1588"/>
      <c r="AE569" s="24">
        <f t="shared" si="466"/>
        <v>-3.2558139534883734E-2</v>
      </c>
      <c r="AF569" s="1581"/>
      <c r="AG569" s="30"/>
      <c r="AH569" s="1589">
        <f t="shared" si="467"/>
        <v>30.844280767328112</v>
      </c>
      <c r="AI569" s="35"/>
      <c r="AJ569" s="1590">
        <f>T569</f>
        <v>1275.674047710658</v>
      </c>
      <c r="AK569" s="1590">
        <f>S569</f>
        <v>1275.674047710658</v>
      </c>
      <c r="AL569" s="1586">
        <f t="shared" si="468"/>
        <v>102.21747177168733</v>
      </c>
      <c r="AM569" s="1604"/>
      <c r="AN569" s="24"/>
      <c r="AO569" s="1587"/>
      <c r="AP569" s="30"/>
    </row>
    <row r="570" spans="1:42">
      <c r="A570" s="24" t="str">
        <f>$A$30</f>
        <v>4Q</v>
      </c>
      <c r="B570" s="29" t="str">
        <f>$B$30</f>
        <v>Jan</v>
      </c>
      <c r="C570" s="24"/>
      <c r="D570" s="1606">
        <f t="shared" si="462"/>
        <v>-6.8615742535866611</v>
      </c>
      <c r="E570" s="24"/>
      <c r="F570" s="1936">
        <v>-2</v>
      </c>
      <c r="G570" s="24"/>
      <c r="H570" s="1718">
        <f>N570*P570/100-2</f>
        <v>-4.8615742535866611</v>
      </c>
      <c r="I570" s="1782"/>
      <c r="J570" s="1798">
        <f>'Store New'!BI6</f>
        <v>1207</v>
      </c>
      <c r="K570" s="24"/>
      <c r="L570" s="1608">
        <f>AVERAGE(J570,J569)</f>
        <v>1228</v>
      </c>
      <c r="M570" s="24"/>
      <c r="N570" s="1606">
        <f>(L570/L563-1)*100</f>
        <v>-4.7692904226444348</v>
      </c>
      <c r="O570" s="30"/>
      <c r="P570" s="1609">
        <v>60</v>
      </c>
      <c r="Q570" s="35"/>
      <c r="R570" s="24"/>
      <c r="S570" s="1717">
        <f t="shared" si="463"/>
        <v>1495.8031174873981</v>
      </c>
      <c r="T570" s="1826">
        <f t="shared" si="464"/>
        <v>1495.8031174873981</v>
      </c>
      <c r="U570" s="1618"/>
      <c r="V570" s="24">
        <f>T570/L570</f>
        <v>1.2180807145662851</v>
      </c>
      <c r="W570" s="1586">
        <f>S570/L570</f>
        <v>1.2180807145662851</v>
      </c>
      <c r="X570" s="24">
        <f t="shared" si="465"/>
        <v>-2.1970684039088084</v>
      </c>
      <c r="Y570" s="1612">
        <f t="shared" si="465"/>
        <v>-2.1970684039088084</v>
      </c>
      <c r="Z570" s="30"/>
      <c r="AA570" s="24">
        <f>'Store New'!BI28</f>
        <v>11.99</v>
      </c>
      <c r="AB570" s="1597"/>
      <c r="AC570" s="1588">
        <f t="shared" si="470"/>
        <v>12.2</v>
      </c>
      <c r="AD570" s="1613"/>
      <c r="AE570" s="24">
        <f t="shared" si="466"/>
        <v>-4.6875000000000111E-2</v>
      </c>
      <c r="AF570" s="1606"/>
      <c r="AG570" s="30"/>
      <c r="AH570" s="1608">
        <f t="shared" si="467"/>
        <v>103.71358407651519</v>
      </c>
      <c r="AI570" s="35"/>
      <c r="AJ570" s="1590">
        <f>T570</f>
        <v>1495.8031174873981</v>
      </c>
      <c r="AK570" s="1590">
        <f>S570</f>
        <v>1495.8031174873981</v>
      </c>
      <c r="AL570" s="1586">
        <f t="shared" si="468"/>
        <v>122.60681290880314</v>
      </c>
      <c r="AM570" s="1615"/>
      <c r="AN570" s="24"/>
      <c r="AO570" s="1612"/>
      <c r="AP570" s="30"/>
    </row>
    <row r="571" spans="1:42">
      <c r="A571" s="24"/>
      <c r="B571" s="29" t="str">
        <f>$B$31</f>
        <v>Year</v>
      </c>
      <c r="C571" s="24"/>
      <c r="D571" s="1581">
        <f>(T571/T564-1)*100</f>
        <v>-2.87870708063932</v>
      </c>
      <c r="E571" s="24"/>
      <c r="F571" s="1582">
        <f>F567*T567/$T571+F568*T568/$T571+F569*T569/$T571+F570*T570/$T571</f>
        <v>-0.96992212923408982</v>
      </c>
      <c r="G571" s="24"/>
      <c r="H571" s="1838">
        <f>D571-F571</f>
        <v>-1.9087849514052302</v>
      </c>
      <c r="I571" s="1782"/>
      <c r="J571" s="1798"/>
      <c r="K571" s="24"/>
      <c r="L571" s="1583">
        <f>AVERAGE(L567:L570)</f>
        <v>1256.375</v>
      </c>
      <c r="M571" s="24"/>
      <c r="N571" s="1581">
        <f>(L571/L564-1)*100</f>
        <v>-3.4022104757328253</v>
      </c>
      <c r="O571" s="30"/>
      <c r="P571" s="1584">
        <f t="shared" ref="P571" si="471">H571/N571*100</f>
        <v>56.104258246811845</v>
      </c>
      <c r="Q571" s="35"/>
      <c r="R571" s="24"/>
      <c r="S571" s="1618">
        <f>SUM(S567:S570)</f>
        <v>5164.9103574516012</v>
      </c>
      <c r="T571" s="1823">
        <f t="shared" si="464"/>
        <v>5164.9103574516012</v>
      </c>
      <c r="U571" s="1618"/>
      <c r="V571" s="24">
        <f>T571/L571</f>
        <v>4.1109623778343263</v>
      </c>
      <c r="W571" s="1586">
        <f>S571/L571</f>
        <v>4.1109623778343263</v>
      </c>
      <c r="X571" s="24">
        <f t="shared" si="465"/>
        <v>0.54194138154890492</v>
      </c>
      <c r="Y571" s="1587">
        <f t="shared" si="465"/>
        <v>0.54194138154890492</v>
      </c>
      <c r="Z571" s="30"/>
      <c r="AA571" s="24"/>
      <c r="AB571" s="24"/>
      <c r="AC571" s="1597">
        <f>AVERAGE(AC567:AC570)</f>
        <v>12.483750000000001</v>
      </c>
      <c r="AD571" s="1588"/>
      <c r="AE571" s="24">
        <f t="shared" si="466"/>
        <v>-3.3204259438528672E-2</v>
      </c>
      <c r="AF571" s="1581"/>
      <c r="AG571" s="30"/>
      <c r="AH571" s="1589">
        <f t="shared" si="467"/>
        <v>57.48614737030892</v>
      </c>
      <c r="AI571" s="35"/>
      <c r="AJ571" s="1590">
        <f>T571</f>
        <v>5164.9103574516012</v>
      </c>
      <c r="AK571" s="1590">
        <f>S571</f>
        <v>5164.9103574516012</v>
      </c>
      <c r="AL571" s="1586">
        <f t="shared" si="468"/>
        <v>413.73067847814968</v>
      </c>
      <c r="AM571" s="1591"/>
      <c r="AN571" s="24"/>
      <c r="AO571" s="1587"/>
      <c r="AP571" s="30"/>
    </row>
  </sheetData>
  <dataValidations count="1">
    <dataValidation type="custom" allowBlank="1" showInputMessage="1" showErrorMessage="1" sqref="F83 F153:F156 F139:F142 F125 F118 F104 F97 F90 F132 F146:F149 F290 F360:F363 F346:F349 F332 F325 F318 F311 F304 F297 F339 F353:F356 F455 F525:F528 F511:F514 F497 F490 F483 F476 F469 F462 F504 F518:F521 F111 S560:S563 U560:U563 S546:S549 U546:U549 S553:S556 U553:U556 S539:S542 U539:U542 S532:S535 U532:U535 S518:S521 U518:U521 S525:S528 U525:U528 S504:S507 U504:U507 S497:S500 U497:U500 S463:S465 U463:U465 S469:S472 U469:U472 S476:S479 U476:U479 S483:S486 U483:U486 S490:S493 U490:U493 S456:S458 U456:U458 S511:S514 U511:U514 S402:S405 U402:U405 S395:S398 U395:U398 S381:S384 U381:U384 S388:S391 U388:U391 S374:S377 U374:U377 S367:S370 U367:U370 S353:S356 U353:U356 S360:S363 U360:U363 S339:S342 U339:U342 S332:S335 U332:U335 S298:S300 U298:U300 S304:S307 U304:U307 S311:S314 U311:U314 S318:S321 U318:U321 S325:S328 U325:U328 S291:S293 U291:U293 S346:S349 U346:U349 S195:S198 U195:U198 S188:S191 U188:U191 S174:S177 U174:U177 S181:S184 U181:U184 S167:S170 U167:U170 S160:S163 U160:U163 S146:S149 U146:U149 S153:S156 U153:U156 S132:S135 U132:U135 S125:S128 U125:U128 S91:S93 U91:U93 S97:S100 U97:U100 S104:S107 U104:U107 S567:S570 U567:U570 S111:S114 U111:U114 S118:S121 U118:U121 S84:S86 U84:U86 S139:S142 U139:U142">
      <formula1>-1</formula1>
    </dataValidation>
  </dataValidations>
  <pageMargins left="0.75" right="0.75" top="1" bottom="1" header="0.5" footer="0.5"/>
  <pageSetup scale="45" fitToHeight="10" orientation="portrait" horizontalDpi="300" verticalDpi="300" r:id="rId1"/>
  <headerFooter alignWithMargins="0"/>
  <rowBreaks count="1" manualBreakCount="1">
    <brk id="260" max="4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pageSetUpPr fitToPage="1"/>
  </sheetPr>
  <dimension ref="A1:CB217"/>
  <sheetViews>
    <sheetView showGridLines="0" zoomScaleNormal="100" workbookViewId="0">
      <pane xSplit="3" ySplit="9" topLeftCell="D137" activePane="bottomRight" state="frozen"/>
      <selection activeCell="N140" sqref="N140"/>
      <selection pane="topRight" activeCell="N140" sqref="N140"/>
      <selection pane="bottomLeft" activeCell="N140" sqref="N140"/>
      <selection pane="bottomRight" activeCell="D137" sqref="D137"/>
    </sheetView>
  </sheetViews>
  <sheetFormatPr defaultRowHeight="12.75" outlineLevelRow="2" outlineLevelCol="1"/>
  <cols>
    <col min="1" max="1" width="2.7109375" style="1045" customWidth="1"/>
    <col min="2" max="2" width="12" style="1045" customWidth="1"/>
    <col min="3" max="3" width="1.28515625" style="1045" customWidth="1"/>
    <col min="4" max="4" width="6.140625" style="1045" customWidth="1"/>
    <col min="5" max="5" width="1.7109375" style="1045" customWidth="1"/>
    <col min="6" max="6" width="12" style="1045" bestFit="1" customWidth="1"/>
    <col min="7" max="7" width="1.5703125" style="1045" customWidth="1"/>
    <col min="8" max="8" width="9.140625" style="1045"/>
    <col min="9" max="9" width="1.7109375" style="1045" customWidth="1"/>
    <col min="10" max="10" width="6.42578125" style="1045" customWidth="1"/>
    <col min="11" max="11" width="1.28515625" style="1045" customWidth="1"/>
    <col min="12" max="12" width="6.85546875" style="1045" customWidth="1"/>
    <col min="13" max="13" width="4.42578125" style="1045" customWidth="1"/>
    <col min="14" max="14" width="8.42578125" style="1045" customWidth="1"/>
    <col min="15" max="15" width="1.7109375" style="1045" customWidth="1"/>
    <col min="16" max="16" width="9.42578125" style="1045" customWidth="1"/>
    <col min="17" max="17" width="4" style="1045" customWidth="1"/>
    <col min="18" max="18" width="1.28515625" style="1045" customWidth="1"/>
    <col min="19" max="19" width="9.140625" style="1045" customWidth="1"/>
    <col min="20" max="23" width="9.140625" style="1045" customWidth="1" outlineLevel="1"/>
    <col min="24" max="24" width="1.5703125" style="1045" customWidth="1"/>
    <col min="25" max="25" width="11.7109375" style="1045" bestFit="1" customWidth="1"/>
    <col min="26" max="26" width="1.28515625" style="1045" customWidth="1"/>
    <col min="27" max="27" width="8.42578125" style="1045" bestFit="1" customWidth="1"/>
    <col min="28" max="29" width="1.7109375" style="1045" customWidth="1"/>
    <col min="30" max="30" width="12.5703125" style="1045" bestFit="1" customWidth="1"/>
    <col min="31" max="31" width="1.7109375" style="1045" customWidth="1"/>
    <col min="32" max="32" width="8.85546875" style="1045" bestFit="1" customWidth="1"/>
    <col min="33" max="33" width="1.28515625" style="1045" customWidth="1"/>
    <col min="34" max="34" width="7.85546875" style="1045" customWidth="1"/>
    <col min="35" max="35" width="9.28515625" style="1045" customWidth="1"/>
    <col min="36" max="36" width="9.7109375" style="1045" customWidth="1"/>
    <col min="37" max="37" width="4" style="1045" customWidth="1"/>
    <col min="38" max="38" width="1.140625" style="1045" customWidth="1"/>
    <col min="39" max="39" width="8.140625" style="1045" bestFit="1" customWidth="1"/>
    <col min="40" max="40" width="1.28515625" style="1045" customWidth="1"/>
    <col min="41" max="41" width="8.140625" style="1045" customWidth="1"/>
    <col min="42" max="42" width="1.28515625" style="1045" customWidth="1"/>
    <col min="43" max="43" width="8" style="1045" customWidth="1"/>
    <col min="44" max="44" width="1.7109375" style="1045" customWidth="1"/>
    <col min="45" max="45" width="9.140625" style="1045"/>
    <col min="46" max="46" width="9.5703125" style="1045" customWidth="1"/>
    <col min="47" max="47" width="10.85546875" style="1045" bestFit="1" customWidth="1"/>
    <col min="48" max="50" width="9.140625" style="1045"/>
    <col min="51" max="52" width="0" style="1045" hidden="1" customWidth="1"/>
    <col min="53" max="53" width="10.28515625" style="1045" hidden="1" customWidth="1"/>
    <col min="54" max="55" width="9.140625" style="1045" hidden="1" customWidth="1" outlineLevel="1"/>
    <col min="56" max="58" width="9.5703125" style="1045" hidden="1" customWidth="1"/>
    <col min="59" max="59" width="0" style="1045" hidden="1" customWidth="1"/>
    <col min="60" max="61" width="8.28515625" style="1045" hidden="1" customWidth="1"/>
    <col min="62" max="63" width="9.28515625" style="1045" hidden="1" customWidth="1"/>
    <col min="64" max="65" width="8.28515625" style="1045" hidden="1" customWidth="1"/>
    <col min="66" max="66" width="9.140625" style="1045"/>
    <col min="67" max="67" width="11.5703125" style="1045" customWidth="1"/>
    <col min="68" max="68" width="12.85546875" style="1045" customWidth="1"/>
    <col min="69" max="69" width="4.42578125" style="1045" customWidth="1"/>
    <col min="70" max="70" width="11" style="1045" hidden="1" customWidth="1"/>
    <col min="71" max="71" width="10.140625" style="1045" hidden="1" customWidth="1"/>
    <col min="72" max="72" width="10.28515625" style="1045" hidden="1" customWidth="1"/>
    <col min="73" max="75" width="0" style="1045" hidden="1" customWidth="1"/>
    <col min="76" max="76" width="9.7109375" style="1045" hidden="1" customWidth="1"/>
    <col min="77" max="77" width="10.7109375" style="1045" hidden="1" customWidth="1"/>
    <col min="78" max="82" width="0" style="1045" hidden="1" customWidth="1"/>
    <col min="83" max="16384" width="9.140625" style="1045"/>
  </cols>
  <sheetData>
    <row r="1" spans="1:78">
      <c r="A1" s="1041" t="str">
        <f>sumry!A1</f>
        <v>The Gap, Inc.</v>
      </c>
      <c r="B1" s="1042"/>
      <c r="C1" s="1041"/>
      <c r="D1" s="1041"/>
      <c r="E1" s="1043"/>
      <c r="F1" s="1041"/>
      <c r="G1" s="1041"/>
      <c r="H1" s="1041"/>
      <c r="I1" s="1043"/>
      <c r="J1" s="1044"/>
      <c r="K1" s="1044"/>
      <c r="L1" s="1044"/>
      <c r="M1" s="1066"/>
      <c r="N1" s="1044"/>
      <c r="O1" s="1043"/>
      <c r="P1" s="1044"/>
      <c r="Q1" s="1044"/>
      <c r="R1" s="1066"/>
      <c r="S1" s="1044"/>
      <c r="T1" s="1044"/>
      <c r="U1" s="1044"/>
      <c r="V1" s="1044"/>
      <c r="W1" s="1044"/>
      <c r="X1" s="1044"/>
      <c r="Y1" s="1066"/>
      <c r="Z1" s="1066"/>
      <c r="AA1" s="1044"/>
      <c r="AB1" s="1058"/>
      <c r="AC1" s="1044"/>
      <c r="AD1" s="1044"/>
      <c r="AE1" s="1044"/>
      <c r="AF1" s="1044"/>
      <c r="AG1" s="1066"/>
      <c r="AH1" s="1044"/>
      <c r="AI1" s="1066"/>
      <c r="AJ1" s="1044"/>
      <c r="AK1" s="1044"/>
      <c r="AL1" s="1066"/>
      <c r="AM1" s="1044"/>
      <c r="AN1" s="1044"/>
      <c r="AO1" s="1066"/>
      <c r="AP1" s="1066"/>
      <c r="AQ1" s="1044"/>
      <c r="AR1" s="1058"/>
      <c r="AS1" s="1044"/>
      <c r="AT1" s="1044"/>
      <c r="AU1" s="1041"/>
      <c r="AV1" s="1044"/>
      <c r="AW1" s="1044"/>
      <c r="AX1" s="1044"/>
      <c r="AY1" s="1044"/>
      <c r="AZ1" s="1044"/>
      <c r="BA1" s="1044"/>
      <c r="BB1" s="1044"/>
      <c r="BC1" s="1044"/>
      <c r="BD1" s="1044"/>
      <c r="BE1" s="1044"/>
      <c r="BF1" s="1044"/>
      <c r="BG1" s="1041"/>
      <c r="BH1" s="1044"/>
      <c r="BI1" s="1044"/>
      <c r="BJ1" s="1044"/>
      <c r="BK1" s="1044"/>
      <c r="BL1" s="1044"/>
      <c r="BM1" s="1044"/>
      <c r="BN1" s="1041"/>
      <c r="BO1" s="1041"/>
      <c r="BP1" s="1041"/>
      <c r="BQ1" s="1041"/>
      <c r="BR1" s="1041"/>
      <c r="BS1" s="1041"/>
      <c r="BT1" s="1041"/>
    </row>
    <row r="2" spans="1:78">
      <c r="A2" s="1046" t="s">
        <v>800</v>
      </c>
      <c r="B2" s="1047"/>
      <c r="C2" s="1046"/>
      <c r="D2" s="1046"/>
      <c r="E2" s="1048"/>
      <c r="F2" s="1046"/>
      <c r="G2" s="1046"/>
      <c r="H2" s="1046"/>
      <c r="I2" s="1048"/>
      <c r="J2" s="1046"/>
      <c r="K2" s="1046"/>
      <c r="L2" s="1046"/>
      <c r="M2" s="1048"/>
      <c r="N2" s="1046"/>
      <c r="O2" s="1048"/>
      <c r="P2" s="1046"/>
      <c r="Q2" s="1046"/>
      <c r="R2" s="1048"/>
      <c r="S2" s="1046"/>
      <c r="T2" s="1046"/>
      <c r="U2" s="1046"/>
      <c r="V2" s="1046"/>
      <c r="W2" s="1046"/>
      <c r="X2" s="1046"/>
      <c r="Y2" s="1048"/>
      <c r="Z2" s="1048"/>
      <c r="AA2" s="1046"/>
      <c r="AB2" s="1054"/>
      <c r="AC2" s="1046"/>
      <c r="AD2" s="1046"/>
      <c r="AE2" s="1046"/>
      <c r="AF2" s="1046"/>
      <c r="AG2" s="1048"/>
      <c r="AH2" s="1046"/>
      <c r="AI2" s="1048"/>
      <c r="AJ2" s="1046"/>
      <c r="AK2" s="1046"/>
      <c r="AL2" s="1048"/>
      <c r="AM2" s="1046"/>
      <c r="AN2" s="1046"/>
      <c r="AO2" s="1048"/>
      <c r="AP2" s="1048"/>
      <c r="AQ2" s="1046"/>
      <c r="AR2" s="1058"/>
      <c r="AS2" s="1044"/>
      <c r="AT2" s="1044"/>
      <c r="AU2" s="1041"/>
      <c r="AV2" s="1044"/>
      <c r="AW2" s="1044"/>
      <c r="AX2" s="1044"/>
      <c r="AY2" s="1044"/>
      <c r="AZ2" s="1044"/>
      <c r="BA2" s="1044"/>
      <c r="BB2" s="1044"/>
      <c r="BC2" s="1044"/>
      <c r="BD2" s="1044"/>
      <c r="BE2" s="1044"/>
      <c r="BF2" s="1044"/>
      <c r="BG2" s="1041"/>
      <c r="BH2" s="1044"/>
      <c r="BI2" s="1044"/>
      <c r="BJ2" s="1044"/>
      <c r="BK2" s="1044"/>
      <c r="BL2" s="1044"/>
      <c r="BM2" s="1044"/>
      <c r="BN2" s="1041"/>
      <c r="BO2" s="1041"/>
      <c r="BP2" s="1041"/>
      <c r="BQ2" s="1041"/>
      <c r="BR2" s="1041"/>
      <c r="BS2" s="1041"/>
      <c r="BT2" s="1041"/>
    </row>
    <row r="3" spans="1:78">
      <c r="B3" s="1154"/>
      <c r="AB3" s="1155"/>
      <c r="AR3" s="1155"/>
    </row>
    <row r="4" spans="1:78">
      <c r="B4" s="1154"/>
      <c r="AB4" s="1155"/>
      <c r="AR4" s="1155"/>
    </row>
    <row r="5" spans="1:78">
      <c r="B5" s="1154"/>
      <c r="J5" s="1156" t="s">
        <v>54</v>
      </c>
      <c r="K5" s="1157"/>
      <c r="L5" s="1157"/>
      <c r="M5" s="1157"/>
      <c r="N5" s="1157"/>
      <c r="O5" s="1157"/>
      <c r="P5" s="1157"/>
      <c r="Q5" s="1157"/>
      <c r="R5" s="1157"/>
      <c r="S5" s="1157"/>
      <c r="T5" s="1157"/>
      <c r="U5" s="1157"/>
      <c r="V5" s="1157"/>
      <c r="W5" s="1157"/>
      <c r="X5" s="1157"/>
      <c r="Y5" s="1157"/>
      <c r="Z5" s="1157"/>
      <c r="AA5" s="1157"/>
      <c r="AB5" s="1158"/>
      <c r="AD5" s="1156" t="s">
        <v>55</v>
      </c>
      <c r="AE5" s="1157"/>
      <c r="AF5" s="1157"/>
      <c r="AG5" s="1157"/>
      <c r="AH5" s="1157"/>
      <c r="AI5" s="1157"/>
      <c r="AJ5" s="1157"/>
      <c r="AK5" s="1157"/>
      <c r="AL5" s="1157"/>
      <c r="AM5" s="1157"/>
      <c r="AN5" s="1157"/>
      <c r="AO5" s="1157"/>
      <c r="AP5" s="1157"/>
      <c r="AQ5" s="1157"/>
      <c r="AR5" s="1158"/>
    </row>
    <row r="6" spans="1:78">
      <c r="B6" s="1154"/>
      <c r="D6" s="1046"/>
      <c r="E6" s="1054" t="s">
        <v>560</v>
      </c>
      <c r="F6" s="1046"/>
      <c r="H6" s="1050" t="s">
        <v>595</v>
      </c>
      <c r="P6" s="1057" t="s">
        <v>606</v>
      </c>
      <c r="Q6" s="1057"/>
      <c r="S6" s="1159"/>
      <c r="T6" s="1065"/>
      <c r="U6" s="1065"/>
      <c r="V6" s="1065"/>
      <c r="W6" s="1065"/>
      <c r="X6" s="1065"/>
      <c r="Y6" s="1046" t="s">
        <v>51</v>
      </c>
      <c r="Z6" s="1065"/>
      <c r="AA6" s="1065"/>
      <c r="AB6" s="1155"/>
      <c r="AJ6" s="1057" t="s">
        <v>606</v>
      </c>
      <c r="AK6" s="1057"/>
      <c r="AM6" s="1065"/>
      <c r="AN6" s="1065"/>
      <c r="AO6" s="1054" t="s">
        <v>53</v>
      </c>
      <c r="AP6" s="1065"/>
      <c r="AQ6" s="1065"/>
      <c r="AR6" s="1155"/>
    </row>
    <row r="7" spans="1:78">
      <c r="B7" s="1154"/>
      <c r="D7" s="1050"/>
      <c r="E7" s="1050"/>
      <c r="F7" s="1050" t="s">
        <v>594</v>
      </c>
      <c r="G7" s="1050"/>
      <c r="H7" s="1054" t="s">
        <v>596</v>
      </c>
      <c r="J7" s="1054"/>
      <c r="K7" s="1054" t="s">
        <v>601</v>
      </c>
      <c r="L7" s="1054"/>
      <c r="M7" s="1050"/>
      <c r="N7" s="1050" t="s">
        <v>604</v>
      </c>
      <c r="P7" s="1057" t="s">
        <v>607</v>
      </c>
      <c r="Q7" s="1057"/>
      <c r="S7" s="1058" t="s">
        <v>401</v>
      </c>
      <c r="T7" s="1058" t="s">
        <v>593</v>
      </c>
      <c r="U7" s="1058"/>
      <c r="V7" s="1058"/>
      <c r="W7" s="1058"/>
      <c r="Y7" s="1050" t="s">
        <v>611</v>
      </c>
      <c r="AA7" s="1050" t="s">
        <v>613</v>
      </c>
      <c r="AB7" s="1155"/>
      <c r="AD7" s="1054"/>
      <c r="AE7" s="1054" t="s">
        <v>659</v>
      </c>
      <c r="AF7" s="1054"/>
      <c r="AG7" s="1050"/>
      <c r="AH7" s="1050" t="s">
        <v>604</v>
      </c>
      <c r="AJ7" s="1057" t="s">
        <v>607</v>
      </c>
      <c r="AK7" s="1057"/>
      <c r="AO7" s="1050" t="s">
        <v>611</v>
      </c>
      <c r="AQ7" s="1050" t="s">
        <v>613</v>
      </c>
      <c r="AR7" s="1155"/>
      <c r="BH7" s="1041" t="s">
        <v>485</v>
      </c>
      <c r="BI7" s="1041" t="s">
        <v>252</v>
      </c>
      <c r="BJ7" s="1041" t="s">
        <v>252</v>
      </c>
      <c r="BK7" s="1041" t="s">
        <v>252</v>
      </c>
      <c r="BO7" s="1155" t="s">
        <v>386</v>
      </c>
      <c r="BP7" s="1155"/>
      <c r="BR7" s="1041" t="s">
        <v>367</v>
      </c>
      <c r="BW7" s="1041" t="s">
        <v>493</v>
      </c>
      <c r="BX7" s="1041"/>
    </row>
    <row r="8" spans="1:78">
      <c r="B8" s="1154"/>
      <c r="D8" s="1054" t="s">
        <v>593</v>
      </c>
      <c r="E8" s="1050"/>
      <c r="F8" s="1054" t="s">
        <v>573</v>
      </c>
      <c r="G8" s="1050"/>
      <c r="H8" s="1050" t="s">
        <v>597</v>
      </c>
      <c r="J8" s="1054" t="s">
        <v>593</v>
      </c>
      <c r="K8" s="1050"/>
      <c r="L8" s="1054" t="s">
        <v>586</v>
      </c>
      <c r="M8" s="1050"/>
      <c r="N8" s="1054" t="s">
        <v>489</v>
      </c>
      <c r="P8" s="1056" t="s">
        <v>608</v>
      </c>
      <c r="Q8" s="1056"/>
      <c r="S8" s="1054" t="s">
        <v>492</v>
      </c>
      <c r="T8" s="1054" t="s">
        <v>419</v>
      </c>
      <c r="U8" s="1058"/>
      <c r="V8" s="1058"/>
      <c r="W8" s="1058"/>
      <c r="Y8" s="1054" t="s">
        <v>588</v>
      </c>
      <c r="AA8" s="1054" t="s">
        <v>589</v>
      </c>
      <c r="AB8" s="1155"/>
      <c r="AD8" s="1054" t="s">
        <v>593</v>
      </c>
      <c r="AE8" s="1050"/>
      <c r="AF8" s="1054" t="s">
        <v>586</v>
      </c>
      <c r="AG8" s="1050"/>
      <c r="AH8" s="1054" t="s">
        <v>489</v>
      </c>
      <c r="AJ8" s="1056" t="s">
        <v>50</v>
      </c>
      <c r="AK8" s="1056"/>
      <c r="AM8" s="1054" t="s">
        <v>593</v>
      </c>
      <c r="AO8" s="1054" t="s">
        <v>45</v>
      </c>
      <c r="AQ8" s="1054" t="s">
        <v>589</v>
      </c>
      <c r="AR8" s="1155"/>
      <c r="AT8" s="1054" t="s">
        <v>811</v>
      </c>
      <c r="AU8" s="1054" t="s">
        <v>810</v>
      </c>
      <c r="BA8" s="1054" t="s">
        <v>317</v>
      </c>
      <c r="BB8" s="2133" t="s">
        <v>81</v>
      </c>
      <c r="BC8" s="2133"/>
      <c r="BD8" s="1054" t="s">
        <v>151</v>
      </c>
      <c r="BE8" s="1054" t="s">
        <v>150</v>
      </c>
      <c r="BF8" s="1054"/>
      <c r="BG8" s="1160" t="s">
        <v>254</v>
      </c>
      <c r="BH8" s="1054" t="s">
        <v>560</v>
      </c>
      <c r="BI8" s="1054" t="s">
        <v>573</v>
      </c>
      <c r="BJ8" s="1054" t="s">
        <v>253</v>
      </c>
      <c r="BK8" s="1054" t="s">
        <v>253</v>
      </c>
      <c r="BL8" s="1054" t="s">
        <v>277</v>
      </c>
      <c r="BM8" s="1054" t="s">
        <v>153</v>
      </c>
      <c r="BO8" s="1059" t="s">
        <v>382</v>
      </c>
      <c r="BP8" s="1059" t="s">
        <v>387</v>
      </c>
      <c r="BQ8" s="1161"/>
      <c r="BR8" s="1054" t="s">
        <v>81</v>
      </c>
      <c r="BS8" s="1054" t="s">
        <v>151</v>
      </c>
      <c r="BT8" s="1054" t="s">
        <v>150</v>
      </c>
      <c r="BU8" s="1054" t="s">
        <v>193</v>
      </c>
      <c r="BW8" s="1054" t="s">
        <v>573</v>
      </c>
      <c r="BX8" s="1162" t="s">
        <v>494</v>
      </c>
      <c r="BY8" s="1054" t="s">
        <v>492</v>
      </c>
      <c r="BZ8" s="1162" t="s">
        <v>494</v>
      </c>
    </row>
    <row r="9" spans="1:78">
      <c r="B9" s="1154"/>
      <c r="D9" s="1163" t="s">
        <v>599</v>
      </c>
      <c r="E9" s="1050"/>
      <c r="F9" s="1163" t="s">
        <v>600</v>
      </c>
      <c r="G9" s="1050"/>
      <c r="H9" s="1163" t="s">
        <v>598</v>
      </c>
      <c r="J9" s="1163" t="s">
        <v>602</v>
      </c>
      <c r="K9" s="1050"/>
      <c r="L9" s="1163" t="s">
        <v>603</v>
      </c>
      <c r="M9" s="1050"/>
      <c r="N9" s="1163" t="s">
        <v>605</v>
      </c>
      <c r="P9" s="1164" t="s">
        <v>609</v>
      </c>
      <c r="Q9" s="1164"/>
      <c r="S9" s="1163"/>
      <c r="T9" s="1163" t="s">
        <v>610</v>
      </c>
      <c r="U9" s="1163"/>
      <c r="V9" s="1163"/>
      <c r="W9" s="1163"/>
      <c r="Y9" s="1163" t="s">
        <v>612</v>
      </c>
      <c r="AA9" s="1163" t="s">
        <v>614</v>
      </c>
      <c r="AB9" s="1155"/>
      <c r="AD9" s="1163" t="s">
        <v>42</v>
      </c>
      <c r="AE9" s="1050"/>
      <c r="AF9" s="1163" t="s">
        <v>43</v>
      </c>
      <c r="AG9" s="1050"/>
      <c r="AH9" s="1163" t="s">
        <v>44</v>
      </c>
      <c r="AJ9" s="1164" t="s">
        <v>46</v>
      </c>
      <c r="AK9" s="1164"/>
      <c r="AM9" s="1163" t="s">
        <v>47</v>
      </c>
      <c r="AO9" s="1163" t="s">
        <v>48</v>
      </c>
      <c r="AQ9" s="1163" t="s">
        <v>49</v>
      </c>
      <c r="AR9" s="1155"/>
      <c r="AT9" s="1050"/>
      <c r="BA9" s="1050" t="s">
        <v>482</v>
      </c>
      <c r="BB9" s="1165" t="s">
        <v>276</v>
      </c>
      <c r="BC9" s="1165" t="s">
        <v>277</v>
      </c>
      <c r="BD9" s="1050" t="s">
        <v>482</v>
      </c>
      <c r="BE9" s="1050" t="s">
        <v>482</v>
      </c>
      <c r="BF9" s="1050"/>
      <c r="BK9" s="1045" t="s">
        <v>254</v>
      </c>
    </row>
    <row r="10" spans="1:78" hidden="1" outlineLevel="1">
      <c r="B10" s="1154"/>
      <c r="P10" s="1062"/>
      <c r="Q10" s="1062"/>
      <c r="AB10" s="1155"/>
      <c r="AJ10" s="1062"/>
      <c r="AK10" s="1062"/>
      <c r="AR10" s="1155"/>
    </row>
    <row r="11" spans="1:78" hidden="1" outlineLevel="2" collapsed="1">
      <c r="A11" s="1166"/>
      <c r="B11" s="1167">
        <v>1990</v>
      </c>
      <c r="P11" s="1062"/>
      <c r="Q11" s="1062"/>
      <c r="AB11" s="1155"/>
      <c r="AJ11" s="1062"/>
      <c r="AK11" s="1062"/>
      <c r="AR11" s="1155"/>
    </row>
    <row r="12" spans="1:78" hidden="1" outlineLevel="2">
      <c r="A12" s="1045" t="str">
        <f>$A$40</f>
        <v>1Q</v>
      </c>
      <c r="B12" s="1154" t="str">
        <f>$B$40</f>
        <v>Apr</v>
      </c>
      <c r="D12" s="1068">
        <f>'qtrP&amp;L'!G10</f>
        <v>29.827538920706619</v>
      </c>
      <c r="E12" s="1045" t="s">
        <v>489</v>
      </c>
      <c r="F12" s="1068">
        <f>'qtrP&amp;L'!H10</f>
        <v>18</v>
      </c>
      <c r="G12" s="1045" t="s">
        <v>489</v>
      </c>
      <c r="H12" s="1068">
        <f>D12-F12</f>
        <v>11.827538920706619</v>
      </c>
      <c r="I12" s="1155" t="s">
        <v>489</v>
      </c>
      <c r="J12" s="1060"/>
      <c r="N12" s="1068"/>
      <c r="O12" s="1155" t="s">
        <v>489</v>
      </c>
      <c r="P12" s="1169"/>
      <c r="Q12" s="1062" t="s">
        <v>489</v>
      </c>
      <c r="S12" s="1170"/>
      <c r="T12" s="1170">
        <f>'qtrP&amp;L'!F$10</f>
        <v>402.36799999999999</v>
      </c>
      <c r="U12" s="1170"/>
      <c r="V12" s="1170"/>
      <c r="W12" s="1170"/>
      <c r="Y12" s="1171"/>
      <c r="AA12" s="1168"/>
      <c r="AB12" s="1155" t="s">
        <v>489</v>
      </c>
      <c r="AD12" s="1172">
        <v>4.1639999999999997</v>
      </c>
      <c r="AF12" s="1173">
        <f>AVERAGE(AD12,AD8)</f>
        <v>4.1639999999999997</v>
      </c>
      <c r="AH12" s="1068"/>
      <c r="AI12" s="1155"/>
      <c r="AJ12" s="1169"/>
      <c r="AK12" s="1062" t="s">
        <v>489</v>
      </c>
      <c r="AM12" s="1170">
        <f>+T12</f>
        <v>402.36799999999999</v>
      </c>
      <c r="AO12" s="1174">
        <f>AM12/AF12</f>
        <v>96.630163304514895</v>
      </c>
      <c r="AQ12" s="1068"/>
      <c r="AR12" s="1155" t="s">
        <v>489</v>
      </c>
    </row>
    <row r="13" spans="1:78" hidden="1" outlineLevel="2">
      <c r="A13" s="1045" t="str">
        <f>$A$41</f>
        <v>2Q</v>
      </c>
      <c r="B13" s="1154" t="str">
        <f>$B$41</f>
        <v>Jul</v>
      </c>
      <c r="D13" s="1068">
        <f>'qtrP&amp;L'!G11</f>
        <v>24.255152037651207</v>
      </c>
      <c r="F13" s="1068">
        <f>'qtrP&amp;L'!H11</f>
        <v>19</v>
      </c>
      <c r="H13" s="1068">
        <f>D13-F13</f>
        <v>5.2551520376512073</v>
      </c>
      <c r="I13" s="1155"/>
      <c r="J13" s="1060"/>
      <c r="L13" s="1175"/>
      <c r="N13" s="1068"/>
      <c r="O13" s="1155"/>
      <c r="P13" s="1169"/>
      <c r="Q13" s="1062"/>
      <c r="S13" s="1176"/>
      <c r="T13" s="1176">
        <f>'qtrP&amp;L'!F$11</f>
        <v>404.99599999999998</v>
      </c>
      <c r="U13" s="1176"/>
      <c r="V13" s="1176"/>
      <c r="W13" s="1176"/>
      <c r="Y13" s="1177"/>
      <c r="AA13" s="1168"/>
      <c r="AB13" s="1155"/>
      <c r="AD13" s="1172">
        <v>4.3090000000000002</v>
      </c>
      <c r="AF13" s="1173">
        <f>AVERAGE(AD13,AD12)</f>
        <v>4.2364999999999995</v>
      </c>
      <c r="AH13" s="1068"/>
      <c r="AI13" s="1155"/>
      <c r="AJ13" s="1169"/>
      <c r="AK13" s="1062"/>
      <c r="AM13" s="1176">
        <f>+T13</f>
        <v>404.99599999999998</v>
      </c>
      <c r="AO13" s="1178">
        <f>AM13/AF13</f>
        <v>95.596837011684187</v>
      </c>
      <c r="AQ13" s="1168"/>
      <c r="AR13" s="1155"/>
    </row>
    <row r="14" spans="1:78" hidden="1" outlineLevel="2">
      <c r="A14" s="1045" t="str">
        <f>$A$42</f>
        <v>3Q</v>
      </c>
      <c r="B14" s="1154" t="str">
        <f>$B$42</f>
        <v>Oct</v>
      </c>
      <c r="D14" s="1068">
        <f>'qtrP&amp;L'!G12</f>
        <v>23.690523445455014</v>
      </c>
      <c r="F14" s="1068">
        <f>'qtrP&amp;L'!H12</f>
        <v>12</v>
      </c>
      <c r="H14" s="1068">
        <f>D14-F14</f>
        <v>11.690523445455014</v>
      </c>
      <c r="I14" s="1155"/>
      <c r="J14" s="1060"/>
      <c r="L14" s="1175"/>
      <c r="N14" s="1068"/>
      <c r="O14" s="1155"/>
      <c r="P14" s="1169"/>
      <c r="Q14" s="1062"/>
      <c r="S14" s="1176"/>
      <c r="T14" s="1176">
        <f>'qtrP&amp;L'!F$12</f>
        <v>501.69</v>
      </c>
      <c r="U14" s="1176"/>
      <c r="V14" s="1176"/>
      <c r="W14" s="1176"/>
      <c r="Y14" s="1177"/>
      <c r="AA14" s="1168"/>
      <c r="AB14" s="1155"/>
      <c r="AD14" s="1172">
        <v>4.6040000000000001</v>
      </c>
      <c r="AF14" s="1173">
        <f>AVERAGE(AD14,AD13)</f>
        <v>4.4565000000000001</v>
      </c>
      <c r="AH14" s="1068"/>
      <c r="AI14" s="1155"/>
      <c r="AJ14" s="1169"/>
      <c r="AK14" s="1062"/>
      <c r="AM14" s="1176">
        <f>+T14</f>
        <v>501.69</v>
      </c>
      <c r="AO14" s="1178">
        <f>AM14/AF14</f>
        <v>112.57489060922248</v>
      </c>
      <c r="AQ14" s="1168"/>
      <c r="AR14" s="1155"/>
    </row>
    <row r="15" spans="1:78" hidden="1" outlineLevel="2">
      <c r="A15" s="1045" t="str">
        <f>$A$43</f>
        <v>4Q</v>
      </c>
      <c r="B15" s="1154" t="str">
        <f>$B$43</f>
        <v>Jan</v>
      </c>
      <c r="D15" s="1179">
        <f>'qtrP&amp;L'!G13</f>
        <v>14.601077539160311</v>
      </c>
      <c r="F15" s="1179">
        <f>'qtrP&amp;L'!H13</f>
        <v>9</v>
      </c>
      <c r="H15" s="1179">
        <f>D15-F15</f>
        <v>5.6010775391603111</v>
      </c>
      <c r="I15" s="1155"/>
      <c r="J15" s="1181">
        <v>1092</v>
      </c>
      <c r="L15" s="1182">
        <f>AVERAGE(J15,J14)</f>
        <v>1092</v>
      </c>
      <c r="N15" s="1179"/>
      <c r="O15" s="1155"/>
      <c r="P15" s="1182"/>
      <c r="Q15" s="1062"/>
      <c r="S15" s="1183"/>
      <c r="T15" s="1183">
        <f>'qtrP&amp;L'!F$13</f>
        <v>624.726</v>
      </c>
      <c r="U15" s="1197"/>
      <c r="V15" s="1197"/>
      <c r="W15" s="1197"/>
      <c r="Y15" s="1184">
        <f>T15/L15</f>
        <v>0.57209340659340657</v>
      </c>
      <c r="AA15" s="1180"/>
      <c r="AB15" s="1155"/>
      <c r="AD15" s="1185">
        <v>4.7622999999999998</v>
      </c>
      <c r="AF15" s="1186">
        <f>AVERAGE(AD15,AD14)</f>
        <v>4.6831499999999995</v>
      </c>
      <c r="AH15" s="1179"/>
      <c r="AI15" s="1155"/>
      <c r="AJ15" s="1182"/>
      <c r="AK15" s="1062"/>
      <c r="AM15" s="1183">
        <f>+T15</f>
        <v>624.726</v>
      </c>
      <c r="AO15" s="1187">
        <f>AM15/AF15</f>
        <v>133.39867396944365</v>
      </c>
      <c r="AQ15" s="1180"/>
      <c r="AR15" s="1155"/>
    </row>
    <row r="16" spans="1:78" hidden="1" outlineLevel="2">
      <c r="B16" s="1154" t="str">
        <f>$B$44</f>
        <v>Year</v>
      </c>
      <c r="D16" s="1068">
        <f>+'qtrP&amp;L'!G14</f>
        <v>21.882319128499006</v>
      </c>
      <c r="F16" s="1068">
        <f>'qtrP&amp;L'!H14</f>
        <v>14</v>
      </c>
      <c r="H16" s="1068">
        <f>D16-F16</f>
        <v>7.882319128499006</v>
      </c>
      <c r="I16" s="1155"/>
      <c r="J16" s="1060"/>
      <c r="L16" s="1175">
        <f>AVERAGE(L12:L15)</f>
        <v>1092</v>
      </c>
      <c r="N16" s="1068"/>
      <c r="O16" s="1155"/>
      <c r="P16" s="1169"/>
      <c r="Q16" s="1062"/>
      <c r="S16" s="1170"/>
      <c r="T16" s="1170">
        <f>SUM(T12:T15)</f>
        <v>1933.7800000000002</v>
      </c>
      <c r="U16" s="1170"/>
      <c r="V16" s="1170"/>
      <c r="W16" s="1170"/>
      <c r="Y16" s="1171">
        <f>SUM(Y12:Y15)</f>
        <v>0.57209340659340657</v>
      </c>
      <c r="AA16" s="1168"/>
      <c r="AB16" s="1155"/>
      <c r="AD16" s="1060"/>
      <c r="AF16" s="1173">
        <f>AVERAGE(AF12:AF15)</f>
        <v>4.3850374999999993</v>
      </c>
      <c r="AH16" s="1068"/>
      <c r="AI16" s="1155"/>
      <c r="AJ16" s="1169"/>
      <c r="AK16" s="1062"/>
      <c r="AM16" s="1170">
        <f>SUM(AM12:AM15)</f>
        <v>1933.7800000000002</v>
      </c>
      <c r="AO16" s="1174">
        <f>SUM(AO12:AO15)</f>
        <v>438.20056489486524</v>
      </c>
      <c r="AQ16" s="1168"/>
      <c r="AR16" s="1155"/>
    </row>
    <row r="17" spans="1:44" hidden="1" outlineLevel="2">
      <c r="B17" s="1154"/>
      <c r="F17" s="1801"/>
      <c r="I17" s="1155"/>
      <c r="J17" s="1060"/>
      <c r="O17" s="1155"/>
      <c r="P17" s="1062"/>
      <c r="Q17" s="1062"/>
      <c r="AB17" s="1155"/>
      <c r="AD17" s="1060"/>
      <c r="AI17" s="1155"/>
      <c r="AJ17" s="1062"/>
      <c r="AK17" s="1062"/>
      <c r="AR17" s="1155"/>
    </row>
    <row r="18" spans="1:44" hidden="1" outlineLevel="2" collapsed="1">
      <c r="A18" s="1166"/>
      <c r="B18" s="1188">
        <f>B11+1</f>
        <v>1991</v>
      </c>
      <c r="F18" s="1801"/>
      <c r="P18" s="1062"/>
      <c r="Q18" s="1062"/>
      <c r="AB18" s="1155"/>
      <c r="AJ18" s="1062"/>
      <c r="AK18" s="1062"/>
      <c r="AR18" s="1155"/>
    </row>
    <row r="19" spans="1:44" hidden="1" outlineLevel="2">
      <c r="A19" s="1045" t="str">
        <f>$A$40</f>
        <v>1Q</v>
      </c>
      <c r="B19" s="1154" t="str">
        <f>$B$40</f>
        <v>Apr</v>
      </c>
      <c r="D19" s="1068">
        <f>(T19/T12-1)*100</f>
        <v>21.853626530936854</v>
      </c>
      <c r="E19" s="1045" t="s">
        <v>489</v>
      </c>
      <c r="F19" s="1799">
        <v>6</v>
      </c>
      <c r="G19" s="1045" t="s">
        <v>489</v>
      </c>
      <c r="H19" s="1068">
        <f>D19-F19</f>
        <v>15.853626530936854</v>
      </c>
      <c r="I19" s="1155" t="s">
        <v>489</v>
      </c>
      <c r="J19" s="1060">
        <v>1130</v>
      </c>
      <c r="L19" s="1045">
        <f>AVERAGE(J19,J15)</f>
        <v>1111</v>
      </c>
      <c r="N19" s="1068"/>
      <c r="O19" s="1155" t="s">
        <v>489</v>
      </c>
      <c r="P19" s="1169"/>
      <c r="Q19" s="1062" t="s">
        <v>489</v>
      </c>
      <c r="S19" s="1170"/>
      <c r="T19" s="1170">
        <f>'qtrP&amp;L'!J$10</f>
        <v>490.3</v>
      </c>
      <c r="U19" s="1170"/>
      <c r="V19" s="1170"/>
      <c r="W19" s="1170"/>
      <c r="Y19" s="1171">
        <f>T19/L19</f>
        <v>0.4413141314131413</v>
      </c>
      <c r="AA19" s="1168"/>
      <c r="AB19" s="1155" t="s">
        <v>489</v>
      </c>
      <c r="AD19" s="1172">
        <v>4.9740000000000002</v>
      </c>
      <c r="AF19" s="1173">
        <f>AVERAGE(AD19,AD15)</f>
        <v>4.86815</v>
      </c>
      <c r="AH19" s="1068">
        <f>(AF19/AF12-1)*100</f>
        <v>16.910422670509128</v>
      </c>
      <c r="AI19" s="1155" t="s">
        <v>489</v>
      </c>
      <c r="AJ19" s="1169">
        <f>+H19/AH19*100</f>
        <v>93.750622558859689</v>
      </c>
      <c r="AK19" s="1062" t="s">
        <v>489</v>
      </c>
      <c r="AM19" s="1170">
        <f>+T19</f>
        <v>490.3</v>
      </c>
      <c r="AO19" s="1174">
        <f>AM19/AF19</f>
        <v>100.71587769481221</v>
      </c>
      <c r="AQ19" s="1068">
        <f>(AO19/AO12-1)*100</f>
        <v>4.2281977496217316</v>
      </c>
      <c r="AR19" s="1155" t="s">
        <v>489</v>
      </c>
    </row>
    <row r="20" spans="1:44" hidden="1" outlineLevel="2">
      <c r="A20" s="1045" t="str">
        <f>$A$41</f>
        <v>2Q</v>
      </c>
      <c r="B20" s="1154" t="str">
        <f>$B$41</f>
        <v>Jul</v>
      </c>
      <c r="D20" s="1068">
        <f>(T20/T13-1)*100</f>
        <v>29.1509051941254</v>
      </c>
      <c r="F20" s="1799">
        <v>11</v>
      </c>
      <c r="H20" s="1068">
        <f>D20-F20</f>
        <v>18.1509051941254</v>
      </c>
      <c r="I20" s="1155"/>
      <c r="J20" s="1060">
        <v>1168</v>
      </c>
      <c r="L20" s="1175">
        <f>AVERAGE(J20,J19)</f>
        <v>1149</v>
      </c>
      <c r="N20" s="1068"/>
      <c r="O20" s="1155"/>
      <c r="P20" s="1169"/>
      <c r="Q20" s="1062"/>
      <c r="S20" s="1176"/>
      <c r="T20" s="1176">
        <f>'qtrP&amp;L'!J$11</f>
        <v>523.05600000000004</v>
      </c>
      <c r="U20" s="1176"/>
      <c r="V20" s="1176"/>
      <c r="W20" s="1176"/>
      <c r="Y20" s="1177">
        <f>T20/L20</f>
        <v>0.45522715404699743</v>
      </c>
      <c r="AA20" s="1168"/>
      <c r="AB20" s="1155"/>
      <c r="AD20" s="1172">
        <v>5.234</v>
      </c>
      <c r="AF20" s="1173">
        <f>AVERAGE(AD20,AD19)</f>
        <v>5.1040000000000001</v>
      </c>
      <c r="AH20" s="1068">
        <f>(AF20/AF13-1)*100</f>
        <v>20.47680868641568</v>
      </c>
      <c r="AI20" s="1155"/>
      <c r="AJ20" s="1169">
        <f>+H20/AH20*100</f>
        <v>88.641279371656751</v>
      </c>
      <c r="AK20" s="1062"/>
      <c r="AM20" s="1176">
        <f>+T20</f>
        <v>523.05600000000004</v>
      </c>
      <c r="AO20" s="1178">
        <f>AM20/AF20</f>
        <v>102.47962382445142</v>
      </c>
      <c r="AQ20" s="1168">
        <f>(AO20/AO13-1)*100</f>
        <v>7.1998060060564528</v>
      </c>
      <c r="AR20" s="1155"/>
    </row>
    <row r="21" spans="1:44" hidden="1" outlineLevel="2">
      <c r="A21" s="1045" t="str">
        <f>$A$42</f>
        <v>3Q</v>
      </c>
      <c r="B21" s="1154" t="str">
        <f>$B$42</f>
        <v>Oct</v>
      </c>
      <c r="D21" s="1068">
        <f>(T21/T14-1)*100</f>
        <v>39.937411548964505</v>
      </c>
      <c r="F21" s="1799">
        <v>20</v>
      </c>
      <c r="H21" s="1068">
        <f>D21-F21</f>
        <v>19.937411548964505</v>
      </c>
      <c r="I21" s="1155"/>
      <c r="J21" s="1060">
        <v>1201</v>
      </c>
      <c r="L21" s="1175">
        <f>AVERAGE(J21,J20)</f>
        <v>1184.5</v>
      </c>
      <c r="N21" s="1068"/>
      <c r="O21" s="1155"/>
      <c r="P21" s="1169"/>
      <c r="Q21" s="1062"/>
      <c r="S21" s="1176"/>
      <c r="T21" s="1176">
        <f>'qtrP&amp;L'!J$12</f>
        <v>702.05200000000002</v>
      </c>
      <c r="U21" s="1176"/>
      <c r="V21" s="1176"/>
      <c r="W21" s="1176"/>
      <c r="Y21" s="1177">
        <f>T21/L21</f>
        <v>0.59269902912621364</v>
      </c>
      <c r="AA21" s="1168"/>
      <c r="AB21" s="1155"/>
      <c r="AD21" s="1172">
        <v>5.4720000000000004</v>
      </c>
      <c r="AF21" s="1173">
        <f>AVERAGE(AD21,AD20)</f>
        <v>5.3529999999999998</v>
      </c>
      <c r="AH21" s="1068">
        <f>(AF21/AF14-1)*100</f>
        <v>20.116683496017053</v>
      </c>
      <c r="AI21" s="1155"/>
      <c r="AJ21" s="1169">
        <f>+H21/AH21*100</f>
        <v>99.108839451154836</v>
      </c>
      <c r="AK21" s="1062"/>
      <c r="AM21" s="1176">
        <f>+T21</f>
        <v>702.05200000000002</v>
      </c>
      <c r="AO21" s="1178">
        <f>AM21/AF21</f>
        <v>131.15113020736038</v>
      </c>
      <c r="AQ21" s="1168">
        <f>(AO21/AO14-1)*100</f>
        <v>16.501228202495888</v>
      </c>
      <c r="AR21" s="1155"/>
    </row>
    <row r="22" spans="1:44" hidden="1" outlineLevel="2">
      <c r="A22" s="1045" t="str">
        <f>$A$43</f>
        <v>4Q</v>
      </c>
      <c r="B22" s="1154" t="str">
        <f>$B$43</f>
        <v>Jan</v>
      </c>
      <c r="D22" s="1179">
        <f>(T22/T15-1)*100</f>
        <v>28.613984370748135</v>
      </c>
      <c r="F22" s="1800">
        <v>12</v>
      </c>
      <c r="H22" s="1179">
        <f>D22-F22</f>
        <v>16.613984370748135</v>
      </c>
      <c r="I22" s="1155"/>
      <c r="J22" s="1181">
        <v>1216</v>
      </c>
      <c r="L22" s="1182">
        <f>AVERAGE(J22,J21)</f>
        <v>1208.5</v>
      </c>
      <c r="N22" s="1179">
        <f>(L22/L15-1)*100</f>
        <v>10.668498168498175</v>
      </c>
      <c r="O22" s="1155"/>
      <c r="P22" s="1182">
        <f>H22/N22*100</f>
        <v>155.72936423053179</v>
      </c>
      <c r="Q22" s="1062"/>
      <c r="S22" s="1183"/>
      <c r="T22" s="1183">
        <f>'qtrP&amp;L'!J$13</f>
        <v>803.48500000000001</v>
      </c>
      <c r="U22" s="1197"/>
      <c r="V22" s="1197"/>
      <c r="W22" s="1197"/>
      <c r="Y22" s="1184">
        <f>T22/L22</f>
        <v>0.66486139842780312</v>
      </c>
      <c r="AA22" s="1180">
        <f>(Y22/Y15-1)*100</f>
        <v>16.215532422719892</v>
      </c>
      <c r="AB22" s="1155"/>
      <c r="AD22" s="1185">
        <v>5.6383999999999999</v>
      </c>
      <c r="AF22" s="1186">
        <f>AVERAGE(AD22,AD21)</f>
        <v>5.5552000000000001</v>
      </c>
      <c r="AH22" s="1179">
        <f>(AF22/AF15-1)*100</f>
        <v>18.621013633985694</v>
      </c>
      <c r="AI22" s="1155"/>
      <c r="AJ22" s="1182">
        <f>+H22/AH22*100</f>
        <v>89.221697042450586</v>
      </c>
      <c r="AK22" s="1062"/>
      <c r="AM22" s="1183">
        <f>+T22</f>
        <v>803.48500000000001</v>
      </c>
      <c r="AO22" s="1187">
        <f>AM22/AF22</f>
        <v>144.63655673963135</v>
      </c>
      <c r="AQ22" s="1180">
        <f>(AO22/AO15-1)*100</f>
        <v>8.4242837172143545</v>
      </c>
      <c r="AR22" s="1155"/>
    </row>
    <row r="23" spans="1:44" hidden="1" outlineLevel="2">
      <c r="B23" s="1154" t="str">
        <f>$B$44</f>
        <v>Year</v>
      </c>
      <c r="D23" s="1068">
        <f>(T23/T16-1)*100</f>
        <v>30.257474997155811</v>
      </c>
      <c r="F23" s="1799">
        <v>13</v>
      </c>
      <c r="H23" s="1068">
        <f>D23-F23</f>
        <v>17.257474997155811</v>
      </c>
      <c r="I23" s="1155"/>
      <c r="J23" s="1060"/>
      <c r="L23" s="1175">
        <f>AVERAGE(L19:L22)</f>
        <v>1163.25</v>
      </c>
      <c r="N23" s="1068">
        <f>(L23/L16-1)*100</f>
        <v>6.5247252747252737</v>
      </c>
      <c r="O23" s="1155"/>
      <c r="P23" s="1169">
        <f>H23/N23*100</f>
        <v>264.49351153535645</v>
      </c>
      <c r="Q23" s="1062"/>
      <c r="S23" s="1170"/>
      <c r="T23" s="1170">
        <f>SUM(T19:T22)</f>
        <v>2518.893</v>
      </c>
      <c r="U23" s="1170"/>
      <c r="V23" s="1170"/>
      <c r="W23" s="1170"/>
      <c r="Y23" s="1171">
        <f>SUM(Y19:Y22)</f>
        <v>2.1541017130141551</v>
      </c>
      <c r="AA23" s="1168">
        <f>(Y23/Y16-1)*100</f>
        <v>276.5297219279264</v>
      </c>
      <c r="AB23" s="1155"/>
      <c r="AD23" s="1060"/>
      <c r="AF23" s="1173">
        <f>AVERAGE(AF19:AF22)</f>
        <v>5.2200875</v>
      </c>
      <c r="AH23" s="1068">
        <f>(AF23/AF16-1)*100</f>
        <v>19.043166677594002</v>
      </c>
      <c r="AI23" s="1155"/>
      <c r="AJ23" s="1169">
        <f>+H23/AH23*100</f>
        <v>90.62292679221666</v>
      </c>
      <c r="AK23" s="1062"/>
      <c r="AM23" s="1170">
        <f>SUM(AM19:AM22)</f>
        <v>2518.893</v>
      </c>
      <c r="AO23" s="1174">
        <f>SUM(AO19:AO22)</f>
        <v>478.98318846625534</v>
      </c>
      <c r="AQ23" s="1168">
        <f>(AO23/AO16-1)*100</f>
        <v>9.3068395704087656</v>
      </c>
      <c r="AR23" s="1155"/>
    </row>
    <row r="24" spans="1:44" hidden="1" outlineLevel="2">
      <c r="B24" s="1154"/>
      <c r="F24" s="1801"/>
      <c r="I24" s="1155"/>
      <c r="J24" s="1060"/>
      <c r="O24" s="1155"/>
      <c r="P24" s="1062"/>
      <c r="Q24" s="1062"/>
      <c r="AB24" s="1155"/>
      <c r="AD24" s="1060"/>
      <c r="AI24" s="1155"/>
      <c r="AJ24" s="1062"/>
      <c r="AK24" s="1062"/>
      <c r="AR24" s="1155"/>
    </row>
    <row r="25" spans="1:44" hidden="1" outlineLevel="2" collapsed="1">
      <c r="A25" s="1166"/>
      <c r="B25" s="1188">
        <f>B18+1</f>
        <v>1992</v>
      </c>
      <c r="F25" s="1801"/>
      <c r="P25" s="1062"/>
      <c r="Q25" s="1062"/>
      <c r="AB25" s="1155"/>
      <c r="AJ25" s="1062"/>
      <c r="AK25" s="1062"/>
      <c r="AR25" s="1155"/>
    </row>
    <row r="26" spans="1:44" hidden="1" outlineLevel="2">
      <c r="A26" s="1045" t="str">
        <f>$A$40</f>
        <v>1Q</v>
      </c>
      <c r="B26" s="1154" t="str">
        <f>$B$40</f>
        <v>Apr</v>
      </c>
      <c r="D26" s="1068">
        <f>(T26/T19-1)*100</f>
        <v>20.102794207627994</v>
      </c>
      <c r="E26" s="1045" t="s">
        <v>489</v>
      </c>
      <c r="F26" s="1799">
        <v>5</v>
      </c>
      <c r="G26" s="1045" t="s">
        <v>489</v>
      </c>
      <c r="H26" s="1068">
        <f>D26-F26</f>
        <v>15.102794207627994</v>
      </c>
      <c r="I26" s="1155" t="s">
        <v>489</v>
      </c>
      <c r="J26" s="1060">
        <v>1236</v>
      </c>
      <c r="L26" s="1045">
        <f>AVERAGE(J26,J22)</f>
        <v>1226</v>
      </c>
      <c r="N26" s="1068">
        <f>(L26/L19-1)*100</f>
        <v>10.351035103510341</v>
      </c>
      <c r="O26" s="1155" t="s">
        <v>489</v>
      </c>
      <c r="P26" s="1169">
        <f>H26/N26*100</f>
        <v>145.90612491021494</v>
      </c>
      <c r="Q26" s="1062" t="s">
        <v>489</v>
      </c>
      <c r="S26" s="1189"/>
      <c r="T26" s="1189">
        <f>'qtrP&amp;L'!N$10</f>
        <v>588.86400000000003</v>
      </c>
      <c r="U26" s="1189"/>
      <c r="V26" s="1189"/>
      <c r="W26" s="1189"/>
      <c r="Y26" s="1171">
        <f>T26/L26</f>
        <v>0.48031321370309954</v>
      </c>
      <c r="AA26" s="1168">
        <f>(Y26/Y19-1)*100</f>
        <v>8.8370345551995975</v>
      </c>
      <c r="AB26" s="1155" t="s">
        <v>489</v>
      </c>
      <c r="AD26" s="1172">
        <v>5.7969999999999997</v>
      </c>
      <c r="AF26" s="1173">
        <f>AVERAGE(AD26,AD22)</f>
        <v>5.7176999999999998</v>
      </c>
      <c r="AH26" s="1068">
        <f>(AF26/AF19-1)*100</f>
        <v>17.45118782288959</v>
      </c>
      <c r="AI26" s="1155" t="s">
        <v>489</v>
      </c>
      <c r="AJ26" s="1169">
        <f>+H26/AH26*100</f>
        <v>86.543072946694437</v>
      </c>
      <c r="AK26" s="1062" t="s">
        <v>489</v>
      </c>
      <c r="AM26" s="1170">
        <f>+T26</f>
        <v>588.86400000000003</v>
      </c>
      <c r="AO26" s="1174">
        <f>AM26/AF26</f>
        <v>102.98966367595362</v>
      </c>
      <c r="AQ26" s="1068">
        <f>(AO26/AO19-1)*100</f>
        <v>2.2576241533945662</v>
      </c>
      <c r="AR26" s="1155" t="s">
        <v>489</v>
      </c>
    </row>
    <row r="27" spans="1:44" hidden="1" outlineLevel="2">
      <c r="A27" s="1045" t="str">
        <f>$A$41</f>
        <v>2Q</v>
      </c>
      <c r="B27" s="1154" t="str">
        <f>$B$41</f>
        <v>Jul</v>
      </c>
      <c r="D27" s="1068">
        <f>(T27/T20-1)*100</f>
        <v>17.408843412560039</v>
      </c>
      <c r="F27" s="1799">
        <v>5</v>
      </c>
      <c r="H27" s="1068">
        <f>D27-F27</f>
        <v>12.408843412560039</v>
      </c>
      <c r="I27" s="1155"/>
      <c r="J27" s="1060">
        <v>1265</v>
      </c>
      <c r="L27" s="1175">
        <f>AVERAGE(J27,J26)</f>
        <v>1250.5</v>
      </c>
      <c r="N27" s="1068">
        <f>(L27/L20-1)*100</f>
        <v>8.8337684943428982</v>
      </c>
      <c r="O27" s="1155"/>
      <c r="P27" s="1169">
        <f>H27/N27*100</f>
        <v>140.47055252247782</v>
      </c>
      <c r="Q27" s="1062"/>
      <c r="S27" s="1176"/>
      <c r="T27" s="1176">
        <f>'qtrP&amp;L'!N$11</f>
        <v>614.11400000000003</v>
      </c>
      <c r="U27" s="1176"/>
      <c r="V27" s="1176"/>
      <c r="W27" s="1176"/>
      <c r="Y27" s="1177">
        <f>T27/L27</f>
        <v>0.49109476209516195</v>
      </c>
      <c r="AA27" s="1168">
        <f>(Y27/Y20-1)*100</f>
        <v>7.8790572419284111</v>
      </c>
      <c r="AB27" s="1155"/>
      <c r="AD27" s="1172">
        <v>6.0389999999999997</v>
      </c>
      <c r="AF27" s="1173">
        <f>AVERAGE(AD27,AD26)</f>
        <v>5.9179999999999993</v>
      </c>
      <c r="AH27" s="1068">
        <f>(AF27/AF20-1)*100</f>
        <v>15.94827586206895</v>
      </c>
      <c r="AI27" s="1155"/>
      <c r="AJ27" s="1169">
        <f>+H27/AH27*100</f>
        <v>77.806801938214377</v>
      </c>
      <c r="AK27" s="1062"/>
      <c r="AM27" s="1176">
        <f>+T27</f>
        <v>614.11400000000003</v>
      </c>
      <c r="AO27" s="1178">
        <f>AM27/AF27</f>
        <v>103.770530584657</v>
      </c>
      <c r="AQ27" s="1168">
        <f>(AO27/AO20-1)*100</f>
        <v>1.2596716420592236</v>
      </c>
      <c r="AR27" s="1155"/>
    </row>
    <row r="28" spans="1:44" hidden="1" outlineLevel="2">
      <c r="A28" s="1045" t="str">
        <f>$A$42</f>
        <v>3Q</v>
      </c>
      <c r="B28" s="1154" t="str">
        <f>$B$42</f>
        <v>Oct</v>
      </c>
      <c r="D28" s="1068">
        <f>(T28/T21-1)*100</f>
        <v>17.82916365169531</v>
      </c>
      <c r="F28" s="1799">
        <v>7</v>
      </c>
      <c r="H28" s="1068">
        <f>D28-F28</f>
        <v>10.82916365169531</v>
      </c>
      <c r="I28" s="1155"/>
      <c r="J28" s="1060">
        <v>1295</v>
      </c>
      <c r="L28" s="1175">
        <f>AVERAGE(J28,J27)</f>
        <v>1280</v>
      </c>
      <c r="N28" s="1068">
        <f>(L28/L21-1)*100</f>
        <v>8.0624736175601619</v>
      </c>
      <c r="O28" s="1155"/>
      <c r="P28" s="1169">
        <f>H28/N28*100</f>
        <v>134.3156475961579</v>
      </c>
      <c r="Q28" s="1062"/>
      <c r="S28" s="1176"/>
      <c r="T28" s="1176">
        <f>'qtrP&amp;L'!N$12</f>
        <v>827.22199999999998</v>
      </c>
      <c r="U28" s="1176"/>
      <c r="V28" s="1176"/>
      <c r="W28" s="1176"/>
      <c r="Y28" s="1177">
        <f>T28/L28</f>
        <v>0.64626718750000001</v>
      </c>
      <c r="AA28" s="1168">
        <f>(Y28/Y21-1)*100</f>
        <v>9.0380033948695981</v>
      </c>
      <c r="AB28" s="1155"/>
      <c r="AD28" s="1172">
        <v>6.3120000000000003</v>
      </c>
      <c r="AF28" s="1173">
        <f>AVERAGE(AD28,AD27)</f>
        <v>6.1754999999999995</v>
      </c>
      <c r="AH28" s="1068">
        <f>(AF28/AF21-1)*100</f>
        <v>15.365215766859697</v>
      </c>
      <c r="AI28" s="1155"/>
      <c r="AJ28" s="1169">
        <f>+H28/AH28*100</f>
        <v>70.478435291823743</v>
      </c>
      <c r="AK28" s="1062"/>
      <c r="AM28" s="1176">
        <f>+T28</f>
        <v>827.22199999999998</v>
      </c>
      <c r="AO28" s="1178">
        <f>AM28/AF28</f>
        <v>133.95223058861632</v>
      </c>
      <c r="AQ28" s="1168">
        <f>(AO28/AO21-1)*100</f>
        <v>2.1357805890251713</v>
      </c>
      <c r="AR28" s="1155"/>
    </row>
    <row r="29" spans="1:44" hidden="1" outlineLevel="2">
      <c r="A29" s="1045" t="str">
        <f>$A$43</f>
        <v>4Q</v>
      </c>
      <c r="B29" s="1154" t="str">
        <f>$B$43</f>
        <v>Jan</v>
      </c>
      <c r="D29" s="1179">
        <f>(T29/T22-1)*100</f>
        <v>15.771794121856653</v>
      </c>
      <c r="F29" s="1800">
        <v>4</v>
      </c>
      <c r="H29" s="1179">
        <f>D29-F29</f>
        <v>11.771794121856653</v>
      </c>
      <c r="I29" s="1155"/>
      <c r="J29" s="1181">
        <v>1307</v>
      </c>
      <c r="L29" s="1182">
        <f>AVERAGE(J29,J28)</f>
        <v>1301</v>
      </c>
      <c r="N29" s="1179">
        <f>(L29/L22-1)*100</f>
        <v>7.6541166735622612</v>
      </c>
      <c r="O29" s="1155"/>
      <c r="P29" s="1182">
        <f>H29/N29*100</f>
        <v>153.79689941906784</v>
      </c>
      <c r="Q29" s="1062"/>
      <c r="S29" s="1183"/>
      <c r="T29" s="1183">
        <f>'qtrP&amp;L'!N$13</f>
        <v>930.20899999999995</v>
      </c>
      <c r="U29" s="1197"/>
      <c r="V29" s="1197"/>
      <c r="W29" s="1197"/>
      <c r="Y29" s="1184">
        <f>T29/L29</f>
        <v>0.7149953881629515</v>
      </c>
      <c r="AA29" s="1180">
        <f>(Y29/Y22-1)*100</f>
        <v>7.5405174452449986</v>
      </c>
      <c r="AB29" s="1155"/>
      <c r="AD29" s="1185">
        <v>6.5091999999999999</v>
      </c>
      <c r="AF29" s="1186">
        <f>AVERAGE(AD29,AD28)</f>
        <v>6.4106000000000005</v>
      </c>
      <c r="AH29" s="1179">
        <f>(AF29/AF22-1)*100</f>
        <v>15.398185483870975</v>
      </c>
      <c r="AI29" s="1155"/>
      <c r="AJ29" s="1182">
        <f>+H29/AH29*100</f>
        <v>76.449229256181965</v>
      </c>
      <c r="AK29" s="1062"/>
      <c r="AM29" s="1183">
        <f>+T29</f>
        <v>930.20899999999995</v>
      </c>
      <c r="AO29" s="1187">
        <f>AM29/AF29</f>
        <v>145.10482638130594</v>
      </c>
      <c r="AQ29" s="1180">
        <f>(AO29/AO22-1)*100</f>
        <v>0.32375607676942142</v>
      </c>
      <c r="AR29" s="1155"/>
    </row>
    <row r="30" spans="1:44" hidden="1" outlineLevel="2">
      <c r="B30" s="1154" t="str">
        <f>$B$44</f>
        <v>Year</v>
      </c>
      <c r="D30" s="1068">
        <f>(T30/T23-1)*100</f>
        <v>17.528176067820269</v>
      </c>
      <c r="F30" s="1799">
        <v>5</v>
      </c>
      <c r="H30" s="1068">
        <f>D30-F30</f>
        <v>12.528176067820269</v>
      </c>
      <c r="I30" s="1155"/>
      <c r="J30" s="1060"/>
      <c r="L30" s="1175">
        <f>AVERAGE(L26:L29)</f>
        <v>1264.375</v>
      </c>
      <c r="N30" s="1068">
        <f>(L30/L23-1)*100</f>
        <v>8.6933161401246508</v>
      </c>
      <c r="O30" s="1155"/>
      <c r="P30" s="1169">
        <f>H30/N30*100</f>
        <v>144.11273978632312</v>
      </c>
      <c r="Q30" s="1062"/>
      <c r="S30" s="1170"/>
      <c r="T30" s="1170">
        <f>SUM(T26:T29)</f>
        <v>2960.4090000000001</v>
      </c>
      <c r="U30" s="1170"/>
      <c r="V30" s="1170"/>
      <c r="W30" s="1170"/>
      <c r="Y30" s="1171">
        <f>SUM(Y26:Y29)</f>
        <v>2.3326705514612129</v>
      </c>
      <c r="AA30" s="1168">
        <f>(Y30/Y23-1)*100</f>
        <v>8.289712475888301</v>
      </c>
      <c r="AB30" s="1155"/>
      <c r="AD30" s="1060"/>
      <c r="AF30" s="1173">
        <f>AVERAGE(AF26:AF29)</f>
        <v>6.0554500000000004</v>
      </c>
      <c r="AH30" s="1068">
        <f>(AF30/AF23-1)*100</f>
        <v>16.002844779900727</v>
      </c>
      <c r="AI30" s="1155"/>
      <c r="AJ30" s="1169">
        <f>+H30/AH30*100</f>
        <v>78.287181061428669</v>
      </c>
      <c r="AK30" s="1062"/>
      <c r="AM30" s="1170">
        <f>SUM(AM26:AM29)</f>
        <v>2960.4090000000001</v>
      </c>
      <c r="AO30" s="1174">
        <f>SUM(AO26:AO29)</f>
        <v>485.81725123053286</v>
      </c>
      <c r="AQ30" s="1168">
        <f>(AO30/AO23-1)*100</f>
        <v>1.4267855174960875</v>
      </c>
      <c r="AR30" s="1155"/>
    </row>
    <row r="31" spans="1:44" hidden="1" outlineLevel="2">
      <c r="B31" s="1154"/>
      <c r="F31" s="1801"/>
      <c r="I31" s="1155"/>
      <c r="J31" s="1060"/>
      <c r="O31" s="1155"/>
      <c r="P31" s="1062"/>
      <c r="Q31" s="1062"/>
      <c r="AB31" s="1155"/>
      <c r="AD31" s="1060"/>
      <c r="AI31" s="1155"/>
      <c r="AJ31" s="1062"/>
      <c r="AK31" s="1062"/>
      <c r="AR31" s="1155"/>
    </row>
    <row r="32" spans="1:44" hidden="1" outlineLevel="2" collapsed="1">
      <c r="A32" s="1166"/>
      <c r="B32" s="1188">
        <f>B25+1</f>
        <v>1993</v>
      </c>
      <c r="F32" s="1801"/>
      <c r="P32" s="1062"/>
      <c r="Q32" s="1062"/>
      <c r="AB32" s="1155"/>
      <c r="AJ32" s="1062"/>
      <c r="AK32" s="1062"/>
      <c r="AR32" s="1155"/>
    </row>
    <row r="33" spans="1:44" hidden="1" outlineLevel="2">
      <c r="A33" s="1045" t="str">
        <f>$A$40</f>
        <v>1Q</v>
      </c>
      <c r="B33" s="1154" t="str">
        <f>$B$40</f>
        <v>Apr</v>
      </c>
      <c r="D33" s="1068">
        <f>(T33/T26-1)*100</f>
        <v>9.2917889359852133</v>
      </c>
      <c r="E33" s="1045" t="s">
        <v>489</v>
      </c>
      <c r="F33" s="1799">
        <v>-1</v>
      </c>
      <c r="G33" s="1045" t="s">
        <v>489</v>
      </c>
      <c r="H33" s="1068">
        <f>D33-F33</f>
        <v>10.291788935985213</v>
      </c>
      <c r="I33" s="1155" t="s">
        <v>489</v>
      </c>
      <c r="J33" s="1060">
        <v>1319</v>
      </c>
      <c r="L33" s="1045">
        <f>AVERAGE(J33,J29)</f>
        <v>1313</v>
      </c>
      <c r="N33" s="1068">
        <f>(L33/L26-1)*100</f>
        <v>7.0962479608482898</v>
      </c>
      <c r="O33" s="1155" t="s">
        <v>489</v>
      </c>
      <c r="P33" s="1169">
        <f>H33/N33*100</f>
        <v>145.03141650020538</v>
      </c>
      <c r="Q33" s="1062" t="s">
        <v>489</v>
      </c>
      <c r="S33" s="1170"/>
      <c r="T33" s="1170">
        <f>'qtrP&amp;L'!R$10</f>
        <v>643.58000000000004</v>
      </c>
      <c r="U33" s="1170"/>
      <c r="V33" s="1170"/>
      <c r="W33" s="1170"/>
      <c r="Y33" s="1171">
        <f>T33/L33</f>
        <v>0.49015993907083016</v>
      </c>
      <c r="AA33" s="1168">
        <f>(Y33/Y26-1)*100</f>
        <v>2.0500633933875578</v>
      </c>
      <c r="AB33" s="1155" t="s">
        <v>489</v>
      </c>
      <c r="AD33" s="1172">
        <v>6.681</v>
      </c>
      <c r="AF33" s="1173">
        <f>AVERAGE(AD33,AD29)</f>
        <v>6.5951000000000004</v>
      </c>
      <c r="AH33" s="1068">
        <f>(AF33/AF26-1)*100</f>
        <v>15.345331164629151</v>
      </c>
      <c r="AI33" s="1155" t="s">
        <v>489</v>
      </c>
      <c r="AJ33" s="1169">
        <f>+H33/AH33*100</f>
        <v>67.067884202510371</v>
      </c>
      <c r="AK33" s="1062" t="s">
        <v>489</v>
      </c>
      <c r="AM33" s="1170">
        <f>+T33</f>
        <v>643.58000000000004</v>
      </c>
      <c r="AO33" s="1174">
        <f>AM33/AF33</f>
        <v>97.584570362845142</v>
      </c>
      <c r="AQ33" s="1068">
        <f>(AO33/AO26-1)*100</f>
        <v>-5.2481900806230941</v>
      </c>
      <c r="AR33" s="1155" t="s">
        <v>489</v>
      </c>
    </row>
    <row r="34" spans="1:44" hidden="1" outlineLevel="2">
      <c r="A34" s="1045" t="str">
        <f>$A$41</f>
        <v>2Q</v>
      </c>
      <c r="B34" s="1154" t="str">
        <f>$B$41</f>
        <v>Jul</v>
      </c>
      <c r="D34" s="1068">
        <f>(T34/T27-1)*100</f>
        <v>12.876762294948495</v>
      </c>
      <c r="F34" s="1799">
        <v>1</v>
      </c>
      <c r="H34" s="1068">
        <f>D34-F34</f>
        <v>11.876762294948495</v>
      </c>
      <c r="I34" s="1155"/>
      <c r="J34" s="1060">
        <v>1350</v>
      </c>
      <c r="L34" s="1175">
        <f>AVERAGE(J34,J33)</f>
        <v>1334.5</v>
      </c>
      <c r="N34" s="1068">
        <f>(L34/L27-1)*100</f>
        <v>6.7173130747700815</v>
      </c>
      <c r="O34" s="1155"/>
      <c r="P34" s="1169">
        <f>H34/N34*100</f>
        <v>176.80822916467994</v>
      </c>
      <c r="Q34" s="1062"/>
      <c r="S34" s="1176"/>
      <c r="T34" s="1176">
        <f>'qtrP&amp;L'!R$11</f>
        <v>693.19200000000001</v>
      </c>
      <c r="U34" s="1176"/>
      <c r="V34" s="1176"/>
      <c r="W34" s="1176"/>
      <c r="Y34" s="1177">
        <f>T34/L34</f>
        <v>0.51943949044585991</v>
      </c>
      <c r="AA34" s="1168">
        <f>(Y34/Y27-1)*100</f>
        <v>5.7717431621079784</v>
      </c>
      <c r="AB34" s="1155"/>
      <c r="AD34" s="1172">
        <v>6.992</v>
      </c>
      <c r="AF34" s="1173">
        <f>AVERAGE(AD34,AD33)</f>
        <v>6.8365</v>
      </c>
      <c r="AH34" s="1068">
        <f>(AF34/AF27-1)*100</f>
        <v>15.520446096654283</v>
      </c>
      <c r="AI34" s="1155"/>
      <c r="AJ34" s="1169">
        <f>+H34/AH34*100</f>
        <v>76.523330714757932</v>
      </c>
      <c r="AK34" s="1062"/>
      <c r="AM34" s="1176">
        <f>+T34</f>
        <v>693.19200000000001</v>
      </c>
      <c r="AO34" s="1178">
        <f>AM34/AF34</f>
        <v>101.3957434359687</v>
      </c>
      <c r="AQ34" s="1168">
        <f>(AO34/AO27-1)*100</f>
        <v>-2.288498608717171</v>
      </c>
      <c r="AR34" s="1155"/>
    </row>
    <row r="35" spans="1:44" hidden="1" outlineLevel="2">
      <c r="A35" s="1045" t="str">
        <f>$A$42</f>
        <v>3Q</v>
      </c>
      <c r="B35" s="1154" t="str">
        <f>$B$42</f>
        <v>Oct</v>
      </c>
      <c r="D35" s="1068">
        <f>(T35/T28-1)*100</f>
        <v>8.6379472499522603</v>
      </c>
      <c r="F35" s="1799">
        <v>-1</v>
      </c>
      <c r="H35" s="1068">
        <f>D35-F35</f>
        <v>9.6379472499522603</v>
      </c>
      <c r="I35" s="1155"/>
      <c r="J35" s="1060">
        <v>1385</v>
      </c>
      <c r="L35" s="1175">
        <f>AVERAGE(J35,J34)</f>
        <v>1367.5</v>
      </c>
      <c r="N35" s="1068">
        <f>(L35/L28-1)*100</f>
        <v>6.8359375</v>
      </c>
      <c r="O35" s="1155"/>
      <c r="P35" s="1169">
        <f>H35/N35*100</f>
        <v>140.98939977073022</v>
      </c>
      <c r="Q35" s="1062"/>
      <c r="S35" s="1176"/>
      <c r="T35" s="1176">
        <f>'qtrP&amp;L'!R$12</f>
        <v>898.67700000000002</v>
      </c>
      <c r="U35" s="1176"/>
      <c r="V35" s="1176"/>
      <c r="W35" s="1176"/>
      <c r="Y35" s="1177">
        <f>T35/L35</f>
        <v>0.65716782449725775</v>
      </c>
      <c r="AA35" s="1168">
        <f>(Y35/Y28-1)*100</f>
        <v>1.6867074807596971</v>
      </c>
      <c r="AB35" s="1155"/>
      <c r="AD35" s="1172">
        <v>7.444</v>
      </c>
      <c r="AF35" s="1173">
        <f>AVERAGE(AD35,AD34)</f>
        <v>7.218</v>
      </c>
      <c r="AH35" s="1068">
        <f>(AF35/AF28-1)*100</f>
        <v>16.8812241923731</v>
      </c>
      <c r="AI35" s="1155"/>
      <c r="AJ35" s="1169">
        <f>+H35/AH35*100</f>
        <v>57.092703349717155</v>
      </c>
      <c r="AK35" s="1062"/>
      <c r="AM35" s="1176">
        <f>+T35</f>
        <v>898.67700000000002</v>
      </c>
      <c r="AO35" s="1178">
        <f>AM35/AF35</f>
        <v>124.50498753117208</v>
      </c>
      <c r="AQ35" s="1168">
        <f>(AO35/AO28-1)*100</f>
        <v>-7.0526955885175768</v>
      </c>
      <c r="AR35" s="1155"/>
    </row>
    <row r="36" spans="1:44" hidden="1" outlineLevel="2">
      <c r="A36" s="1045" t="str">
        <f>$A$43</f>
        <v>4Q</v>
      </c>
      <c r="B36" s="1154" t="str">
        <f>$B$43</f>
        <v>Jan</v>
      </c>
      <c r="D36" s="1179">
        <f>(T36/T29-1)*100</f>
        <v>13.977611483010822</v>
      </c>
      <c r="F36" s="1800">
        <v>4</v>
      </c>
      <c r="H36" s="1179">
        <f>D36-F36</f>
        <v>9.977611483010822</v>
      </c>
      <c r="I36" s="1155"/>
      <c r="J36" s="1181">
        <v>1370</v>
      </c>
      <c r="L36" s="1182">
        <f>AVERAGE(J36,J35)</f>
        <v>1377.5</v>
      </c>
      <c r="N36" s="1179">
        <f>(L36/L29-1)*100</f>
        <v>5.8800922367409747</v>
      </c>
      <c r="O36" s="1155"/>
      <c r="P36" s="1182">
        <f>H36/N36*100</f>
        <v>169.68460835813158</v>
      </c>
      <c r="Q36" s="1062"/>
      <c r="S36" s="1183"/>
      <c r="T36" s="1183">
        <f>'qtrP&amp;L'!R$13</f>
        <v>1060.23</v>
      </c>
      <c r="U36" s="1197"/>
      <c r="V36" s="1197"/>
      <c r="W36" s="1197"/>
      <c r="Y36" s="1184">
        <f>T36/L36</f>
        <v>0.76967695099818512</v>
      </c>
      <c r="AA36" s="1180">
        <f>(Y36/Y29-1)*100</f>
        <v>7.6478203552791779</v>
      </c>
      <c r="AB36" s="1155"/>
      <c r="AD36" s="1185">
        <v>7.5463000000000005</v>
      </c>
      <c r="AF36" s="1186">
        <f>AVERAGE(AD36,AD35)</f>
        <v>7.4951500000000006</v>
      </c>
      <c r="AH36" s="1179">
        <f>(AF36/AF29-1)*100</f>
        <v>16.918073191276939</v>
      </c>
      <c r="AI36" s="1155"/>
      <c r="AJ36" s="1182">
        <f>+H36/AH36*100</f>
        <v>58.976051056188474</v>
      </c>
      <c r="AK36" s="1062"/>
      <c r="AM36" s="1183">
        <f>+T36</f>
        <v>1060.23</v>
      </c>
      <c r="AO36" s="1187">
        <f>AM36/AF36</f>
        <v>141.45547454020266</v>
      </c>
      <c r="AQ36" s="1180">
        <f>(AO36/AO29-1)*100</f>
        <v>-2.51497619487413</v>
      </c>
      <c r="AR36" s="1155"/>
    </row>
    <row r="37" spans="1:44" hidden="1" outlineLevel="2">
      <c r="B37" s="1154" t="str">
        <f>$B$44</f>
        <v>Year</v>
      </c>
      <c r="D37" s="1068">
        <f>(T37/T30-1)*100</f>
        <v>11.325124332482428</v>
      </c>
      <c r="F37" s="1799">
        <v>1</v>
      </c>
      <c r="H37" s="1068">
        <f>D37-F37</f>
        <v>10.325124332482428</v>
      </c>
      <c r="I37" s="1155"/>
      <c r="J37" s="1060"/>
      <c r="L37" s="1175">
        <f>AVERAGE(L33:L36)</f>
        <v>1348.125</v>
      </c>
      <c r="N37" s="1068">
        <f>(L37/L30-1)*100</f>
        <v>6.6238260009886307</v>
      </c>
      <c r="O37" s="1155"/>
      <c r="P37" s="1169">
        <f>H37/N37*100</f>
        <v>155.87855615382054</v>
      </c>
      <c r="Q37" s="1062"/>
      <c r="S37" s="1170"/>
      <c r="T37" s="1170">
        <f>SUM(T33:T36)</f>
        <v>3295.6790000000001</v>
      </c>
      <c r="U37" s="1170"/>
      <c r="V37" s="1170"/>
      <c r="W37" s="1170"/>
      <c r="Y37" s="1171">
        <f>SUM(Y33:Y36)</f>
        <v>2.4364442050121329</v>
      </c>
      <c r="AA37" s="1168">
        <f>(Y37/Y30-1)*100</f>
        <v>4.448705947177789</v>
      </c>
      <c r="AB37" s="1155"/>
      <c r="AD37" s="1060"/>
      <c r="AF37" s="1173">
        <f>AVERAGE(AF33:AF36)</f>
        <v>7.0361875000000005</v>
      </c>
      <c r="AH37" s="1068">
        <f>(AF37/AF30-1)*100</f>
        <v>16.195947452295044</v>
      </c>
      <c r="AI37" s="1155"/>
      <c r="AJ37" s="1169">
        <f>+H37/AH37*100</f>
        <v>63.751283232394705</v>
      </c>
      <c r="AK37" s="1062"/>
      <c r="AM37" s="1170">
        <f>SUM(AM33:AM36)</f>
        <v>3295.6790000000001</v>
      </c>
      <c r="AO37" s="1174">
        <f>SUM(AO33:AO36)</f>
        <v>464.94077587018853</v>
      </c>
      <c r="AQ37" s="1168">
        <f>(AO37/AO30-1)*100</f>
        <v>-4.2971869169870054</v>
      </c>
      <c r="AR37" s="1155"/>
    </row>
    <row r="38" spans="1:44" hidden="1" outlineLevel="2">
      <c r="B38" s="1154"/>
      <c r="F38" s="1801"/>
      <c r="I38" s="1155"/>
      <c r="J38" s="1060"/>
      <c r="O38" s="1155"/>
      <c r="P38" s="1062"/>
      <c r="Q38" s="1062"/>
      <c r="AB38" s="1155"/>
      <c r="AD38" s="1060"/>
      <c r="AI38" s="1155"/>
      <c r="AJ38" s="1062"/>
      <c r="AK38" s="1062"/>
      <c r="AR38" s="1155"/>
    </row>
    <row r="39" spans="1:44" hidden="1" outlineLevel="2">
      <c r="A39" s="1190"/>
      <c r="B39" s="1188">
        <f>B32+1</f>
        <v>1994</v>
      </c>
      <c r="F39" s="1801"/>
      <c r="P39" s="1062"/>
      <c r="Q39" s="1062"/>
      <c r="AB39" s="1155"/>
      <c r="AJ39" s="1062"/>
      <c r="AK39" s="1062"/>
      <c r="AR39" s="1155"/>
    </row>
    <row r="40" spans="1:44" hidden="1" outlineLevel="2">
      <c r="A40" s="1045" t="s">
        <v>525</v>
      </c>
      <c r="B40" s="1154" t="s">
        <v>510</v>
      </c>
      <c r="D40" s="1068">
        <f>(T40/T33-1)*100</f>
        <v>16.795114826439583</v>
      </c>
      <c r="E40" s="1045" t="s">
        <v>489</v>
      </c>
      <c r="F40" s="1799">
        <v>7</v>
      </c>
      <c r="G40" s="1045" t="s">
        <v>489</v>
      </c>
      <c r="H40" s="1068">
        <f>D40-F40</f>
        <v>9.7951148264395833</v>
      </c>
      <c r="I40" s="1155" t="s">
        <v>489</v>
      </c>
      <c r="J40" s="1060">
        <v>1398</v>
      </c>
      <c r="L40" s="1045">
        <f>AVERAGE(J40,J36)</f>
        <v>1384</v>
      </c>
      <c r="N40" s="1068">
        <f>(L40/L33-1)*100</f>
        <v>5.407463823305414</v>
      </c>
      <c r="O40" s="1155" t="s">
        <v>489</v>
      </c>
      <c r="P40" s="1169">
        <f>H40/N40*100</f>
        <v>181.14064460725575</v>
      </c>
      <c r="Q40" s="1062" t="s">
        <v>489</v>
      </c>
      <c r="S40" s="1170"/>
      <c r="T40" s="1170">
        <f>'qtrP&amp;L'!V$10</f>
        <v>751.67</v>
      </c>
      <c r="U40" s="1170"/>
      <c r="V40" s="1170"/>
      <c r="W40" s="1170"/>
      <c r="Y40" s="1171">
        <f>T40/L40</f>
        <v>0.54311416184971095</v>
      </c>
      <c r="AA40" s="1168">
        <f>(Y40/Y33-1)*100</f>
        <v>10.803457924216175</v>
      </c>
      <c r="AB40" s="1155" t="s">
        <v>489</v>
      </c>
      <c r="AD40" s="1172">
        <v>8</v>
      </c>
      <c r="AF40" s="1173">
        <f>AVERAGE(AD40,AD36)</f>
        <v>7.7731500000000002</v>
      </c>
      <c r="AH40" s="1068">
        <f>(AF40/AF33-1)*100</f>
        <v>17.86250398022775</v>
      </c>
      <c r="AI40" s="1155" t="s">
        <v>489</v>
      </c>
      <c r="AJ40" s="1169">
        <f>+H40/AH40*100</f>
        <v>54.836179951489051</v>
      </c>
      <c r="AK40" s="1062" t="s">
        <v>489</v>
      </c>
      <c r="AM40" s="1170">
        <f>+T40</f>
        <v>751.67</v>
      </c>
      <c r="AO40" s="1174">
        <f>AM40/AF40</f>
        <v>96.700822703794458</v>
      </c>
      <c r="AQ40" s="1068">
        <f>(AO40/AO33-1)*100</f>
        <v>-0.90562232919064733</v>
      </c>
      <c r="AR40" s="1155" t="s">
        <v>489</v>
      </c>
    </row>
    <row r="41" spans="1:44" hidden="1" outlineLevel="2">
      <c r="A41" s="1045" t="s">
        <v>526</v>
      </c>
      <c r="B41" s="1154" t="s">
        <v>511</v>
      </c>
      <c r="D41" s="1068">
        <f>(T41/T34-1)*100</f>
        <v>11.53201421828296</v>
      </c>
      <c r="F41" s="1799">
        <v>1</v>
      </c>
      <c r="H41" s="1068">
        <f>D41-F41</f>
        <v>10.53201421828296</v>
      </c>
      <c r="I41" s="1155"/>
      <c r="J41" s="1060">
        <v>1426</v>
      </c>
      <c r="L41" s="1175">
        <f>AVERAGE(J41,J40)</f>
        <v>1412</v>
      </c>
      <c r="N41" s="1068">
        <f>(L41/L34-1)*100</f>
        <v>5.8074185088047958</v>
      </c>
      <c r="O41" s="1155"/>
      <c r="P41" s="1169">
        <f>H41/N41*100</f>
        <v>181.35448999094982</v>
      </c>
      <c r="Q41" s="1062"/>
      <c r="S41" s="1176"/>
      <c r="T41" s="1176">
        <f>'qtrP&amp;L'!V$11</f>
        <v>773.13099999999997</v>
      </c>
      <c r="U41" s="1176"/>
      <c r="V41" s="1176"/>
      <c r="W41" s="1176"/>
      <c r="Y41" s="1177">
        <f>T41/L41</f>
        <v>0.54754320113314447</v>
      </c>
      <c r="AA41" s="1168">
        <f>(Y41/Y34-1)*100</f>
        <v>5.4103916248573691</v>
      </c>
      <c r="AB41" s="1155"/>
      <c r="AD41" s="1172">
        <v>8.1780000000000008</v>
      </c>
      <c r="AF41" s="1173">
        <f>AVERAGE(AD41,AD40)</f>
        <v>8.0890000000000004</v>
      </c>
      <c r="AH41" s="1068">
        <f>(AF41/AF34-1)*100</f>
        <v>18.320778175967245</v>
      </c>
      <c r="AI41" s="1155"/>
      <c r="AJ41" s="1169">
        <f>+H41/AH41*100</f>
        <v>57.486718725182762</v>
      </c>
      <c r="AK41" s="1062"/>
      <c r="AM41" s="1176">
        <f>+T41</f>
        <v>773.13099999999997</v>
      </c>
      <c r="AO41" s="1178">
        <f>AM41/AF41</f>
        <v>95.578068982568908</v>
      </c>
      <c r="AQ41" s="1168">
        <f>(AO41/AO34-1)*100</f>
        <v>-5.7375923843130945</v>
      </c>
      <c r="AR41" s="1155"/>
    </row>
    <row r="42" spans="1:44" hidden="1" outlineLevel="2">
      <c r="A42" s="1045" t="s">
        <v>527</v>
      </c>
      <c r="B42" s="1154" t="s">
        <v>512</v>
      </c>
      <c r="D42" s="1068">
        <f>(T42/T35-1)*100</f>
        <v>9.9778897201107775</v>
      </c>
      <c r="F42" s="1799">
        <v>-2</v>
      </c>
      <c r="H42" s="1068">
        <f>D42-F42</f>
        <v>11.977889720110777</v>
      </c>
      <c r="I42" s="1155"/>
      <c r="J42" s="1060">
        <v>1477</v>
      </c>
      <c r="L42" s="1175">
        <f>AVERAGE(J42,J41)</f>
        <v>1451.5</v>
      </c>
      <c r="N42" s="1068">
        <f>(L42/L35-1)*100</f>
        <v>6.1425959780621486</v>
      </c>
      <c r="O42" s="1155"/>
      <c r="P42" s="1169">
        <f>H42/N42*100</f>
        <v>194.99719276489895</v>
      </c>
      <c r="Q42" s="1062"/>
      <c r="S42" s="1176"/>
      <c r="T42" s="1176">
        <f>'qtrP&amp;L'!V$12</f>
        <v>988.346</v>
      </c>
      <c r="U42" s="1176"/>
      <c r="V42" s="1176"/>
      <c r="W42" s="1176"/>
      <c r="Y42" s="1177">
        <f>T42/L42</f>
        <v>0.68091353771960039</v>
      </c>
      <c r="AA42" s="1168">
        <f>(Y42/Y35-1)*100</f>
        <v>3.6133408145032631</v>
      </c>
      <c r="AB42" s="1155"/>
      <c r="AD42" s="1172">
        <v>8.69</v>
      </c>
      <c r="AF42" s="1173">
        <f>AVERAGE(AD42,AD41)</f>
        <v>8.4340000000000011</v>
      </c>
      <c r="AH42" s="1068">
        <f>(AF42/AF35-1)*100</f>
        <v>16.846771958991425</v>
      </c>
      <c r="AI42" s="1155"/>
      <c r="AJ42" s="1169">
        <f>+H42/AH42*100</f>
        <v>71.099019736644337</v>
      </c>
      <c r="AK42" s="1062"/>
      <c r="AM42" s="1176">
        <f>+T42</f>
        <v>988.346</v>
      </c>
      <c r="AO42" s="1178">
        <f>AM42/AF42</f>
        <v>117.18591415698363</v>
      </c>
      <c r="AQ42" s="1168">
        <f>(AO42/AO35-1)*100</f>
        <v>-5.8785382973963074</v>
      </c>
      <c r="AR42" s="1155"/>
    </row>
    <row r="43" spans="1:44" hidden="1" outlineLevel="2">
      <c r="A43" s="1045" t="s">
        <v>528</v>
      </c>
      <c r="B43" s="1154" t="s">
        <v>514</v>
      </c>
      <c r="D43" s="1179">
        <f>(T43/T36-1)*100</f>
        <v>14.106656102921056</v>
      </c>
      <c r="F43" s="1800">
        <v>1</v>
      </c>
      <c r="H43" s="1179">
        <f>D43-F43</f>
        <v>13.106656102921056</v>
      </c>
      <c r="I43" s="1155"/>
      <c r="J43" s="1181">
        <v>1508</v>
      </c>
      <c r="L43" s="1182">
        <f>AVERAGE(J43,J42)</f>
        <v>1492.5</v>
      </c>
      <c r="N43" s="1179">
        <f>(L43/L36-1)*100</f>
        <v>8.3484573502722306</v>
      </c>
      <c r="O43" s="1155"/>
      <c r="P43" s="1182">
        <f>H43/N43*100</f>
        <v>156.99494592846744</v>
      </c>
      <c r="Q43" s="1062"/>
      <c r="S43" s="1183"/>
      <c r="T43" s="1183">
        <f>'qtrP&amp;L'!V$13</f>
        <v>1209.7929999999999</v>
      </c>
      <c r="U43" s="1197"/>
      <c r="V43" s="1197"/>
      <c r="W43" s="1197"/>
      <c r="Y43" s="1184">
        <f>T43/L43</f>
        <v>0.81058157453936341</v>
      </c>
      <c r="AA43" s="1180">
        <f>(Y43/Y36-1)*100</f>
        <v>5.3145184467495721</v>
      </c>
      <c r="AB43" s="1155"/>
      <c r="AD43" s="1185">
        <v>9.1658670000000004</v>
      </c>
      <c r="AF43" s="1186">
        <f>AVERAGE(AD43,AD42)</f>
        <v>8.9279335</v>
      </c>
      <c r="AH43" s="1179">
        <f>(AF43/AF36-1)*100</f>
        <v>19.116141771679018</v>
      </c>
      <c r="AI43" s="1155"/>
      <c r="AJ43" s="1182">
        <f>+H43/AH43*100</f>
        <v>68.563292004555294</v>
      </c>
      <c r="AK43" s="1062"/>
      <c r="AM43" s="1183">
        <f>+T43</f>
        <v>1209.7929999999999</v>
      </c>
      <c r="AO43" s="1187">
        <f>AM43/AF43</f>
        <v>135.5064976682454</v>
      </c>
      <c r="AQ43" s="1180">
        <f>(AO43/AO36-1)*100</f>
        <v>-4.2055472870839772</v>
      </c>
      <c r="AR43" s="1155"/>
    </row>
    <row r="44" spans="1:44" hidden="1" outlineLevel="2">
      <c r="B44" s="1154" t="s">
        <v>529</v>
      </c>
      <c r="D44" s="1068">
        <f>(T44/T37-1)*100</f>
        <v>12.964278377839577</v>
      </c>
      <c r="F44" s="1799">
        <v>1</v>
      </c>
      <c r="H44" s="1068">
        <f>D44-F44</f>
        <v>11.964278377839577</v>
      </c>
      <c r="I44" s="1155"/>
      <c r="J44" s="1060"/>
      <c r="L44" s="1175">
        <f>AVERAGE(L40:L43)</f>
        <v>1435</v>
      </c>
      <c r="N44" s="1068">
        <f>(L44/L37-1)*100</f>
        <v>6.4441353732035189</v>
      </c>
      <c r="O44" s="1155"/>
      <c r="P44" s="1169">
        <f>H44/N44*100</f>
        <v>185.66149971942437</v>
      </c>
      <c r="Q44" s="1062"/>
      <c r="S44" s="1170"/>
      <c r="T44" s="1170">
        <f>SUM(T40:T43)</f>
        <v>3722.9399999999996</v>
      </c>
      <c r="U44" s="1170"/>
      <c r="V44" s="1170"/>
      <c r="W44" s="1170"/>
      <c r="Y44" s="1171">
        <f>SUM(Y40:Y43)</f>
        <v>2.582152475241819</v>
      </c>
      <c r="AA44" s="1168">
        <f>(Y44/Y37-1)*100</f>
        <v>5.9803655642900466</v>
      </c>
      <c r="AB44" s="1155"/>
      <c r="AD44" s="1060"/>
      <c r="AF44" s="1173">
        <f>AVERAGE(AF40:AF43)</f>
        <v>8.3060208749999997</v>
      </c>
      <c r="AH44" s="1068">
        <f>(AF44/AF37-1)*100</f>
        <v>18.047179314081664</v>
      </c>
      <c r="AI44" s="1155"/>
      <c r="AJ44" s="1169">
        <f>+H44/AH44*100</f>
        <v>66.294450615361342</v>
      </c>
      <c r="AK44" s="1062"/>
      <c r="AM44" s="1170">
        <f>SUM(AM40:AM43)</f>
        <v>3722.9399999999996</v>
      </c>
      <c r="AO44" s="1174">
        <f>SUM(AO40:AO43)</f>
        <v>444.9713035115924</v>
      </c>
      <c r="AQ44" s="1168">
        <f>(AO44/AO37-1)*100</f>
        <v>-4.2950572191094771</v>
      </c>
      <c r="AR44" s="1155"/>
    </row>
    <row r="45" spans="1:44" hidden="1" outlineLevel="2">
      <c r="B45" s="1154"/>
      <c r="F45" s="1801"/>
      <c r="P45" s="1062"/>
      <c r="Q45" s="1062"/>
      <c r="AB45" s="1155"/>
      <c r="AJ45" s="1062"/>
      <c r="AK45" s="1062"/>
      <c r="AR45" s="1155"/>
    </row>
    <row r="46" spans="1:44" hidden="1" outlineLevel="2" collapsed="1">
      <c r="A46" s="1166"/>
      <c r="B46" s="1188">
        <f>B39+1</f>
        <v>1995</v>
      </c>
      <c r="F46" s="1801"/>
      <c r="P46" s="1062"/>
      <c r="Q46" s="1062"/>
      <c r="AB46" s="1155"/>
      <c r="AJ46" s="1062"/>
      <c r="AK46" s="1062"/>
      <c r="AR46" s="1155"/>
    </row>
    <row r="47" spans="1:44" hidden="1" outlineLevel="2">
      <c r="A47" s="1045" t="str">
        <f>$A$40</f>
        <v>1Q</v>
      </c>
      <c r="B47" s="1154" t="str">
        <f>$B$40</f>
        <v>Apr</v>
      </c>
      <c r="D47" s="1068">
        <f>(T47/T40-1)*100</f>
        <v>12.906993760559814</v>
      </c>
      <c r="E47" s="1045" t="s">
        <v>489</v>
      </c>
      <c r="F47" s="1799">
        <v>-2</v>
      </c>
      <c r="G47" s="1045" t="s">
        <v>489</v>
      </c>
      <c r="H47" s="1068">
        <f>D47-F47</f>
        <v>14.906993760559814</v>
      </c>
      <c r="I47" s="1155" t="s">
        <v>489</v>
      </c>
      <c r="J47" s="1060">
        <v>1535</v>
      </c>
      <c r="L47" s="1175">
        <f>AVERAGE(J47,J43)</f>
        <v>1521.5</v>
      </c>
      <c r="N47" s="1068">
        <f>(L47/L40-1)*100</f>
        <v>9.934971098265887</v>
      </c>
      <c r="O47" s="1155" t="s">
        <v>489</v>
      </c>
      <c r="P47" s="1169">
        <f>H47/N47*100</f>
        <v>150.04566810628947</v>
      </c>
      <c r="Q47" s="1062" t="s">
        <v>489</v>
      </c>
      <c r="S47" s="1170"/>
      <c r="T47" s="1170">
        <f>'qtrP&amp;L'!Z$10</f>
        <v>848.68799999999999</v>
      </c>
      <c r="U47" s="1170"/>
      <c r="V47" s="1170"/>
      <c r="W47" s="1170"/>
      <c r="Y47" s="1171">
        <f>T47/L47</f>
        <v>0.55779691094314821</v>
      </c>
      <c r="AA47" s="1168">
        <f>(Y47/Y40-1)*100</f>
        <v>2.7034369797008129</v>
      </c>
      <c r="AB47" s="1155" t="s">
        <v>489</v>
      </c>
      <c r="AD47" s="1172">
        <v>9.4969999999999999</v>
      </c>
      <c r="AF47" s="1173">
        <f>AVERAGE(AD47,AD43)</f>
        <v>9.3314334999999993</v>
      </c>
      <c r="AH47" s="1068">
        <f>(AF47/AF40-1)*100</f>
        <v>20.047001537343267</v>
      </c>
      <c r="AI47" s="1155" t="s">
        <v>489</v>
      </c>
      <c r="AJ47" s="1169">
        <f>+H47/AH47*100</f>
        <v>74.360216577981902</v>
      </c>
      <c r="AK47" s="1062" t="s">
        <v>489</v>
      </c>
      <c r="AM47" s="1170">
        <f>+T47</f>
        <v>848.68799999999999</v>
      </c>
      <c r="AO47" s="1174">
        <f>AM47/AF47</f>
        <v>90.949370211982981</v>
      </c>
      <c r="AQ47" s="1068">
        <f>(AO47/AO40-1)*100</f>
        <v>-5.9476768976711059</v>
      </c>
      <c r="AR47" s="1155" t="s">
        <v>489</v>
      </c>
    </row>
    <row r="48" spans="1:44" hidden="1" outlineLevel="2">
      <c r="A48" s="1045" t="str">
        <f>$A$41</f>
        <v>2Q</v>
      </c>
      <c r="B48" s="1154" t="str">
        <f>$B$41</f>
        <v>Jul</v>
      </c>
      <c r="D48" s="1068">
        <f>(T48/T41-1)*100</f>
        <v>12.337236509724757</v>
      </c>
      <c r="F48" s="1799">
        <v>-4</v>
      </c>
      <c r="H48" s="1068">
        <f>D48-F48</f>
        <v>16.337236509724757</v>
      </c>
      <c r="I48" s="1155"/>
      <c r="J48" s="1060">
        <v>1582</v>
      </c>
      <c r="L48" s="1175">
        <f>AVERAGE(J48,J47)</f>
        <v>1558.5</v>
      </c>
      <c r="N48" s="1068">
        <f>(L48/L41-1)*100</f>
        <v>10.375354107648715</v>
      </c>
      <c r="O48" s="1155"/>
      <c r="P48" s="1169">
        <f>H48/N48*100</f>
        <v>157.46196554082854</v>
      </c>
      <c r="Q48" s="1062"/>
      <c r="S48" s="1176"/>
      <c r="T48" s="1176">
        <f>'qtrP&amp;L'!Z$11</f>
        <v>868.51400000000001</v>
      </c>
      <c r="U48" s="1176"/>
      <c r="V48" s="1176"/>
      <c r="W48" s="1176"/>
      <c r="Y48" s="1177">
        <f>T48/L48</f>
        <v>0.55727558549887712</v>
      </c>
      <c r="AA48" s="1168">
        <f>(Y48/Y41-1)*100</f>
        <v>1.7774641974535266</v>
      </c>
      <c r="AB48" s="1155"/>
      <c r="AD48" s="1172">
        <v>10.038</v>
      </c>
      <c r="AF48" s="1173">
        <f>AVERAGE(AD48,AD47)</f>
        <v>9.7675000000000001</v>
      </c>
      <c r="AH48" s="1068">
        <f>(AF48/AF41-1)*100</f>
        <v>20.750401780195315</v>
      </c>
      <c r="AI48" s="1155"/>
      <c r="AJ48" s="1169">
        <f>+H48/AH48*100</f>
        <v>78.732145443648278</v>
      </c>
      <c r="AK48" s="1062"/>
      <c r="AM48" s="1176">
        <f>+T48</f>
        <v>868.51400000000001</v>
      </c>
      <c r="AO48" s="1178">
        <f>AM48/AF48</f>
        <v>88.918761197850017</v>
      </c>
      <c r="AQ48" s="1168">
        <f>(AO48/AO41-1)*100</f>
        <v>-6.9674014714959149</v>
      </c>
      <c r="AR48" s="1155"/>
    </row>
    <row r="49" spans="1:44" hidden="1" outlineLevel="2">
      <c r="A49" s="1045" t="str">
        <f>$A$42</f>
        <v>3Q</v>
      </c>
      <c r="B49" s="1154" t="str">
        <f>$B$42</f>
        <v>Oct</v>
      </c>
      <c r="D49" s="1068">
        <f>(T49/T42-1)*100</f>
        <v>16.955904106456664</v>
      </c>
      <c r="F49" s="1799">
        <v>0</v>
      </c>
      <c r="H49" s="1068">
        <f>D49-F49</f>
        <v>16.955904106456664</v>
      </c>
      <c r="I49" s="1155"/>
      <c r="J49" s="1060">
        <v>1643</v>
      </c>
      <c r="L49" s="1175">
        <f>AVERAGE(J49,J48)</f>
        <v>1612.5</v>
      </c>
      <c r="N49" s="1068">
        <f>(L49/L42-1)*100</f>
        <v>11.091973820186007</v>
      </c>
      <c r="O49" s="1155"/>
      <c r="P49" s="1169">
        <f>H49/N49*100</f>
        <v>152.86642739454575</v>
      </c>
      <c r="Q49" s="1062"/>
      <c r="S49" s="1176"/>
      <c r="T49" s="1176">
        <f>'qtrP&amp;L'!Z$12</f>
        <v>1155.9290000000001</v>
      </c>
      <c r="U49" s="1176"/>
      <c r="V49" s="1176"/>
      <c r="W49" s="1176"/>
      <c r="Y49" s="1177">
        <f>T49/L49</f>
        <v>0.71685519379844964</v>
      </c>
      <c r="AA49" s="1168">
        <f>(Y49/Y42-1)*100</f>
        <v>5.2784463941220716</v>
      </c>
      <c r="AB49" s="1155"/>
      <c r="AD49" s="1172">
        <v>10.637</v>
      </c>
      <c r="AF49" s="1173">
        <f>AVERAGE(AD49,AD48)</f>
        <v>10.3375</v>
      </c>
      <c r="AH49" s="1068">
        <f>(AF49/AF42-1)*100</f>
        <v>22.569362105762369</v>
      </c>
      <c r="AI49" s="1155"/>
      <c r="AJ49" s="1169">
        <f>+H49/AH49*100</f>
        <v>75.12797227940932</v>
      </c>
      <c r="AK49" s="1062"/>
      <c r="AM49" s="1176">
        <f>+T49</f>
        <v>1155.9290000000001</v>
      </c>
      <c r="AO49" s="1178">
        <f>AM49/AF49</f>
        <v>111.8190084643289</v>
      </c>
      <c r="AQ49" s="1168">
        <f>(AO49/AO42-1)*100</f>
        <v>-4.5798215009571486</v>
      </c>
      <c r="AR49" s="1155"/>
    </row>
    <row r="50" spans="1:44" hidden="1" outlineLevel="2">
      <c r="A50" s="1045" t="str">
        <f>$A$43</f>
        <v>4Q</v>
      </c>
      <c r="B50" s="1154" t="str">
        <f>$B$43</f>
        <v>Jan</v>
      </c>
      <c r="D50" s="1179">
        <f>(T50/T43-1)*100</f>
        <v>25.816730630777339</v>
      </c>
      <c r="F50" s="1800">
        <v>4</v>
      </c>
      <c r="H50" s="1179">
        <f>D50-F50</f>
        <v>21.816730630777339</v>
      </c>
      <c r="I50" s="1155"/>
      <c r="J50" s="1181">
        <v>1680</v>
      </c>
      <c r="L50" s="1182">
        <f>AVERAGE(J50,J49)</f>
        <v>1661.5</v>
      </c>
      <c r="N50" s="1179">
        <f>(L50/L43-1)*100</f>
        <v>11.323283082077062</v>
      </c>
      <c r="O50" s="1155"/>
      <c r="P50" s="1182">
        <f>H50/N50*100</f>
        <v>192.6714228783145</v>
      </c>
      <c r="Q50" s="1062"/>
      <c r="S50" s="1183"/>
      <c r="T50" s="1183">
        <f>'qtrP&amp;L'!Z$13</f>
        <v>1522.1220000000001</v>
      </c>
      <c r="U50" s="1197"/>
      <c r="V50" s="1197"/>
      <c r="W50" s="1197"/>
      <c r="Y50" s="1184">
        <f>T50/L50</f>
        <v>0.91611315076737887</v>
      </c>
      <c r="AA50" s="1180">
        <f>(Y50/Y43-1)*100</f>
        <v>13.019241929843627</v>
      </c>
      <c r="AB50" s="1155"/>
      <c r="AD50" s="1185">
        <v>11.100164000000001</v>
      </c>
      <c r="AF50" s="1186">
        <f>AVERAGE(AD50,AD49)</f>
        <v>10.868582</v>
      </c>
      <c r="AH50" s="1179">
        <f>(AF50/AF43-1)*100</f>
        <v>21.736816252047575</v>
      </c>
      <c r="AI50" s="1155"/>
      <c r="AJ50" s="1182">
        <f>+H50/AH50*100</f>
        <v>100.36764527888134</v>
      </c>
      <c r="AK50" s="1062"/>
      <c r="AM50" s="1183">
        <f>+T50</f>
        <v>1522.1220000000001</v>
      </c>
      <c r="AO50" s="1187">
        <f>AM50/AF50</f>
        <v>140.04789217213434</v>
      </c>
      <c r="AQ50" s="1180">
        <f>(AO50/AO43-1)*100</f>
        <v>3.3514219480511143</v>
      </c>
      <c r="AR50" s="1155"/>
    </row>
    <row r="51" spans="1:44" hidden="1" outlineLevel="2">
      <c r="B51" s="1154" t="str">
        <f>$B$44</f>
        <v>Year</v>
      </c>
      <c r="D51" s="1068">
        <f>(T51/T44-1)*100</f>
        <v>18.058657942378908</v>
      </c>
      <c r="F51" s="1799">
        <v>0</v>
      </c>
      <c r="H51" s="1068">
        <f>D51-F51</f>
        <v>18.058657942378908</v>
      </c>
      <c r="I51" s="1155"/>
      <c r="J51" s="1060"/>
      <c r="L51" s="1175">
        <f>AVERAGE(L47:L50)</f>
        <v>1588.5</v>
      </c>
      <c r="N51" s="1068">
        <f>(L51/L44-1)*100</f>
        <v>10.696864111498261</v>
      </c>
      <c r="O51" s="1155"/>
      <c r="P51" s="1169">
        <f>H51/N51*100</f>
        <v>168.82198141572459</v>
      </c>
      <c r="Q51" s="1062"/>
      <c r="S51" s="1170"/>
      <c r="T51" s="1170">
        <f>SUM(T47:T50)</f>
        <v>4395.2530000000006</v>
      </c>
      <c r="U51" s="1170"/>
      <c r="V51" s="1170"/>
      <c r="W51" s="1170"/>
      <c r="Y51" s="1171">
        <f>SUM(Y47:Y50)</f>
        <v>2.7480408410078536</v>
      </c>
      <c r="AA51" s="1168">
        <f>(Y51/Y44-1)*100</f>
        <v>6.4244217704649387</v>
      </c>
      <c r="AB51" s="1155"/>
      <c r="AD51" s="1060"/>
      <c r="AF51" s="1173">
        <f>AVERAGE(AF47:AF50)</f>
        <v>10.076253874999999</v>
      </c>
      <c r="AH51" s="1068">
        <f>(AF51/AF44-1)*100</f>
        <v>21.31264809757656</v>
      </c>
      <c r="AI51" s="1155"/>
      <c r="AJ51" s="1169">
        <f>+H51/AH51*100</f>
        <v>84.732117096384371</v>
      </c>
      <c r="AK51" s="1062"/>
      <c r="AM51" s="1170">
        <f>SUM(AM47:AM50)</f>
        <v>4395.2530000000006</v>
      </c>
      <c r="AO51" s="1174">
        <f>SUM(AO47:AO50)</f>
        <v>431.73503204629617</v>
      </c>
      <c r="AQ51" s="1168">
        <f>(AO51/AO44-1)*100</f>
        <v>-2.974634849672142</v>
      </c>
      <c r="AR51" s="1155"/>
    </row>
    <row r="52" spans="1:44" hidden="1" outlineLevel="2">
      <c r="B52" s="1154"/>
      <c r="F52" s="1801"/>
      <c r="I52" s="1155"/>
      <c r="J52" s="1060"/>
      <c r="O52" s="1155"/>
      <c r="P52" s="1062"/>
      <c r="Q52" s="1062"/>
      <c r="AB52" s="1155"/>
      <c r="AD52" s="1060"/>
      <c r="AI52" s="1155"/>
      <c r="AJ52" s="1062"/>
      <c r="AK52" s="1062"/>
      <c r="AR52" s="1155"/>
    </row>
    <row r="53" spans="1:44" hidden="1" outlineLevel="2">
      <c r="A53" s="1166"/>
      <c r="B53" s="1188">
        <f>B46+1</f>
        <v>1996</v>
      </c>
      <c r="F53" s="1801"/>
      <c r="I53" s="1155"/>
      <c r="J53" s="1060"/>
      <c r="O53" s="1155"/>
      <c r="P53" s="1062"/>
      <c r="Q53" s="1062"/>
      <c r="AB53" s="1155"/>
      <c r="AD53" s="1060"/>
      <c r="AI53" s="1155"/>
      <c r="AJ53" s="1062"/>
      <c r="AK53" s="1062"/>
      <c r="AR53" s="1155"/>
    </row>
    <row r="54" spans="1:44" hidden="1" outlineLevel="2">
      <c r="A54" s="1045" t="str">
        <f>$A$40</f>
        <v>1Q</v>
      </c>
      <c r="B54" s="1154" t="str">
        <f>$B$40</f>
        <v>Apr</v>
      </c>
      <c r="D54" s="1068">
        <f>(T54/T47-1)*100</f>
        <v>31.161746130497892</v>
      </c>
      <c r="E54" s="1045" t="s">
        <v>489</v>
      </c>
      <c r="F54" s="1799">
        <v>9</v>
      </c>
      <c r="G54" s="1045" t="s">
        <v>489</v>
      </c>
      <c r="H54" s="1068">
        <f>D54-F54</f>
        <v>22.161746130497892</v>
      </c>
      <c r="I54" s="1155" t="s">
        <v>489</v>
      </c>
      <c r="J54" s="1060">
        <v>1718</v>
      </c>
      <c r="L54" s="1175">
        <f>AVERAGE(J54,J50)</f>
        <v>1699</v>
      </c>
      <c r="N54" s="1068">
        <f>(L54/L47-1)*100</f>
        <v>11.666118961551097</v>
      </c>
      <c r="O54" s="1155" t="s">
        <v>489</v>
      </c>
      <c r="P54" s="1169">
        <f>H54/N54*100</f>
        <v>189.96674218339467</v>
      </c>
      <c r="Q54" s="1062" t="s">
        <v>489</v>
      </c>
      <c r="S54" s="1170"/>
      <c r="T54" s="1170">
        <f>'qtrP&amp;L'!AD10</f>
        <v>1113.154</v>
      </c>
      <c r="U54" s="1170"/>
      <c r="V54" s="1170"/>
      <c r="W54" s="1170"/>
      <c r="Y54" s="1171">
        <f>T54/L54</f>
        <v>0.65518187168922892</v>
      </c>
      <c r="AA54" s="1068">
        <f>(Y54/Y47-1)*100</f>
        <v>17.458856231637743</v>
      </c>
      <c r="AB54" s="1155" t="s">
        <v>489</v>
      </c>
      <c r="AD54" s="1172">
        <v>11.436</v>
      </c>
      <c r="AF54" s="1173">
        <f>AVERAGE(AD54,AD50)</f>
        <v>11.268082</v>
      </c>
      <c r="AH54" s="1068">
        <f>(AF54/AF47-1)*100</f>
        <v>20.754029914053397</v>
      </c>
      <c r="AI54" s="1155" t="s">
        <v>489</v>
      </c>
      <c r="AJ54" s="1169">
        <f>+H54/AH54*100</f>
        <v>106.78285721989478</v>
      </c>
      <c r="AK54" s="1062" t="s">
        <v>489</v>
      </c>
      <c r="AM54" s="1170">
        <f>+T54</f>
        <v>1113.154</v>
      </c>
      <c r="AO54" s="1174">
        <f>AM54/AF54</f>
        <v>98.788240980141964</v>
      </c>
      <c r="AQ54" s="1068">
        <f>(AO54/AO47-1)*100</f>
        <v>8.6189390315604122</v>
      </c>
      <c r="AR54" s="1155" t="s">
        <v>489</v>
      </c>
    </row>
    <row r="55" spans="1:44" hidden="1" outlineLevel="2">
      <c r="A55" s="1045" t="str">
        <f>$A$41</f>
        <v>2Q</v>
      </c>
      <c r="B55" s="1154" t="str">
        <f>$B$41</f>
        <v>Jul</v>
      </c>
      <c r="D55" s="1068">
        <f>(T55/T48-1)*100</f>
        <v>28.994466410443586</v>
      </c>
      <c r="F55" s="1799">
        <v>9</v>
      </c>
      <c r="H55" s="1068">
        <f>D55-F55</f>
        <v>19.994466410443586</v>
      </c>
      <c r="I55" s="1155"/>
      <c r="J55" s="1060">
        <v>1756</v>
      </c>
      <c r="L55" s="1175">
        <f>AVERAGE(J55,J54)</f>
        <v>1737</v>
      </c>
      <c r="N55" s="1068">
        <f>(L55/L48-1)*100</f>
        <v>11.453320500481222</v>
      </c>
      <c r="O55" s="1155"/>
      <c r="P55" s="1169">
        <f>H55/N55*100</f>
        <v>174.57353445757062</v>
      </c>
      <c r="Q55" s="1062"/>
      <c r="S55" s="1176"/>
      <c r="T55" s="1176">
        <f>'qtrP&amp;L'!AD11</f>
        <v>1120.335</v>
      </c>
      <c r="U55" s="1176"/>
      <c r="V55" s="1176"/>
      <c r="W55" s="1176"/>
      <c r="Y55" s="1177">
        <f>T55/L55</f>
        <v>0.64498272884283248</v>
      </c>
      <c r="AA55" s="1068">
        <f>(Y55/Y48-1)*100</f>
        <v>15.738558376900592</v>
      </c>
      <c r="AB55" s="1155"/>
      <c r="AD55" s="1172">
        <v>11.804</v>
      </c>
      <c r="AF55" s="1173">
        <f>AVERAGE(AD55,AD54)</f>
        <v>11.620000000000001</v>
      </c>
      <c r="AH55" s="1068">
        <f>(AF55/AF48-1)*100</f>
        <v>18.965958535961104</v>
      </c>
      <c r="AI55" s="1155"/>
      <c r="AJ55" s="1169">
        <f>+H55/AH55*100</f>
        <v>105.42291533819576</v>
      </c>
      <c r="AK55" s="1062"/>
      <c r="AM55" s="1176">
        <f>+T55</f>
        <v>1120.335</v>
      </c>
      <c r="AO55" s="1178">
        <f>AM55/AF55</f>
        <v>96.414371772805509</v>
      </c>
      <c r="AQ55" s="1068">
        <f>(AO55/AO48-1)*100</f>
        <v>8.42972897280616</v>
      </c>
      <c r="AR55" s="1155"/>
    </row>
    <row r="56" spans="1:44" hidden="1" outlineLevel="2">
      <c r="A56" s="1045" t="str">
        <f>$A$42</f>
        <v>3Q</v>
      </c>
      <c r="B56" s="1154" t="str">
        <f>$B$42</f>
        <v>Oct</v>
      </c>
      <c r="D56" s="1068">
        <f>(T56/T49-1)*100</f>
        <v>19.643680537472452</v>
      </c>
      <c r="F56" s="1799">
        <v>1</v>
      </c>
      <c r="H56" s="1068">
        <f>D56-F56</f>
        <v>18.643680537472452</v>
      </c>
      <c r="I56" s="1155"/>
      <c r="J56" s="1060">
        <v>1823</v>
      </c>
      <c r="L56" s="1175">
        <f>AVERAGE(J56,J55)</f>
        <v>1789.5</v>
      </c>
      <c r="N56" s="1068">
        <f>(L56/L49-1)*100</f>
        <v>10.976744186046506</v>
      </c>
      <c r="O56" s="1155"/>
      <c r="P56" s="1169">
        <f>H56/N56*100</f>
        <v>169.84708964222793</v>
      </c>
      <c r="Q56" s="1062"/>
      <c r="S56" s="1176"/>
      <c r="T56" s="1176">
        <f>'qtrP&amp;L'!AD12</f>
        <v>1382.9960000000001</v>
      </c>
      <c r="U56" s="1176"/>
      <c r="V56" s="1176"/>
      <c r="W56" s="1176"/>
      <c r="Y56" s="1177">
        <f>T56/L56</f>
        <v>0.77283934059793247</v>
      </c>
      <c r="AA56" s="1068">
        <f>(Y56/Y49-1)*100</f>
        <v>7.8096869889211273</v>
      </c>
      <c r="AB56" s="1155"/>
      <c r="AD56" s="1172">
        <v>12.348000000000001</v>
      </c>
      <c r="AF56" s="1173">
        <f>AVERAGE(AD56,AD55)</f>
        <v>12.076000000000001</v>
      </c>
      <c r="AH56" s="1068">
        <f>(AF56/AF49-1)*100</f>
        <v>16.817412333736392</v>
      </c>
      <c r="AI56" s="1155"/>
      <c r="AJ56" s="1169">
        <f>+H56/AH56*100</f>
        <v>110.85938887323643</v>
      </c>
      <c r="AK56" s="1062"/>
      <c r="AM56" s="1176">
        <f>+T56</f>
        <v>1382.9960000000001</v>
      </c>
      <c r="AO56" s="1178">
        <f>AM56/AF56</f>
        <v>114.52434580987082</v>
      </c>
      <c r="AQ56" s="1068">
        <f>(AO56/AO49-1)*100</f>
        <v>2.4193894962008633</v>
      </c>
      <c r="AR56" s="1155"/>
    </row>
    <row r="57" spans="1:44" hidden="1" outlineLevel="2">
      <c r="A57" s="1045" t="str">
        <f>$A$43</f>
        <v>4Q</v>
      </c>
      <c r="B57" s="1154" t="str">
        <f>$B$43</f>
        <v>Jan</v>
      </c>
      <c r="D57" s="1179">
        <f>(T57/T50-1)*100</f>
        <v>9.5770247062981753</v>
      </c>
      <c r="F57" s="1800">
        <v>3</v>
      </c>
      <c r="H57" s="1179">
        <f>D57-F57</f>
        <v>6.5770247062981753</v>
      </c>
      <c r="I57" s="1155"/>
      <c r="J57" s="1181">
        <v>1854</v>
      </c>
      <c r="L57" s="1182">
        <f>AVERAGE(J57,J56)</f>
        <v>1838.5</v>
      </c>
      <c r="N57" s="1179">
        <f>(L57/L50-1)*100</f>
        <v>10.653024375564257</v>
      </c>
      <c r="O57" s="1155"/>
      <c r="P57" s="1182">
        <f>H57/N57*100</f>
        <v>61.738568076352593</v>
      </c>
      <c r="Q57" s="1062"/>
      <c r="S57" s="1183"/>
      <c r="T57" s="1183">
        <f>'qtrP&amp;L'!AD13</f>
        <v>1667.896</v>
      </c>
      <c r="U57" s="1197"/>
      <c r="V57" s="1197"/>
      <c r="W57" s="1197"/>
      <c r="Y57" s="1184">
        <f>T57/L57</f>
        <v>0.90720478651074243</v>
      </c>
      <c r="AA57" s="1179">
        <f>(Y57/Y50-1)*100</f>
        <v>-0.97240873020700835</v>
      </c>
      <c r="AB57" s="1155"/>
      <c r="AD57" s="1185">
        <v>12.645008000000001</v>
      </c>
      <c r="AF57" s="1186">
        <f>AVERAGE(AD57,AD56)</f>
        <v>12.496504000000002</v>
      </c>
      <c r="AH57" s="1179">
        <f>(AF57/AF50-1)*100</f>
        <v>14.97823727143064</v>
      </c>
      <c r="AI57" s="1155"/>
      <c r="AJ57" s="1182">
        <f>+H57/AH57*100</f>
        <v>43.910538917974918</v>
      </c>
      <c r="AK57" s="1062"/>
      <c r="AM57" s="1183">
        <f>+T57</f>
        <v>1667.896</v>
      </c>
      <c r="AO57" s="1187">
        <f>AM57/AF57</f>
        <v>133.46900861232868</v>
      </c>
      <c r="AQ57" s="1179">
        <f>(AO57/AO50-1)*100</f>
        <v>-4.6975955566110787</v>
      </c>
      <c r="AR57" s="1155"/>
    </row>
    <row r="58" spans="1:44" hidden="1" outlineLevel="2">
      <c r="B58" s="1154" t="str">
        <f>$B$44</f>
        <v>Year</v>
      </c>
      <c r="D58" s="1068">
        <f>(T58/T51-1)*100</f>
        <v>20.229279179150762</v>
      </c>
      <c r="F58" s="1799">
        <v>5</v>
      </c>
      <c r="H58" s="1068">
        <f>D58-F58</f>
        <v>15.229279179150762</v>
      </c>
      <c r="I58" s="1155"/>
      <c r="J58" s="1060"/>
      <c r="L58" s="1175">
        <f>AVERAGE(L54:L57)</f>
        <v>1766</v>
      </c>
      <c r="N58" s="1068">
        <f>(L58/L51-1)*100</f>
        <v>11.174063581995597</v>
      </c>
      <c r="O58" s="1155"/>
      <c r="P58" s="1169">
        <f>H58/N58*100</f>
        <v>136.29132380890692</v>
      </c>
      <c r="Q58" s="1062"/>
      <c r="S58" s="1170"/>
      <c r="T58" s="1170">
        <f>SUM(T54:T57)</f>
        <v>5284.3810000000003</v>
      </c>
      <c r="U58" s="1170"/>
      <c r="V58" s="1170"/>
      <c r="W58" s="1170"/>
      <c r="Y58" s="1171">
        <f>SUM(Y54:Y57)</f>
        <v>2.9802087276407363</v>
      </c>
      <c r="AA58" s="1068">
        <f>(Y58/Y51-1)*100</f>
        <v>8.448487488553269</v>
      </c>
      <c r="AB58" s="1155"/>
      <c r="AD58" s="1060"/>
      <c r="AF58" s="1173">
        <f>AVERAGE(AF54:AF57)</f>
        <v>11.865146500000002</v>
      </c>
      <c r="AH58" s="1068">
        <f>(AF58/AF51-1)*100</f>
        <v>17.753548562709298</v>
      </c>
      <c r="AI58" s="1155"/>
      <c r="AJ58" s="1169">
        <f>+H58/AH58*100</f>
        <v>85.781606563655259</v>
      </c>
      <c r="AK58" s="1062"/>
      <c r="AM58" s="1170">
        <f>SUM(AM54:AM57)</f>
        <v>5284.3810000000003</v>
      </c>
      <c r="AO58" s="1174">
        <f>SUM(AO54:AO57)</f>
        <v>443.19596717514696</v>
      </c>
      <c r="AQ58" s="1068">
        <f>(AO58/AO51-1)*100</f>
        <v>2.6546224601069257</v>
      </c>
      <c r="AR58" s="1155"/>
    </row>
    <row r="59" spans="1:44" hidden="1" outlineLevel="2">
      <c r="B59" s="1154"/>
      <c r="F59" s="1801"/>
      <c r="I59" s="1155"/>
      <c r="J59" s="1060"/>
      <c r="O59" s="1155"/>
      <c r="P59" s="1062"/>
      <c r="Q59" s="1062"/>
      <c r="AB59" s="1155"/>
      <c r="AD59" s="1060"/>
      <c r="AI59" s="1155"/>
      <c r="AJ59" s="1062"/>
      <c r="AK59" s="1062"/>
      <c r="AR59" s="1155"/>
    </row>
    <row r="60" spans="1:44" hidden="1" outlineLevel="2">
      <c r="A60" s="1166"/>
      <c r="B60" s="1188">
        <f>B53+1</f>
        <v>1997</v>
      </c>
      <c r="F60" s="1801"/>
      <c r="I60" s="1155"/>
      <c r="J60" s="1060"/>
      <c r="O60" s="1155"/>
      <c r="P60" s="1062"/>
      <c r="Q60" s="1062"/>
      <c r="AB60" s="1155"/>
      <c r="AD60" s="1060"/>
      <c r="AI60" s="1155"/>
      <c r="AJ60" s="1062"/>
      <c r="AK60" s="1062"/>
      <c r="AR60" s="1155"/>
    </row>
    <row r="61" spans="1:44" hidden="1" outlineLevel="2">
      <c r="A61" s="1045" t="str">
        <f>$A$40</f>
        <v>1Q</v>
      </c>
      <c r="B61" s="1154" t="str">
        <f>$B$40</f>
        <v>Apr</v>
      </c>
      <c r="D61" s="1068">
        <f>(T61/T54-1)*100</f>
        <v>10.603384617043087</v>
      </c>
      <c r="E61" s="1045" t="s">
        <v>489</v>
      </c>
      <c r="F61" s="1799">
        <v>-3</v>
      </c>
      <c r="G61" s="1045" t="s">
        <v>489</v>
      </c>
      <c r="H61" s="1068">
        <f>D61-F61</f>
        <v>13.603384617043087</v>
      </c>
      <c r="I61" s="1155" t="s">
        <v>489</v>
      </c>
      <c r="J61" s="1060">
        <v>1916</v>
      </c>
      <c r="L61" s="1045">
        <f>AVERAGE(J61,J57)</f>
        <v>1885</v>
      </c>
      <c r="N61" s="1068">
        <f>(L61/L54-1)*100</f>
        <v>10.947616244849922</v>
      </c>
      <c r="O61" s="1155" t="s">
        <v>489</v>
      </c>
      <c r="P61" s="1169">
        <f>H61/N61*100</f>
        <v>124.25887346428055</v>
      </c>
      <c r="Q61" s="1062" t="s">
        <v>489</v>
      </c>
      <c r="S61" s="1170"/>
      <c r="T61" s="1170">
        <f>'qtrP&amp;L'!AH10</f>
        <v>1231.1859999999999</v>
      </c>
      <c r="U61" s="1170"/>
      <c r="V61" s="1170"/>
      <c r="W61" s="1170"/>
      <c r="Y61" s="1171">
        <f>T61/L61</f>
        <v>0.65314907161803715</v>
      </c>
      <c r="AA61" s="1191">
        <f>(Y61/Y54-1)*100</f>
        <v>-0.31026500564654835</v>
      </c>
      <c r="AB61" s="1155" t="s">
        <v>489</v>
      </c>
      <c r="AD61" s="1172">
        <v>13.163</v>
      </c>
      <c r="AF61" s="1173">
        <f>AVERAGE(AD61,AD57)</f>
        <v>12.904004</v>
      </c>
      <c r="AH61" s="1068">
        <f>(AF61/AF54-1)*100</f>
        <v>14.518193957054981</v>
      </c>
      <c r="AI61" s="1155" t="s">
        <v>489</v>
      </c>
      <c r="AJ61" s="1169">
        <f>+H61/AH61*100</f>
        <v>93.698876439329069</v>
      </c>
      <c r="AK61" s="1062" t="s">
        <v>489</v>
      </c>
      <c r="AM61" s="1170">
        <f>+T61</f>
        <v>1231.1859999999999</v>
      </c>
      <c r="AO61" s="1174">
        <f>AM61/AF61</f>
        <v>95.411160752894986</v>
      </c>
      <c r="AQ61" s="1068">
        <f>(AO61/AO54-1)*100</f>
        <v>-3.4185042609735539</v>
      </c>
      <c r="AR61" s="1155" t="s">
        <v>489</v>
      </c>
    </row>
    <row r="62" spans="1:44" hidden="1" outlineLevel="2">
      <c r="A62" s="1045" t="str">
        <f>$A$41</f>
        <v>2Q</v>
      </c>
      <c r="B62" s="1154" t="str">
        <f>$B$41</f>
        <v>Jul</v>
      </c>
      <c r="D62" s="1068">
        <f>(T62/T55-1)*100</f>
        <v>20.073103134330349</v>
      </c>
      <c r="F62" s="1799">
        <v>4</v>
      </c>
      <c r="H62" s="1068">
        <f>D62-F62</f>
        <v>16.073103134330349</v>
      </c>
      <c r="I62" s="1155"/>
      <c r="J62" s="1060">
        <v>1984</v>
      </c>
      <c r="L62" s="1045">
        <f>AVERAGE(J62,J61)</f>
        <v>1950</v>
      </c>
      <c r="N62" s="1068">
        <f>(L62/L55-1)*100</f>
        <v>12.262521588946452</v>
      </c>
      <c r="O62" s="1155"/>
      <c r="P62" s="1169">
        <f>H62/N62*100</f>
        <v>131.07502415179263</v>
      </c>
      <c r="Q62" s="1062"/>
      <c r="S62" s="1176"/>
      <c r="T62" s="1176">
        <f>'qtrP&amp;L'!AH11</f>
        <v>1345.221</v>
      </c>
      <c r="U62" s="1176"/>
      <c r="V62" s="1176"/>
      <c r="W62" s="1176"/>
      <c r="Y62" s="1177">
        <f>T62/L62</f>
        <v>0.68985692307692303</v>
      </c>
      <c r="AA62" s="1191">
        <f>(Y62/Y55-1)*100</f>
        <v>6.9574257150419649</v>
      </c>
      <c r="AB62" s="1155"/>
      <c r="AD62" s="1172">
        <v>13.75</v>
      </c>
      <c r="AF62" s="1173">
        <f>AVERAGE(AD62,AD61)</f>
        <v>13.4565</v>
      </c>
      <c r="AH62" s="1068">
        <f>(AF62/AF55-1)*100</f>
        <v>15.804647160068841</v>
      </c>
      <c r="AI62" s="1155"/>
      <c r="AJ62" s="1169">
        <f>+H62/AH62*100</f>
        <v>101.69858884885311</v>
      </c>
      <c r="AK62" s="1062"/>
      <c r="AM62" s="1176">
        <f>+T62</f>
        <v>1345.221</v>
      </c>
      <c r="AO62" s="1178">
        <f>AM62/AF62</f>
        <v>99.968119496154273</v>
      </c>
      <c r="AQ62" s="1068">
        <f>(AO62/AO55-1)*100</f>
        <v>3.6859107807318825</v>
      </c>
      <c r="AR62" s="1155"/>
    </row>
    <row r="63" spans="1:44" hidden="1" outlineLevel="2">
      <c r="A63" s="1045" t="str">
        <f>$A$42</f>
        <v>3Q</v>
      </c>
      <c r="B63" s="1154" t="str">
        <f>$B$42</f>
        <v>Oct</v>
      </c>
      <c r="D63" s="1068">
        <f>(T63/T56-1)*100</f>
        <v>27.689378711145942</v>
      </c>
      <c r="F63" s="1799">
        <v>9</v>
      </c>
      <c r="H63" s="1068">
        <f>D63-F63</f>
        <v>18.689378711145942</v>
      </c>
      <c r="I63" s="1155"/>
      <c r="J63" s="1060">
        <v>2077</v>
      </c>
      <c r="L63" s="1175">
        <f>AVERAGE(J63,J62)</f>
        <v>2030.5</v>
      </c>
      <c r="N63" s="1068">
        <f>(L63/L56-1)*100</f>
        <v>13.467449008102816</v>
      </c>
      <c r="O63" s="1155"/>
      <c r="P63" s="1169">
        <f>H63/N63*100</f>
        <v>138.77445312695303</v>
      </c>
      <c r="Q63" s="1062"/>
      <c r="S63" s="1176"/>
      <c r="T63" s="1176">
        <f>'qtrP&amp;L'!AH12</f>
        <v>1765.9390000000001</v>
      </c>
      <c r="U63" s="1176"/>
      <c r="V63" s="1176"/>
      <c r="W63" s="1176"/>
      <c r="Y63" s="1177">
        <f>T63/L63</f>
        <v>0.86970647623737996</v>
      </c>
      <c r="AA63" s="1191">
        <f>(Y63/Y56-1)*100</f>
        <v>12.533929181775738</v>
      </c>
      <c r="AB63" s="1155"/>
      <c r="AD63" s="1172">
        <v>14.679</v>
      </c>
      <c r="AF63" s="1173">
        <f>AVERAGE(AD63,AD62)</f>
        <v>14.214500000000001</v>
      </c>
      <c r="AH63" s="1068">
        <f>(AF63/AF56-1)*100</f>
        <v>17.708678370321309</v>
      </c>
      <c r="AI63" s="1155"/>
      <c r="AJ63" s="1169">
        <f>+H63/AH63*100</f>
        <v>105.53796460874364</v>
      </c>
      <c r="AK63" s="1062"/>
      <c r="AM63" s="1176">
        <f>+T63</f>
        <v>1765.9390000000001</v>
      </c>
      <c r="AO63" s="1178">
        <f>AM63/AF63</f>
        <v>124.2350416827887</v>
      </c>
      <c r="AQ63" s="1068">
        <f>(AO63/AO56-1)*100</f>
        <v>8.4791541957718088</v>
      </c>
      <c r="AR63" s="1155"/>
    </row>
    <row r="64" spans="1:44" hidden="1" outlineLevel="2">
      <c r="A64" s="1045" t="str">
        <f>$A$43</f>
        <v>4Q</v>
      </c>
      <c r="B64" s="1154" t="str">
        <f>$B$43</f>
        <v>Jan</v>
      </c>
      <c r="D64" s="1179">
        <f>(T64/T57-1)*100</f>
        <v>29.832975197494328</v>
      </c>
      <c r="F64" s="1800">
        <v>10</v>
      </c>
      <c r="H64" s="1179">
        <f>D64-F64</f>
        <v>19.832975197494328</v>
      </c>
      <c r="I64" s="1155"/>
      <c r="J64" s="1181">
        <v>2130</v>
      </c>
      <c r="L64" s="1182">
        <f>AVERAGE(J64,J63)</f>
        <v>2103.5</v>
      </c>
      <c r="N64" s="1179">
        <f>(L64/L57-1)*100</f>
        <v>14.413924394887134</v>
      </c>
      <c r="O64" s="1155"/>
      <c r="P64" s="1182">
        <f>H64/N64*100</f>
        <v>137.5959430211069</v>
      </c>
      <c r="Q64" s="1062"/>
      <c r="S64" s="1183"/>
      <c r="T64" s="1183">
        <f>'qtrP&amp;L'!AH13</f>
        <v>2165.4789999999998</v>
      </c>
      <c r="U64" s="1197"/>
      <c r="V64" s="1197"/>
      <c r="W64" s="1197"/>
      <c r="Y64" s="1184">
        <f>T64/L64</f>
        <v>1.0294647016876632</v>
      </c>
      <c r="AA64" s="1180">
        <f>(Y64/Y57-1)*100</f>
        <v>13.476550939193377</v>
      </c>
      <c r="AB64" s="1155"/>
      <c r="AD64" s="1185">
        <v>15.312700000000001</v>
      </c>
      <c r="AF64" s="1186">
        <f>AVERAGE(AD64,AD63)</f>
        <v>14.995850000000001</v>
      </c>
      <c r="AH64" s="1179">
        <f>(AF64/AF57-1)*100</f>
        <v>20.000361701160575</v>
      </c>
      <c r="AI64" s="1155"/>
      <c r="AJ64" s="1182">
        <f>+H64/AH64*100</f>
        <v>99.16308261736819</v>
      </c>
      <c r="AK64" s="1062"/>
      <c r="AM64" s="1183">
        <f>+T64</f>
        <v>2165.4789999999998</v>
      </c>
      <c r="AO64" s="1187">
        <f>AM64/AF64</f>
        <v>144.40521877719502</v>
      </c>
      <c r="AQ64" s="1179">
        <f>(AO64/AO57-1)*100</f>
        <v>8.1938198826601258</v>
      </c>
      <c r="AR64" s="1155"/>
    </row>
    <row r="65" spans="1:44" hidden="1" outlineLevel="2">
      <c r="B65" s="1154" t="str">
        <f>$B$44</f>
        <v>Year</v>
      </c>
      <c r="D65" s="1068">
        <f>(T65/T58-1)*100</f>
        <v>23.15207779302817</v>
      </c>
      <c r="F65" s="1799">
        <v>6</v>
      </c>
      <c r="H65" s="1068">
        <f>D65-F65</f>
        <v>17.15207779302817</v>
      </c>
      <c r="I65" s="1155"/>
      <c r="J65" s="1060"/>
      <c r="L65" s="1175">
        <f>AVERAGE(L61:L64)</f>
        <v>1992.25</v>
      </c>
      <c r="N65" s="1068">
        <f>(L65/L58-1)*100</f>
        <v>12.811438278595698</v>
      </c>
      <c r="O65" s="1155"/>
      <c r="P65" s="1169">
        <f>H65/N65*100</f>
        <v>133.88096964635469</v>
      </c>
      <c r="Q65" s="1062"/>
      <c r="S65" s="1170"/>
      <c r="T65" s="1170">
        <f>SUM(T61:T64)</f>
        <v>6507.8250000000007</v>
      </c>
      <c r="U65" s="1170"/>
      <c r="V65" s="1170"/>
      <c r="W65" s="1170"/>
      <c r="Y65" s="1171">
        <f>SUM(Y61:Y64)</f>
        <v>3.2421771726200035</v>
      </c>
      <c r="AA65" s="1191">
        <f>(Y65/Y58-1)*100</f>
        <v>8.79027171988227</v>
      </c>
      <c r="AB65" s="1155"/>
      <c r="AD65" s="1060"/>
      <c r="AF65" s="1173">
        <f>AVERAGE(AF61:AF64)</f>
        <v>13.892713499999999</v>
      </c>
      <c r="AH65" s="1068">
        <f>(AF65/AF58-1)*100</f>
        <v>17.088427858855315</v>
      </c>
      <c r="AI65" s="1155"/>
      <c r="AJ65" s="1169">
        <f>+H65/AH65*100</f>
        <v>100.3724739027989</v>
      </c>
      <c r="AK65" s="1062"/>
      <c r="AM65" s="1170">
        <f>SUM(AM61:AM64)</f>
        <v>6507.8250000000007</v>
      </c>
      <c r="AO65" s="1174">
        <f>SUM(AO61:AO64)</f>
        <v>464.01954070903298</v>
      </c>
      <c r="AQ65" s="1068">
        <f>(AO65/AO58-1)*100</f>
        <v>4.6985024856186719</v>
      </c>
      <c r="AR65" s="1155"/>
    </row>
    <row r="66" spans="1:44" hidden="1" outlineLevel="2">
      <c r="B66" s="1154"/>
      <c r="F66" s="1801"/>
      <c r="I66" s="1155"/>
      <c r="J66" s="1060"/>
      <c r="O66" s="1155"/>
      <c r="P66" s="1062"/>
      <c r="Q66" s="1062"/>
      <c r="AB66" s="1155"/>
      <c r="AD66" s="1060"/>
      <c r="AI66" s="1155"/>
      <c r="AJ66" s="1062"/>
      <c r="AK66" s="1062"/>
      <c r="AR66" s="1155"/>
    </row>
    <row r="67" spans="1:44" hidden="1" outlineLevel="1" collapsed="1">
      <c r="A67" s="1166"/>
      <c r="B67" s="1188">
        <f>B60+1</f>
        <v>1998</v>
      </c>
      <c r="F67" s="1801"/>
      <c r="I67" s="1155"/>
      <c r="J67" s="1060"/>
      <c r="O67" s="1155"/>
      <c r="P67" s="1062"/>
      <c r="Q67" s="1062"/>
      <c r="AB67" s="1155"/>
      <c r="AD67" s="1060"/>
      <c r="AI67" s="1155"/>
      <c r="AJ67" s="1062"/>
      <c r="AK67" s="1062"/>
      <c r="AR67" s="1155"/>
    </row>
    <row r="68" spans="1:44" hidden="1" outlineLevel="1">
      <c r="A68" s="1045" t="str">
        <f>$A$40</f>
        <v>1Q</v>
      </c>
      <c r="B68" s="1154" t="str">
        <f>$B$40</f>
        <v>Apr</v>
      </c>
      <c r="D68" s="1068">
        <f>(T68/T61-1)*100</f>
        <v>39.679301096666151</v>
      </c>
      <c r="E68" s="1155" t="s">
        <v>489</v>
      </c>
      <c r="F68" s="1799">
        <v>17</v>
      </c>
      <c r="G68" s="1155" t="s">
        <v>489</v>
      </c>
      <c r="H68" s="1068">
        <f>D68-F68</f>
        <v>22.679301096666151</v>
      </c>
      <c r="I68" s="1155" t="s">
        <v>489</v>
      </c>
      <c r="J68" s="1192">
        <v>2229</v>
      </c>
      <c r="L68" s="1175">
        <f>AVERAGE(J68,J64)</f>
        <v>2179.5</v>
      </c>
      <c r="N68" s="1068">
        <f>(L68/L61-1)*100</f>
        <v>15.623342175066313</v>
      </c>
      <c r="O68" s="1155" t="s">
        <v>489</v>
      </c>
      <c r="P68" s="1169">
        <f>H68/N68*100</f>
        <v>145.16292892093614</v>
      </c>
      <c r="Q68" s="1062" t="s">
        <v>489</v>
      </c>
      <c r="S68" s="1170"/>
      <c r="T68" s="1170">
        <f>'qtrP&amp;L'!AL10</f>
        <v>1719.712</v>
      </c>
      <c r="U68" s="1170"/>
      <c r="V68" s="1170"/>
      <c r="W68" s="1170"/>
      <c r="Y68" s="1171">
        <f>T68/L68</f>
        <v>0.78903968800183533</v>
      </c>
      <c r="AA68" s="1191">
        <f>(Y68/Y61-1)*100</f>
        <v>20.805451969357968</v>
      </c>
      <c r="AB68" s="1155" t="s">
        <v>489</v>
      </c>
      <c r="AD68" s="1045">
        <v>15.975</v>
      </c>
      <c r="AF68" s="1173">
        <f>AVERAGE(AD68,AD64)</f>
        <v>15.64385</v>
      </c>
      <c r="AH68" s="1068">
        <f>(AF68/AF61-1)*100</f>
        <v>21.232525966358963</v>
      </c>
      <c r="AI68" s="1155" t="s">
        <v>489</v>
      </c>
      <c r="AJ68" s="1169">
        <f>+H68/AH68*100</f>
        <v>106.81395672186849</v>
      </c>
      <c r="AK68" s="1062" t="s">
        <v>489</v>
      </c>
      <c r="AM68" s="1170">
        <f>+T68</f>
        <v>1719.712</v>
      </c>
      <c r="AO68" s="1174">
        <f>AM68/AF68</f>
        <v>109.92894971506374</v>
      </c>
      <c r="AQ68" s="1068">
        <f>(AO68/AO61-1)*100</f>
        <v>15.216028028176209</v>
      </c>
      <c r="AR68" s="1155" t="s">
        <v>489</v>
      </c>
    </row>
    <row r="69" spans="1:44" hidden="1" outlineLevel="1">
      <c r="A69" s="1045" t="str">
        <f>$A$41</f>
        <v>2Q</v>
      </c>
      <c r="B69" s="1154" t="str">
        <f>$B$41</f>
        <v>Jul</v>
      </c>
      <c r="D69" s="1068">
        <f>(T69/T62-1)*100</f>
        <v>41.610188957799508</v>
      </c>
      <c r="F69" s="1799">
        <v>19</v>
      </c>
      <c r="H69" s="1068">
        <f>D69-F69</f>
        <v>22.610188957799508</v>
      </c>
      <c r="I69" s="1155"/>
      <c r="J69" s="1192">
        <v>2307</v>
      </c>
      <c r="L69" s="1175">
        <f>AVERAGE(J69,J68)</f>
        <v>2268</v>
      </c>
      <c r="N69" s="1068">
        <f>(L69/L62-1)*100</f>
        <v>16.307692307692314</v>
      </c>
      <c r="O69" s="1155"/>
      <c r="P69" s="1169">
        <f>H69/N69*100</f>
        <v>138.64738511858184</v>
      </c>
      <c r="Q69" s="1062"/>
      <c r="S69" s="1176"/>
      <c r="T69" s="1176">
        <f>'qtrP&amp;L'!AL11</f>
        <v>1904.97</v>
      </c>
      <c r="U69" s="1176"/>
      <c r="V69" s="1176"/>
      <c r="W69" s="1176"/>
      <c r="Y69" s="1177">
        <f>T69/L69</f>
        <v>0.83993386243386248</v>
      </c>
      <c r="AA69" s="1191">
        <f>(Y69/Y62-1)*100</f>
        <v>21.754792093346143</v>
      </c>
      <c r="AB69" s="1155"/>
      <c r="AD69" s="1045">
        <v>16.798999999999999</v>
      </c>
      <c r="AF69" s="1173">
        <f>AVERAGE(AD69,AD68)</f>
        <v>16.387</v>
      </c>
      <c r="AH69" s="1068">
        <f>(AF69/AF62-1)*100</f>
        <v>21.777579608367702</v>
      </c>
      <c r="AI69" s="1155"/>
      <c r="AJ69" s="1169">
        <f>+H69/AH69*100</f>
        <v>103.82324098639451</v>
      </c>
      <c r="AK69" s="1062"/>
      <c r="AM69" s="1176">
        <f>+T69</f>
        <v>1904.97</v>
      </c>
      <c r="AO69" s="1178">
        <f>AM69/AF69</f>
        <v>116.24885580032952</v>
      </c>
      <c r="AQ69" s="1068">
        <f>(AO69/AO62-1)*100</f>
        <v>16.28592834018605</v>
      </c>
      <c r="AR69" s="1155"/>
    </row>
    <row r="70" spans="1:44" hidden="1" outlineLevel="1">
      <c r="A70" s="1045" t="str">
        <f>$A$42</f>
        <v>3Q</v>
      </c>
      <c r="B70" s="1154" t="str">
        <f>$B$42</f>
        <v>Oct</v>
      </c>
      <c r="D70" s="1068">
        <f>(T70/T63-1)*100</f>
        <v>35.90208948327205</v>
      </c>
      <c r="F70" s="1799">
        <v>13</v>
      </c>
      <c r="H70" s="1068">
        <f>D70-F70</f>
        <v>22.90208948327205</v>
      </c>
      <c r="I70" s="1155"/>
      <c r="J70" s="1192">
        <v>2382</v>
      </c>
      <c r="L70" s="1175">
        <f>AVERAGE(J70,J69)</f>
        <v>2344.5</v>
      </c>
      <c r="N70" s="1068">
        <f>(L70/L63-1)*100</f>
        <v>15.46417138635805</v>
      </c>
      <c r="O70" s="1155"/>
      <c r="P70" s="1169">
        <f>H70/N70*100</f>
        <v>148.09774743880212</v>
      </c>
      <c r="Q70" s="1062"/>
      <c r="S70" s="1176"/>
      <c r="T70" s="1176">
        <f>'qtrP&amp;L'!AL12</f>
        <v>2399.9479999999999</v>
      </c>
      <c r="U70" s="1176"/>
      <c r="V70" s="1176"/>
      <c r="W70" s="1176"/>
      <c r="Y70" s="1177">
        <f>T70/L70</f>
        <v>1.0236502452548517</v>
      </c>
      <c r="AA70" s="1191">
        <f>(Y70/Y63-1)*100</f>
        <v>17.70065800630578</v>
      </c>
      <c r="AB70" s="1155"/>
      <c r="AD70" s="1045">
        <v>17.858000000000001</v>
      </c>
      <c r="AF70" s="1173">
        <f>AVERAGE(AD70,AD69)</f>
        <v>17.328499999999998</v>
      </c>
      <c r="AH70" s="1068">
        <f>(AF70/AF63-1)*100</f>
        <v>21.907207429033715</v>
      </c>
      <c r="AI70" s="1155"/>
      <c r="AJ70" s="1169">
        <f>+H70/AH70*100</f>
        <v>104.54134584456354</v>
      </c>
      <c r="AK70" s="1062"/>
      <c r="AM70" s="1176">
        <f>+T70</f>
        <v>2399.9479999999999</v>
      </c>
      <c r="AO70" s="1178">
        <f>AM70/AF70</f>
        <v>138.49715786132671</v>
      </c>
      <c r="AQ70" s="1191">
        <f>(AO70/AO63-1)*100</f>
        <v>11.479946386586892</v>
      </c>
      <c r="AR70" s="1155"/>
    </row>
    <row r="71" spans="1:44" hidden="1" outlineLevel="1">
      <c r="A71" s="1045" t="str">
        <f>$A$43</f>
        <v>4Q</v>
      </c>
      <c r="B71" s="1154" t="str">
        <f>$B$43</f>
        <v>Jan</v>
      </c>
      <c r="D71" s="1179">
        <f>(T71/T64-1)*100</f>
        <v>39.915094997457842</v>
      </c>
      <c r="F71" s="1800">
        <v>17</v>
      </c>
      <c r="H71" s="1179">
        <f>D71-F71</f>
        <v>22.915094997457842</v>
      </c>
      <c r="I71" s="1155"/>
      <c r="J71" s="1193">
        <v>2466</v>
      </c>
      <c r="L71" s="1182">
        <f>AVERAGE(J71,J70)</f>
        <v>2424</v>
      </c>
      <c r="N71" s="1179">
        <f>(L71/L64-1)*100</f>
        <v>15.236510577608753</v>
      </c>
      <c r="O71" s="1155"/>
      <c r="P71" s="1182">
        <f>H71/N71*100</f>
        <v>150.39595109875992</v>
      </c>
      <c r="Q71" s="1062"/>
      <c r="S71" s="1183"/>
      <c r="T71" s="1183">
        <f>'qtrP&amp;L'!AL13</f>
        <v>3029.8319999999999</v>
      </c>
      <c r="U71" s="1197"/>
      <c r="V71" s="1197"/>
      <c r="W71" s="1197"/>
      <c r="Y71" s="1184">
        <f>T71/L71</f>
        <v>1.2499306930693068</v>
      </c>
      <c r="AA71" s="1180">
        <f>(Y71/Y64-1)*100</f>
        <v>21.415595019452383</v>
      </c>
      <c r="AB71" s="1155"/>
      <c r="AD71" s="1185">
        <v>18.757000000000001</v>
      </c>
      <c r="AF71" s="1186">
        <f>AVERAGE(AD71,AD70)</f>
        <v>18.307500000000001</v>
      </c>
      <c r="AH71" s="1179">
        <f>(AF71/AF64-1)*100</f>
        <v>22.083776511501508</v>
      </c>
      <c r="AI71" s="1155"/>
      <c r="AJ71" s="1182">
        <f>+H71/AH71*100</f>
        <v>103.76438552311636</v>
      </c>
      <c r="AK71" s="1062"/>
      <c r="AM71" s="1183">
        <f>+T71</f>
        <v>3029.8319999999999</v>
      </c>
      <c r="AO71" s="1187">
        <f>AM71/AF71</f>
        <v>165.49676362146658</v>
      </c>
      <c r="AQ71" s="1180">
        <f>(AO71/AO64-1)*100</f>
        <v>14.605805124546102</v>
      </c>
      <c r="AR71" s="1155"/>
    </row>
    <row r="72" spans="1:44" hidden="1" outlineLevel="1">
      <c r="B72" s="1154" t="str">
        <f>$B$44</f>
        <v>Year</v>
      </c>
      <c r="D72" s="1068">
        <f>(T72/T65-1)*100</f>
        <v>39.131921955492018</v>
      </c>
      <c r="F72" s="1799">
        <v>17</v>
      </c>
      <c r="H72" s="1068">
        <f>D72-F72</f>
        <v>22.131921955492018</v>
      </c>
      <c r="I72" s="1155"/>
      <c r="L72" s="1175">
        <f>AVERAGE(L68:L71)</f>
        <v>2304</v>
      </c>
      <c r="N72" s="1068">
        <f>(L72/L65-1)*100</f>
        <v>15.64813652905006</v>
      </c>
      <c r="O72" s="1155"/>
      <c r="P72" s="1169">
        <f>H72/N72*100</f>
        <v>141.43487254476022</v>
      </c>
      <c r="Q72" s="1062"/>
      <c r="S72" s="1170"/>
      <c r="T72" s="1170">
        <f>SUM(T68:T71)</f>
        <v>9054.4619999999995</v>
      </c>
      <c r="U72" s="1170"/>
      <c r="V72" s="1170"/>
      <c r="W72" s="1170"/>
      <c r="Y72" s="1171">
        <f>SUM(Y68:Y71)</f>
        <v>3.902554488759856</v>
      </c>
      <c r="AA72" s="1191">
        <f>(Y72/Y65-1)*100</f>
        <v>20.368329088141767</v>
      </c>
      <c r="AB72" s="1155"/>
      <c r="AD72" s="1060"/>
      <c r="AF72" s="1173">
        <f>AVERAGE(AF68:AF71)</f>
        <v>16.916712499999999</v>
      </c>
      <c r="AH72" s="1068">
        <f>(AF72/AF65-1)*100</f>
        <v>21.766798833071732</v>
      </c>
      <c r="AI72" s="1155"/>
      <c r="AJ72" s="1169">
        <f>+H72/AH72*100</f>
        <v>101.67743141846624</v>
      </c>
      <c r="AK72" s="1062"/>
      <c r="AM72" s="1170">
        <f>SUM(AM68:AM71)</f>
        <v>9054.4619999999995</v>
      </c>
      <c r="AO72" s="1174">
        <f>SUM(AO68:AO71)</f>
        <v>530.17172699818661</v>
      </c>
      <c r="AQ72" s="1191">
        <f>(AO72/AO65-1)*100</f>
        <v>14.256336314645601</v>
      </c>
      <c r="AR72" s="1155"/>
    </row>
    <row r="73" spans="1:44" hidden="1" outlineLevel="1">
      <c r="B73" s="1154"/>
      <c r="F73" s="1801"/>
      <c r="I73" s="1155"/>
      <c r="O73" s="1155"/>
      <c r="P73" s="1062"/>
      <c r="Q73" s="1062"/>
      <c r="AB73" s="1155"/>
      <c r="AI73" s="1155"/>
      <c r="AJ73" s="1062"/>
      <c r="AK73" s="1062"/>
      <c r="AR73" s="1155"/>
    </row>
    <row r="74" spans="1:44" hidden="1" outlineLevel="1">
      <c r="A74" s="1166"/>
      <c r="B74" s="1188">
        <f>B67+1</f>
        <v>1999</v>
      </c>
      <c r="F74" s="1801"/>
      <c r="I74" s="1155"/>
      <c r="O74" s="1155"/>
      <c r="P74" s="1062"/>
      <c r="Q74" s="1062"/>
      <c r="AB74" s="1155"/>
      <c r="AI74" s="1155"/>
      <c r="AJ74" s="1062"/>
      <c r="AK74" s="1062"/>
      <c r="AR74" s="1155"/>
    </row>
    <row r="75" spans="1:44" hidden="1" outlineLevel="1">
      <c r="A75" s="1045" t="str">
        <f>$A$40</f>
        <v>1Q</v>
      </c>
      <c r="B75" s="1154" t="str">
        <f>$B$40</f>
        <v>Apr</v>
      </c>
      <c r="D75" s="1068">
        <f>(T75/T68-1)*100</f>
        <v>32.448572784280152</v>
      </c>
      <c r="E75" s="1155" t="s">
        <v>489</v>
      </c>
      <c r="F75" s="1799">
        <v>11</v>
      </c>
      <c r="G75" s="1155" t="s">
        <v>489</v>
      </c>
      <c r="H75" s="1068">
        <f>D75-F75</f>
        <v>21.448572784280152</v>
      </c>
      <c r="I75" s="1155" t="s">
        <v>489</v>
      </c>
      <c r="J75" s="1192">
        <v>2574</v>
      </c>
      <c r="L75" s="1175">
        <f>AVERAGE(J75,J71)</f>
        <v>2520</v>
      </c>
      <c r="N75" s="1068">
        <f>(L75/L68-1)*100</f>
        <v>15.622849277357197</v>
      </c>
      <c r="O75" s="1155" t="s">
        <v>489</v>
      </c>
      <c r="P75" s="1169">
        <f>H75/N75*100</f>
        <v>137.28976324034824</v>
      </c>
      <c r="Q75" s="1062" t="s">
        <v>489</v>
      </c>
      <c r="S75" s="1170"/>
      <c r="T75" s="1170">
        <f>'qtrP&amp;L'!AP10</f>
        <v>2277.7339999999999</v>
      </c>
      <c r="U75" s="1170"/>
      <c r="V75" s="1170"/>
      <c r="W75" s="1170"/>
      <c r="Y75" s="1171">
        <f>T75/L75</f>
        <v>0.9038626984126984</v>
      </c>
      <c r="AA75" s="1191">
        <f>(Y75/Y68-1)*100</f>
        <v>14.552247771166105</v>
      </c>
      <c r="AB75" s="1155" t="s">
        <v>489</v>
      </c>
      <c r="AD75" s="1045">
        <v>19.516999999999999</v>
      </c>
      <c r="AF75" s="1173">
        <f>AVERAGE(AD75,AD71)</f>
        <v>19.137</v>
      </c>
      <c r="AH75" s="1068">
        <f>(AF75/AF68-1)*100</f>
        <v>22.329222026547168</v>
      </c>
      <c r="AI75" s="1155" t="s">
        <v>489</v>
      </c>
      <c r="AJ75" s="1169">
        <f>+H75/AH75*100</f>
        <v>96.056068405697189</v>
      </c>
      <c r="AK75" s="1062" t="s">
        <v>489</v>
      </c>
      <c r="AM75" s="1174">
        <f>+T75</f>
        <v>2277.7339999999999</v>
      </c>
      <c r="AO75" s="1174">
        <f>AM75/AF75</f>
        <v>119.02252181637665</v>
      </c>
      <c r="AQ75" s="1068">
        <f>(AO75/AO68-1)*100</f>
        <v>8.2722268564227051</v>
      </c>
      <c r="AR75" s="1155" t="s">
        <v>489</v>
      </c>
    </row>
    <row r="76" spans="1:44" hidden="1" outlineLevel="1">
      <c r="A76" s="1045" t="str">
        <f>$A$41</f>
        <v>2Q</v>
      </c>
      <c r="B76" s="1154" t="str">
        <f>$B$41</f>
        <v>Jul</v>
      </c>
      <c r="D76" s="1068">
        <f>(T76/T69-1)*100</f>
        <v>28.786227604634185</v>
      </c>
      <c r="E76" s="1155"/>
      <c r="F76" s="1799">
        <v>8</v>
      </c>
      <c r="G76" s="1155"/>
      <c r="H76" s="1068">
        <f>D76-F76</f>
        <v>20.786227604634185</v>
      </c>
      <c r="I76" s="1155"/>
      <c r="J76" s="1192">
        <v>2661</v>
      </c>
      <c r="L76" s="1175">
        <f>AVERAGE(J76,J75)</f>
        <v>2617.5</v>
      </c>
      <c r="N76" s="1068">
        <f>(L76/L69-1)*100</f>
        <v>15.410052910052908</v>
      </c>
      <c r="O76" s="1155"/>
      <c r="P76" s="1169">
        <f>H76/N76*100</f>
        <v>134.88745123693943</v>
      </c>
      <c r="Q76" s="1062"/>
      <c r="S76" s="1176"/>
      <c r="T76" s="1176">
        <f>'qtrP&amp;L'!AP11</f>
        <v>2453.3389999999999</v>
      </c>
      <c r="U76" s="1176"/>
      <c r="V76" s="1176"/>
      <c r="W76" s="1176"/>
      <c r="Y76" s="1177">
        <f>T76/L76</f>
        <v>0.93728328557784146</v>
      </c>
      <c r="AA76" s="1191">
        <f>(Y76/Y69-1)*100</f>
        <v>11.590129592095643</v>
      </c>
      <c r="AB76" s="1155"/>
      <c r="AD76" s="1045">
        <v>20.390999999999998</v>
      </c>
      <c r="AF76" s="1173">
        <f>AVERAGE(AD76,AD75)</f>
        <v>19.954000000000001</v>
      </c>
      <c r="AH76" s="1068">
        <f>(AF76/AF69-1)*100</f>
        <v>21.767254531030702</v>
      </c>
      <c r="AI76" s="1155"/>
      <c r="AJ76" s="1169">
        <f>+H76/AH76*100</f>
        <v>95.493106744362294</v>
      </c>
      <c r="AK76" s="1062"/>
      <c r="AM76" s="1178">
        <f>+T76</f>
        <v>2453.3389999999999</v>
      </c>
      <c r="AO76" s="1178">
        <f>AM76/AF76</f>
        <v>122.94973438909491</v>
      </c>
      <c r="AQ76" s="1068">
        <f>(AO76/AO69-1)*100</f>
        <v>5.7642533706094401</v>
      </c>
      <c r="AR76" s="1155"/>
    </row>
    <row r="77" spans="1:44" hidden="1" outlineLevel="1">
      <c r="A77" s="1045" t="str">
        <f>$A$42</f>
        <v>3Q</v>
      </c>
      <c r="B77" s="1154" t="str">
        <f>$B$42</f>
        <v>Oct</v>
      </c>
      <c r="D77" s="1068">
        <f>(T77/T70-1)*100</f>
        <v>26.893832699708508</v>
      </c>
      <c r="E77" s="1155"/>
      <c r="F77" s="1799">
        <v>5</v>
      </c>
      <c r="G77" s="1155"/>
      <c r="H77" s="1068">
        <f>D77-F77</f>
        <v>21.893832699708508</v>
      </c>
      <c r="I77" s="1155"/>
      <c r="J77" s="1192">
        <v>2879</v>
      </c>
      <c r="L77" s="1175">
        <f>AVERAGE(J77,J76)</f>
        <v>2770</v>
      </c>
      <c r="N77" s="1068">
        <f>(L77/L70-1)*100</f>
        <v>18.1488590317765</v>
      </c>
      <c r="O77" s="1155"/>
      <c r="P77" s="1169">
        <f>H77/N77*100</f>
        <v>120.63476090356427</v>
      </c>
      <c r="Q77" s="1062"/>
      <c r="S77" s="1176"/>
      <c r="T77" s="1176">
        <f>'qtrP&amp;L'!AP12</f>
        <v>3045.386</v>
      </c>
      <c r="U77" s="1176"/>
      <c r="V77" s="1176"/>
      <c r="W77" s="1176"/>
      <c r="Y77" s="1177">
        <f>T77/L77</f>
        <v>1.0994173285198556</v>
      </c>
      <c r="AA77" s="1191">
        <f>(Y77/Y70-1)*100</f>
        <v>7.4016573156919119</v>
      </c>
      <c r="AB77" s="1155"/>
      <c r="AD77" s="1045">
        <v>22.721</v>
      </c>
      <c r="AF77" s="1173">
        <f>AVERAGE(AD77,AD76)</f>
        <v>21.555999999999997</v>
      </c>
      <c r="AH77" s="1068">
        <f>(AF77/AF70-1)*100</f>
        <v>24.396225870675469</v>
      </c>
      <c r="AI77" s="1155"/>
      <c r="AJ77" s="1169">
        <f>+H77/AH77*100</f>
        <v>89.742703710679834</v>
      </c>
      <c r="AK77" s="1062"/>
      <c r="AM77" s="1178">
        <f>+T77</f>
        <v>3045.386</v>
      </c>
      <c r="AO77" s="1178">
        <f>AM77/AF77</f>
        <v>141.27788086843572</v>
      </c>
      <c r="AQ77" s="1191">
        <f>(AO77/AO70-1)*100</f>
        <v>2.0077834448366527</v>
      </c>
      <c r="AR77" s="1155"/>
    </row>
    <row r="78" spans="1:44" hidden="1" outlineLevel="1">
      <c r="A78" s="1045" t="str">
        <f>$A$43</f>
        <v>4Q</v>
      </c>
      <c r="B78" s="1154" t="str">
        <f>$B$43</f>
        <v>Jan</v>
      </c>
      <c r="D78" s="1179">
        <f>(T78/T71-1)*100</f>
        <v>27.364784582115441</v>
      </c>
      <c r="E78" s="1155"/>
      <c r="F78" s="1800">
        <v>5</v>
      </c>
      <c r="G78" s="1155"/>
      <c r="H78" s="1179">
        <f>D78-F78</f>
        <v>22.364784582115441</v>
      </c>
      <c r="I78" s="1155"/>
      <c r="J78" s="1193">
        <v>3018</v>
      </c>
      <c r="L78" s="1182">
        <f>AVERAGE(J78,J77)</f>
        <v>2948.5</v>
      </c>
      <c r="N78" s="1179">
        <f>(L78/L71-1)*100</f>
        <v>21.637788778877898</v>
      </c>
      <c r="O78" s="1155"/>
      <c r="P78" s="1182">
        <f>H78/N78*100</f>
        <v>103.35984333088237</v>
      </c>
      <c r="Q78" s="1062"/>
      <c r="S78" s="1183"/>
      <c r="T78" s="1183">
        <f>'qtrP&amp;L'!AP13</f>
        <v>3858.9389999999999</v>
      </c>
      <c r="U78" s="1197"/>
      <c r="V78" s="1197"/>
      <c r="W78" s="1197"/>
      <c r="Y78" s="1184">
        <f>T78/L78</f>
        <v>1.3087803968119383</v>
      </c>
      <c r="AA78" s="1180">
        <f>(Y78/Y71-1)*100</f>
        <v>4.7082373501942776</v>
      </c>
      <c r="AB78" s="1155"/>
      <c r="AD78" s="1185">
        <v>23.978099999999998</v>
      </c>
      <c r="AF78" s="1186">
        <f>AVERAGE(AD78,AD77)</f>
        <v>23.349550000000001</v>
      </c>
      <c r="AH78" s="1179">
        <f>(AF78/AF71-1)*100</f>
        <v>27.5408985388502</v>
      </c>
      <c r="AI78" s="1155"/>
      <c r="AJ78" s="1182">
        <f>+H78/AH78*100</f>
        <v>81.205718653539421</v>
      </c>
      <c r="AK78" s="1062"/>
      <c r="AM78" s="1187">
        <f>+T78</f>
        <v>3858.9389999999999</v>
      </c>
      <c r="AO78" s="1187">
        <f>AM78/AF78</f>
        <v>165.26823857419092</v>
      </c>
      <c r="AQ78" s="1180">
        <f>(AO78/AO71-1)*100</f>
        <v>-0.13808429982253845</v>
      </c>
      <c r="AR78" s="1155"/>
    </row>
    <row r="79" spans="1:44" hidden="1" outlineLevel="1">
      <c r="B79" s="1154" t="str">
        <f>$B$44</f>
        <v>Year</v>
      </c>
      <c r="D79" s="1068">
        <f>(T79/T72-1)*100</f>
        <v>28.504575975911116</v>
      </c>
      <c r="E79" s="1155"/>
      <c r="F79" s="1799">
        <v>7</v>
      </c>
      <c r="G79" s="1155"/>
      <c r="H79" s="1068">
        <f>D79-F79</f>
        <v>21.504575975911116</v>
      </c>
      <c r="I79" s="1155"/>
      <c r="L79" s="1175">
        <f>AVERAGE(L75:L78)</f>
        <v>2714</v>
      </c>
      <c r="N79" s="1068">
        <f>(L79/L72-1)*100</f>
        <v>17.795138888888886</v>
      </c>
      <c r="O79" s="1155"/>
      <c r="P79" s="1169">
        <f>H79/N79*100</f>
        <v>120.84522694755908</v>
      </c>
      <c r="Q79" s="1062"/>
      <c r="S79" s="1170"/>
      <c r="T79" s="1170">
        <f>SUM(T75:T78)</f>
        <v>11635.398000000001</v>
      </c>
      <c r="U79" s="1170"/>
      <c r="V79" s="1170"/>
      <c r="W79" s="1170"/>
      <c r="Y79" s="1171">
        <f>SUM(Y75:Y78)</f>
        <v>4.2493437093223339</v>
      </c>
      <c r="AA79" s="1191">
        <f>(Y79/Y72-1)*100</f>
        <v>8.8862108539752747</v>
      </c>
      <c r="AB79" s="1155"/>
      <c r="AF79" s="1173">
        <f>AVERAGE(AF75:AF78)</f>
        <v>20.9991375</v>
      </c>
      <c r="AH79" s="1068">
        <f>(AF79/AF72-1)*100</f>
        <v>24.132496192744313</v>
      </c>
      <c r="AI79" s="1155"/>
      <c r="AJ79" s="1169">
        <f>+H79/AH79*100</f>
        <v>89.110450092505118</v>
      </c>
      <c r="AK79" s="1062"/>
      <c r="AM79" s="1174">
        <f>SUM(AM75:AM78)</f>
        <v>11635.398000000001</v>
      </c>
      <c r="AO79" s="1174">
        <f>SUM(AO75:AO78)</f>
        <v>548.51837564809819</v>
      </c>
      <c r="AQ79" s="1191">
        <f>(AO79/AO72-1)*100</f>
        <v>3.4605105696204674</v>
      </c>
      <c r="AR79" s="1155"/>
    </row>
    <row r="80" spans="1:44" hidden="1" outlineLevel="1">
      <c r="B80" s="1154"/>
      <c r="E80" s="1155"/>
      <c r="F80" s="1801"/>
      <c r="G80" s="1155"/>
      <c r="I80" s="1155"/>
      <c r="O80" s="1155"/>
      <c r="P80" s="1062"/>
      <c r="Q80" s="1062"/>
      <c r="AB80" s="1155"/>
      <c r="AI80" s="1155"/>
      <c r="AJ80" s="1062"/>
      <c r="AK80" s="1062"/>
      <c r="AR80" s="1155"/>
    </row>
    <row r="81" spans="1:66" hidden="1" outlineLevel="1">
      <c r="A81" s="1166"/>
      <c r="B81" s="1188">
        <f>B74+1</f>
        <v>2000</v>
      </c>
      <c r="E81" s="1155"/>
      <c r="F81" s="1801"/>
      <c r="G81" s="1155"/>
      <c r="I81" s="1155"/>
      <c r="O81" s="1155"/>
      <c r="P81" s="1062"/>
      <c r="Q81" s="1062"/>
      <c r="AB81" s="1155"/>
      <c r="AI81" s="1155"/>
      <c r="AJ81" s="1062"/>
      <c r="AK81" s="1062"/>
      <c r="AR81" s="1155"/>
    </row>
    <row r="82" spans="1:66" hidden="1" outlineLevel="1">
      <c r="A82" s="1045" t="str">
        <f>$A$40</f>
        <v>1Q</v>
      </c>
      <c r="B82" s="1154" t="str">
        <f>$B$40</f>
        <v>Apr</v>
      </c>
      <c r="D82" s="1068">
        <f>(T82/T75-1)*100</f>
        <v>19.943329642530692</v>
      </c>
      <c r="E82" s="1155" t="s">
        <v>489</v>
      </c>
      <c r="F82" s="1799">
        <v>-2</v>
      </c>
      <c r="G82" s="1155" t="s">
        <v>489</v>
      </c>
      <c r="H82" s="1068">
        <f>D82-F82</f>
        <v>21.943329642530692</v>
      </c>
      <c r="I82" s="1155" t="s">
        <v>489</v>
      </c>
      <c r="J82" s="1192">
        <v>3145</v>
      </c>
      <c r="K82" s="1045" t="s">
        <v>31</v>
      </c>
      <c r="L82" s="1175">
        <f>AVERAGE(J82,J78)</f>
        <v>3081.5</v>
      </c>
      <c r="N82" s="1068">
        <f>(L82/L75-1)*100</f>
        <v>22.281746031746042</v>
      </c>
      <c r="O82" s="1155" t="s">
        <v>489</v>
      </c>
      <c r="P82" s="1169">
        <f>H82/N82*100</f>
        <v>98.481194477608753</v>
      </c>
      <c r="Q82" s="1062" t="s">
        <v>489</v>
      </c>
      <c r="S82" s="1170"/>
      <c r="T82" s="1170">
        <f>+'qtrP&amp;L'!AT10</f>
        <v>2731.99</v>
      </c>
      <c r="U82" s="1170"/>
      <c r="V82" s="1170"/>
      <c r="W82" s="1170"/>
      <c r="X82" s="1045" t="s">
        <v>31</v>
      </c>
      <c r="Y82" s="1171">
        <f>T82/L82</f>
        <v>0.88657796527665089</v>
      </c>
      <c r="AA82" s="1191">
        <f>(Y82/Y75-1)*100</f>
        <v>-1.9123184490743794</v>
      </c>
      <c r="AB82" s="1155" t="s">
        <v>489</v>
      </c>
      <c r="AD82" s="1185">
        <v>25.519299999999998</v>
      </c>
      <c r="AE82" s="1045" t="s">
        <v>31</v>
      </c>
      <c r="AF82" s="1173">
        <f>AVERAGE(AD82,AD78)</f>
        <v>24.748699999999999</v>
      </c>
      <c r="AH82" s="1068">
        <f>(AF82/AF75-1)*100</f>
        <v>29.32382296075664</v>
      </c>
      <c r="AI82" s="1155" t="s">
        <v>489</v>
      </c>
      <c r="AJ82" s="1169">
        <f>+H82/AH82*100</f>
        <v>74.831067122103818</v>
      </c>
      <c r="AK82" s="1062" t="s">
        <v>489</v>
      </c>
      <c r="AM82" s="1174">
        <f>+T82</f>
        <v>2731.99</v>
      </c>
      <c r="AN82" s="1045" t="s">
        <v>31</v>
      </c>
      <c r="AO82" s="1174">
        <f>AM82/AF82</f>
        <v>110.38923256575092</v>
      </c>
      <c r="AQ82" s="1191">
        <f>(AO82/AO75-1)*100</f>
        <v>-7.2534921281073528</v>
      </c>
      <c r="AR82" s="1155" t="s">
        <v>489</v>
      </c>
    </row>
    <row r="83" spans="1:66" hidden="1" outlineLevel="1">
      <c r="A83" s="1045" t="str">
        <f>$A$41</f>
        <v>2Q</v>
      </c>
      <c r="B83" s="1154" t="str">
        <f>$B$41</f>
        <v>Jul</v>
      </c>
      <c r="D83" s="1068">
        <f>(T83/T76-1)*100</f>
        <v>20.151108346624746</v>
      </c>
      <c r="F83" s="1799">
        <v>-2</v>
      </c>
      <c r="H83" s="1068">
        <f>D83-F83</f>
        <v>22.151108346624746</v>
      </c>
      <c r="J83" s="1192">
        <v>3284</v>
      </c>
      <c r="K83" s="1060"/>
      <c r="L83" s="1175">
        <f>AVERAGE(J83,J82)</f>
        <v>3214.5</v>
      </c>
      <c r="N83" s="1068">
        <f>(L83/L76-1)*100</f>
        <v>22.808022922636106</v>
      </c>
      <c r="O83" s="1155"/>
      <c r="P83" s="1169">
        <f>H83/N83*100</f>
        <v>97.119809208191398</v>
      </c>
      <c r="Q83" s="1062"/>
      <c r="S83" s="1176"/>
      <c r="T83" s="1176">
        <f>+'qtrP&amp;L'!AT11</f>
        <v>2947.7139999999999</v>
      </c>
      <c r="U83" s="1176"/>
      <c r="V83" s="1176"/>
      <c r="W83" s="1176"/>
      <c r="Y83" s="1177">
        <f>T83/L83</f>
        <v>0.91700544408150564</v>
      </c>
      <c r="AA83" s="1191">
        <f>(Y83/Y76-1)*100</f>
        <v>-2.1634698717404754</v>
      </c>
      <c r="AB83" s="1155"/>
      <c r="AD83" s="1185">
        <v>26.931625</v>
      </c>
      <c r="AE83" s="1060"/>
      <c r="AF83" s="1173">
        <f>AVERAGE(AD83,AD82)</f>
        <v>26.225462499999999</v>
      </c>
      <c r="AH83" s="1068">
        <f>(AF83/AF76-1)*100</f>
        <v>31.429600581337059</v>
      </c>
      <c r="AI83" s="1155"/>
      <c r="AJ83" s="1169">
        <f>+H83/AH83*100</f>
        <v>70.478491412258364</v>
      </c>
      <c r="AK83" s="1062"/>
      <c r="AM83" s="1178">
        <f>+T83</f>
        <v>2947.7139999999999</v>
      </c>
      <c r="AO83" s="1178">
        <f>AM83/AF83</f>
        <v>112.39893290728429</v>
      </c>
      <c r="AQ83" s="1191">
        <f>(AO83/AO76-1)*100</f>
        <v>-8.5813942862380301</v>
      </c>
      <c r="AR83" s="1155"/>
    </row>
    <row r="84" spans="1:66" hidden="1" outlineLevel="1">
      <c r="A84" s="1045" t="str">
        <f>$A$42</f>
        <v>3Q</v>
      </c>
      <c r="B84" s="1154" t="str">
        <f>$B$42</f>
        <v>Oct</v>
      </c>
      <c r="D84" s="1068">
        <f>(T84/T77-1)*100</f>
        <v>12.125950536319529</v>
      </c>
      <c r="F84" s="1799">
        <v>-8</v>
      </c>
      <c r="H84" s="1068">
        <f>D84-F84</f>
        <v>20.125950536319529</v>
      </c>
      <c r="J84" s="1192">
        <v>3542</v>
      </c>
      <c r="K84" s="1060"/>
      <c r="L84" s="1175">
        <f>AVERAGE(J84,J83)</f>
        <v>3413</v>
      </c>
      <c r="N84" s="1068">
        <f>(L84/L77-1)*100</f>
        <v>23.212996389891693</v>
      </c>
      <c r="O84" s="1155"/>
      <c r="P84" s="1169">
        <f>H84/N84*100</f>
        <v>86.701217707006379</v>
      </c>
      <c r="Q84" s="1062"/>
      <c r="S84" s="1176"/>
      <c r="T84" s="1176">
        <f>+'qtrP&amp;L'!AT12</f>
        <v>3414.6680000000001</v>
      </c>
      <c r="U84" s="1176"/>
      <c r="V84" s="1176"/>
      <c r="W84" s="1176"/>
      <c r="Y84" s="1177">
        <f>T84/L84</f>
        <v>1.0004887196015235</v>
      </c>
      <c r="AA84" s="1191">
        <f>(Y84/Y77-1)*100</f>
        <v>-8.9982763007309998</v>
      </c>
      <c r="AB84" s="1155"/>
      <c r="AD84" s="1185">
        <v>29.977741000000002</v>
      </c>
      <c r="AE84" s="1060"/>
      <c r="AF84" s="1173">
        <f>AVERAGE(AD84,AD83)</f>
        <v>28.454683000000003</v>
      </c>
      <c r="AH84" s="1068">
        <f>(AF84/AF77-1)*100</f>
        <v>32.003539617739875</v>
      </c>
      <c r="AI84" s="1155"/>
      <c r="AJ84" s="1169">
        <f>+H84/AH84*100</f>
        <v>62.886639342741688</v>
      </c>
      <c r="AK84" s="1062"/>
      <c r="AM84" s="1178">
        <f>+T84</f>
        <v>3414.6680000000001</v>
      </c>
      <c r="AO84" s="1178">
        <f>AM84/AF84</f>
        <v>120.00372662735339</v>
      </c>
      <c r="AQ84" s="1191">
        <f>(AO84/AO77-1)*100</f>
        <v>-15.058375812483893</v>
      </c>
      <c r="AR84" s="1155"/>
    </row>
    <row r="85" spans="1:66" hidden="1" outlineLevel="1">
      <c r="A85" s="1045" t="str">
        <f>$A$43</f>
        <v>4Q</v>
      </c>
      <c r="B85" s="1154" t="str">
        <f>$B$43</f>
        <v>Jan</v>
      </c>
      <c r="D85" s="1179">
        <f>(T85/T78-1)*100</f>
        <v>18.661839433066962</v>
      </c>
      <c r="F85" s="1800">
        <v>-6</v>
      </c>
      <c r="H85" s="1179">
        <f>D85-F85</f>
        <v>24.661839433066962</v>
      </c>
      <c r="J85" s="1193">
        <v>2848</v>
      </c>
      <c r="K85" s="1060"/>
      <c r="L85" s="1182">
        <f>AVERAGE(J85,J84)</f>
        <v>3195</v>
      </c>
      <c r="N85" s="1179">
        <f>(L85/L78-1)*100</f>
        <v>8.3601831439715113</v>
      </c>
      <c r="O85" s="1155"/>
      <c r="P85" s="1182">
        <f>H85/N85*100</f>
        <v>294.99161691033646</v>
      </c>
      <c r="Q85" s="1062"/>
      <c r="S85" s="1183"/>
      <c r="T85" s="1183">
        <f>+'qtrP&amp;L'!AT13</f>
        <v>4579.0879999999997</v>
      </c>
      <c r="U85" s="1197"/>
      <c r="V85" s="1197"/>
      <c r="W85" s="1197"/>
      <c r="Y85" s="1184">
        <f>T85/L85</f>
        <v>1.4332043818466353</v>
      </c>
      <c r="AA85" s="1180">
        <f>(Y85/Y78-1)*100</f>
        <v>9.5068649666347316</v>
      </c>
      <c r="AB85" s="1155"/>
      <c r="AD85" s="1185">
        <v>31.373437000000003</v>
      </c>
      <c r="AE85" s="1060"/>
      <c r="AF85" s="1186">
        <f>AVERAGE(AD85,AD84)</f>
        <v>30.675589000000002</v>
      </c>
      <c r="AH85" s="1179">
        <f>(AF85/AF78-1)*100</f>
        <v>31.375504024702838</v>
      </c>
      <c r="AI85" s="1155"/>
      <c r="AJ85" s="1182">
        <f>+H85/AH85*100</f>
        <v>78.602209588888144</v>
      </c>
      <c r="AK85" s="1062"/>
      <c r="AM85" s="1187">
        <f>+T85</f>
        <v>4579.0879999999997</v>
      </c>
      <c r="AO85" s="1187">
        <f>AM85/AF85</f>
        <v>149.27465614433677</v>
      </c>
      <c r="AQ85" s="1180">
        <f>(AO85/AO78-1)*100</f>
        <v>-9.677347908971889</v>
      </c>
      <c r="AR85" s="1155"/>
    </row>
    <row r="86" spans="1:66" hidden="1" outlineLevel="1">
      <c r="B86" s="1154" t="str">
        <f>$B$44</f>
        <v>Year</v>
      </c>
      <c r="D86" s="1068">
        <f>(T86/T79-1)*100</f>
        <v>17.516048870867994</v>
      </c>
      <c r="F86" s="1802">
        <v>-5</v>
      </c>
      <c r="H86" s="1068">
        <f>D86-F86</f>
        <v>22.516048870867994</v>
      </c>
      <c r="L86" s="1175">
        <f>AVERAGE(L82:L85)</f>
        <v>3226</v>
      </c>
      <c r="N86" s="1068">
        <f>(L86/L79-1)*100</f>
        <v>18.865143699336762</v>
      </c>
      <c r="O86" s="1155"/>
      <c r="P86" s="1169">
        <f>H86/N86*100</f>
        <v>119.35264967878079</v>
      </c>
      <c r="Q86" s="1062"/>
      <c r="S86" s="1170"/>
      <c r="T86" s="1170">
        <f>SUM(T82:T85)</f>
        <v>13673.46</v>
      </c>
      <c r="U86" s="1170"/>
      <c r="V86" s="1170"/>
      <c r="W86" s="1170"/>
      <c r="Y86" s="1171">
        <f>SUM(Y82:Y85)</f>
        <v>4.2372765108063151</v>
      </c>
      <c r="AA86" s="1191">
        <f>(Y86/Y79-1)*100</f>
        <v>-0.28397793498194934</v>
      </c>
      <c r="AB86" s="1155"/>
      <c r="AF86" s="1173">
        <f>AVERAGE(AF82:AF85)</f>
        <v>27.526108624999999</v>
      </c>
      <c r="AH86" s="1068">
        <f>(AF86/AF79-1)*100</f>
        <v>31.082091466851903</v>
      </c>
      <c r="AI86" s="1155"/>
      <c r="AJ86" s="1169">
        <f>+H86/AH86*100</f>
        <v>72.440584942234892</v>
      </c>
      <c r="AK86" s="1062"/>
      <c r="AM86" s="1174">
        <f>SUM(AM82:AM85)</f>
        <v>13673.46</v>
      </c>
      <c r="AO86" s="1174">
        <f>SUM(AO82:AO85)</f>
        <v>492.06654824472537</v>
      </c>
      <c r="AQ86" s="1191">
        <f>(AO86/AO79-1)*100</f>
        <v>-10.291693024262417</v>
      </c>
      <c r="AR86" s="1155"/>
    </row>
    <row r="87" spans="1:66" hidden="1" outlineLevel="1">
      <c r="B87" s="1154"/>
      <c r="F87" s="1801"/>
      <c r="O87" s="1155"/>
      <c r="P87" s="1062"/>
      <c r="Q87" s="1062"/>
      <c r="S87" s="1170"/>
      <c r="T87" s="1170">
        <f>+T86-1215</f>
        <v>12458.46</v>
      </c>
      <c r="U87" s="1170"/>
      <c r="V87" s="1170"/>
      <c r="W87" s="1170"/>
      <c r="AB87" s="1155"/>
      <c r="AF87" s="1185">
        <v>24.988608624999998</v>
      </c>
      <c r="AI87" s="1155"/>
      <c r="AJ87" s="1062"/>
      <c r="AK87" s="1062"/>
    </row>
    <row r="88" spans="1:66" hidden="1" outlineLevel="1">
      <c r="A88" s="1166"/>
      <c r="B88" s="1188">
        <f>B81+1</f>
        <v>2001</v>
      </c>
      <c r="E88" s="1155"/>
      <c r="F88" s="1801"/>
      <c r="G88" s="1155"/>
      <c r="I88" s="1155"/>
      <c r="O88" s="1155"/>
      <c r="P88" s="1062"/>
      <c r="Q88" s="1062"/>
      <c r="S88" s="1171"/>
      <c r="T88" s="1171"/>
      <c r="U88" s="1171"/>
      <c r="V88" s="1171"/>
      <c r="W88" s="1171"/>
      <c r="AB88" s="1155"/>
      <c r="AI88" s="1155"/>
      <c r="AJ88" s="1062"/>
      <c r="AK88" s="1062"/>
      <c r="AR88" s="1155"/>
    </row>
    <row r="89" spans="1:66" hidden="1" outlineLevel="1">
      <c r="A89" s="1045" t="str">
        <f>$A$40</f>
        <v>1Q</v>
      </c>
      <c r="B89" s="1154" t="str">
        <f>$B$40</f>
        <v>Apr</v>
      </c>
      <c r="D89" s="1068">
        <f>(T89/T82-1)*100</f>
        <v>16.386077547868048</v>
      </c>
      <c r="E89" s="1155" t="s">
        <v>489</v>
      </c>
      <c r="F89" s="1799">
        <v>-6.8</v>
      </c>
      <c r="G89" s="1155" t="s">
        <v>489</v>
      </c>
      <c r="H89" s="1068">
        <f>D89-F89</f>
        <v>23.186077547868049</v>
      </c>
      <c r="I89" s="1155" t="s">
        <v>489</v>
      </c>
      <c r="J89" s="1192">
        <v>2947</v>
      </c>
      <c r="K89" s="1045" t="s">
        <v>31</v>
      </c>
      <c r="L89" s="1175">
        <f>AVERAGE(J89,J85)</f>
        <v>2897.5</v>
      </c>
      <c r="N89" s="1068">
        <f>(L89/L82-1)*100</f>
        <v>-5.9711179620314798</v>
      </c>
      <c r="O89" s="1155" t="s">
        <v>489</v>
      </c>
      <c r="P89" s="1169">
        <f>H89/N89*100</f>
        <v>-388.30379328127924</v>
      </c>
      <c r="Q89" s="1062" t="s">
        <v>489</v>
      </c>
      <c r="S89" s="1170"/>
      <c r="T89" s="1170">
        <f>+'qtrP&amp;L'!AX10</f>
        <v>3179.6559999999999</v>
      </c>
      <c r="U89" s="1170"/>
      <c r="V89" s="1170"/>
      <c r="W89" s="1170"/>
      <c r="Y89" s="1171">
        <f>T89/L89</f>
        <v>1.097379119930975</v>
      </c>
      <c r="AA89" s="1191">
        <f>(Y89/Y82-1)*100</f>
        <v>23.776944940036373</v>
      </c>
      <c r="AB89" s="1155" t="s">
        <v>489</v>
      </c>
      <c r="AD89" s="1185">
        <v>33.271189</v>
      </c>
      <c r="AE89" s="1045" t="s">
        <v>31</v>
      </c>
      <c r="AF89" s="1173">
        <f>AVERAGE(AD89,AD85)</f>
        <v>32.322313000000001</v>
      </c>
      <c r="AH89" s="1068">
        <f>(AF89/AF82-1)*100</f>
        <v>30.602063946793166</v>
      </c>
      <c r="AI89" s="1155" t="s">
        <v>489</v>
      </c>
      <c r="AJ89" s="1169">
        <f>+H89/AH89*100</f>
        <v>75.766384869272031</v>
      </c>
      <c r="AK89" s="1062" t="s">
        <v>489</v>
      </c>
      <c r="AM89" s="1174">
        <f>+T89</f>
        <v>3179.6559999999999</v>
      </c>
      <c r="AN89" s="1045" t="s">
        <v>31</v>
      </c>
      <c r="AO89" s="1174">
        <f>AM89/AF89</f>
        <v>98.373405393357828</v>
      </c>
      <c r="AQ89" s="1191">
        <f>(AO89/AO82-1)*100</f>
        <v>-10.884963046768281</v>
      </c>
      <c r="AR89" s="1155" t="s">
        <v>489</v>
      </c>
    </row>
    <row r="90" spans="1:66" hidden="1" outlineLevel="1">
      <c r="A90" s="1045" t="str">
        <f>$A$41</f>
        <v>2Q</v>
      </c>
      <c r="B90" s="1154" t="str">
        <f>$B$41</f>
        <v>Jul</v>
      </c>
      <c r="D90" s="1068">
        <f>(T90/T83-1)*100</f>
        <v>10.092736269529535</v>
      </c>
      <c r="F90" s="1799">
        <v>-9.4</v>
      </c>
      <c r="H90" s="1068">
        <f>D90-F90</f>
        <v>19.492736269529537</v>
      </c>
      <c r="J90" s="1192">
        <v>3021</v>
      </c>
      <c r="K90" s="1060"/>
      <c r="L90" s="1175">
        <f>AVERAGE(J90,J89)</f>
        <v>2984</v>
      </c>
      <c r="N90" s="1068">
        <f>(L90/L83-1)*100</f>
        <v>-7.1706330689065183</v>
      </c>
      <c r="O90" s="1155"/>
      <c r="P90" s="1169">
        <f>H90/N90*100</f>
        <v>-271.84121795402467</v>
      </c>
      <c r="Q90" s="1062"/>
      <c r="S90" s="1176"/>
      <c r="T90" s="1176">
        <f>+'qtrP&amp;L'!AX11</f>
        <v>3245.2190000000001</v>
      </c>
      <c r="U90" s="1176"/>
      <c r="V90" s="1176"/>
      <c r="W90" s="1176"/>
      <c r="Y90" s="1177">
        <f>T90/L90</f>
        <v>1.0875398793565685</v>
      </c>
      <c r="AA90" s="1191">
        <f>(Y90/Y83-1)*100</f>
        <v>18.596883625470095</v>
      </c>
      <c r="AB90" s="1155"/>
      <c r="AD90" s="1185">
        <v>34.381444000000002</v>
      </c>
      <c r="AE90" s="1060"/>
      <c r="AF90" s="1173">
        <f>AVERAGE(AD90,AD89)</f>
        <v>33.826316500000004</v>
      </c>
      <c r="AH90" s="1068">
        <f>(AF90/AF83-1)*100</f>
        <v>28.982726234094081</v>
      </c>
      <c r="AI90" s="1155"/>
      <c r="AJ90" s="1169">
        <f>+H90/AH90*100</f>
        <v>67.256393039379049</v>
      </c>
      <c r="AK90" s="1062"/>
      <c r="AM90" s="1178">
        <f>+T90</f>
        <v>3245.2190000000001</v>
      </c>
      <c r="AO90" s="1178">
        <f>AM90/AF90</f>
        <v>95.937699867498125</v>
      </c>
      <c r="AQ90" s="1191">
        <f>(AO90/AO83-1)*100</f>
        <v>-14.645364163167562</v>
      </c>
      <c r="AR90" s="1155"/>
    </row>
    <row r="91" spans="1:66" hidden="1" outlineLevel="1">
      <c r="A91" s="1045" t="str">
        <f>$A$42</f>
        <v>3Q</v>
      </c>
      <c r="B91" s="1154" t="str">
        <f>$B$42</f>
        <v>Oct</v>
      </c>
      <c r="D91" s="1068">
        <f>(T91/T84-1)*100</f>
        <v>-2.3807585393367692</v>
      </c>
      <c r="F91" s="1799">
        <v>-16.7</v>
      </c>
      <c r="H91" s="1068">
        <f>D91-F91</f>
        <v>14.31924146066323</v>
      </c>
      <c r="J91" s="1192">
        <v>3101</v>
      </c>
      <c r="K91" s="1060"/>
      <c r="L91" s="1175">
        <f>AVERAGE(J91,J90)</f>
        <v>3061</v>
      </c>
      <c r="N91" s="1068">
        <f>(L91/L84-1)*100</f>
        <v>-10.313507178435399</v>
      </c>
      <c r="O91" s="1155"/>
      <c r="P91" s="1169">
        <f>H91/N91*100</f>
        <v>-138.83969063989653</v>
      </c>
      <c r="Q91" s="1062"/>
      <c r="S91" s="1176"/>
      <c r="T91" s="1176">
        <f>+'qtrP&amp;L'!AX12</f>
        <v>3333.373</v>
      </c>
      <c r="U91" s="1176"/>
      <c r="V91" s="1176"/>
      <c r="W91" s="1176"/>
      <c r="Y91" s="1177">
        <f>T91/L91</f>
        <v>1.0889817053250572</v>
      </c>
      <c r="AA91" s="1191">
        <f>(Y91/Y84-1)*100</f>
        <v>8.8449758592759498</v>
      </c>
      <c r="AB91" s="1155"/>
      <c r="AD91" s="1185">
        <v>36.033394000000001</v>
      </c>
      <c r="AE91" s="1060"/>
      <c r="AF91" s="1173">
        <f>AVERAGE(AD91,AD90)</f>
        <v>35.207419000000002</v>
      </c>
      <c r="AH91" s="1068">
        <f>(AF91/AF84-1)*100</f>
        <v>23.731545348791961</v>
      </c>
      <c r="AI91" s="1155"/>
      <c r="AJ91" s="1169">
        <f>+H91/AH91*100</f>
        <v>60.338428240587128</v>
      </c>
      <c r="AK91" s="1062"/>
      <c r="AM91" s="1178">
        <f>+T91</f>
        <v>3333.373</v>
      </c>
      <c r="AO91" s="1178">
        <f>AM91/AF91</f>
        <v>94.678141558743619</v>
      </c>
      <c r="AQ91" s="1191">
        <f>(AO91/AO84-1)*100</f>
        <v>-21.103998834347127</v>
      </c>
      <c r="AR91" s="1155"/>
    </row>
    <row r="92" spans="1:66" hidden="1" outlineLevel="1">
      <c r="A92" s="1045" t="str">
        <f>$A$43</f>
        <v>4Q</v>
      </c>
      <c r="B92" s="1154" t="str">
        <f>$B$43</f>
        <v>Jan</v>
      </c>
      <c r="D92" s="1179">
        <f>(T92/T85-1)*100</f>
        <v>-10.689093548759054</v>
      </c>
      <c r="F92" s="1800">
        <v>-16.100000000000001</v>
      </c>
      <c r="H92" s="1179">
        <f>D92-F92</f>
        <v>5.4109064512409475</v>
      </c>
      <c r="J92" s="1192">
        <v>3097</v>
      </c>
      <c r="K92" s="1060"/>
      <c r="L92" s="1182">
        <f>AVERAGE(J92,J91)</f>
        <v>3099</v>
      </c>
      <c r="N92" s="1179">
        <f>(L92/L85-1)*100</f>
        <v>-3.0046948356807546</v>
      </c>
      <c r="O92" s="1155"/>
      <c r="P92" s="1182">
        <f>H92/N92*100</f>
        <v>-180.08173033036257</v>
      </c>
      <c r="Q92" s="1062"/>
      <c r="S92" s="1183"/>
      <c r="T92" s="1183">
        <f>+'qtrP&amp;L'!AX13</f>
        <v>4089.625</v>
      </c>
      <c r="U92" s="1197"/>
      <c r="V92" s="1197"/>
      <c r="W92" s="1197"/>
      <c r="Y92" s="1184">
        <f>T92/L92</f>
        <v>1.3196595676024525</v>
      </c>
      <c r="AA92" s="1180">
        <f>(Y92/Y85-1)*100</f>
        <v>-7.9224439781494516</v>
      </c>
      <c r="AB92" s="1155"/>
      <c r="AD92" s="1185">
        <v>36.333391999999996</v>
      </c>
      <c r="AE92" s="1060"/>
      <c r="AF92" s="1186">
        <f>AVERAGE(AD92,AD91)</f>
        <v>36.183392999999995</v>
      </c>
      <c r="AH92" s="1179">
        <f>(AF92/AF85-1)*100</f>
        <v>17.955006503705583</v>
      </c>
      <c r="AI92" s="1155"/>
      <c r="AJ92" s="1182">
        <f>+H92/AH92*100</f>
        <v>30.135920307933254</v>
      </c>
      <c r="AK92" s="1062"/>
      <c r="AM92" s="1187">
        <f>+T92</f>
        <v>4089.625</v>
      </c>
      <c r="AO92" s="1187">
        <f>AM92/AF92</f>
        <v>113.02491725969426</v>
      </c>
      <c r="AQ92" s="1180">
        <f>(AO92/AO85-1)*100</f>
        <v>-24.283920540129657</v>
      </c>
      <c r="AR92" s="1155"/>
    </row>
    <row r="93" spans="1:66" hidden="1" outlineLevel="1">
      <c r="B93" s="1154" t="str">
        <f>$B$44</f>
        <v>Year</v>
      </c>
      <c r="D93" s="1068">
        <f>(T93/T86-1)*100</f>
        <v>1.2755586369507022</v>
      </c>
      <c r="F93" s="1799">
        <v>-12.9</v>
      </c>
      <c r="H93" s="1068">
        <f>D93-F93</f>
        <v>14.175558636950703</v>
      </c>
      <c r="L93" s="1175">
        <f>AVERAGE(L89:L92)</f>
        <v>3010.375</v>
      </c>
      <c r="N93" s="1068">
        <f>(L93/L86-1)*100</f>
        <v>-6.6839739615623062</v>
      </c>
      <c r="O93" s="1155"/>
      <c r="P93" s="1169">
        <f>H93/N93*100</f>
        <v>-212.08279263908619</v>
      </c>
      <c r="Q93" s="1062"/>
      <c r="S93" s="1170"/>
      <c r="T93" s="1170">
        <f>SUM(T89:T92)</f>
        <v>13847.873</v>
      </c>
      <c r="U93" s="1170"/>
      <c r="V93" s="1170"/>
      <c r="W93" s="1170"/>
      <c r="Y93" s="1171">
        <f>SUM(Y89:Y92)</f>
        <v>4.5935602722150533</v>
      </c>
      <c r="AA93" s="1191">
        <f>(Y93/Y86-1)*100</f>
        <v>8.4083198370488397</v>
      </c>
      <c r="AB93" s="1155"/>
      <c r="AF93" s="1173">
        <f>AVERAGE(AF89:AF92)</f>
        <v>34.384860375000002</v>
      </c>
      <c r="AH93" s="1068">
        <f>(AF93/AF86-1)*100</f>
        <v>24.917258895689631</v>
      </c>
      <c r="AI93" s="1155"/>
      <c r="AJ93" s="1169">
        <f>+H93/AH93*100</f>
        <v>56.890521932181294</v>
      </c>
      <c r="AK93" s="1062"/>
      <c r="AM93" s="1174">
        <f>SUM(AM89:AM92)</f>
        <v>13847.873</v>
      </c>
      <c r="AO93" s="1174">
        <f>SUM(AO89:AO92)</f>
        <v>402.01416407929378</v>
      </c>
      <c r="AQ93" s="1191">
        <f>(AO93/AO86-1)*100</f>
        <v>-18.300854729235681</v>
      </c>
      <c r="AR93" s="1155"/>
      <c r="BB93" s="1155"/>
      <c r="BC93" s="1155"/>
    </row>
    <row r="94" spans="1:66" hidden="1" outlineLevel="1">
      <c r="B94" s="1154"/>
      <c r="F94" s="1801"/>
      <c r="O94" s="1155"/>
      <c r="AI94" s="1155"/>
      <c r="AT94" s="1058"/>
      <c r="BA94" s="1054" t="s">
        <v>317</v>
      </c>
      <c r="BB94" s="2133" t="s">
        <v>81</v>
      </c>
      <c r="BC94" s="2133"/>
      <c r="BD94" s="1054" t="s">
        <v>151</v>
      </c>
      <c r="BE94" s="1054" t="s">
        <v>150</v>
      </c>
      <c r="BF94" s="1058"/>
    </row>
    <row r="95" spans="1:66" hidden="1" outlineLevel="1">
      <c r="A95" s="1166"/>
      <c r="B95" s="1188">
        <f>+B88+1</f>
        <v>2002</v>
      </c>
      <c r="E95" s="1155"/>
      <c r="F95" s="1801"/>
      <c r="G95" s="1155"/>
      <c r="I95" s="1155"/>
      <c r="O95" s="1155"/>
      <c r="P95" s="1062"/>
      <c r="Q95" s="1062"/>
      <c r="AB95" s="1155"/>
      <c r="AI95" s="1155"/>
      <c r="AJ95" s="1062"/>
      <c r="AK95" s="1062"/>
      <c r="AR95" s="1155"/>
      <c r="AT95" s="1050"/>
      <c r="BA95" s="1050" t="s">
        <v>482</v>
      </c>
      <c r="BB95" s="1165" t="s">
        <v>276</v>
      </c>
      <c r="BC95" s="1165" t="s">
        <v>277</v>
      </c>
      <c r="BD95" s="1050" t="s">
        <v>482</v>
      </c>
      <c r="BE95" s="1050" t="s">
        <v>482</v>
      </c>
      <c r="BF95" s="1050"/>
    </row>
    <row r="96" spans="1:66" hidden="1" outlineLevel="1">
      <c r="A96" s="1045" t="str">
        <f>$A$40</f>
        <v>1Q</v>
      </c>
      <c r="B96" s="1154" t="str">
        <f>$B$40</f>
        <v>Apr</v>
      </c>
      <c r="D96" s="1068">
        <f>(T96/T89-1)*100</f>
        <v>-9.083246741156902</v>
      </c>
      <c r="E96" s="1155" t="s">
        <v>489</v>
      </c>
      <c r="F96" s="1803">
        <v>-17.5</v>
      </c>
      <c r="G96" s="1155" t="s">
        <v>489</v>
      </c>
      <c r="H96" s="1068">
        <f>D96-F96</f>
        <v>8.416753258843098</v>
      </c>
      <c r="I96" s="1155" t="s">
        <v>489</v>
      </c>
      <c r="J96" s="1192">
        <v>3125</v>
      </c>
      <c r="K96" s="1045" t="s">
        <v>31</v>
      </c>
      <c r="L96" s="1175">
        <f>AVERAGE(J96,J92)</f>
        <v>3111</v>
      </c>
      <c r="N96" s="1068">
        <f>(L96/L89-1)*100</f>
        <v>7.3684210526315796</v>
      </c>
      <c r="O96" s="1155" t="s">
        <v>489</v>
      </c>
      <c r="P96" s="1169">
        <f>H96/N96*100</f>
        <v>114.22736565572775</v>
      </c>
      <c r="Q96" s="1062" t="s">
        <v>489</v>
      </c>
      <c r="S96" s="1170"/>
      <c r="T96" s="1170">
        <f>+'qtrP&amp;L'!BB10</f>
        <v>2890.84</v>
      </c>
      <c r="U96" s="1170"/>
      <c r="V96" s="1170"/>
      <c r="W96" s="1170"/>
      <c r="Y96" s="1171">
        <f>T96/L96</f>
        <v>0.92923175827708138</v>
      </c>
      <c r="AA96" s="1191">
        <f>(Y96/Y89-1)*100</f>
        <v>-15.32263176872457</v>
      </c>
      <c r="AB96" s="1155" t="s">
        <v>489</v>
      </c>
      <c r="AD96" s="1185">
        <v>36.942</v>
      </c>
      <c r="AE96" s="1045" t="s">
        <v>31</v>
      </c>
      <c r="AF96" s="1173">
        <f>AVERAGE(AD96,AD92)</f>
        <v>36.637695999999998</v>
      </c>
      <c r="AH96" s="1068">
        <f>(AF96/AF89-1)*100</f>
        <v>13.351095882277964</v>
      </c>
      <c r="AI96" s="1155" t="s">
        <v>489</v>
      </c>
      <c r="AJ96" s="1169">
        <f>+H96/AH96*100</f>
        <v>63.041665890628238</v>
      </c>
      <c r="AK96" s="1062" t="s">
        <v>489</v>
      </c>
      <c r="AM96" s="1174">
        <f>+T96</f>
        <v>2890.84</v>
      </c>
      <c r="AN96" s="1045" t="s">
        <v>31</v>
      </c>
      <c r="AO96" s="1174">
        <f>AM96/AF96</f>
        <v>78.903433228989073</v>
      </c>
      <c r="AQ96" s="1191">
        <f>(AO96/AO89-1)*100</f>
        <v>-19.791906243883439</v>
      </c>
      <c r="AR96" s="1155" t="s">
        <v>489</v>
      </c>
      <c r="AT96" s="1176"/>
      <c r="AY96" s="1176">
        <f>+T96-AZ96</f>
        <v>0.34000000000014552</v>
      </c>
      <c r="AZ96" s="1196">
        <f>+BB96+BC96+BD96+BE96</f>
        <v>2890.5</v>
      </c>
      <c r="BA96" s="1197">
        <f>SUM(BB96:BC96)</f>
        <v>1355</v>
      </c>
      <c r="BB96" s="1176">
        <v>1104</v>
      </c>
      <c r="BC96" s="1176">
        <v>251</v>
      </c>
      <c r="BD96" s="1176">
        <v>397.5</v>
      </c>
      <c r="BE96" s="1176">
        <v>1138</v>
      </c>
      <c r="BF96" s="1176"/>
      <c r="BN96" s="1198"/>
    </row>
    <row r="97" spans="1:67" hidden="1" outlineLevel="1">
      <c r="A97" s="1045" t="str">
        <f>$A$41</f>
        <v>2Q</v>
      </c>
      <c r="B97" s="1154" t="str">
        <f>$B$41</f>
        <v>Jul</v>
      </c>
      <c r="D97" s="1068">
        <f>(T97/T90-1)*100</f>
        <v>0.71150822178718265</v>
      </c>
      <c r="F97" s="1803">
        <v>-7.4</v>
      </c>
      <c r="H97" s="1068">
        <f>D97-F97</f>
        <v>8.111508221787183</v>
      </c>
      <c r="J97" s="1192">
        <v>3139</v>
      </c>
      <c r="L97" s="1175">
        <f>AVERAGE(J97,J96)</f>
        <v>3132</v>
      </c>
      <c r="N97" s="1068">
        <f>(L97/L90-1)*100</f>
        <v>4.959785522788196</v>
      </c>
      <c r="O97" s="1155"/>
      <c r="P97" s="1169">
        <f>H97/N97*100</f>
        <v>163.5455441473851</v>
      </c>
      <c r="Q97" s="1062"/>
      <c r="S97" s="1176"/>
      <c r="T97" s="1176">
        <f>+'qtrP&amp;L'!BB11</f>
        <v>3268.3090000000002</v>
      </c>
      <c r="U97" s="1176"/>
      <c r="V97" s="1176"/>
      <c r="W97" s="1176"/>
      <c r="Y97" s="1177">
        <f>T97/L97</f>
        <v>1.043521392081737</v>
      </c>
      <c r="AA97" s="1191">
        <f>(Y97/Y90-1)*100</f>
        <v>-4.0475285651938142</v>
      </c>
      <c r="AB97" s="1155"/>
      <c r="AD97" s="1185">
        <v>37.377352000000002</v>
      </c>
      <c r="AF97" s="1173">
        <f>AVERAGE(AD97,AD96)</f>
        <v>37.159676000000005</v>
      </c>
      <c r="AH97" s="1068">
        <f>(AF97/AF90-1)*100</f>
        <v>9.8543378200815823</v>
      </c>
      <c r="AI97" s="1155"/>
      <c r="AJ97" s="1169">
        <f>+H97/AH97*100</f>
        <v>82.314087155173553</v>
      </c>
      <c r="AK97" s="1062"/>
      <c r="AM97" s="1178">
        <f>+T97</f>
        <v>3268.3090000000002</v>
      </c>
      <c r="AO97" s="1178">
        <f>AM97/AF97</f>
        <v>87.953108094914498</v>
      </c>
      <c r="AQ97" s="1191">
        <f>(AO97/AO90-1)*100</f>
        <v>-8.3226841831848581</v>
      </c>
      <c r="AR97" s="1155"/>
      <c r="AT97" s="1176"/>
      <c r="AY97" s="1176">
        <f>+T97-AZ97</f>
        <v>0.80900000000019645</v>
      </c>
      <c r="AZ97" s="1199">
        <f>+BB97+BC97+BD97+BE97</f>
        <v>3267.5</v>
      </c>
      <c r="BA97" s="1197">
        <f>SUM(BB97:BC97)</f>
        <v>1477</v>
      </c>
      <c r="BB97" s="1176">
        <v>1191</v>
      </c>
      <c r="BC97" s="1176">
        <v>286</v>
      </c>
      <c r="BD97" s="1176">
        <v>464.5</v>
      </c>
      <c r="BE97" s="1176">
        <v>1326</v>
      </c>
      <c r="BF97" s="1176"/>
      <c r="BN97" s="1198"/>
    </row>
    <row r="98" spans="1:67" hidden="1" outlineLevel="1">
      <c r="A98" s="1045" t="str">
        <f>$A$42</f>
        <v>3Q</v>
      </c>
      <c r="B98" s="1154" t="str">
        <f>$B$42</f>
        <v>Oct</v>
      </c>
      <c r="D98" s="1068">
        <f>(T98/T91-1)*100</f>
        <v>9.3473787661926941</v>
      </c>
      <c r="F98" s="1803">
        <v>2.2999999999999998</v>
      </c>
      <c r="H98" s="1068">
        <f>D98-F98</f>
        <v>7.0473787661926943</v>
      </c>
      <c r="J98" s="1192">
        <v>3158</v>
      </c>
      <c r="L98" s="1175">
        <f>AVERAGE(J98,J97)</f>
        <v>3148.5</v>
      </c>
      <c r="N98" s="1068">
        <f>(L98/L91-1)*100</f>
        <v>2.8585429598170453</v>
      </c>
      <c r="O98" s="1155"/>
      <c r="P98" s="1169">
        <f>H98/N98*100</f>
        <v>246.53744460932452</v>
      </c>
      <c r="Q98" s="1062"/>
      <c r="S98" s="1176"/>
      <c r="T98" s="1176">
        <f>+'qtrP&amp;L'!BB12</f>
        <v>3644.9560000000001</v>
      </c>
      <c r="U98" s="1176"/>
      <c r="V98" s="1176"/>
      <c r="W98" s="1176"/>
      <c r="Y98" s="1177">
        <f>T98/L98</f>
        <v>1.1576801651580118</v>
      </c>
      <c r="AA98" s="1191">
        <f>(Y98/Y91-1)*100</f>
        <v>6.3085044952567282</v>
      </c>
      <c r="AB98" s="1155"/>
      <c r="AD98" s="1185">
        <v>37.644743999999996</v>
      </c>
      <c r="AF98" s="1173">
        <f>AVERAGE(AD98,AD97)</f>
        <v>37.511048000000002</v>
      </c>
      <c r="AH98" s="1068">
        <f>(AF98/AF91-1)*100</f>
        <v>6.5430215148687854</v>
      </c>
      <c r="AI98" s="1155"/>
      <c r="AJ98" s="1169">
        <f>+H98/AH98*100</f>
        <v>107.7083232903602</v>
      </c>
      <c r="AK98" s="1062"/>
      <c r="AM98" s="1178">
        <f>+T98</f>
        <v>3644.9560000000001</v>
      </c>
      <c r="AO98" s="1178">
        <f>AM98/AF98</f>
        <v>97.170199030429643</v>
      </c>
      <c r="AQ98" s="1191">
        <f>(AO98/AO91-1)*100</f>
        <v>2.632136024913212</v>
      </c>
      <c r="AR98" s="1155"/>
      <c r="AT98" s="1176"/>
      <c r="AY98" s="1176">
        <f>+T98-AZ98</f>
        <v>-4.3999999999869033E-2</v>
      </c>
      <c r="AZ98" s="1199">
        <f>+BB98+BC98+BD98+BE98</f>
        <v>3645</v>
      </c>
      <c r="BA98" s="1197">
        <f>SUM(BB98:BC98)</f>
        <v>1703</v>
      </c>
      <c r="BB98" s="1176">
        <v>1381</v>
      </c>
      <c r="BC98" s="1176">
        <v>322</v>
      </c>
      <c r="BD98" s="1176">
        <v>456</v>
      </c>
      <c r="BE98" s="1176">
        <v>1486</v>
      </c>
      <c r="BF98" s="1176"/>
      <c r="BN98" s="1198"/>
    </row>
    <row r="99" spans="1:67" hidden="1" outlineLevel="1">
      <c r="A99" s="1045" t="str">
        <f>$A$43</f>
        <v>4Q</v>
      </c>
      <c r="B99" s="1154" t="str">
        <f>$B$43</f>
        <v>Jan</v>
      </c>
      <c r="D99" s="1179">
        <f>(T99/T92-1)*100</f>
        <v>13.717125653330076</v>
      </c>
      <c r="F99" s="1425">
        <v>8.1</v>
      </c>
      <c r="H99" s="1179">
        <f>D99-F99</f>
        <v>5.617125653330076</v>
      </c>
      <c r="J99" s="1192">
        <v>3117</v>
      </c>
      <c r="L99" s="1182">
        <f>AVERAGE(J99,J98)</f>
        <v>3137.5</v>
      </c>
      <c r="N99" s="1179">
        <f>(L99/L92-1)*100</f>
        <v>1.2423362374959668</v>
      </c>
      <c r="O99" s="1155"/>
      <c r="P99" s="1182">
        <f>H99/N99*100</f>
        <v>452.14214025116621</v>
      </c>
      <c r="Q99" s="1062"/>
      <c r="S99" s="1183"/>
      <c r="T99" s="1183">
        <f>+'qtrP&amp;L'!BB13</f>
        <v>4650.6040000000003</v>
      </c>
      <c r="U99" s="1197"/>
      <c r="V99" s="1197"/>
      <c r="W99" s="1197"/>
      <c r="Y99" s="1184">
        <f>T99/L99</f>
        <v>1.4822642231075698</v>
      </c>
      <c r="AA99" s="1180">
        <f>(Y99/Y92-1)*100</f>
        <v>12.321712318619893</v>
      </c>
      <c r="AB99" s="1155"/>
      <c r="AD99" s="1185">
        <v>37.251519999999999</v>
      </c>
      <c r="AE99" s="1060"/>
      <c r="AF99" s="1186">
        <f>AVERAGE(AD99,AD98)</f>
        <v>37.448132000000001</v>
      </c>
      <c r="AH99" s="1179">
        <f>(AF99/AF92-1)*100</f>
        <v>3.4953576631135963</v>
      </c>
      <c r="AI99" s="1155"/>
      <c r="AJ99" s="1182">
        <f>+H99/AH99*100</f>
        <v>160.70245722225891</v>
      </c>
      <c r="AK99" s="1062"/>
      <c r="AM99" s="1187">
        <f>+T99</f>
        <v>4650.6040000000003</v>
      </c>
      <c r="AN99" s="1060"/>
      <c r="AO99" s="1187">
        <f>AM99/AF99</f>
        <v>124.18787671438459</v>
      </c>
      <c r="AQ99" s="1180">
        <f>(AO99/AO92-1)*100</f>
        <v>9.8765473360546743</v>
      </c>
      <c r="AR99" s="1155"/>
      <c r="AT99" s="1176"/>
      <c r="AY99" s="1176">
        <f>+T99-AZ99</f>
        <v>-0.39599999999973079</v>
      </c>
      <c r="AZ99" s="1199">
        <f>+BB99+BC99+BD99+BE99</f>
        <v>4651</v>
      </c>
      <c r="BA99" s="1197">
        <f>SUM(BB99:BC99)</f>
        <v>2187</v>
      </c>
      <c r="BB99" s="1176">
        <v>1760</v>
      </c>
      <c r="BC99" s="1176">
        <v>427</v>
      </c>
      <c r="BD99" s="1176">
        <v>610</v>
      </c>
      <c r="BE99" s="1176">
        <v>1854</v>
      </c>
      <c r="BF99" s="1176"/>
      <c r="BN99" s="1198"/>
    </row>
    <row r="100" spans="1:67" hidden="1" outlineLevel="1">
      <c r="B100" s="1154" t="str">
        <f>$B$44</f>
        <v>Year</v>
      </c>
      <c r="D100" s="1068">
        <f>(T100/T93-1)*100</f>
        <v>4.3821603505462381</v>
      </c>
      <c r="F100" s="1803">
        <v>-2.7</v>
      </c>
      <c r="H100" s="1068">
        <f>D100-F100</f>
        <v>7.0821603505462383</v>
      </c>
      <c r="L100" s="1175">
        <f>AVERAGE(L96:L99)</f>
        <v>3132.25</v>
      </c>
      <c r="N100" s="1068">
        <f>(L100/L93-1)*100</f>
        <v>4.0484989411618155</v>
      </c>
      <c r="O100" s="1155"/>
      <c r="P100" s="1169">
        <f>H100/N100*100</f>
        <v>174.93299253559493</v>
      </c>
      <c r="Q100" s="1062"/>
      <c r="S100" s="1170"/>
      <c r="T100" s="1170">
        <f>SUM(T96:T99)</f>
        <v>14454.708999999999</v>
      </c>
      <c r="U100" s="1170"/>
      <c r="V100" s="1170"/>
      <c r="W100" s="1170"/>
      <c r="Y100" s="1171">
        <f>SUM(Y96:Y99)</f>
        <v>4.6126975386244</v>
      </c>
      <c r="AA100" s="1191">
        <f>(Y100/Y93-1)*100</f>
        <v>0.41661076104959616</v>
      </c>
      <c r="AB100" s="1155"/>
      <c r="AF100" s="1173">
        <f>AVERAGE(AF96:AF99)</f>
        <v>37.189138</v>
      </c>
      <c r="AH100" s="1068">
        <f>(AF100/AF93-1)*100</f>
        <v>8.1555591455560794</v>
      </c>
      <c r="AI100" s="1155"/>
      <c r="AJ100" s="1169">
        <f>+H100/AH100*100</f>
        <v>86.838440187209841</v>
      </c>
      <c r="AK100" s="1062"/>
      <c r="AM100" s="1174">
        <f>SUM(AM96:AM99)</f>
        <v>14454.708999999999</v>
      </c>
      <c r="AO100" s="1174">
        <f>SUM(AO96:AO99)</f>
        <v>388.21461706871781</v>
      </c>
      <c r="AQ100" s="1191">
        <f>(AO100/AO93-1)*100</f>
        <v>-3.4326021925571104</v>
      </c>
      <c r="AR100" s="1155"/>
      <c r="AT100" s="1202"/>
      <c r="AY100" s="1176">
        <f>+T100-AZ100</f>
        <v>0.70899999999892316</v>
      </c>
      <c r="AZ100" s="1200">
        <f>SUM(AZ96:AZ99)</f>
        <v>14454</v>
      </c>
      <c r="BA100" s="1201">
        <f>SUM(BB100:BC100)</f>
        <v>6723</v>
      </c>
      <c r="BB100" s="1202">
        <v>5436</v>
      </c>
      <c r="BC100" s="1202">
        <v>1287</v>
      </c>
      <c r="BD100" s="1202">
        <v>1928</v>
      </c>
      <c r="BE100" s="1202">
        <v>5804</v>
      </c>
      <c r="BF100" s="1202"/>
    </row>
    <row r="101" spans="1:67" hidden="1" outlineLevel="1">
      <c r="B101" s="1154"/>
      <c r="F101" s="1801"/>
      <c r="N101" s="1175"/>
      <c r="O101" s="1155"/>
      <c r="AI101" s="1155"/>
      <c r="AT101" s="1061"/>
      <c r="BA101" s="1061">
        <f>+BA100/$AZ100</f>
        <v>0.46513075965130762</v>
      </c>
      <c r="BB101" s="1061">
        <f>+BB100/$AZ100</f>
        <v>0.37608966376089664</v>
      </c>
      <c r="BC101" s="1061">
        <f>+BC100/$AZ100</f>
        <v>8.9041095890410954E-2</v>
      </c>
      <c r="BD101" s="1061">
        <f>+BD100/$AZ100</f>
        <v>0.13338868133388682</v>
      </c>
      <c r="BE101" s="1061">
        <f>+BE100/$AZ100</f>
        <v>0.40154974401549742</v>
      </c>
      <c r="BF101" s="1061"/>
    </row>
    <row r="102" spans="1:67" hidden="1" outlineLevel="1">
      <c r="A102" s="1166"/>
      <c r="B102" s="1188">
        <f>+B95+1</f>
        <v>2003</v>
      </c>
      <c r="E102" s="1155"/>
      <c r="F102" s="1801"/>
      <c r="G102" s="1155"/>
      <c r="I102" s="1155"/>
      <c r="O102" s="1155"/>
      <c r="P102" s="1062"/>
      <c r="Q102" s="1062"/>
      <c r="AB102" s="1155"/>
      <c r="AI102" s="1155"/>
      <c r="AJ102" s="1062"/>
      <c r="AK102" s="1062"/>
      <c r="AR102" s="1155"/>
      <c r="BA102" s="1197"/>
    </row>
    <row r="103" spans="1:67" hidden="1" outlineLevel="1">
      <c r="A103" s="1045" t="str">
        <f>$A$40</f>
        <v>1Q</v>
      </c>
      <c r="B103" s="1154" t="str">
        <f>$B$40</f>
        <v>Apr</v>
      </c>
      <c r="D103" s="1068">
        <f>(T103/T96-1)*100</f>
        <v>15.979127174108566</v>
      </c>
      <c r="E103" s="1155" t="s">
        <v>489</v>
      </c>
      <c r="F103" s="1803">
        <v>12.5</v>
      </c>
      <c r="G103" s="1155" t="s">
        <v>489</v>
      </c>
      <c r="H103" s="1068">
        <f>D103-F103</f>
        <v>3.4791271741085659</v>
      </c>
      <c r="I103" s="1155" t="s">
        <v>489</v>
      </c>
      <c r="J103" s="1192">
        <v>3105</v>
      </c>
      <c r="K103" s="1045" t="s">
        <v>31</v>
      </c>
      <c r="L103" s="1175">
        <f>AVERAGE(J103,J99)</f>
        <v>3111</v>
      </c>
      <c r="N103" s="1068">
        <f>(L103/L96-1)*100</f>
        <v>0</v>
      </c>
      <c r="O103" s="1155" t="s">
        <v>489</v>
      </c>
      <c r="P103" s="1236" t="s">
        <v>644</v>
      </c>
      <c r="Q103" s="1062" t="s">
        <v>489</v>
      </c>
      <c r="S103" s="1170"/>
      <c r="T103" s="1170">
        <f>+'qtrP&amp;L'!BF10</f>
        <v>3352.7710000000002</v>
      </c>
      <c r="U103" s="1170"/>
      <c r="V103" s="1170"/>
      <c r="W103" s="1170"/>
      <c r="X103" s="1060" t="s">
        <v>31</v>
      </c>
      <c r="Y103" s="1171">
        <f>T103/L103</f>
        <v>1.0777148826743812</v>
      </c>
      <c r="AA103" s="1191">
        <f>(Y103/Y96-1)*100</f>
        <v>15.979127174108566</v>
      </c>
      <c r="AB103" s="1155" t="s">
        <v>489</v>
      </c>
      <c r="AD103" s="1185">
        <v>37.186894000000002</v>
      </c>
      <c r="AE103" s="1045" t="s">
        <v>31</v>
      </c>
      <c r="AF103" s="1173">
        <f>AVERAGE(AD103,AD99)</f>
        <v>37.219206999999997</v>
      </c>
      <c r="AH103" s="1068">
        <f>(AF103/AF96-1)*100</f>
        <v>1.5871931466432843</v>
      </c>
      <c r="AI103" s="1155" t="s">
        <v>489</v>
      </c>
      <c r="AJ103" s="1169">
        <f>+H103/AH103*100</f>
        <v>219.19998718911344</v>
      </c>
      <c r="AK103" s="1062" t="s">
        <v>489</v>
      </c>
      <c r="AM103" s="1174">
        <f>+T103</f>
        <v>3352.7710000000002</v>
      </c>
      <c r="AN103" s="1060"/>
      <c r="AO103" s="1174">
        <f>AM103/AF103</f>
        <v>90.08174193501759</v>
      </c>
      <c r="AQ103" s="1191">
        <f>(AO103/AO96-1)*100</f>
        <v>14.167075181110889</v>
      </c>
      <c r="AR103" s="1155" t="s">
        <v>489</v>
      </c>
      <c r="AT103" s="1176"/>
      <c r="AY103" s="1176">
        <f>+T103-AZ103</f>
        <v>-0.22899999999981446</v>
      </c>
      <c r="AZ103" s="1196">
        <f>+BB103+BC103+BD103+BE103</f>
        <v>3353</v>
      </c>
      <c r="BA103" s="1197">
        <f>SUM(BB103:BC103)</f>
        <v>1567</v>
      </c>
      <c r="BB103" s="1176">
        <v>1238</v>
      </c>
      <c r="BC103" s="1176">
        <v>329</v>
      </c>
      <c r="BD103" s="1176">
        <v>411</v>
      </c>
      <c r="BE103" s="1176">
        <v>1375</v>
      </c>
      <c r="BF103" s="1176"/>
      <c r="BN103" s="1198"/>
      <c r="BO103" s="1195"/>
    </row>
    <row r="104" spans="1:67" hidden="1" outlineLevel="1">
      <c r="A104" s="1045" t="str">
        <f>$A$41</f>
        <v>2Q</v>
      </c>
      <c r="B104" s="1154" t="str">
        <f>$B$41</f>
        <v>Jul</v>
      </c>
      <c r="D104" s="1068">
        <f>(T104/T97-1)*100</f>
        <v>12.758585556016877</v>
      </c>
      <c r="F104" s="1803">
        <v>9.8000000000000007</v>
      </c>
      <c r="H104" s="1068">
        <f>D104-F104</f>
        <v>2.9585855560168763</v>
      </c>
      <c r="J104" s="1192">
        <v>3095</v>
      </c>
      <c r="L104" s="1175">
        <f>AVERAGE(J104,J103)</f>
        <v>3100</v>
      </c>
      <c r="N104" s="1068">
        <f>(L104/L97-1)*100</f>
        <v>-1.0217113665389577</v>
      </c>
      <c r="O104" s="1155"/>
      <c r="P104" s="1169">
        <f>H104/N104*100</f>
        <v>-289.57156129515039</v>
      </c>
      <c r="Q104" s="1062"/>
      <c r="S104" s="1176"/>
      <c r="T104" s="1176">
        <f>+'qtrP&amp;L'!BF11</f>
        <v>3685.299</v>
      </c>
      <c r="U104" s="1176"/>
      <c r="V104" s="1176"/>
      <c r="W104" s="1176"/>
      <c r="X104" s="1060" t="s">
        <v>31</v>
      </c>
      <c r="Y104" s="1177">
        <f>T104/L104</f>
        <v>1.188806129032258</v>
      </c>
      <c r="AA104" s="1191">
        <f>(Y104/Y97-1)*100</f>
        <v>13.922545148853182</v>
      </c>
      <c r="AB104" s="1155"/>
      <c r="AD104" s="1185">
        <v>37.132281000000006</v>
      </c>
      <c r="AE104" s="1060"/>
      <c r="AF104" s="1173">
        <f>AVERAGE(AD104,AD103)</f>
        <v>37.159587500000001</v>
      </c>
      <c r="AH104" s="1068">
        <f>(AF104/AF97-1)*100</f>
        <v>-2.3816138764454209E-4</v>
      </c>
      <c r="AI104" s="1155"/>
      <c r="AJ104" s="1194" t="s">
        <v>129</v>
      </c>
      <c r="AK104" s="1062"/>
      <c r="AM104" s="1178">
        <f>+T104</f>
        <v>3685.299</v>
      </c>
      <c r="AO104" s="1178">
        <f>AM104/AF104</f>
        <v>99.174916836738291</v>
      </c>
      <c r="AQ104" s="1191">
        <f>(AO104/AO97-1)*100</f>
        <v>12.758854104068496</v>
      </c>
      <c r="AR104" s="1155"/>
      <c r="AT104" s="1176"/>
      <c r="AY104" s="1176">
        <f>+T104-AZ104</f>
        <v>0.29899999999997817</v>
      </c>
      <c r="AZ104" s="1199">
        <f>+BB104+BC104+BD104+BE104</f>
        <v>3685</v>
      </c>
      <c r="BA104" s="1197">
        <f>SUM(BB104:BC104)</f>
        <v>1664</v>
      </c>
      <c r="BB104" s="1176">
        <v>1301</v>
      </c>
      <c r="BC104" s="1176">
        <v>363</v>
      </c>
      <c r="BD104" s="1176">
        <v>497</v>
      </c>
      <c r="BE104" s="1176">
        <v>1524</v>
      </c>
      <c r="BF104" s="1176"/>
      <c r="BN104" s="1198"/>
      <c r="BO104" s="1195"/>
    </row>
    <row r="105" spans="1:67" hidden="1" outlineLevel="1">
      <c r="A105" s="1045" t="str">
        <f>$A$42</f>
        <v>3Q</v>
      </c>
      <c r="B105" s="1154" t="str">
        <f>$B$42</f>
        <v>Oct</v>
      </c>
      <c r="D105" s="1068">
        <f>(T105/T98-1)*100</f>
        <v>7.8053068404666526</v>
      </c>
      <c r="F105" s="1803">
        <v>6.1</v>
      </c>
      <c r="H105" s="1068">
        <f>D105-F105</f>
        <v>1.7053068404666529</v>
      </c>
      <c r="J105" s="1192">
        <v>3075</v>
      </c>
      <c r="K105" s="1060"/>
      <c r="L105" s="1175">
        <f>AVERAGE(J105,J104)</f>
        <v>3085</v>
      </c>
      <c r="N105" s="1068">
        <f>(L105/L98-1)*100</f>
        <v>-2.0168334127362186</v>
      </c>
      <c r="O105" s="1155"/>
      <c r="P105" s="1169">
        <f>H105/N105*100</f>
        <v>-84.553678538728661</v>
      </c>
      <c r="Q105" s="1062"/>
      <c r="S105" s="1176"/>
      <c r="T105" s="1176">
        <f>+'qtrP&amp;L'!BF12</f>
        <v>3929.4560000000001</v>
      </c>
      <c r="U105" s="1176"/>
      <c r="V105" s="1176"/>
      <c r="W105" s="1176"/>
      <c r="X105" s="1060" t="s">
        <v>31</v>
      </c>
      <c r="Y105" s="1177">
        <f>T105/L105</f>
        <v>1.273729659643436</v>
      </c>
      <c r="AA105" s="1191">
        <f>(Y105/Y98-1)*100</f>
        <v>10.024313966680488</v>
      </c>
      <c r="AB105" s="1155"/>
      <c r="AD105" s="1185">
        <v>36.976785000000007</v>
      </c>
      <c r="AE105" s="1060"/>
      <c r="AF105" s="1173">
        <f>AVERAGE(AD105,AD104)</f>
        <v>37.054533000000006</v>
      </c>
      <c r="AH105" s="1068">
        <f>(AF105/AF98-1)*100</f>
        <v>-1.2170147845509294</v>
      </c>
      <c r="AI105" s="1155"/>
      <c r="AJ105" s="1169">
        <f>+H105/AH105*100</f>
        <v>-140.12211372566853</v>
      </c>
      <c r="AK105" s="1062"/>
      <c r="AM105" s="1178">
        <f>+T105</f>
        <v>3929.4560000000001</v>
      </c>
      <c r="AO105" s="1178">
        <f>AM105/AF105</f>
        <v>106.04521719380459</v>
      </c>
      <c r="AQ105" s="1191">
        <f>(AO105/AO98-1)*100</f>
        <v>9.1334773952615578</v>
      </c>
      <c r="AR105" s="1155"/>
      <c r="AT105" s="1176"/>
      <c r="AY105" s="1176">
        <f>+T105-AZ105</f>
        <v>0.45600000000013097</v>
      </c>
      <c r="AZ105" s="1199">
        <f>+BB105+BC105+BD105+BE105</f>
        <v>3929</v>
      </c>
      <c r="BA105" s="1197">
        <f>SUM(BB105:BC105)</f>
        <v>1816</v>
      </c>
      <c r="BB105" s="1176">
        <v>1451</v>
      </c>
      <c r="BC105" s="1176">
        <v>365</v>
      </c>
      <c r="BD105" s="1176">
        <v>512</v>
      </c>
      <c r="BE105" s="1176">
        <v>1601</v>
      </c>
      <c r="BF105" s="1176"/>
      <c r="BN105" s="1198"/>
      <c r="BO105" s="1195"/>
    </row>
    <row r="106" spans="1:67" hidden="1" outlineLevel="1">
      <c r="A106" s="1045" t="str">
        <f>$A$43</f>
        <v>4Q</v>
      </c>
      <c r="B106" s="1154" t="str">
        <f>$B$43</f>
        <v>Jan</v>
      </c>
      <c r="D106" s="1179">
        <f>(T106/T99-1)*100</f>
        <v>5.0672987852760532</v>
      </c>
      <c r="F106" s="1804">
        <v>3</v>
      </c>
      <c r="H106" s="1179">
        <f>D106-F106</f>
        <v>2.0672987852760532</v>
      </c>
      <c r="J106" s="1192">
        <v>3022</v>
      </c>
      <c r="K106" s="1060"/>
      <c r="L106" s="1182">
        <f>AVERAGE(J106,J105)</f>
        <v>3048.5</v>
      </c>
      <c r="N106" s="1179">
        <f>(L106/L99-1)*100</f>
        <v>-2.8366533864541799</v>
      </c>
      <c r="O106" s="1155"/>
      <c r="P106" s="1182">
        <f>H106/N106*100</f>
        <v>-72.878089200040733</v>
      </c>
      <c r="Q106" s="1062"/>
      <c r="S106" s="1183"/>
      <c r="T106" s="1183">
        <f>+'qtrP&amp;L'!BF13</f>
        <v>4886.2640000000001</v>
      </c>
      <c r="U106" s="1197"/>
      <c r="V106" s="1197"/>
      <c r="W106" s="1197"/>
      <c r="Y106" s="1184">
        <f>T106/L106</f>
        <v>1.6028420534689192</v>
      </c>
      <c r="AA106" s="1180">
        <f>(Y106/Y99-1)*100</f>
        <v>8.134705572840307</v>
      </c>
      <c r="AB106" s="1155"/>
      <c r="AD106" s="1185">
        <v>36.518203999999997</v>
      </c>
      <c r="AE106" s="1060"/>
      <c r="AF106" s="1186">
        <f>AVERAGE(AD106,AD105)</f>
        <v>36.747494500000002</v>
      </c>
      <c r="AH106" s="1179">
        <f>(AF106/AF99-1)*100</f>
        <v>-1.870954471106856</v>
      </c>
      <c r="AI106" s="1155"/>
      <c r="AJ106" s="1182">
        <f>+H106/AH106*100</f>
        <v>-110.49433950431941</v>
      </c>
      <c r="AK106" s="1062"/>
      <c r="AM106" s="1187">
        <f>+T106</f>
        <v>4886.2640000000001</v>
      </c>
      <c r="AO106" s="1187">
        <f>AM106/AF106</f>
        <v>132.96863001095218</v>
      </c>
      <c r="AQ106" s="1180">
        <f>(AO106/AO99-1)*100</f>
        <v>7.0705398376060158</v>
      </c>
      <c r="AR106" s="1155"/>
      <c r="AT106" s="1176"/>
      <c r="AY106" s="1176">
        <f>+T106-AZ106</f>
        <v>-1.7359999999998763</v>
      </c>
      <c r="AZ106" s="1199">
        <f>+BB106+BC106+BD106+BE106</f>
        <v>4888</v>
      </c>
      <c r="BA106" s="1197">
        <f>SUM(BB106:BC106)</f>
        <v>2261</v>
      </c>
      <c r="BB106" s="1176">
        <v>1787</v>
      </c>
      <c r="BC106" s="1176">
        <v>474</v>
      </c>
      <c r="BD106" s="1176">
        <v>671</v>
      </c>
      <c r="BE106" s="1176">
        <v>1956</v>
      </c>
      <c r="BF106" s="1176"/>
      <c r="BN106" s="1198"/>
      <c r="BO106" s="1195"/>
    </row>
    <row r="107" spans="1:67" hidden="1" outlineLevel="1">
      <c r="B107" s="1154" t="str">
        <f>$B$44</f>
        <v>Year</v>
      </c>
      <c r="D107" s="1068">
        <f>(T107/T100-1)*100</f>
        <v>9.6790672160885549</v>
      </c>
      <c r="F107" s="1803">
        <v>7.2</v>
      </c>
      <c r="H107" s="1068">
        <f>D107-F107</f>
        <v>2.4790672160885547</v>
      </c>
      <c r="L107" s="1175">
        <f>AVERAGE(L103:L106)</f>
        <v>3086.125</v>
      </c>
      <c r="N107" s="1068">
        <f>(L107/L100-1)*100</f>
        <v>-1.4725836060340058</v>
      </c>
      <c r="O107" s="1155"/>
      <c r="P107" s="1169">
        <f>H107/N107*100</f>
        <v>-168.3481471564954</v>
      </c>
      <c r="Q107" s="1062"/>
      <c r="S107" s="1170"/>
      <c r="T107" s="1170">
        <f>SUM(T103:T106)</f>
        <v>15853.79</v>
      </c>
      <c r="U107" s="1170"/>
      <c r="V107" s="1170"/>
      <c r="W107" s="1170"/>
      <c r="Y107" s="1171">
        <f>SUM(Y103:Y106)</f>
        <v>5.1430927248189944</v>
      </c>
      <c r="AA107" s="1191">
        <f>(Y107/Y100-1)*100</f>
        <v>11.498590179679734</v>
      </c>
      <c r="AB107" s="1155"/>
      <c r="AF107" s="1173">
        <f>AVERAGE(AF103:AF106)</f>
        <v>37.045205500000002</v>
      </c>
      <c r="AH107" s="1068">
        <f>(AF107/AF100-1)*100</f>
        <v>-0.3870283306916078</v>
      </c>
      <c r="AI107" s="1155"/>
      <c r="AJ107" s="1169">
        <f>+H107/AH107*100</f>
        <v>-640.53895270626242</v>
      </c>
      <c r="AK107" s="1062"/>
      <c r="AM107" s="1174">
        <f>SUM(AM103:AM106)</f>
        <v>15853.79</v>
      </c>
      <c r="AO107" s="1174">
        <f>SUM(AO103:AO106)</f>
        <v>428.27050597651271</v>
      </c>
      <c r="AQ107" s="1191">
        <f>(AO107/AO100-1)*100</f>
        <v>10.317975456525531</v>
      </c>
      <c r="AR107" s="1155"/>
      <c r="AT107" s="1202"/>
      <c r="AY107" s="1176">
        <f>+T107-AZ107</f>
        <v>-1.2099999999991269</v>
      </c>
      <c r="AZ107" s="1200">
        <f>SUM(AZ103:AZ106)</f>
        <v>15855</v>
      </c>
      <c r="BA107" s="1201">
        <f>SUM(BB107:BC107)</f>
        <v>7308</v>
      </c>
      <c r="BB107" s="1202">
        <v>5777</v>
      </c>
      <c r="BC107" s="1202">
        <v>1531</v>
      </c>
      <c r="BD107" s="1202">
        <v>2090</v>
      </c>
      <c r="BE107" s="1202">
        <v>6456</v>
      </c>
      <c r="BF107" s="1202"/>
    </row>
    <row r="108" spans="1:67" hidden="1" outlineLevel="1">
      <c r="B108" s="1154"/>
      <c r="F108" s="1801"/>
      <c r="O108" s="1155"/>
      <c r="AI108" s="1155"/>
      <c r="AT108" s="1061"/>
      <c r="BA108" s="1061">
        <f>+BA107/$AZ107</f>
        <v>0.46092715231788078</v>
      </c>
      <c r="BB108" s="1061">
        <f>+BB107/$AZ107</f>
        <v>0.36436455376852728</v>
      </c>
      <c r="BC108" s="1061">
        <f>+BC107/$AZ107</f>
        <v>9.656259854935352E-2</v>
      </c>
      <c r="BD108" s="1061">
        <f>+BD107/$AZ107</f>
        <v>0.13181961526332386</v>
      </c>
      <c r="BE108" s="1061">
        <f>+BE107/$AZ107</f>
        <v>0.40719016083254495</v>
      </c>
      <c r="BF108" s="1061"/>
    </row>
    <row r="109" spans="1:67" hidden="1" outlineLevel="1">
      <c r="A109" s="1166"/>
      <c r="B109" s="1204">
        <f>+B102+1</f>
        <v>2004</v>
      </c>
      <c r="E109" s="1155"/>
      <c r="F109" s="1801"/>
      <c r="G109" s="1155"/>
      <c r="I109" s="1155"/>
      <c r="O109" s="1155"/>
      <c r="P109" s="1062"/>
      <c r="Q109" s="1062"/>
      <c r="AB109" s="1155"/>
      <c r="AI109" s="1155"/>
      <c r="AJ109" s="1062"/>
      <c r="AK109" s="1062"/>
      <c r="AR109" s="1155"/>
      <c r="BA109" s="1197"/>
    </row>
    <row r="110" spans="1:67" hidden="1" outlineLevel="1">
      <c r="A110" s="1045" t="str">
        <f>$A$40</f>
        <v>1Q</v>
      </c>
      <c r="B110" s="1154" t="str">
        <f>$B$40</f>
        <v>Apr</v>
      </c>
      <c r="D110" s="1068">
        <f>(T110/T103-1)*100</f>
        <v>9.3890695189143614</v>
      </c>
      <c r="E110" s="1155" t="s">
        <v>489</v>
      </c>
      <c r="F110" s="1439">
        <v>7.2</v>
      </c>
      <c r="G110" s="1155" t="s">
        <v>489</v>
      </c>
      <c r="H110" s="1068">
        <f>D110-F110</f>
        <v>2.1890695189143612</v>
      </c>
      <c r="I110" s="1155" t="s">
        <v>489</v>
      </c>
      <c r="J110" s="1192">
        <f>'Store New'!B167</f>
        <v>3016</v>
      </c>
      <c r="L110" s="1175">
        <f>AVERAGE(J110,J106)</f>
        <v>3019</v>
      </c>
      <c r="N110" s="1068">
        <f>(L110/L103-1)*100</f>
        <v>-2.957248473159757</v>
      </c>
      <c r="O110" s="1155" t="s">
        <v>489</v>
      </c>
      <c r="P110" s="1169">
        <f>H110/N110*100</f>
        <v>-74.023861666767104</v>
      </c>
      <c r="Q110" s="1062" t="s">
        <v>489</v>
      </c>
      <c r="S110" s="1170"/>
      <c r="T110" s="1170">
        <f>'qtrP&amp;L'!BJ10</f>
        <v>3667.5650000000001</v>
      </c>
      <c r="U110" s="1170"/>
      <c r="V110" s="1170"/>
      <c r="W110" s="1170"/>
      <c r="X110" s="1060"/>
      <c r="Y110" s="1171">
        <f>T110/L110</f>
        <v>1.2148277575356079</v>
      </c>
      <c r="AA110" s="1191">
        <f>(Y110/Y103-1)*100</f>
        <v>12.722555572488425</v>
      </c>
      <c r="AB110" s="1155" t="s">
        <v>489</v>
      </c>
      <c r="AD110" s="1185">
        <f>'Store New'!C170</f>
        <v>36.5</v>
      </c>
      <c r="AE110" s="1045" t="s">
        <v>31</v>
      </c>
      <c r="AF110" s="1173">
        <f>AVERAGE(AD110,AD106)</f>
        <v>36.509101999999999</v>
      </c>
      <c r="AH110" s="1068">
        <f>(AF110/AF103-1)*100</f>
        <v>-1.9078993273553557</v>
      </c>
      <c r="AI110" s="1155" t="s">
        <v>489</v>
      </c>
      <c r="AJ110" s="1169">
        <f>+H110/AH110*100</f>
        <v>-114.73716078870635</v>
      </c>
      <c r="AK110" s="1062" t="s">
        <v>489</v>
      </c>
      <c r="AM110" s="1174">
        <f>+T110</f>
        <v>3667.5650000000001</v>
      </c>
      <c r="AN110" s="1060"/>
      <c r="AO110" s="1174">
        <f>AM110/AF110</f>
        <v>100.45618213233512</v>
      </c>
      <c r="AQ110" s="1191">
        <f>(AO110/AO103-1)*100</f>
        <v>11.516695808126531</v>
      </c>
      <c r="AR110" s="1155" t="s">
        <v>489</v>
      </c>
      <c r="AT110" s="1176">
        <v>2</v>
      </c>
      <c r="AY110" s="1176">
        <f>+T110-AZ110</f>
        <v>-0.43499999999994543</v>
      </c>
      <c r="AZ110" s="1196">
        <f>+BB110+BC110+BD110+BE110</f>
        <v>3668</v>
      </c>
      <c r="BA110" s="1197">
        <f>SUM(BB110:BC110)</f>
        <v>1633</v>
      </c>
      <c r="BB110" s="1176">
        <v>1278</v>
      </c>
      <c r="BC110" s="1176">
        <v>355</v>
      </c>
      <c r="BD110" s="1176">
        <v>503</v>
      </c>
      <c r="BE110" s="1176">
        <v>1532</v>
      </c>
      <c r="BF110" s="1176"/>
      <c r="BN110" s="1198"/>
      <c r="BO110" s="1195"/>
    </row>
    <row r="111" spans="1:67" hidden="1" outlineLevel="1">
      <c r="A111" s="1045" t="str">
        <f>$A$41</f>
        <v>2Q</v>
      </c>
      <c r="B111" s="1154" t="str">
        <f>$B$41</f>
        <v>Jul</v>
      </c>
      <c r="D111" s="1068">
        <f>(T111/T104-1)*100</f>
        <v>0.96301548395394398</v>
      </c>
      <c r="F111" s="1439">
        <v>-0.3</v>
      </c>
      <c r="H111" s="1068">
        <f>D111-F111</f>
        <v>1.263015483953944</v>
      </c>
      <c r="J111" s="1192">
        <f>'Store New'!C167</f>
        <v>2999</v>
      </c>
      <c r="L111" s="1175">
        <f>AVERAGE(J111,J110)</f>
        <v>3007.5</v>
      </c>
      <c r="N111" s="1068">
        <f>(L111/L104-1)*100</f>
        <v>-2.9838709677419306</v>
      </c>
      <c r="O111" s="1155"/>
      <c r="P111" s="1169">
        <f>H111/N111*100</f>
        <v>-42.328086489267378</v>
      </c>
      <c r="Q111" s="1062"/>
      <c r="S111" s="1176"/>
      <c r="T111" s="1176">
        <f>'qtrP&amp;L'!BJ11</f>
        <v>3720.7890000000002</v>
      </c>
      <c r="U111" s="1176"/>
      <c r="V111" s="1176"/>
      <c r="W111" s="1176"/>
      <c r="X111" s="1060"/>
      <c r="Y111" s="1177">
        <f>T111/L111</f>
        <v>1.2371700748129677</v>
      </c>
      <c r="AA111" s="1191">
        <f>(Y111/Y104-1)*100</f>
        <v>4.0682786368270163</v>
      </c>
      <c r="AB111" s="1155"/>
      <c r="AD111" s="1185">
        <f>'Store New'!C172</f>
        <v>36.4</v>
      </c>
      <c r="AE111" s="1060"/>
      <c r="AF111" s="1173">
        <f>AVERAGE(AD111,AD110)</f>
        <v>36.450000000000003</v>
      </c>
      <c r="AH111" s="1068">
        <f>(AF111/AF104-1)*100</f>
        <v>-1.9095677528713106</v>
      </c>
      <c r="AI111" s="1155"/>
      <c r="AJ111" s="1169">
        <f>+H111/AH111*100</f>
        <v>-66.141433424125324</v>
      </c>
      <c r="AK111" s="1062"/>
      <c r="AM111" s="1178">
        <f>+T111</f>
        <v>3720.7890000000002</v>
      </c>
      <c r="AO111" s="1178">
        <f>AM111/AF111</f>
        <v>102.07925925925926</v>
      </c>
      <c r="AQ111" s="1191">
        <f>(AO111/AO104-1)*100</f>
        <v>2.9285050244126642</v>
      </c>
      <c r="AR111" s="1155"/>
      <c r="AT111" s="1176">
        <v>2</v>
      </c>
      <c r="AY111" s="1176">
        <f>+T111-AZ111</f>
        <v>-0.21099999999978536</v>
      </c>
      <c r="AZ111" s="1199">
        <f>+BB111+BC111+BD111+BE111</f>
        <v>3721</v>
      </c>
      <c r="BA111" s="1197">
        <f>SUM(BB111:BC111)</f>
        <v>1640</v>
      </c>
      <c r="BB111" s="1176">
        <v>1288</v>
      </c>
      <c r="BC111" s="1176">
        <v>352</v>
      </c>
      <c r="BD111" s="1176">
        <v>528</v>
      </c>
      <c r="BE111" s="1176">
        <v>1553</v>
      </c>
      <c r="BF111" s="1176"/>
      <c r="BN111" s="1198"/>
      <c r="BO111" s="1195"/>
    </row>
    <row r="112" spans="1:67" hidden="1" outlineLevel="1">
      <c r="A112" s="1045" t="str">
        <f>$A$42</f>
        <v>3Q</v>
      </c>
      <c r="B112" s="1154" t="str">
        <f>$B$42</f>
        <v>Oct</v>
      </c>
      <c r="D112" s="1068">
        <f>(T112/T105-1)*100</f>
        <v>1.2901022431603737</v>
      </c>
      <c r="F112" s="1439">
        <v>-1</v>
      </c>
      <c r="H112" s="1068">
        <f>D112-F112</f>
        <v>2.2901022431603737</v>
      </c>
      <c r="J112" s="1192">
        <f>'Store New'!D167</f>
        <v>3051</v>
      </c>
      <c r="K112" s="1060"/>
      <c r="L112" s="1175">
        <f>AVERAGE(J112,J111)</f>
        <v>3025</v>
      </c>
      <c r="N112" s="1068">
        <f>(L112/L105-1)*100</f>
        <v>-1.9448946515397081</v>
      </c>
      <c r="O112" s="1155"/>
      <c r="P112" s="1169">
        <f>H112/N112*100</f>
        <v>-117.74942366916257</v>
      </c>
      <c r="Q112" s="1062"/>
      <c r="S112" s="1176"/>
      <c r="T112" s="1176">
        <f>'qtrP&amp;L'!BJ12</f>
        <v>3980.15</v>
      </c>
      <c r="U112" s="1176"/>
      <c r="V112" s="1176"/>
      <c r="W112" s="1176"/>
      <c r="Y112" s="1177">
        <f>T112/L112</f>
        <v>1.3157520661157025</v>
      </c>
      <c r="AA112" s="1191">
        <f>(Y112/Y105-1)*100</f>
        <v>3.2991621223635637</v>
      </c>
      <c r="AB112" s="1155"/>
      <c r="AD112" s="1185">
        <f>'Store New'!D172</f>
        <v>37</v>
      </c>
      <c r="AE112" s="1060"/>
      <c r="AF112" s="1173">
        <f>AVERAGE(AD112,AD111)</f>
        <v>36.700000000000003</v>
      </c>
      <c r="AH112" s="1068">
        <f>(AF112/AF105-1)*100</f>
        <v>-0.9567871223744806</v>
      </c>
      <c r="AI112" s="1155"/>
      <c r="AJ112" s="1169">
        <f>+H112/AH112*100</f>
        <v>-239.35337230260524</v>
      </c>
      <c r="AK112" s="1062"/>
      <c r="AM112" s="1178">
        <f>+T112</f>
        <v>3980.15</v>
      </c>
      <c r="AO112" s="1178">
        <f>AM112/AF112</f>
        <v>108.45095367847411</v>
      </c>
      <c r="AQ112" s="1191">
        <f>(AO112/AO105-1)*100</f>
        <v>2.2685949902605085</v>
      </c>
      <c r="AR112" s="1155"/>
      <c r="AT112" s="1176">
        <v>2</v>
      </c>
      <c r="AY112" s="1176">
        <f>+T112-AZ112</f>
        <v>11.150000000000091</v>
      </c>
      <c r="AZ112" s="1199">
        <f>+BB112+BC112+BD112+BE112</f>
        <v>3969</v>
      </c>
      <c r="BA112" s="1197">
        <f>SUM(BB112:BC112)</f>
        <v>1761</v>
      </c>
      <c r="BB112" s="1176">
        <v>1432</v>
      </c>
      <c r="BC112" s="1176">
        <v>329</v>
      </c>
      <c r="BD112" s="1176">
        <v>538</v>
      </c>
      <c r="BE112" s="1176">
        <v>1670</v>
      </c>
      <c r="BF112" s="1176"/>
      <c r="BN112" s="1198"/>
      <c r="BO112" s="1195"/>
    </row>
    <row r="113" spans="1:69" hidden="1" outlineLevel="1">
      <c r="A113" s="1045" t="str">
        <f>$A$43</f>
        <v>4Q</v>
      </c>
      <c r="B113" s="1154" t="str">
        <f>$B$43</f>
        <v>Jan</v>
      </c>
      <c r="D113" s="1179">
        <f>(T113/T106-1)*100</f>
        <v>0.25854108578660107</v>
      </c>
      <c r="F113" s="1425">
        <v>-2.8</v>
      </c>
      <c r="H113" s="1179">
        <f>D113-F113</f>
        <v>3.0585410857866009</v>
      </c>
      <c r="J113" s="1192">
        <f>'Store New'!E167</f>
        <v>2994</v>
      </c>
      <c r="K113" s="1060"/>
      <c r="L113" s="1182">
        <f>AVERAGE(J113,J112)</f>
        <v>3022.5</v>
      </c>
      <c r="N113" s="1179">
        <f>(L113/L106-1)*100</f>
        <v>-0.85287846481876262</v>
      </c>
      <c r="O113" s="1155"/>
      <c r="P113" s="1182">
        <f>H113/N113*100</f>
        <v>-358.6139423084793</v>
      </c>
      <c r="Q113" s="1062"/>
      <c r="S113" s="1183"/>
      <c r="T113" s="1183">
        <f>'qtrP&amp;L'!BJ13</f>
        <v>4898.8969999999999</v>
      </c>
      <c r="U113" s="1197"/>
      <c r="V113" s="1197"/>
      <c r="W113" s="1197"/>
      <c r="Y113" s="1184">
        <f>T113/L113</f>
        <v>1.620809594706369</v>
      </c>
      <c r="AA113" s="1180">
        <f>(Y113/Y106-1)*100</f>
        <v>1.1209801488901494</v>
      </c>
      <c r="AB113" s="1155"/>
      <c r="AD113" s="1185">
        <f>'Store New'!E172</f>
        <v>36.6</v>
      </c>
      <c r="AE113" s="1060"/>
      <c r="AF113" s="1186">
        <f>AVERAGE(AD113,AD112)</f>
        <v>36.799999999999997</v>
      </c>
      <c r="AH113" s="1179">
        <f>(AF113/AF106-1)*100</f>
        <v>0.14288185008095589</v>
      </c>
      <c r="AI113" s="1155"/>
      <c r="AJ113" s="1182">
        <f>+H113/AH113*100</f>
        <v>2140.6085405904614</v>
      </c>
      <c r="AK113" s="1062"/>
      <c r="AM113" s="1187">
        <f>+T113</f>
        <v>4898.8969999999999</v>
      </c>
      <c r="AO113" s="1187">
        <f>AM113/AF113</f>
        <v>133.12220108695652</v>
      </c>
      <c r="AQ113" s="1180">
        <f>(AO113/AO106-1)*100</f>
        <v>0.11549421543388672</v>
      </c>
      <c r="AR113" s="1155"/>
      <c r="AT113" s="1176">
        <f>AT114-SUM(AT110:AT112)</f>
        <v>5</v>
      </c>
      <c r="AY113" s="1176">
        <f>+T113-AZ113</f>
        <v>0.89699999999993452</v>
      </c>
      <c r="AZ113" s="1199">
        <f>+BB113+BC113+BD113+BE113</f>
        <v>4898</v>
      </c>
      <c r="BA113" s="1197">
        <f>SUM(BB113:BC113)</f>
        <v>2206</v>
      </c>
      <c r="BB113" s="1176">
        <v>1748</v>
      </c>
      <c r="BC113" s="1176">
        <v>458</v>
      </c>
      <c r="BD113" s="1176">
        <v>700</v>
      </c>
      <c r="BE113" s="1176">
        <v>1992</v>
      </c>
      <c r="BF113" s="1176"/>
      <c r="BN113" s="1198"/>
      <c r="BO113" s="1203"/>
    </row>
    <row r="114" spans="1:69" hidden="1" outlineLevel="1">
      <c r="B114" s="1154" t="str">
        <f>$B$44</f>
        <v>Year</v>
      </c>
      <c r="D114" s="1068">
        <f>(T114/T107-1)*100</f>
        <v>2.608909289198369</v>
      </c>
      <c r="F114" s="1805">
        <v>0.4</v>
      </c>
      <c r="H114" s="1068">
        <f>D114-F114</f>
        <v>2.208909289198369</v>
      </c>
      <c r="L114" s="1175">
        <f>AVERAGE(L110:L113)</f>
        <v>3018.5</v>
      </c>
      <c r="N114" s="1068">
        <f>(L114/L107-1)*100</f>
        <v>-2.1912592652598373</v>
      </c>
      <c r="O114" s="1155"/>
      <c r="P114" s="1169">
        <f>H114/N114*100</f>
        <v>-100.80547401297304</v>
      </c>
      <c r="Q114" s="1062"/>
      <c r="S114" s="1170"/>
      <c r="T114" s="1170">
        <f>SUM(T110:T113)</f>
        <v>16267.401000000002</v>
      </c>
      <c r="U114" s="1170"/>
      <c r="V114" s="1170"/>
      <c r="W114" s="1170"/>
      <c r="Y114" s="1171">
        <f>SUM(Y110:Y113)</f>
        <v>5.3885594931706464</v>
      </c>
      <c r="AA114" s="1191">
        <f>(Y114/Y107-1)*100</f>
        <v>4.7727463120994074</v>
      </c>
      <c r="AB114" s="1155"/>
      <c r="AF114" s="1173">
        <f>AVERAGE(AF110:AF113)</f>
        <v>36.6147755</v>
      </c>
      <c r="AH114" s="1068">
        <f>(AF114/AF107-1)*100</f>
        <v>-1.1619047436516428</v>
      </c>
      <c r="AI114" s="1155"/>
      <c r="AJ114" s="1169">
        <f>+H114/AH114*100</f>
        <v>-190.11104836840519</v>
      </c>
      <c r="AK114" s="1062"/>
      <c r="AM114" s="1174">
        <f>SUM(AM110:AM113)</f>
        <v>16267.401000000002</v>
      </c>
      <c r="AO114" s="1174">
        <f>SUM(AO110:AO113)</f>
        <v>444.10859615702498</v>
      </c>
      <c r="AQ114" s="1191">
        <f>(AO114/AO107-1)*100</f>
        <v>3.6981510422716024</v>
      </c>
      <c r="AR114" s="1155"/>
      <c r="AT114" s="1808">
        <v>11</v>
      </c>
      <c r="AY114" s="1176">
        <f>+T114-AZ114</f>
        <v>11.401000000001659</v>
      </c>
      <c r="AZ114" s="1200">
        <f>SUM(AZ110:AZ113)</f>
        <v>16256</v>
      </c>
      <c r="BA114" s="1201">
        <f>SUM(BB114:BC114)</f>
        <v>7240</v>
      </c>
      <c r="BB114" s="1202">
        <v>5746</v>
      </c>
      <c r="BC114" s="1202">
        <v>1494</v>
      </c>
      <c r="BD114" s="1202">
        <v>2269</v>
      </c>
      <c r="BE114" s="1202">
        <v>6747</v>
      </c>
      <c r="BF114" s="1202"/>
      <c r="BO114" s="1195">
        <v>563</v>
      </c>
      <c r="BP114" s="1064"/>
      <c r="BQ114" s="1064">
        <f>+BO114/AZ114</f>
        <v>3.4633366141732284E-2</v>
      </c>
    </row>
    <row r="115" spans="1:69" hidden="1" outlineLevel="1">
      <c r="B115" s="1154"/>
      <c r="F115" s="1801"/>
      <c r="O115" s="1155"/>
      <c r="AI115" s="1155"/>
      <c r="AT115" s="1061"/>
      <c r="BA115" s="1061">
        <f>+BA114/$AZ114</f>
        <v>0.44537401574803148</v>
      </c>
      <c r="BB115" s="1061">
        <f>+BB114/$AZ114</f>
        <v>0.35346948818897639</v>
      </c>
      <c r="BC115" s="1061">
        <f>+BC114/$AZ114</f>
        <v>9.1904527559055121E-2</v>
      </c>
      <c r="BD115" s="1061">
        <f>+BD114/$AZ114</f>
        <v>0.13957923228346455</v>
      </c>
      <c r="BE115" s="1061">
        <f>+BE114/$AZ114</f>
        <v>0.41504675196850394</v>
      </c>
      <c r="BF115" s="1061"/>
    </row>
    <row r="116" spans="1:69" hidden="1" outlineLevel="1">
      <c r="A116" s="1166"/>
      <c r="B116" s="1204">
        <f>+B109+1</f>
        <v>2005</v>
      </c>
      <c r="E116" s="1155"/>
      <c r="F116" s="1801"/>
      <c r="G116" s="1155"/>
      <c r="I116" s="1155"/>
      <c r="J116" s="1192"/>
      <c r="O116" s="1155"/>
      <c r="P116" s="1062"/>
      <c r="Q116" s="1062"/>
      <c r="AB116" s="1155"/>
      <c r="AI116" s="1155"/>
      <c r="AJ116" s="1062"/>
      <c r="AK116" s="1062"/>
      <c r="AR116" s="1155"/>
      <c r="BA116" s="1197"/>
    </row>
    <row r="117" spans="1:69" hidden="1" outlineLevel="1">
      <c r="A117" s="1045" t="str">
        <f>$A$40</f>
        <v>1Q</v>
      </c>
      <c r="B117" s="1154" t="str">
        <f>$B$40</f>
        <v>Apr</v>
      </c>
      <c r="D117" s="1068">
        <f>(T117/T110-1)*100</f>
        <v>-1.1253242955475917</v>
      </c>
      <c r="E117" s="1155" t="s">
        <v>489</v>
      </c>
      <c r="F117" s="1439">
        <v>-4.2</v>
      </c>
      <c r="G117" s="1155" t="s">
        <v>489</v>
      </c>
      <c r="H117" s="1068">
        <f>D117-F117</f>
        <v>3.0746757044524085</v>
      </c>
      <c r="I117" s="1155" t="s">
        <v>489</v>
      </c>
      <c r="J117" s="1192">
        <f>'Store New'!F167</f>
        <v>3010</v>
      </c>
      <c r="L117" s="1175">
        <f>AVERAGE(J117,J113)</f>
        <v>3002</v>
      </c>
      <c r="N117" s="1068">
        <f>(L117/L110-1)*100</f>
        <v>-0.5631003643590593</v>
      </c>
      <c r="O117" s="1155" t="s">
        <v>489</v>
      </c>
      <c r="P117" s="1169">
        <f>H117/N117*100</f>
        <v>-546.02623245540121</v>
      </c>
      <c r="Q117" s="1062" t="s">
        <v>489</v>
      </c>
      <c r="S117" s="1170"/>
      <c r="T117" s="1170">
        <f>+'qtrP&amp;L'!BN10</f>
        <v>3626.2930000000001</v>
      </c>
      <c r="U117" s="1170"/>
      <c r="V117" s="1170"/>
      <c r="W117" s="1170"/>
      <c r="X117" s="1060"/>
      <c r="Y117" s="1171">
        <f>T117/L117</f>
        <v>1.2079590273151233</v>
      </c>
      <c r="AA117" s="1191">
        <f>(Y117/Y110-1)*100</f>
        <v>-0.56540774425656304</v>
      </c>
      <c r="AB117" s="1155" t="s">
        <v>489</v>
      </c>
      <c r="AD117" s="1185">
        <f>'Store New'!F172</f>
        <v>36.9</v>
      </c>
      <c r="AE117" s="1045" t="s">
        <v>31</v>
      </c>
      <c r="AF117" s="1173">
        <f>AVERAGE(AD117,AD113)</f>
        <v>36.75</v>
      </c>
      <c r="AH117" s="1068">
        <f>(AF117/AF110-1)*100</f>
        <v>0.65982997883651251</v>
      </c>
      <c r="AI117" s="1155" t="s">
        <v>489</v>
      </c>
      <c r="AJ117" s="1169">
        <f>+H117/AH117*100</f>
        <v>465.97999531243295</v>
      </c>
      <c r="AK117" s="1062" t="s">
        <v>489</v>
      </c>
      <c r="AM117" s="1174">
        <f>+T117</f>
        <v>3626.2930000000001</v>
      </c>
      <c r="AN117" s="1060"/>
      <c r="AO117" s="1174">
        <f>AM117/AF117</f>
        <v>98.674639455782312</v>
      </c>
      <c r="AQ117" s="1191">
        <f>(AO117/AO110-1)*100</f>
        <v>-1.7734525031081749</v>
      </c>
      <c r="AR117" s="1155" t="s">
        <v>489</v>
      </c>
      <c r="AT117" s="1045">
        <v>3</v>
      </c>
      <c r="AY117" s="1176">
        <f>+T117-AZ117</f>
        <v>-0.70699999999987995</v>
      </c>
      <c r="AZ117" s="1196">
        <f>+BB117+BC117+BD117+BE117</f>
        <v>3627</v>
      </c>
      <c r="BA117" s="1197">
        <f>SUM(BB117:BC117)</f>
        <v>1541</v>
      </c>
      <c r="BB117" s="1176">
        <v>1200</v>
      </c>
      <c r="BC117" s="1176">
        <v>341</v>
      </c>
      <c r="BD117" s="1176">
        <v>512</v>
      </c>
      <c r="BE117" s="1176">
        <v>1574</v>
      </c>
      <c r="BF117" s="1176"/>
      <c r="BN117" s="1198"/>
      <c r="BO117" s="1195"/>
    </row>
    <row r="118" spans="1:69" hidden="1" outlineLevel="1">
      <c r="A118" s="1045" t="str">
        <f>$A$41</f>
        <v>2Q</v>
      </c>
      <c r="B118" s="1154" t="str">
        <f>$B$41</f>
        <v>Jul</v>
      </c>
      <c r="D118" s="1068">
        <f>(T118/T111-1)*100</f>
        <v>-0.12070020632721778</v>
      </c>
      <c r="F118" s="1439">
        <v>-3.5</v>
      </c>
      <c r="H118" s="1068">
        <f>D118-F118</f>
        <v>3.3792997936727822</v>
      </c>
      <c r="J118" s="1192">
        <f>'Store New'!G167</f>
        <v>3029</v>
      </c>
      <c r="L118" s="1175">
        <f>AVERAGE(J118,J117)</f>
        <v>3019.5</v>
      </c>
      <c r="N118" s="1068">
        <f>(L118/L111-1)*100</f>
        <v>0.39900249376558783</v>
      </c>
      <c r="O118" s="1155"/>
      <c r="P118" s="1169">
        <f>H118/N118*100</f>
        <v>846.93701078923721</v>
      </c>
      <c r="Q118" s="1062"/>
      <c r="S118" s="1176"/>
      <c r="T118" s="1176">
        <f>+'qtrP&amp;L'!BN11</f>
        <v>3716.2979999999998</v>
      </c>
      <c r="U118" s="1176"/>
      <c r="V118" s="1176"/>
      <c r="W118" s="1176"/>
      <c r="X118" s="1060"/>
      <c r="Y118" s="1177">
        <f>T118/L118</f>
        <v>1.2307660208643814</v>
      </c>
      <c r="AA118" s="1191">
        <f>(Y118/Y111-1)*100</f>
        <v>-0.51763731430010118</v>
      </c>
      <c r="AB118" s="1155"/>
      <c r="AD118" s="1185">
        <f>'Store New'!G172</f>
        <v>37.1</v>
      </c>
      <c r="AE118" s="1060"/>
      <c r="AF118" s="1173">
        <f>AVERAGE(AD118,AD117)</f>
        <v>37</v>
      </c>
      <c r="AH118" s="1068">
        <f>(AF118/AF111-1)*100</f>
        <v>1.5089163237311354</v>
      </c>
      <c r="AI118" s="1155"/>
      <c r="AJ118" s="1169">
        <f>+H118/AH118*100</f>
        <v>223.9554135988603</v>
      </c>
      <c r="AK118" s="1062"/>
      <c r="AM118" s="1178">
        <f>+T118</f>
        <v>3716.2979999999998</v>
      </c>
      <c r="AO118" s="1178">
        <f>AM118/AF118</f>
        <v>100.44048648648648</v>
      </c>
      <c r="AQ118" s="1191">
        <f>(AO118/AO111-1)*100</f>
        <v>-1.6053925005574898</v>
      </c>
      <c r="AR118" s="1155"/>
      <c r="AT118" s="1045">
        <v>4</v>
      </c>
      <c r="AY118" s="1176">
        <f>+T118-AZ118</f>
        <v>0.29799999999977445</v>
      </c>
      <c r="AZ118" s="1199">
        <f>+BB118+BC118+BD118+BE118</f>
        <v>3716</v>
      </c>
      <c r="BA118" s="1197">
        <f>SUM(BB118:BC118)</f>
        <v>1573</v>
      </c>
      <c r="BB118" s="1176">
        <v>1214</v>
      </c>
      <c r="BC118" s="1176">
        <v>359</v>
      </c>
      <c r="BD118" s="1176">
        <v>532</v>
      </c>
      <c r="BE118" s="1176">
        <v>1611</v>
      </c>
      <c r="BF118" s="1176"/>
      <c r="BN118" s="1198"/>
      <c r="BO118" s="1195"/>
    </row>
    <row r="119" spans="1:69" hidden="1" outlineLevel="1">
      <c r="A119" s="1045" t="str">
        <f>$A$42</f>
        <v>3Q</v>
      </c>
      <c r="B119" s="1154" t="str">
        <f>$B$42</f>
        <v>Oct</v>
      </c>
      <c r="D119" s="1068">
        <f>(T119/T112-1)*100</f>
        <v>-3.0210921698931026</v>
      </c>
      <c r="F119" s="1439">
        <v>-6.7</v>
      </c>
      <c r="H119" s="1068">
        <f>D119-F119</f>
        <v>3.6789078301068976</v>
      </c>
      <c r="J119" s="1192">
        <f>'Store New'!H167</f>
        <v>3112</v>
      </c>
      <c r="K119" s="1060"/>
      <c r="L119" s="1175">
        <f>AVERAGE(J119,J118)</f>
        <v>3070.5</v>
      </c>
      <c r="N119" s="1068">
        <f>(L119/L112-1)*100</f>
        <v>1.5041322314049532</v>
      </c>
      <c r="O119" s="1155"/>
      <c r="P119" s="1169">
        <f>H119/N119*100</f>
        <v>244.58672936425066</v>
      </c>
      <c r="Q119" s="1062"/>
      <c r="S119" s="1176"/>
      <c r="T119" s="1176">
        <f>+'qtrP&amp;L'!BN12</f>
        <v>3859.9059999999999</v>
      </c>
      <c r="U119" s="1176"/>
      <c r="V119" s="1235"/>
      <c r="W119" s="1176"/>
      <c r="Y119" s="1177">
        <f>T119/L119</f>
        <v>1.2570936329588014</v>
      </c>
      <c r="AA119" s="1191">
        <f>(Y119/Y112-1)*100</f>
        <v>-4.4581676645258579</v>
      </c>
      <c r="AB119" s="1155"/>
      <c r="AD119" s="1185">
        <f>'Store New'!H172</f>
        <v>38.1</v>
      </c>
      <c r="AE119" s="1060"/>
      <c r="AF119" s="1173">
        <f>AVERAGE(AD119,AD118)</f>
        <v>37.6</v>
      </c>
      <c r="AH119" s="1068">
        <f>(AF119/AF112-1)*100</f>
        <v>2.4523160762942808</v>
      </c>
      <c r="AI119" s="1155"/>
      <c r="AJ119" s="1169">
        <f>+H119/AH119*100</f>
        <v>150.01768596102553</v>
      </c>
      <c r="AK119" s="1062"/>
      <c r="AM119" s="1178">
        <f>+T119</f>
        <v>3859.9059999999999</v>
      </c>
      <c r="AO119" s="1178">
        <f>AM119/AF119</f>
        <v>102.6570744680851</v>
      </c>
      <c r="AQ119" s="1191">
        <f>(AO119/AO112-1)*100</f>
        <v>-5.3423958147626793</v>
      </c>
      <c r="AR119" s="1155"/>
      <c r="AT119" s="1176">
        <v>9</v>
      </c>
      <c r="AY119" s="1176">
        <f>+T119-AZ119</f>
        <v>1.9059999999999491</v>
      </c>
      <c r="AZ119" s="1199">
        <f>+BB119+BC119+BD119+BE119</f>
        <v>3858</v>
      </c>
      <c r="BA119" s="1197">
        <f>SUM(BB119:BC119)</f>
        <v>1673</v>
      </c>
      <c r="BB119" s="1176">
        <v>1349</v>
      </c>
      <c r="BC119" s="1176">
        <v>324</v>
      </c>
      <c r="BD119" s="1176">
        <v>537</v>
      </c>
      <c r="BE119" s="1176">
        <v>1648</v>
      </c>
      <c r="BF119" s="1176"/>
      <c r="BN119" s="1198"/>
      <c r="BO119" s="1195"/>
    </row>
    <row r="120" spans="1:69" hidden="1" outlineLevel="1">
      <c r="A120" s="1045" t="str">
        <f>$A$43</f>
        <v>4Q</v>
      </c>
      <c r="B120" s="1154" t="str">
        <f>$B$43</f>
        <v>Jan</v>
      </c>
      <c r="D120" s="1179">
        <f>(T120/T113-1)*100</f>
        <v>-1.5924809196845802</v>
      </c>
      <c r="F120" s="1425">
        <v>-5.6</v>
      </c>
      <c r="H120" s="1179">
        <f>D120-F120</f>
        <v>4.0075190803154195</v>
      </c>
      <c r="J120" s="1192">
        <f>'Store New'!I167</f>
        <v>3048</v>
      </c>
      <c r="K120" s="1060"/>
      <c r="L120" s="1182">
        <f>AVERAGE(J120,J119)</f>
        <v>3080</v>
      </c>
      <c r="N120" s="1179">
        <f>(L120/L113-1)*100</f>
        <v>1.9023986765922318</v>
      </c>
      <c r="O120" s="1155"/>
      <c r="P120" s="1182">
        <f>H120/N120*100</f>
        <v>210.65611165657933</v>
      </c>
      <c r="Q120" s="1062"/>
      <c r="S120" s="1183"/>
      <c r="T120" s="1183">
        <f>+'qtrP&amp;L'!BN13</f>
        <v>4820.8829999999998</v>
      </c>
      <c r="U120" s="1197"/>
      <c r="V120" s="1810"/>
      <c r="W120" s="1197"/>
      <c r="Y120" s="1184">
        <f>T120/L120</f>
        <v>1.5652217532467532</v>
      </c>
      <c r="AA120" s="1180">
        <f>(Y120/Y113-1)*100</f>
        <v>-3.429634279138527</v>
      </c>
      <c r="AB120" s="1155"/>
      <c r="AD120" s="1185">
        <f>'Store New'!I172</f>
        <v>37.700000000000003</v>
      </c>
      <c r="AE120" s="1060"/>
      <c r="AF120" s="1186">
        <f>AVERAGE(AD120,AD119)</f>
        <v>37.900000000000006</v>
      </c>
      <c r="AH120" s="1179">
        <f>(AF120/AF113-1)*100</f>
        <v>2.9891304347826386</v>
      </c>
      <c r="AI120" s="1155"/>
      <c r="AJ120" s="1182">
        <f>+H120/AH120*100</f>
        <v>134.06972923236907</v>
      </c>
      <c r="AK120" s="1062"/>
      <c r="AM120" s="1187">
        <f>+T120</f>
        <v>4820.8829999999998</v>
      </c>
      <c r="AO120" s="1187">
        <f>AM120/AF120</f>
        <v>127.2000791556728</v>
      </c>
      <c r="AQ120" s="1180">
        <f>(AO120/AO113-1)*100</f>
        <v>-4.4486358270288466</v>
      </c>
      <c r="AR120" s="1155"/>
      <c r="AT120" s="1183">
        <f>AT121-SUM(AT117:AT119)</f>
        <v>13</v>
      </c>
      <c r="AY120" s="1176">
        <f>+T120-AZ120</f>
        <v>6.8829999999998108</v>
      </c>
      <c r="AZ120" s="1199">
        <f>+BB120+BC120+BD120+BE120</f>
        <v>4814</v>
      </c>
      <c r="BA120" s="1197">
        <f>SUM(BB120:BC120)</f>
        <v>2085</v>
      </c>
      <c r="BB120" s="1176">
        <v>1646</v>
      </c>
      <c r="BC120" s="1176">
        <v>439</v>
      </c>
      <c r="BD120" s="1176">
        <v>706</v>
      </c>
      <c r="BE120" s="1176">
        <v>2023</v>
      </c>
      <c r="BF120" s="1176"/>
      <c r="BN120" s="1198"/>
      <c r="BO120" s="1203"/>
    </row>
    <row r="121" spans="1:69" hidden="1" outlineLevel="1">
      <c r="B121" s="1154" t="str">
        <f>$B$44</f>
        <v>Year</v>
      </c>
      <c r="D121" s="1068">
        <f>(T121/T114-1)*100</f>
        <v>-1.5000613804258101</v>
      </c>
      <c r="F121" s="1439">
        <v>-5.0999999999999996</v>
      </c>
      <c r="H121" s="1068">
        <f>D121-F121</f>
        <v>3.5999386195741896</v>
      </c>
      <c r="J121" s="1192"/>
      <c r="L121" s="1175">
        <f>AVERAGE(L117:L120)</f>
        <v>3043</v>
      </c>
      <c r="N121" s="1068">
        <f>(L121/L114-1)*100</f>
        <v>0.81166142123572094</v>
      </c>
      <c r="O121" s="1155"/>
      <c r="P121" s="1169">
        <f>H121/N121*100</f>
        <v>443.52713155855452</v>
      </c>
      <c r="Q121" s="1062"/>
      <c r="S121" s="1170"/>
      <c r="T121" s="1170">
        <f>SUM(T117:T120)</f>
        <v>16023.38</v>
      </c>
      <c r="U121" s="1170"/>
      <c r="V121" s="1170"/>
      <c r="W121" s="1170"/>
      <c r="Y121" s="1171">
        <f>SUM(Y117:Y120)</f>
        <v>5.261040434385059</v>
      </c>
      <c r="AA121" s="1191">
        <f>(Y121/Y114-1)*100</f>
        <v>-2.3664777005283577</v>
      </c>
      <c r="AB121" s="1155"/>
      <c r="AF121" s="1173">
        <f>AVERAGE(AF117:AF120)</f>
        <v>37.3125</v>
      </c>
      <c r="AH121" s="1068">
        <f>(AF121/AF114-1)*100</f>
        <v>1.905581805356138</v>
      </c>
      <c r="AI121" s="1155"/>
      <c r="AJ121" s="1169">
        <f>+H121/AH121*100</f>
        <v>188.91545928154946</v>
      </c>
      <c r="AK121" s="1062"/>
      <c r="AM121" s="1174">
        <f>SUM(AM117:AM120)</f>
        <v>16023.38</v>
      </c>
      <c r="AO121" s="1174">
        <f>SUM(AO117:AO120)</f>
        <v>428.97227956602671</v>
      </c>
      <c r="AQ121" s="1191">
        <f>(AO121/AO114-1)*100</f>
        <v>-3.4082467040665976</v>
      </c>
      <c r="AR121" s="1155"/>
      <c r="AT121" s="1202">
        <v>29</v>
      </c>
      <c r="AU121" s="1045">
        <v>3</v>
      </c>
      <c r="AY121" s="1176">
        <f>+T121-AZ121</f>
        <v>8.3799999999991996</v>
      </c>
      <c r="AZ121" s="1200">
        <f>SUM(AZ117:AZ120)</f>
        <v>16015</v>
      </c>
      <c r="BA121" s="1201">
        <f>SUM(BB121:BC121)</f>
        <v>6872</v>
      </c>
      <c r="BB121" s="1202">
        <v>5409</v>
      </c>
      <c r="BC121" s="1202">
        <v>1463</v>
      </c>
      <c r="BD121" s="1202">
        <v>2287</v>
      </c>
      <c r="BE121" s="1202">
        <v>6856</v>
      </c>
      <c r="BF121" s="1202"/>
      <c r="BO121" s="1195">
        <v>595</v>
      </c>
      <c r="BP121" s="1064">
        <f>BO121/BO114-1</f>
        <v>5.6838365896980436E-2</v>
      </c>
      <c r="BQ121" s="1064">
        <f>+BO121/AZ121</f>
        <v>3.7152669372463316E-2</v>
      </c>
    </row>
    <row r="122" spans="1:69" hidden="1" outlineLevel="1">
      <c r="B122" s="1154"/>
      <c r="F122" s="1801"/>
      <c r="J122" s="1192"/>
      <c r="O122" s="1155"/>
      <c r="AI122" s="1155"/>
      <c r="AT122" s="1061"/>
      <c r="BA122" s="1061">
        <f>BA121/AZ121</f>
        <v>0.42909772088666875</v>
      </c>
      <c r="BB122" s="1061">
        <f>BB121/AZ121</f>
        <v>0.33774586325320011</v>
      </c>
      <c r="BC122" s="1061">
        <f>BC121/AZ121</f>
        <v>9.1351857633468619E-2</v>
      </c>
      <c r="BD122" s="1061">
        <f>BD121/AZ121</f>
        <v>0.14280362160474555</v>
      </c>
      <c r="BE122" s="1061">
        <f>BE121/AZ121</f>
        <v>0.42809865750858572</v>
      </c>
      <c r="BF122" s="1061"/>
    </row>
    <row r="123" spans="1:69" hidden="1" outlineLevel="1">
      <c r="A123" s="1166"/>
      <c r="B123" s="1204">
        <f>+B116+1</f>
        <v>2006</v>
      </c>
      <c r="E123" s="1155"/>
      <c r="F123" s="1801"/>
      <c r="G123" s="1155"/>
      <c r="I123" s="1155"/>
      <c r="J123" s="1192"/>
      <c r="O123" s="1155"/>
      <c r="P123" s="1062"/>
      <c r="Q123" s="1062"/>
      <c r="AB123" s="1155"/>
      <c r="AI123" s="1155"/>
      <c r="AJ123" s="1062"/>
      <c r="AK123" s="1062"/>
      <c r="AR123" s="1155"/>
      <c r="BA123" s="1197"/>
    </row>
    <row r="124" spans="1:69" hidden="1" outlineLevel="1">
      <c r="A124" s="1045" t="str">
        <f>$A$40</f>
        <v>1Q</v>
      </c>
      <c r="B124" s="1154" t="str">
        <f>$B$40</f>
        <v>Apr</v>
      </c>
      <c r="D124" s="1068">
        <f>(T124/T117-1)*100</f>
        <v>-5.1648611957169521</v>
      </c>
      <c r="E124" s="1155" t="s">
        <v>489</v>
      </c>
      <c r="F124" s="1806">
        <v>-9.3000000000000007</v>
      </c>
      <c r="G124" s="1155" t="s">
        <v>489</v>
      </c>
      <c r="H124" s="1068">
        <f>D124-F124</f>
        <v>4.1351388042830486</v>
      </c>
      <c r="I124" s="1155" t="s">
        <v>489</v>
      </c>
      <c r="J124" s="1192">
        <f>'Store New'!J167</f>
        <v>3065</v>
      </c>
      <c r="L124" s="1175">
        <f>AVERAGE(J124,J120)</f>
        <v>3056.5</v>
      </c>
      <c r="N124" s="1068">
        <f>(L124/L117-1)*100</f>
        <v>1.8154563624250608</v>
      </c>
      <c r="O124" s="1155" t="s">
        <v>489</v>
      </c>
      <c r="P124" s="1169">
        <f>H124/N124*100</f>
        <v>227.77406771481904</v>
      </c>
      <c r="Q124" s="1062" t="s">
        <v>489</v>
      </c>
      <c r="S124" s="1170"/>
      <c r="T124" s="1170">
        <f>'qtrP&amp;L'!$BR$10</f>
        <v>3439</v>
      </c>
      <c r="U124" s="1170"/>
      <c r="V124" s="1234"/>
      <c r="W124" s="1170"/>
      <c r="X124" s="1060"/>
      <c r="Y124" s="1171">
        <f>T124/L124</f>
        <v>1.1251431375756584</v>
      </c>
      <c r="AA124" s="1191">
        <f>(Y124/Y117-1)*100</f>
        <v>-6.8558525468811693</v>
      </c>
      <c r="AB124" s="1155" t="s">
        <v>489</v>
      </c>
      <c r="AD124" s="1185">
        <f>'Store New'!J172</f>
        <v>37.900000000000006</v>
      </c>
      <c r="AE124" s="1045" t="s">
        <v>31</v>
      </c>
      <c r="AF124" s="1173">
        <f>AVERAGE(AD124,AD120)</f>
        <v>37.800000000000004</v>
      </c>
      <c r="AH124" s="1068">
        <f>(AF124/AF117-1)*100</f>
        <v>2.8571428571428692</v>
      </c>
      <c r="AI124" s="1155" t="s">
        <v>489</v>
      </c>
      <c r="AJ124" s="1169">
        <f>+H124/AH124*100</f>
        <v>144.72985814990608</v>
      </c>
      <c r="AK124" s="1062" t="s">
        <v>489</v>
      </c>
      <c r="AM124" s="1174">
        <f>+T124</f>
        <v>3439</v>
      </c>
      <c r="AN124" s="1060"/>
      <c r="AO124" s="1174">
        <f>AM124/AF124</f>
        <v>90.978835978835974</v>
      </c>
      <c r="AQ124" s="1191">
        <f>(AO124/AO117-1)*100</f>
        <v>-7.7991706069470368</v>
      </c>
      <c r="AR124" s="1155" t="s">
        <v>489</v>
      </c>
      <c r="AT124" s="1176">
        <v>8</v>
      </c>
      <c r="AU124" s="1045">
        <v>1</v>
      </c>
      <c r="AY124" s="1176">
        <f>+T124-AZ124</f>
        <v>-2</v>
      </c>
      <c r="AZ124" s="1196">
        <f>+BB124+BC124+BD124+BE124+BH124</f>
        <v>3441</v>
      </c>
      <c r="BA124" s="1197">
        <f>SUM(BB124:BC124)</f>
        <v>1417</v>
      </c>
      <c r="BB124" s="1176">
        <v>1121</v>
      </c>
      <c r="BC124" s="1176">
        <v>296</v>
      </c>
      <c r="BD124" s="1176">
        <v>518</v>
      </c>
      <c r="BE124" s="1176">
        <v>1503</v>
      </c>
      <c r="BF124" s="1176"/>
      <c r="BH124" s="1207">
        <v>3</v>
      </c>
      <c r="BI124" s="1207"/>
      <c r="BJ124" s="1207"/>
      <c r="BK124" s="1207"/>
      <c r="BL124" s="1207"/>
      <c r="BM124" s="1207"/>
      <c r="BN124" s="1198"/>
      <c r="BO124" s="1208">
        <v>159</v>
      </c>
    </row>
    <row r="125" spans="1:69" hidden="1" outlineLevel="1">
      <c r="A125" s="1045" t="str">
        <f>$A$41</f>
        <v>2Q</v>
      </c>
      <c r="B125" s="1154" t="str">
        <f>$B$41</f>
        <v>Jul</v>
      </c>
      <c r="D125" s="1068">
        <f>(T125/T118-1)*100</f>
        <v>-6.183573007331189E-2</v>
      </c>
      <c r="F125" s="1806">
        <v>-5.4</v>
      </c>
      <c r="H125" s="1068">
        <f>D125-F125</f>
        <v>5.338164269926688</v>
      </c>
      <c r="J125" s="1192">
        <f>'Store New'!K167</f>
        <v>3080</v>
      </c>
      <c r="L125" s="1175">
        <f>AVERAGE(J125,J124)</f>
        <v>3072.5</v>
      </c>
      <c r="N125" s="1068">
        <f>(L125/L118-1)*100</f>
        <v>1.7552574929624143</v>
      </c>
      <c r="O125" s="1155"/>
      <c r="P125" s="1169">
        <f>H125/N125*100</f>
        <v>304.12428326497366</v>
      </c>
      <c r="Q125" s="1062"/>
      <c r="S125" s="1176"/>
      <c r="T125" s="1176">
        <f>'qtrP&amp;L'!$BR$11</f>
        <v>3714</v>
      </c>
      <c r="U125" s="1176"/>
      <c r="V125" s="1176"/>
      <c r="W125" s="1176"/>
      <c r="X125" s="1060"/>
      <c r="Y125" s="1177">
        <f>T125/L125</f>
        <v>1.2087876322213182</v>
      </c>
      <c r="AA125" s="1191">
        <f>(Y125/Y118-1)*100</f>
        <v>-1.7857487345667389</v>
      </c>
      <c r="AB125" s="1155"/>
      <c r="AD125" s="1185">
        <f>'Store New'!K172</f>
        <v>38.1</v>
      </c>
      <c r="AE125" s="1060"/>
      <c r="AF125" s="1173">
        <f>AVERAGE(AD125,AD124)</f>
        <v>38</v>
      </c>
      <c r="AH125" s="1068">
        <f>(AF125/AF118-1)*100</f>
        <v>2.7027027027026973</v>
      </c>
      <c r="AI125" s="1155"/>
      <c r="AJ125" s="1169">
        <f>+H125/AH125*100</f>
        <v>197.51207798728785</v>
      </c>
      <c r="AK125" s="1062"/>
      <c r="AM125" s="1178">
        <f>+T125</f>
        <v>3714</v>
      </c>
      <c r="AO125" s="1178">
        <f>AM125/AF125</f>
        <v>97.736842105263165</v>
      </c>
      <c r="AQ125" s="1191">
        <f>(AO125/AO118-1)*100</f>
        <v>-2.6917874213871595</v>
      </c>
      <c r="AR125" s="1155"/>
      <c r="AT125" s="1176">
        <v>4</v>
      </c>
      <c r="AU125" s="1045">
        <v>0</v>
      </c>
      <c r="AY125" s="1176">
        <f>+T125-AZ125</f>
        <v>-2</v>
      </c>
      <c r="AZ125" s="1199">
        <f>+BB125+BC125+BD125+BE125+BH125</f>
        <v>3716</v>
      </c>
      <c r="BA125" s="1197">
        <f>SUM(BB125:BC125)</f>
        <v>1494</v>
      </c>
      <c r="BB125" s="1176">
        <v>1155</v>
      </c>
      <c r="BC125" s="1176">
        <v>339</v>
      </c>
      <c r="BD125" s="1176">
        <v>571</v>
      </c>
      <c r="BE125" s="1176">
        <v>1649</v>
      </c>
      <c r="BF125" s="1176"/>
      <c r="BH125" s="1207">
        <v>2</v>
      </c>
      <c r="BI125" s="1207"/>
      <c r="BJ125" s="1207"/>
      <c r="BK125" s="1207"/>
      <c r="BL125" s="1207"/>
      <c r="BM125" s="1207"/>
      <c r="BN125" s="1198"/>
      <c r="BO125" s="1208">
        <v>136</v>
      </c>
    </row>
    <row r="126" spans="1:69" hidden="1" outlineLevel="1">
      <c r="A126" s="1045" t="str">
        <f>$A$42</f>
        <v>3Q</v>
      </c>
      <c r="B126" s="1154" t="str">
        <f>$B$42</f>
        <v>Oct</v>
      </c>
      <c r="D126" s="1068">
        <f>(T126/T119-1)*100</f>
        <v>-0.23073100743904451</v>
      </c>
      <c r="F126" s="1806">
        <v>-5.5</v>
      </c>
      <c r="H126" s="1068">
        <f>D126-F126</f>
        <v>5.2692689925609555</v>
      </c>
      <c r="J126" s="1192">
        <f>'Store New'!L167</f>
        <v>3142</v>
      </c>
      <c r="K126" s="1060"/>
      <c r="L126" s="1175">
        <f>AVERAGE(J126,J125)</f>
        <v>3111</v>
      </c>
      <c r="N126" s="1068">
        <f>(L126/L119-1)*100</f>
        <v>1.319003419638487</v>
      </c>
      <c r="O126" s="1155"/>
      <c r="P126" s="1169">
        <f>H126/N126*100</f>
        <v>399.48865288045721</v>
      </c>
      <c r="Q126" s="1062"/>
      <c r="S126" s="1176"/>
      <c r="T126" s="1176">
        <f>'qtrP&amp;L'!$BR$12</f>
        <v>3851</v>
      </c>
      <c r="U126" s="1176"/>
      <c r="V126" s="1176"/>
      <c r="W126" s="1176"/>
      <c r="Y126" s="1177">
        <f>T126/L126</f>
        <v>1.237865638058502</v>
      </c>
      <c r="AA126" s="1191">
        <f>(Y126/Y119-1)*100</f>
        <v>-1.5295594851628347</v>
      </c>
      <c r="AB126" s="1155"/>
      <c r="AD126" s="1185">
        <f>'Store New'!L172</f>
        <v>38.9</v>
      </c>
      <c r="AE126" s="1060"/>
      <c r="AF126" s="1173">
        <f>AVERAGE(AD126,AD125)</f>
        <v>38.5</v>
      </c>
      <c r="AH126" s="1068">
        <f>(AF126/AF119-1)*100</f>
        <v>2.3936170212765839</v>
      </c>
      <c r="AI126" s="1155"/>
      <c r="AJ126" s="1169">
        <f>+H126/AH126*100</f>
        <v>220.13834902254766</v>
      </c>
      <c r="AK126" s="1062"/>
      <c r="AM126" s="1178">
        <f>+T126</f>
        <v>3851</v>
      </c>
      <c r="AO126" s="1178">
        <f>AM126/AF126</f>
        <v>100.02597402597402</v>
      </c>
      <c r="AQ126" s="1191">
        <f>(AO126/AO119-1)*100</f>
        <v>-2.5629996332391602</v>
      </c>
      <c r="AR126" s="1155"/>
      <c r="AT126" s="1176">
        <v>10</v>
      </c>
      <c r="AU126" s="1045">
        <v>0</v>
      </c>
      <c r="AY126" s="1176">
        <f>+T126-AZ126</f>
        <v>-5</v>
      </c>
      <c r="AZ126" s="1199">
        <f>+BB126+BC126+BD126+BE126+BH126</f>
        <v>3856</v>
      </c>
      <c r="BA126" s="1197">
        <f>SUM(BB126:BC126)</f>
        <v>1617</v>
      </c>
      <c r="BB126" s="1176">
        <v>1282</v>
      </c>
      <c r="BC126" s="1176">
        <v>335</v>
      </c>
      <c r="BD126" s="1176">
        <v>590</v>
      </c>
      <c r="BE126" s="1176">
        <v>1644</v>
      </c>
      <c r="BF126" s="1176"/>
      <c r="BH126" s="1207">
        <v>5</v>
      </c>
      <c r="BI126" s="1207"/>
      <c r="BJ126" s="1207"/>
      <c r="BK126" s="1207"/>
      <c r="BL126" s="1207"/>
      <c r="BM126" s="1207"/>
      <c r="BN126" s="1198"/>
      <c r="BO126" s="1208">
        <v>182</v>
      </c>
    </row>
    <row r="127" spans="1:69" hidden="1" outlineLevel="1">
      <c r="A127" s="1045" t="str">
        <f>$A$43</f>
        <v>4Q</v>
      </c>
      <c r="B127" s="1154" t="str">
        <f>$B$43</f>
        <v>Jan</v>
      </c>
      <c r="D127" s="1179">
        <f>(T127/T120-1)*100</f>
        <v>2.0352495590538089</v>
      </c>
      <c r="F127" s="1426">
        <v>-7</v>
      </c>
      <c r="H127" s="1179">
        <f>D127-F127</f>
        <v>9.0352495590538098</v>
      </c>
      <c r="J127" s="1192">
        <f>'Store New'!M167</f>
        <v>3112</v>
      </c>
      <c r="K127" s="1060"/>
      <c r="L127" s="1182">
        <f>AVERAGE(J127,J126)</f>
        <v>3127</v>
      </c>
      <c r="N127" s="1179">
        <f>(L127/L120-1)*100</f>
        <v>1.5259740259740306</v>
      </c>
      <c r="O127" s="1155"/>
      <c r="P127" s="1182">
        <f>H127/N127*100</f>
        <v>592.09720514650314</v>
      </c>
      <c r="Q127" s="1062"/>
      <c r="S127" s="1183"/>
      <c r="T127" s="1183">
        <f>'qtrP&amp;L'!$BR$13</f>
        <v>4919</v>
      </c>
      <c r="U127" s="1197"/>
      <c r="V127" s="1810"/>
      <c r="W127" s="1197"/>
      <c r="Y127" s="1184">
        <f>T127/L127</f>
        <v>1.5730732331307964</v>
      </c>
      <c r="AA127" s="1180">
        <f>(Y127/Y120-1)*100</f>
        <v>0.5016209280095163</v>
      </c>
      <c r="AB127" s="1155"/>
      <c r="AD127" s="1185">
        <f>'Store New'!M172</f>
        <v>38.700000000000003</v>
      </c>
      <c r="AE127" s="1060"/>
      <c r="AF127" s="1186">
        <f>AVERAGE(AD127,AD126)</f>
        <v>38.799999999999997</v>
      </c>
      <c r="AH127" s="1179">
        <f>(AF127/AF120-1)*100</f>
        <v>2.3746701846965479</v>
      </c>
      <c r="AI127" s="1155"/>
      <c r="AJ127" s="1182">
        <f>+H127/AH127*100</f>
        <v>380.48439809793615</v>
      </c>
      <c r="AK127" s="1062"/>
      <c r="AM127" s="1187">
        <f>+T127</f>
        <v>4919</v>
      </c>
      <c r="AO127" s="1187">
        <f>AM127/AF127</f>
        <v>126.77835051546393</v>
      </c>
      <c r="AQ127" s="1180">
        <f>(AO127/AO120-1)*100</f>
        <v>-0.33154746680050806</v>
      </c>
      <c r="AR127" s="1155"/>
      <c r="AT127" s="1183">
        <f>AT128-SUM(AT124:AT126)</f>
        <v>17</v>
      </c>
      <c r="AU127" s="1183">
        <f>AU128-SUM(AU124:AU126)</f>
        <v>6</v>
      </c>
      <c r="AY127" s="1176">
        <f>+T127-AZ127</f>
        <v>-11</v>
      </c>
      <c r="AZ127" s="1199">
        <f>+BB127+BC127+BD127+BE127+BH127</f>
        <v>4930</v>
      </c>
      <c r="BA127" s="1197">
        <f>SUM(BB127:BC127)</f>
        <v>2072</v>
      </c>
      <c r="BB127" s="1176">
        <v>1576</v>
      </c>
      <c r="BC127" s="1176">
        <v>496</v>
      </c>
      <c r="BD127" s="1176">
        <v>808</v>
      </c>
      <c r="BE127" s="1176">
        <v>2033</v>
      </c>
      <c r="BF127" s="1176"/>
      <c r="BH127" s="1207">
        <v>17</v>
      </c>
      <c r="BI127" s="1207"/>
      <c r="BJ127" s="1207"/>
      <c r="BK127" s="1207"/>
      <c r="BL127" s="1207"/>
      <c r="BM127" s="1207"/>
      <c r="BN127" s="1198"/>
      <c r="BO127" s="1203">
        <f>BO128-SUM(BO124:BO126)</f>
        <v>253</v>
      </c>
    </row>
    <row r="128" spans="1:69" hidden="1" outlineLevel="1">
      <c r="B128" s="1154" t="str">
        <f>$B$44</f>
        <v>Year</v>
      </c>
      <c r="D128" s="1068">
        <f>(T128/T121-1)*100</f>
        <v>-0.62645958593005036</v>
      </c>
      <c r="F128" s="1805">
        <v>-7</v>
      </c>
      <c r="H128" s="1068">
        <f>D128-F128</f>
        <v>6.3735404140699501</v>
      </c>
      <c r="J128" s="1192"/>
      <c r="L128" s="1175">
        <f>AVERAGE(L124:L127)</f>
        <v>3091.75</v>
      </c>
      <c r="N128" s="1068">
        <f>(L128/L121-1)*100</f>
        <v>1.602037463029915</v>
      </c>
      <c r="O128" s="1155"/>
      <c r="P128" s="1169">
        <f>H128/N128*100</f>
        <v>397.83966112850737</v>
      </c>
      <c r="Q128" s="1062"/>
      <c r="S128" s="1170"/>
      <c r="T128" s="1170">
        <f>SUM(T124:T127)</f>
        <v>15923</v>
      </c>
      <c r="U128" s="1170"/>
      <c r="V128" s="1170"/>
      <c r="W128" s="1170"/>
      <c r="Y128" s="1171">
        <f>SUM(Y124:Y127)</f>
        <v>5.1448696409862755</v>
      </c>
      <c r="AA128" s="1191">
        <f>(Y128/Y121-1)*100</f>
        <v>-2.2081334452310086</v>
      </c>
      <c r="AB128" s="1155"/>
      <c r="AF128" s="1173">
        <f>AVERAGE(AF124:AF127)</f>
        <v>38.275000000000006</v>
      </c>
      <c r="AH128" s="1068">
        <f>(AF128/AF121-1)*100</f>
        <v>2.5795644891122516</v>
      </c>
      <c r="AI128" s="1155"/>
      <c r="AJ128" s="1169">
        <f>+H128/AH128*100</f>
        <v>247.07815761037176</v>
      </c>
      <c r="AK128" s="1062"/>
      <c r="AM128" s="1174">
        <f>SUM(AM124:AM127)</f>
        <v>15923</v>
      </c>
      <c r="AO128" s="1174">
        <f>SUM(AO124:AO127)</f>
        <v>415.52000262553702</v>
      </c>
      <c r="AQ128" s="1191">
        <f>(AO128/AO121-1)*100</f>
        <v>-3.1359315231508256</v>
      </c>
      <c r="AR128" s="1155"/>
      <c r="AT128" s="1202">
        <v>39</v>
      </c>
      <c r="AU128" s="1045">
        <v>7</v>
      </c>
      <c r="AY128" s="1176">
        <f>+T128-AZ128</f>
        <v>-20</v>
      </c>
      <c r="AZ128" s="1200">
        <f>SUM(AZ124:AZ127)</f>
        <v>15943</v>
      </c>
      <c r="BA128" s="1201">
        <f>SUM(BB128:BC128)</f>
        <v>6600</v>
      </c>
      <c r="BB128" s="1202">
        <v>5134</v>
      </c>
      <c r="BC128" s="1202">
        <v>1466</v>
      </c>
      <c r="BD128" s="1202">
        <v>2487</v>
      </c>
      <c r="BE128" s="1202">
        <v>6829</v>
      </c>
      <c r="BF128" s="1202"/>
      <c r="BH128" s="1175">
        <f>SUM(BH124:BH127)</f>
        <v>27</v>
      </c>
      <c r="BI128" s="1175"/>
      <c r="BJ128" s="1175"/>
      <c r="BK128" s="1175"/>
      <c r="BL128" s="1175"/>
      <c r="BM128" s="1175"/>
      <c r="BO128" s="1195">
        <v>730</v>
      </c>
      <c r="BP128" s="1064">
        <f>BO128/BO121-1</f>
        <v>0.22689075630252109</v>
      </c>
      <c r="BQ128" s="1064">
        <f>+BO128/AZ128</f>
        <v>4.5788120178134606E-2</v>
      </c>
    </row>
    <row r="129" spans="1:78" hidden="1" outlineLevel="1">
      <c r="B129" s="1154"/>
      <c r="D129" s="1068"/>
      <c r="F129" s="1805"/>
      <c r="H129" s="1068"/>
      <c r="J129" s="1192"/>
      <c r="L129" s="1175"/>
      <c r="N129" s="1068"/>
      <c r="O129" s="1155"/>
      <c r="P129" s="1169"/>
      <c r="Q129" s="1062"/>
      <c r="S129" s="1170"/>
      <c r="T129" s="1170"/>
      <c r="U129" s="1170"/>
      <c r="V129" s="1170"/>
      <c r="W129" s="1170"/>
      <c r="Y129" s="1171"/>
      <c r="AA129" s="1191"/>
      <c r="AB129" s="1155"/>
      <c r="AF129" s="1173"/>
      <c r="AH129" s="1068"/>
      <c r="AI129" s="1155"/>
      <c r="AJ129" s="1169"/>
      <c r="AK129" s="1062"/>
      <c r="AM129" s="1174"/>
      <c r="AO129" s="1174"/>
      <c r="AQ129" s="1191"/>
      <c r="AR129" s="1155"/>
      <c r="AT129" s="1209"/>
      <c r="AY129" s="1176"/>
      <c r="AZ129" s="1209">
        <f>SUM(BB129:BE129)</f>
        <v>0.998306466787932</v>
      </c>
      <c r="BA129" s="1209">
        <f>+BA128/AZ128</f>
        <v>0.4139747851721759</v>
      </c>
      <c r="BB129" s="1209">
        <f>+BB128/AZ128</f>
        <v>0.3220222041021138</v>
      </c>
      <c r="BC129" s="1209">
        <f>+BC128/$AZ$128</f>
        <v>9.19525810700621E-2</v>
      </c>
      <c r="BD129" s="1209">
        <f>+BD128/AZ128</f>
        <v>0.15599322586715172</v>
      </c>
      <c r="BE129" s="1209">
        <f>+BE128/AZ128</f>
        <v>0.42833845574860441</v>
      </c>
      <c r="BF129" s="1209"/>
    </row>
    <row r="130" spans="1:78" hidden="1" outlineLevel="1">
      <c r="A130" s="1166"/>
      <c r="B130" s="1204">
        <f>+B123+1</f>
        <v>2007</v>
      </c>
      <c r="E130" s="1155"/>
      <c r="F130" s="1801"/>
      <c r="G130" s="1155"/>
      <c r="I130" s="1155"/>
      <c r="J130" s="1192"/>
      <c r="O130" s="1155"/>
      <c r="P130" s="1062"/>
      <c r="Q130" s="1062"/>
      <c r="AB130" s="1155"/>
      <c r="AI130" s="1155"/>
      <c r="AJ130" s="1062"/>
      <c r="AK130" s="1062"/>
      <c r="AR130" s="1155"/>
      <c r="AY130" s="1059" t="s">
        <v>349</v>
      </c>
      <c r="BA130" s="1197"/>
    </row>
    <row r="131" spans="1:78" hidden="1" outlineLevel="1">
      <c r="A131" s="1045" t="str">
        <f>$A$40</f>
        <v>1Q</v>
      </c>
      <c r="B131" s="1154" t="str">
        <f>$B$40</f>
        <v>Apr</v>
      </c>
      <c r="D131" s="1068">
        <f>(T131/T124-1)*100</f>
        <v>-2.4716487350974092</v>
      </c>
      <c r="E131" s="1155" t="s">
        <v>489</v>
      </c>
      <c r="F131" s="1806">
        <v>-4</v>
      </c>
      <c r="G131" s="1155" t="s">
        <v>489</v>
      </c>
      <c r="H131" s="1068">
        <f>D131-F131</f>
        <v>1.5283512649025908</v>
      </c>
      <c r="I131" s="1155" t="s">
        <v>489</v>
      </c>
      <c r="J131" s="1192">
        <f>'Store New'!N167</f>
        <v>3134</v>
      </c>
      <c r="L131" s="1175">
        <f>AVERAGE(J131,J127)</f>
        <v>3123</v>
      </c>
      <c r="N131" s="1068">
        <f>(L131/L124-1)*100</f>
        <v>2.1756911500081744</v>
      </c>
      <c r="O131" s="1155" t="s">
        <v>489</v>
      </c>
      <c r="P131" s="1169">
        <f>H131/N131*100</f>
        <v>70.246701371049312</v>
      </c>
      <c r="Q131" s="1062" t="s">
        <v>489</v>
      </c>
      <c r="S131" s="1170">
        <f>+'qtrP&amp;L'!BV10</f>
        <v>3549</v>
      </c>
      <c r="T131" s="1170">
        <f>'qtrP&amp;L'!BV10-BO131</f>
        <v>3354</v>
      </c>
      <c r="U131" s="1170"/>
      <c r="V131" s="1234"/>
      <c r="W131" s="1170"/>
      <c r="X131" s="1060"/>
      <c r="Y131" s="1171">
        <f>T131/L131</f>
        <v>1.0739673390970221</v>
      </c>
      <c r="AA131" s="1191">
        <f>(Y131/Y124-1)*100</f>
        <v>-4.5483811587656797</v>
      </c>
      <c r="AB131" s="1155" t="s">
        <v>489</v>
      </c>
      <c r="AD131" s="1185">
        <f>'Store New'!N172</f>
        <v>38.9</v>
      </c>
      <c r="AE131" s="1045" t="s">
        <v>31</v>
      </c>
      <c r="AF131" s="1173">
        <f>AVERAGE(AD131,AD127)</f>
        <v>38.799999999999997</v>
      </c>
      <c r="AH131" s="1068">
        <f>(AF131/AF124-1)*100</f>
        <v>2.6455026455026287</v>
      </c>
      <c r="AI131" s="1155" t="s">
        <v>489</v>
      </c>
      <c r="AJ131" s="1169">
        <f>+H131/AH131*100</f>
        <v>57.771677813318298</v>
      </c>
      <c r="AK131" s="1062" t="s">
        <v>489</v>
      </c>
      <c r="AM131" s="1174">
        <f>+T131</f>
        <v>3354</v>
      </c>
      <c r="AN131" s="1060"/>
      <c r="AO131" s="1174">
        <f>AM131/AF131</f>
        <v>86.443298969072174</v>
      </c>
      <c r="AQ131" s="1191">
        <f>(AO131/AO124-1)*100</f>
        <v>-4.9852660357392224</v>
      </c>
      <c r="AR131" s="1155" t="s">
        <v>489</v>
      </c>
      <c r="AT131" s="1176">
        <v>23</v>
      </c>
      <c r="AU131" s="1045">
        <v>5</v>
      </c>
      <c r="AY131" s="1176">
        <f>+T131-AZ131+BO131</f>
        <v>-9</v>
      </c>
      <c r="AZ131" s="1196">
        <f>+BB131+BC131+BD131+BE131+BH131</f>
        <v>3558</v>
      </c>
      <c r="BA131" s="1197">
        <f>SUM(BB131:BC131)</f>
        <v>1439</v>
      </c>
      <c r="BB131" s="1176">
        <v>1086</v>
      </c>
      <c r="BC131" s="1176">
        <v>353</v>
      </c>
      <c r="BD131" s="1176">
        <v>559</v>
      </c>
      <c r="BE131" s="1176">
        <v>1546</v>
      </c>
      <c r="BF131" s="1176"/>
      <c r="BH131" s="1210">
        <v>14</v>
      </c>
      <c r="BI131" s="1210"/>
      <c r="BJ131" s="1210"/>
      <c r="BK131" s="1210"/>
      <c r="BL131" s="1210"/>
      <c r="BM131" s="1210"/>
      <c r="BN131" s="1211" t="s">
        <v>386</v>
      </c>
      <c r="BO131" s="1208">
        <v>195</v>
      </c>
      <c r="BP131" s="1064">
        <f>BO131/BO124-1</f>
        <v>0.22641509433962259</v>
      </c>
    </row>
    <row r="132" spans="1:78" hidden="1" outlineLevel="1">
      <c r="A132" s="1045" t="str">
        <f>$A$41</f>
        <v>2Q</v>
      </c>
      <c r="B132" s="1154" t="str">
        <f>$B$41</f>
        <v>Jul</v>
      </c>
      <c r="D132" s="1068">
        <f>(T132/T125-1)*100</f>
        <v>-5.411954765751215</v>
      </c>
      <c r="F132" s="1806">
        <v>-5</v>
      </c>
      <c r="H132" s="1068">
        <f>D132-F132</f>
        <v>-0.41195476575121504</v>
      </c>
      <c r="J132" s="1192">
        <f>'Store New'!O167</f>
        <v>3143</v>
      </c>
      <c r="L132" s="1175">
        <f>AVERAGE(J132,J131)</f>
        <v>3138.5</v>
      </c>
      <c r="N132" s="1068">
        <f>(L132/L125-1)*100</f>
        <v>2.1480878763222133</v>
      </c>
      <c r="O132" s="1155"/>
      <c r="P132" s="1169">
        <f>H132/N132*100</f>
        <v>-19.177742693494064</v>
      </c>
      <c r="Q132" s="1062"/>
      <c r="S132" s="1176">
        <f>+'qtrP&amp;L'!BV11</f>
        <v>3685</v>
      </c>
      <c r="T132" s="1176">
        <f>'qtrP&amp;L'!BV11-BO132</f>
        <v>3513</v>
      </c>
      <c r="U132" s="1176"/>
      <c r="V132" s="1235"/>
      <c r="W132" s="1176"/>
      <c r="X132" s="1060"/>
      <c r="Y132" s="1177">
        <f>T132/L132</f>
        <v>1.1193245180818863</v>
      </c>
      <c r="AA132" s="1191">
        <f>(Y132/Y125-1)*100</f>
        <v>-7.4010613406947918</v>
      </c>
      <c r="AB132" s="1155"/>
      <c r="AD132" s="1185">
        <f>'Store New'!O172</f>
        <v>39.1</v>
      </c>
      <c r="AE132" s="1060"/>
      <c r="AF132" s="1173">
        <f>AVERAGE(AD132,AD131)</f>
        <v>39</v>
      </c>
      <c r="AH132" s="1068">
        <f>(AF132/AF125-1)*100</f>
        <v>2.6315789473684292</v>
      </c>
      <c r="AI132" s="1155"/>
      <c r="AJ132" s="1169">
        <f>+H132/AH132*100</f>
        <v>-15.654281098546122</v>
      </c>
      <c r="AK132" s="1062"/>
      <c r="AM132" s="1178">
        <f>+T132</f>
        <v>3513</v>
      </c>
      <c r="AO132" s="1178">
        <f>AM132/AF132</f>
        <v>90.07692307692308</v>
      </c>
      <c r="AQ132" s="1191">
        <f>(AO132/AO125-1)*100</f>
        <v>-7.8372892589370853</v>
      </c>
      <c r="AR132" s="1155"/>
      <c r="AT132" s="1176">
        <v>25</v>
      </c>
      <c r="AU132" s="1045">
        <v>7</v>
      </c>
      <c r="AY132" s="1176">
        <f>+T132-AZ132+BO132</f>
        <v>0</v>
      </c>
      <c r="AZ132" s="1199">
        <f>+BB132+BC132+BD132+BE132+BH132</f>
        <v>3685</v>
      </c>
      <c r="BA132" s="1197">
        <f>SUM(BB132:BC132)</f>
        <v>1452</v>
      </c>
      <c r="BB132" s="1176">
        <v>1079</v>
      </c>
      <c r="BC132" s="1176">
        <v>373</v>
      </c>
      <c r="BD132" s="1176">
        <v>623</v>
      </c>
      <c r="BE132" s="1176">
        <v>1603</v>
      </c>
      <c r="BF132" s="1176"/>
      <c r="BH132" s="1210">
        <v>7</v>
      </c>
      <c r="BI132" s="1210"/>
      <c r="BJ132" s="1210"/>
      <c r="BK132" s="1210"/>
      <c r="BL132" s="1210"/>
      <c r="BM132" s="1210"/>
      <c r="BN132" s="1211" t="s">
        <v>386</v>
      </c>
      <c r="BO132" s="1208">
        <v>172</v>
      </c>
      <c r="BP132" s="1064">
        <f>BO132/BO125-1</f>
        <v>0.26470588235294112</v>
      </c>
    </row>
    <row r="133" spans="1:78" hidden="1" outlineLevel="1">
      <c r="A133" s="1045" t="str">
        <f>$A$42</f>
        <v>3Q</v>
      </c>
      <c r="B133" s="1154" t="str">
        <f>$B$42</f>
        <v>Oct</v>
      </c>
      <c r="D133" s="1068">
        <f>(T133/T126-1)*100</f>
        <v>-6.3360166190599809</v>
      </c>
      <c r="F133" s="1806">
        <v>-5</v>
      </c>
      <c r="H133" s="1068">
        <f>D133-F133</f>
        <v>-1.3360166190599809</v>
      </c>
      <c r="J133" s="1192">
        <f>'Store New'!P167</f>
        <v>3191</v>
      </c>
      <c r="K133" s="1060"/>
      <c r="L133" s="1175">
        <f>AVERAGE(J133,J132)</f>
        <v>3167</v>
      </c>
      <c r="N133" s="1068">
        <f>(L133/L126-1)*100</f>
        <v>1.8000642880102946</v>
      </c>
      <c r="O133" s="1155"/>
      <c r="P133" s="1169">
        <f>H133/N133*100</f>
        <v>-74.220494676706807</v>
      </c>
      <c r="Q133" s="1062"/>
      <c r="S133" s="1176">
        <f>+'qtrP&amp;L'!BV12</f>
        <v>3854</v>
      </c>
      <c r="T133" s="1176">
        <f>'qtrP&amp;L'!BV12-BO133</f>
        <v>3607</v>
      </c>
      <c r="U133" s="1176"/>
      <c r="V133" s="1176"/>
      <c r="W133" s="1176"/>
      <c r="Y133" s="1177">
        <f>T133/L133</f>
        <v>1.1389327439216925</v>
      </c>
      <c r="AA133" s="1191">
        <f>(Y133/Y126-1)*100</f>
        <v>-7.9922158831372219</v>
      </c>
      <c r="AB133" s="1155"/>
      <c r="AD133" s="1185">
        <f>'Store New'!P172</f>
        <v>39.700000000000003</v>
      </c>
      <c r="AE133" s="1060"/>
      <c r="AF133" s="1173">
        <f>AVERAGE(AD133,AD132)</f>
        <v>39.400000000000006</v>
      </c>
      <c r="AH133" s="1068">
        <f>(AF133/AF126-1)*100</f>
        <v>2.3376623376623495</v>
      </c>
      <c r="AI133" s="1155"/>
      <c r="AJ133" s="1169">
        <f>+H133/AH133*100</f>
        <v>-57.151822037565559</v>
      </c>
      <c r="AK133" s="1062"/>
      <c r="AM133" s="1178">
        <f>+T133</f>
        <v>3607</v>
      </c>
      <c r="AO133" s="1178">
        <f>AM133/AF133</f>
        <v>91.548223350253792</v>
      </c>
      <c r="AQ133" s="1191">
        <f>(AO133/AO126-1)*100</f>
        <v>-8.475549234360658</v>
      </c>
      <c r="AR133" s="1155"/>
      <c r="AT133" s="1176">
        <v>34</v>
      </c>
      <c r="AU133" s="1045">
        <v>10</v>
      </c>
      <c r="AY133" s="1176">
        <f>+T133-AZ133+BO133</f>
        <v>0</v>
      </c>
      <c r="AZ133" s="1199">
        <f>+BB133+BC133+BD133+BE133+BH133</f>
        <v>3854</v>
      </c>
      <c r="BA133" s="1197">
        <f>SUM(BB133:BC133)</f>
        <v>1603</v>
      </c>
      <c r="BB133" s="1176">
        <v>1224</v>
      </c>
      <c r="BC133" s="1176">
        <v>379</v>
      </c>
      <c r="BD133" s="1176">
        <v>643</v>
      </c>
      <c r="BE133" s="1176">
        <v>1598</v>
      </c>
      <c r="BF133" s="1176"/>
      <c r="BH133" s="1210">
        <v>10</v>
      </c>
      <c r="BI133" s="1210"/>
      <c r="BJ133" s="1210"/>
      <c r="BK133" s="1210"/>
      <c r="BL133" s="1210"/>
      <c r="BM133" s="1210"/>
      <c r="BN133" s="1211" t="s">
        <v>386</v>
      </c>
      <c r="BO133" s="1208">
        <f>83+118+36+10</f>
        <v>247</v>
      </c>
      <c r="BP133" s="1064">
        <f>BO133/BO126-1</f>
        <v>0.35714285714285721</v>
      </c>
    </row>
    <row r="134" spans="1:78" hidden="1" outlineLevel="1">
      <c r="A134" s="1045" t="str">
        <f>$A$43</f>
        <v>4Q</v>
      </c>
      <c r="B134" s="1154" t="str">
        <f>$B$43</f>
        <v>Jan</v>
      </c>
      <c r="D134" s="1179">
        <f>(T134/T127-1)*100</f>
        <v>-10.835535677983332</v>
      </c>
      <c r="F134" s="1426">
        <v>-3</v>
      </c>
      <c r="H134" s="1179">
        <f>D134-F134</f>
        <v>-7.8355356779833318</v>
      </c>
      <c r="J134" s="1192">
        <f>'Store New'!Q167</f>
        <v>3167</v>
      </c>
      <c r="K134" s="1060"/>
      <c r="L134" s="1182">
        <f>AVERAGE(J134,J133)</f>
        <v>3179</v>
      </c>
      <c r="N134" s="1179">
        <f>(L134/L127-1)*100</f>
        <v>1.6629357211384699</v>
      </c>
      <c r="O134" s="1155"/>
      <c r="P134" s="1182">
        <f>H134/N134*100</f>
        <v>-471.18692432795967</v>
      </c>
      <c r="Q134" s="1062"/>
      <c r="S134" s="1183">
        <f>+'qtrP&amp;L'!BV13</f>
        <v>4675</v>
      </c>
      <c r="T134" s="1183">
        <f>'qtrP&amp;L'!BV13-BO134</f>
        <v>4386</v>
      </c>
      <c r="U134" s="1197"/>
      <c r="V134" s="1810"/>
      <c r="W134" s="1197"/>
      <c r="Y134" s="1184">
        <f>T134/L134</f>
        <v>1.3796791443850267</v>
      </c>
      <c r="AA134" s="1180">
        <f>(Y134/Y127-1)*100</f>
        <v>-12.294029589510503</v>
      </c>
      <c r="AB134" s="1155"/>
      <c r="AD134" s="1185">
        <f>'Store New'!Q172</f>
        <v>39.6</v>
      </c>
      <c r="AE134" s="1060"/>
      <c r="AF134" s="1186">
        <f>AVERAGE(AD134,AD133)</f>
        <v>39.650000000000006</v>
      </c>
      <c r="AH134" s="1179">
        <f>(AF134/AF127-1)*100</f>
        <v>2.1907216494845505</v>
      </c>
      <c r="AI134" s="1155"/>
      <c r="AJ134" s="1182">
        <f>+H134/AH134*100</f>
        <v>-357.66915800676622</v>
      </c>
      <c r="AK134" s="1062"/>
      <c r="AM134" s="1187">
        <f>+T134</f>
        <v>4386</v>
      </c>
      <c r="AO134" s="1187">
        <f>AM134/AF134</f>
        <v>110.61790668348044</v>
      </c>
      <c r="AQ134" s="1180">
        <f>(AO134/AO127-1)*100</f>
        <v>-12.747005909350662</v>
      </c>
      <c r="AR134" s="1155"/>
      <c r="AT134" s="1183">
        <f>AT135-SUM(AT131:AT133)</f>
        <v>40</v>
      </c>
      <c r="AU134" s="1065">
        <f>AU135-SUM(AU131:AU133)</f>
        <v>9</v>
      </c>
      <c r="AY134" s="1176">
        <f>+T134-AZ134+BO134</f>
        <v>0</v>
      </c>
      <c r="AZ134" s="1199">
        <f>+BB134+BC134+BD134+BE134+BH134</f>
        <v>4675</v>
      </c>
      <c r="BA134" s="1197">
        <f>SUM(BB134:BC134)</f>
        <v>1939</v>
      </c>
      <c r="BB134" s="1176">
        <v>1429</v>
      </c>
      <c r="BC134" s="1176">
        <v>510</v>
      </c>
      <c r="BD134" s="1176">
        <v>809</v>
      </c>
      <c r="BE134" s="1176">
        <v>1918</v>
      </c>
      <c r="BF134" s="1176"/>
      <c r="BH134" s="1210">
        <v>9</v>
      </c>
      <c r="BI134" s="1210"/>
      <c r="BJ134" s="1210"/>
      <c r="BK134" s="1210"/>
      <c r="BL134" s="1210"/>
      <c r="BM134" s="1210"/>
      <c r="BN134" s="1211" t="s">
        <v>386</v>
      </c>
      <c r="BO134" s="1212">
        <v>289</v>
      </c>
      <c r="BP134" s="1064">
        <f>BO134/BO127-1</f>
        <v>0.14229249011857714</v>
      </c>
    </row>
    <row r="135" spans="1:78" hidden="1" outlineLevel="1">
      <c r="B135" s="1154" t="str">
        <f>$B$44</f>
        <v>Year</v>
      </c>
      <c r="D135" s="1068">
        <f>(T135/T128-1)*100</f>
        <v>-6.6758776612447441</v>
      </c>
      <c r="F135" s="1805">
        <v>-4</v>
      </c>
      <c r="H135" s="1068">
        <f>D135-F135</f>
        <v>-2.6758776612447441</v>
      </c>
      <c r="J135" s="1192"/>
      <c r="L135" s="1175">
        <f>AVERAGE(L131:L134)</f>
        <v>3151.875</v>
      </c>
      <c r="N135" s="1068">
        <f>(L135/L128-1)*100</f>
        <v>1.9446915177488533</v>
      </c>
      <c r="O135" s="1155"/>
      <c r="P135" s="1169">
        <f>H135/N135*100</f>
        <v>-137.59908123332082</v>
      </c>
      <c r="Q135" s="1062"/>
      <c r="S135" s="1170">
        <f>SUM(S131:S134)</f>
        <v>15763</v>
      </c>
      <c r="T135" s="1170">
        <f>SUM(T131:T134)</f>
        <v>14860</v>
      </c>
      <c r="U135" s="1170"/>
      <c r="V135" s="1170"/>
      <c r="W135" s="1170"/>
      <c r="Y135" s="1171">
        <f>SUM(Y131:Y134)</f>
        <v>4.7119037454856283</v>
      </c>
      <c r="AA135" s="1191">
        <f>(Y135/Y128-1)*100</f>
        <v>-8.4154881603112344</v>
      </c>
      <c r="AB135" s="1155"/>
      <c r="AF135" s="1173">
        <f>AVERAGE(AF131:AF134)</f>
        <v>39.212500000000006</v>
      </c>
      <c r="AH135" s="1068">
        <f>(AF135/AF128-1)*100</f>
        <v>2.4493794905290578</v>
      </c>
      <c r="AI135" s="1155"/>
      <c r="AJ135" s="1169">
        <f>+H135/AH135*100</f>
        <v>-109.24716531641911</v>
      </c>
      <c r="AK135" s="1062"/>
      <c r="AM135" s="1174">
        <f>SUM(AM131:AM134)</f>
        <v>14860</v>
      </c>
      <c r="AO135" s="1174">
        <f>SUM(AO131:AO134)</f>
        <v>378.68635207972949</v>
      </c>
      <c r="AQ135" s="1191">
        <f>(AO135/AO128-1)*100</f>
        <v>-8.8644710996023228</v>
      </c>
      <c r="AR135" s="1155"/>
      <c r="AT135" s="1202">
        <v>122</v>
      </c>
      <c r="AU135" s="1045">
        <v>31</v>
      </c>
      <c r="AY135" s="1176">
        <f>'qtrP&amp;L'!BV14-AZ135</f>
        <v>-9</v>
      </c>
      <c r="AZ135" s="1200">
        <f>SUM(AZ131:AZ134)</f>
        <v>15772</v>
      </c>
      <c r="BA135" s="1201">
        <f>SUM(BB135:BC135)</f>
        <v>6433</v>
      </c>
      <c r="BB135" s="1202">
        <v>4818</v>
      </c>
      <c r="BC135" s="1202">
        <v>1615</v>
      </c>
      <c r="BD135" s="1202">
        <v>2634</v>
      </c>
      <c r="BE135" s="1202">
        <v>6665</v>
      </c>
      <c r="BF135" s="1202"/>
      <c r="BH135" s="1175">
        <f>SUM(BH131:BH134)</f>
        <v>40</v>
      </c>
      <c r="BI135" s="1175"/>
      <c r="BJ135" s="1175"/>
      <c r="BK135" s="1175"/>
      <c r="BL135" s="1175"/>
      <c r="BM135" s="1175"/>
      <c r="BO135" s="1213">
        <v>903</v>
      </c>
      <c r="BP135" s="1064">
        <f>BO135/BO128-1</f>
        <v>0.23698630136986298</v>
      </c>
      <c r="BQ135" s="1064">
        <f>+BO135/AZ135</f>
        <v>5.7253360385493279E-2</v>
      </c>
      <c r="BW135" s="1174">
        <v>1135</v>
      </c>
      <c r="BX135" s="1063">
        <f>+BW135/T135</f>
        <v>7.637954239569314E-2</v>
      </c>
      <c r="BY135" s="1174">
        <v>180</v>
      </c>
      <c r="BZ135" s="1063">
        <f>+BY135/BO135</f>
        <v>0.19933554817275748</v>
      </c>
    </row>
    <row r="136" spans="1:78" hidden="1" outlineLevel="1">
      <c r="B136" s="1154"/>
      <c r="D136" s="1068"/>
      <c r="F136" s="1805"/>
      <c r="H136" s="1068"/>
      <c r="J136" s="1192"/>
      <c r="L136" s="1175"/>
      <c r="N136" s="1068"/>
      <c r="O136" s="1155"/>
      <c r="P136" s="1169"/>
      <c r="Q136" s="1062"/>
      <c r="S136" s="1170"/>
      <c r="T136" s="1170"/>
      <c r="U136" s="1170"/>
      <c r="V136" s="1170"/>
      <c r="W136" s="1170"/>
      <c r="Y136" s="1171"/>
      <c r="AA136" s="1191"/>
      <c r="AB136" s="1155"/>
      <c r="AF136" s="1173"/>
      <c r="AH136" s="1068"/>
      <c r="AI136" s="1155"/>
      <c r="AJ136" s="1169"/>
      <c r="AK136" s="1062"/>
      <c r="AM136" s="1174"/>
      <c r="AO136" s="1174"/>
      <c r="AQ136" s="1191"/>
      <c r="AR136" s="1155"/>
      <c r="AT136" s="1209"/>
      <c r="AY136" s="1176"/>
      <c r="AZ136" s="1209">
        <f>SUM(BB136:BE136)</f>
        <v>0.99636558317245105</v>
      </c>
      <c r="BA136" s="1209">
        <f>+BA135/AZ135</f>
        <v>0.40787471468425057</v>
      </c>
      <c r="BB136" s="1209">
        <f>+BB135/AZ135</f>
        <v>0.3054780623890439</v>
      </c>
      <c r="BC136" s="1209">
        <f>+BC135/$AZ$128</f>
        <v>0.10129837546258547</v>
      </c>
      <c r="BD136" s="1209">
        <f>+BD135/AZ135</f>
        <v>0.16700481866599037</v>
      </c>
      <c r="BE136" s="1209">
        <f>+BE135/AZ135</f>
        <v>0.42258432665483137</v>
      </c>
      <c r="BF136" s="1209"/>
      <c r="BW136" s="1174"/>
      <c r="BY136" s="1174"/>
    </row>
    <row r="137" spans="1:78" collapsed="1">
      <c r="A137" s="1166"/>
      <c r="B137" s="1204">
        <f>+B130+1</f>
        <v>2008</v>
      </c>
      <c r="E137" s="1155"/>
      <c r="F137" s="1801"/>
      <c r="G137" s="1155"/>
      <c r="I137" s="1155"/>
      <c r="J137" s="1192"/>
      <c r="O137" s="1155"/>
      <c r="P137" s="1062"/>
      <c r="Q137" s="1062"/>
      <c r="AB137" s="1155"/>
      <c r="AI137" s="1155"/>
      <c r="AJ137" s="1062"/>
      <c r="AK137" s="1062"/>
      <c r="AR137" s="1155"/>
      <c r="AY137" s="1059" t="s">
        <v>348</v>
      </c>
      <c r="BA137" s="1197"/>
      <c r="BW137" s="1174"/>
      <c r="BY137" s="1174"/>
    </row>
    <row r="138" spans="1:78">
      <c r="A138" s="1045" t="str">
        <f>$A$40</f>
        <v>1Q</v>
      </c>
      <c r="B138" s="1154" t="str">
        <f>$B$40</f>
        <v>Apr</v>
      </c>
      <c r="D138" s="1068">
        <f>(T138/T131-1)*100</f>
        <v>-5.843768634466306</v>
      </c>
      <c r="E138" s="1155" t="s">
        <v>489</v>
      </c>
      <c r="F138" s="1805">
        <v>-11</v>
      </c>
      <c r="G138" s="1155" t="s">
        <v>489</v>
      </c>
      <c r="H138" s="1068">
        <f>D138-F138</f>
        <v>5.156231365533694</v>
      </c>
      <c r="I138" s="1155" t="s">
        <v>489</v>
      </c>
      <c r="J138" s="1192">
        <f>'Store New'!R167</f>
        <v>3177</v>
      </c>
      <c r="L138" s="1175">
        <f>AVERAGE(J138,J134)</f>
        <v>3172</v>
      </c>
      <c r="N138" s="1068">
        <f>(L138/L131-1)*100</f>
        <v>1.5690041626641005</v>
      </c>
      <c r="O138" s="1155" t="s">
        <v>489</v>
      </c>
      <c r="P138" s="1169">
        <f>H138/N138*100</f>
        <v>328.6308276441178</v>
      </c>
      <c r="Q138" s="1062" t="s">
        <v>489</v>
      </c>
      <c r="S138" s="1170">
        <f>+'qtrP&amp;L'!BZ10</f>
        <v>3384</v>
      </c>
      <c r="T138" s="1170">
        <f>'qtrP&amp;L'!BZ10-BO138</f>
        <v>3158</v>
      </c>
      <c r="U138" s="1170"/>
      <c r="V138" s="1170"/>
      <c r="W138" s="1170"/>
      <c r="X138" s="1215"/>
      <c r="Y138" s="1171">
        <f>T138/L138</f>
        <v>0.99558638083228246</v>
      </c>
      <c r="AA138" s="1191">
        <f>(Y138/Y131-1)*100</f>
        <v>-7.298262750768691</v>
      </c>
      <c r="AB138" s="1155" t="s">
        <v>489</v>
      </c>
      <c r="AD138" s="1185">
        <f>'Store New'!R172</f>
        <v>39.699999999999996</v>
      </c>
      <c r="AE138" s="1045" t="s">
        <v>31</v>
      </c>
      <c r="AF138" s="1173">
        <f>AVERAGE(AD138,AD134)</f>
        <v>39.65</v>
      </c>
      <c r="AH138" s="1068">
        <f>(AF138/AF131-1)*100</f>
        <v>2.1907216494845505</v>
      </c>
      <c r="AI138" s="1155" t="s">
        <v>489</v>
      </c>
      <c r="AJ138" s="1169">
        <f>+H138/AH138*100</f>
        <v>235.36679645024233</v>
      </c>
      <c r="AK138" s="1062" t="s">
        <v>489</v>
      </c>
      <c r="AM138" s="1174">
        <f>+T138</f>
        <v>3158</v>
      </c>
      <c r="AN138" s="1060"/>
      <c r="AO138" s="1174">
        <f>AM138/AF138</f>
        <v>79.646910466582597</v>
      </c>
      <c r="AQ138" s="1191">
        <f>(AO138/AO131-1)*100</f>
        <v>-7.8622502652533015</v>
      </c>
      <c r="AR138" s="1155" t="s">
        <v>489</v>
      </c>
      <c r="AT138" s="1176">
        <v>42</v>
      </c>
      <c r="AU138" s="1045">
        <v>10</v>
      </c>
      <c r="AY138" s="1176">
        <f>+T138-AZ138+BO138</f>
        <v>10</v>
      </c>
      <c r="AZ138" s="1196">
        <f>+BB138+BC138+BD138+BE138+BO138</f>
        <v>3374</v>
      </c>
      <c r="BA138" s="1197">
        <f>SUM(BB138:BC138)</f>
        <v>1374</v>
      </c>
      <c r="BB138" s="1176">
        <v>976</v>
      </c>
      <c r="BC138" s="1176">
        <v>398</v>
      </c>
      <c r="BD138" s="1176">
        <v>538</v>
      </c>
      <c r="BE138" s="1176">
        <v>1236</v>
      </c>
      <c r="BF138" s="1176"/>
      <c r="BG138" s="1216"/>
      <c r="BH138" s="1210"/>
      <c r="BI138" s="1210"/>
      <c r="BJ138" s="1210"/>
      <c r="BK138" s="1210"/>
      <c r="BL138" s="1210"/>
      <c r="BM138" s="1210"/>
      <c r="BN138" s="1198"/>
      <c r="BO138" s="1195">
        <f>SUM(BR138:BT138)</f>
        <v>226</v>
      </c>
      <c r="BP138" s="1064">
        <f>BO138/BO131-1</f>
        <v>0.15897435897435908</v>
      </c>
      <c r="BR138" s="1045">
        <v>76</v>
      </c>
      <c r="BS138" s="1045">
        <v>33</v>
      </c>
      <c r="BT138" s="1045">
        <v>117</v>
      </c>
      <c r="BW138" s="1217">
        <v>326</v>
      </c>
      <c r="BX138" s="1063">
        <f>+BW138/T138</f>
        <v>0.1032298923369221</v>
      </c>
      <c r="BY138" s="1217">
        <v>57</v>
      </c>
      <c r="BZ138" s="1063">
        <f>+BY138/BO138</f>
        <v>0.25221238938053098</v>
      </c>
    </row>
    <row r="139" spans="1:78">
      <c r="A139" s="1045" t="str">
        <f>$A$41</f>
        <v>2Q</v>
      </c>
      <c r="B139" s="1154" t="str">
        <f>$B$41</f>
        <v>Jul</v>
      </c>
      <c r="D139" s="1068">
        <f>(T139/T132-1)*100</f>
        <v>-5.550811272416734</v>
      </c>
      <c r="F139" s="1805">
        <v>-10</v>
      </c>
      <c r="H139" s="1068">
        <f>D139-F139</f>
        <v>4.449188727583266</v>
      </c>
      <c r="J139" s="1192">
        <f>'Store New'!S167</f>
        <v>3170</v>
      </c>
      <c r="L139" s="1175">
        <f>AVERAGE(J139,J138)</f>
        <v>3173.5</v>
      </c>
      <c r="N139" s="1068">
        <f>(L139/L132-1)*100</f>
        <v>1.1151824119802534</v>
      </c>
      <c r="O139" s="1155"/>
      <c r="P139" s="1169">
        <f>H139/N139*100</f>
        <v>398.96510918628513</v>
      </c>
      <c r="Q139" s="1062"/>
      <c r="S139" s="1176">
        <f>+'qtrP&amp;L'!BZ11</f>
        <v>3499</v>
      </c>
      <c r="T139" s="1176">
        <f>'qtrP&amp;L'!BZ11-BO139</f>
        <v>3318</v>
      </c>
      <c r="U139" s="1176"/>
      <c r="V139" s="1170"/>
      <c r="W139" s="1176"/>
      <c r="X139" s="1215"/>
      <c r="Y139" s="1177">
        <f>T139/L139</f>
        <v>1.0455333228296833</v>
      </c>
      <c r="AA139" s="1191">
        <f>(Y139/Y132-1)*100</f>
        <v>-6.5924755564770621</v>
      </c>
      <c r="AB139" s="1155"/>
      <c r="AD139" s="1185">
        <f>'Store New'!S172</f>
        <v>39.6</v>
      </c>
      <c r="AE139" s="1060"/>
      <c r="AF139" s="1173">
        <f>AVERAGE(AD139,AD138)</f>
        <v>39.65</v>
      </c>
      <c r="AH139" s="1068">
        <f>(AF139/AF132-1)*100</f>
        <v>1.6666666666666607</v>
      </c>
      <c r="AI139" s="1155"/>
      <c r="AJ139" s="1169">
        <f>+H139/AH139*100</f>
        <v>266.95132365499694</v>
      </c>
      <c r="AK139" s="1062"/>
      <c r="AM139" s="1178">
        <f>+T139</f>
        <v>3318</v>
      </c>
      <c r="AO139" s="1178">
        <f>AM139/AF139</f>
        <v>83.682219419924337</v>
      </c>
      <c r="AQ139" s="1191">
        <f>(AO139/AO132-1)*100</f>
        <v>-7.0991586286066273</v>
      </c>
      <c r="AR139" s="1155"/>
      <c r="AT139" s="1176">
        <v>46</v>
      </c>
      <c r="AU139" s="1045">
        <v>10</v>
      </c>
      <c r="AY139" s="1176">
        <f>+T139+BO139-AZ139</f>
        <v>10</v>
      </c>
      <c r="AZ139" s="1196">
        <f>+BB139+BC139+BD139+BE139+BO139</f>
        <v>3489</v>
      </c>
      <c r="BA139" s="1197">
        <f>SUM(BB139:BC139)</f>
        <v>1411</v>
      </c>
      <c r="BB139" s="1176">
        <v>999</v>
      </c>
      <c r="BC139" s="1176">
        <v>412</v>
      </c>
      <c r="BD139" s="1176">
        <v>599</v>
      </c>
      <c r="BE139" s="1176">
        <v>1298</v>
      </c>
      <c r="BF139" s="1176"/>
      <c r="BG139" s="1216"/>
      <c r="BH139" s="1210"/>
      <c r="BI139" s="1210"/>
      <c r="BJ139" s="1210"/>
      <c r="BK139" s="1210"/>
      <c r="BL139" s="1210"/>
      <c r="BM139" s="1210"/>
      <c r="BN139" s="1198"/>
      <c r="BO139" s="1195">
        <f>SUM(BR139:BT139)</f>
        <v>181</v>
      </c>
      <c r="BP139" s="1064">
        <f>BO139/BO132-1</f>
        <v>5.232558139534893E-2</v>
      </c>
      <c r="BQ139" s="1060"/>
      <c r="BR139" s="1045">
        <v>59</v>
      </c>
      <c r="BS139" s="1045">
        <v>30</v>
      </c>
      <c r="BT139" s="1045">
        <v>92</v>
      </c>
      <c r="BW139" s="1207">
        <v>347</v>
      </c>
      <c r="BX139" s="1063">
        <f>+BW139/T139</f>
        <v>0.10458107293550331</v>
      </c>
      <c r="BY139" s="1207">
        <v>26</v>
      </c>
      <c r="BZ139" s="1063">
        <f>+BY139/BO139</f>
        <v>0.143646408839779</v>
      </c>
    </row>
    <row r="140" spans="1:78">
      <c r="A140" s="1045" t="str">
        <f>$A$42</f>
        <v>3Q</v>
      </c>
      <c r="B140" s="1154" t="str">
        <f>$B$42</f>
        <v>Oct</v>
      </c>
      <c r="D140" s="1068">
        <f>(T140/T133-1)*100</f>
        <v>-8.5666759079567552</v>
      </c>
      <c r="F140" s="1805">
        <v>-12</v>
      </c>
      <c r="H140" s="1068">
        <f>D140-F140</f>
        <v>3.4333240920432448</v>
      </c>
      <c r="J140" s="1192">
        <f>'Store New'!T167</f>
        <v>3190</v>
      </c>
      <c r="K140" s="1060"/>
      <c r="L140" s="1175">
        <f>AVERAGE(J140,J139)</f>
        <v>3180</v>
      </c>
      <c r="N140" s="1068">
        <f>(L140/L133-1)*100</f>
        <v>0.41048310704137059</v>
      </c>
      <c r="O140" s="1155"/>
      <c r="P140" s="1169">
        <f>H140/N140*100</f>
        <v>836.41056919236792</v>
      </c>
      <c r="Q140" s="1062"/>
      <c r="S140" s="1176">
        <f>+'qtrP&amp;L'!BZ12</f>
        <v>3561</v>
      </c>
      <c r="T140" s="1176">
        <f>'qtrP&amp;L'!BZ12-BO140</f>
        <v>3298</v>
      </c>
      <c r="U140" s="1176"/>
      <c r="V140" s="1176"/>
      <c r="W140" s="1176"/>
      <c r="X140" s="1215"/>
      <c r="Y140" s="1177">
        <f>T140/L140</f>
        <v>1.0371069182389938</v>
      </c>
      <c r="AA140" s="1191">
        <f>(Y140/Y133-1)*100</f>
        <v>-8.9404599372638458</v>
      </c>
      <c r="AB140" s="1155"/>
      <c r="AD140" s="1185">
        <f>'Store New'!T172</f>
        <v>39.9</v>
      </c>
      <c r="AE140" s="1060"/>
      <c r="AF140" s="1173">
        <f>AVERAGE(AD140,AD139)</f>
        <v>39.75</v>
      </c>
      <c r="AH140" s="1068">
        <f>(AF140/AF133-1)*100</f>
        <v>0.88832487309642438</v>
      </c>
      <c r="AI140" s="1155"/>
      <c r="AJ140" s="1169">
        <f>+H140/AH140*100</f>
        <v>386.49419779002068</v>
      </c>
      <c r="AK140" s="1062"/>
      <c r="AM140" s="1178">
        <f>+T140</f>
        <v>3298</v>
      </c>
      <c r="AO140" s="1178">
        <f>AM140/AF140</f>
        <v>82.968553459119491</v>
      </c>
      <c r="AQ140" s="1191">
        <f>(AO140/AO133-1)*100</f>
        <v>-9.3717492018489441</v>
      </c>
      <c r="AR140" s="1155"/>
      <c r="AT140" s="1176">
        <v>65</v>
      </c>
      <c r="AU140" s="1045">
        <v>21</v>
      </c>
      <c r="AY140" s="1176">
        <f>+T140-AZ140+BO140</f>
        <v>21</v>
      </c>
      <c r="AZ140" s="1196">
        <f>+BB140+BC140+BD140+BE140+BO140</f>
        <v>3540</v>
      </c>
      <c r="BA140" s="1197">
        <f>SUM(BB140:BC140)</f>
        <v>1479</v>
      </c>
      <c r="BB140" s="1176">
        <v>1066</v>
      </c>
      <c r="BC140" s="1176">
        <v>413</v>
      </c>
      <c r="BD140" s="1176">
        <v>566</v>
      </c>
      <c r="BE140" s="1176">
        <v>1232</v>
      </c>
      <c r="BF140" s="1176"/>
      <c r="BG140" s="1216"/>
      <c r="BH140" s="1210"/>
      <c r="BI140" s="1210"/>
      <c r="BJ140" s="1210"/>
      <c r="BK140" s="1210"/>
      <c r="BL140" s="1210"/>
      <c r="BM140" s="1210"/>
      <c r="BN140" s="1198"/>
      <c r="BO140" s="1195">
        <f>SUM(BR140:BT140)</f>
        <v>263</v>
      </c>
      <c r="BP140" s="1064">
        <f>BO140/BO133-1</f>
        <v>6.4777327935222617E-2</v>
      </c>
      <c r="BR140" s="1045">
        <v>95</v>
      </c>
      <c r="BS140" s="1045">
        <v>37</v>
      </c>
      <c r="BT140" s="1045">
        <v>131</v>
      </c>
      <c r="BW140" s="1207">
        <v>331</v>
      </c>
      <c r="BX140" s="1063">
        <f>+BW140/T140</f>
        <v>0.10036385688295937</v>
      </c>
      <c r="BY140" s="1207">
        <v>63</v>
      </c>
      <c r="BZ140" s="1063">
        <f>+BY140/BO140</f>
        <v>0.23954372623574144</v>
      </c>
    </row>
    <row r="141" spans="1:78">
      <c r="A141" s="1045" t="str">
        <f>$A$43</f>
        <v>4Q</v>
      </c>
      <c r="B141" s="1154" t="str">
        <f>$B$43</f>
        <v>Jan</v>
      </c>
      <c r="D141" s="1179">
        <f>(T141/T134-1)*100</f>
        <v>-13.383492932056541</v>
      </c>
      <c r="F141" s="1425">
        <v>-14</v>
      </c>
      <c r="H141" s="1179">
        <f>D141-F141</f>
        <v>0.61650706794345922</v>
      </c>
      <c r="J141" s="1192">
        <f>'Store New'!U167</f>
        <v>3149</v>
      </c>
      <c r="K141" s="1060"/>
      <c r="L141" s="1182">
        <f>AVERAGE(J141,J140)</f>
        <v>3169.5</v>
      </c>
      <c r="N141" s="1179">
        <f>(L141/L134-1)*100</f>
        <v>-0.29883611198490145</v>
      </c>
      <c r="O141" s="1155"/>
      <c r="P141" s="1182">
        <f>H141/N141*100</f>
        <v>-206.30273357813192</v>
      </c>
      <c r="Q141" s="1062"/>
      <c r="S141" s="1183">
        <f>+'qtrP&amp;L'!BZ13</f>
        <v>4082</v>
      </c>
      <c r="T141" s="1183">
        <f>'qtrP&amp;L'!BZ13-BO141</f>
        <v>3799</v>
      </c>
      <c r="U141" s="1197"/>
      <c r="V141" s="1810"/>
      <c r="W141" s="1197"/>
      <c r="X141" s="1215"/>
      <c r="Y141" s="1184">
        <f>T141/L141</f>
        <v>1.1986117684177315</v>
      </c>
      <c r="AA141" s="1180">
        <f>(Y141/Y134-1)*100</f>
        <v>-13.123875699955112</v>
      </c>
      <c r="AB141" s="1155"/>
      <c r="AD141" s="1185">
        <f>'Store New'!U172</f>
        <v>39.500000000000007</v>
      </c>
      <c r="AE141" s="1060"/>
      <c r="AF141" s="1186">
        <f>AVERAGE(AD141,AD140)</f>
        <v>39.700000000000003</v>
      </c>
      <c r="AH141" s="1179">
        <f>(AF141/AF134-1)*100</f>
        <v>0.12610340479193294</v>
      </c>
      <c r="AI141" s="1155"/>
      <c r="AJ141" s="1182">
        <f>+H141/AH141*100</f>
        <v>488.89010487914942</v>
      </c>
      <c r="AK141" s="1062"/>
      <c r="AM141" s="1187">
        <f>+T141</f>
        <v>3799</v>
      </c>
      <c r="AO141" s="1187">
        <f>AM141/AF141</f>
        <v>95.692695214105782</v>
      </c>
      <c r="AQ141" s="1180">
        <f>(AO141/AO134-1)*100</f>
        <v>-13.49258173189023</v>
      </c>
      <c r="AR141" s="1155"/>
      <c r="AT141" s="1183">
        <f>AT142-SUM(AT138:AT140)</f>
        <v>72</v>
      </c>
      <c r="AU141" s="1045">
        <v>36</v>
      </c>
      <c r="AY141" s="1176">
        <f>+T141-AZ141+BO141</f>
        <v>36</v>
      </c>
      <c r="AZ141" s="1196">
        <f>+BB141+BC141+BD141+BE141+BO141</f>
        <v>4046</v>
      </c>
      <c r="BA141" s="1197">
        <f>SUM(BB141:BC141)</f>
        <v>1633</v>
      </c>
      <c r="BB141" s="1176">
        <v>1128</v>
      </c>
      <c r="BC141" s="1176">
        <v>505</v>
      </c>
      <c r="BD141" s="1176">
        <v>664</v>
      </c>
      <c r="BE141" s="1176">
        <v>1466</v>
      </c>
      <c r="BF141" s="1176"/>
      <c r="BG141" s="1216"/>
      <c r="BH141" s="1210"/>
      <c r="BI141" s="1210"/>
      <c r="BJ141" s="1210"/>
      <c r="BK141" s="1210"/>
      <c r="BL141" s="1210"/>
      <c r="BM141" s="1210"/>
      <c r="BN141" s="1198"/>
      <c r="BO141" s="1195">
        <f>SUM(BR141:BT141)</f>
        <v>283</v>
      </c>
      <c r="BP141" s="1064">
        <f>BO141/BO134-1</f>
        <v>-2.0761245674740469E-2</v>
      </c>
      <c r="BR141" s="1045">
        <v>103</v>
      </c>
      <c r="BS141" s="1045">
        <v>45</v>
      </c>
      <c r="BT141" s="1045">
        <v>135</v>
      </c>
      <c r="BW141" s="1178">
        <f>+BW142-BW138-BW139-BW140</f>
        <v>334</v>
      </c>
      <c r="BX141" s="1063">
        <f>+BW141/T141</f>
        <v>8.7917873124506454E-2</v>
      </c>
      <c r="BY141" s="1178">
        <f>+BY142-BY138-BY139-BY140</f>
        <v>64</v>
      </c>
      <c r="BZ141" s="1063">
        <f>+BY141/BO141</f>
        <v>0.22614840989399293</v>
      </c>
    </row>
    <row r="142" spans="1:78">
      <c r="B142" s="1154" t="str">
        <f>$B$44</f>
        <v>Year</v>
      </c>
      <c r="D142" s="1068">
        <f>(T142/T135-1)*100</f>
        <v>-8.6608344549125142</v>
      </c>
      <c r="F142" s="1805">
        <v>-11.838208207470712</v>
      </c>
      <c r="H142" s="1068">
        <f>D142-F142</f>
        <v>3.1773737525581982</v>
      </c>
      <c r="J142" s="1192"/>
      <c r="L142" s="1175">
        <f>AVERAGE(L138:L141)</f>
        <v>3173.75</v>
      </c>
      <c r="N142" s="1068">
        <f>(L142/L135-1)*100</f>
        <v>0.69403133055720989</v>
      </c>
      <c r="O142" s="1155"/>
      <c r="P142" s="1169">
        <f>H142/N142*100</f>
        <v>457.81416669002715</v>
      </c>
      <c r="Q142" s="1062"/>
      <c r="S142" s="1170">
        <f>SUM(S138:S141)</f>
        <v>14526</v>
      </c>
      <c r="T142" s="1170">
        <f>SUM(T138:T141)</f>
        <v>13573</v>
      </c>
      <c r="U142" s="1170"/>
      <c r="V142" s="1170"/>
      <c r="W142" s="1170"/>
      <c r="Y142" s="1171">
        <f>SUM(Y138:Y141)</f>
        <v>4.2768383903186908</v>
      </c>
      <c r="AA142" s="1191">
        <f>(Y142/Y135-1)*100</f>
        <v>-9.2333243348564622</v>
      </c>
      <c r="AB142" s="1155"/>
      <c r="AF142" s="1173">
        <f>AVERAGE(AF138:AF141)</f>
        <v>39.6875</v>
      </c>
      <c r="AH142" s="1068">
        <f>(AF142/AF135-1)*100</f>
        <v>1.2113484220592774</v>
      </c>
      <c r="AI142" s="1155"/>
      <c r="AJ142" s="1169">
        <f>+H142/AH142*100</f>
        <v>262.30056478355766</v>
      </c>
      <c r="AK142" s="1062"/>
      <c r="AM142" s="1174">
        <f>SUM(AM138:AM141)</f>
        <v>13573</v>
      </c>
      <c r="AO142" s="1174">
        <f>SUM(AO138:AO141)</f>
        <v>341.99037855973222</v>
      </c>
      <c r="AQ142" s="1191">
        <f>(AO142/AO135-1)*100</f>
        <v>-9.6903343145229641</v>
      </c>
      <c r="AR142" s="1155"/>
      <c r="AT142" s="1202">
        <v>225</v>
      </c>
      <c r="AU142" s="1045">
        <v>77</v>
      </c>
      <c r="AY142" s="1176">
        <f>'qtrP&amp;L'!BZ14-AZ142</f>
        <v>77</v>
      </c>
      <c r="AZ142" s="1200">
        <f>SUM(AZ138:AZ141)</f>
        <v>14449</v>
      </c>
      <c r="BA142" s="1201">
        <f>SUM(BB142:BC142)</f>
        <v>5897</v>
      </c>
      <c r="BB142" s="1202">
        <v>4169</v>
      </c>
      <c r="BC142" s="1202">
        <v>1728</v>
      </c>
      <c r="BD142" s="1202">
        <v>2367</v>
      </c>
      <c r="BE142" s="1202">
        <v>5232</v>
      </c>
      <c r="BF142" s="1202"/>
      <c r="BH142" s="1175"/>
      <c r="BI142" s="1175"/>
      <c r="BJ142" s="1175"/>
      <c r="BK142" s="1175"/>
      <c r="BL142" s="1175"/>
      <c r="BM142" s="1175">
        <f>(0.19*'qtrP&amp;L'!BZ14)-qtrSales!BO142-75</f>
        <v>1731.94</v>
      </c>
      <c r="BO142" s="1195">
        <f>SUM(BO138:BO141)</f>
        <v>953</v>
      </c>
      <c r="BP142" s="1064">
        <f>BO142/BO135-1</f>
        <v>5.537098560354381E-2</v>
      </c>
      <c r="BQ142" s="1064">
        <f>+BO142/AZ142</f>
        <v>6.5956121530901787E-2</v>
      </c>
      <c r="BR142" s="1045">
        <v>333</v>
      </c>
      <c r="BS142" s="1045">
        <v>145</v>
      </c>
      <c r="BT142" s="1045">
        <v>475</v>
      </c>
      <c r="BW142" s="1178">
        <v>1338</v>
      </c>
      <c r="BX142" s="1063">
        <f>+BW142/T142</f>
        <v>9.857805938259781E-2</v>
      </c>
      <c r="BY142" s="1178">
        <v>210</v>
      </c>
      <c r="BZ142" s="1063">
        <f>+BY142/BO142</f>
        <v>0.22035676810073451</v>
      </c>
    </row>
    <row r="143" spans="1:78">
      <c r="B143" s="1154"/>
      <c r="F143" s="1801"/>
      <c r="J143" s="1192"/>
      <c r="O143" s="1155"/>
      <c r="S143" s="1176"/>
      <c r="T143" s="1176"/>
      <c r="U143" s="1176"/>
      <c r="V143" s="1176"/>
      <c r="W143" s="1176"/>
      <c r="AH143" s="1061"/>
      <c r="AI143" s="1155"/>
      <c r="AT143" s="1209"/>
      <c r="AZ143" s="1209">
        <f>SUM(BB143:BE143)</f>
        <v>0.92283695261920595</v>
      </c>
      <c r="BA143" s="1209">
        <f>+BA142/AZ142</f>
        <v>0.40812512976676585</v>
      </c>
      <c r="BB143" s="1209">
        <f>+BB142/AZ142</f>
        <v>0.2885320783445221</v>
      </c>
      <c r="BC143" s="1209">
        <f>+BC142/$AZ$128</f>
        <v>0.1083861255723515</v>
      </c>
      <c r="BD143" s="1209">
        <f>+BD142/AZ142</f>
        <v>0.16381756522942764</v>
      </c>
      <c r="BE143" s="1209">
        <f>+BE142/AZ142</f>
        <v>0.36210118347290471</v>
      </c>
      <c r="BF143" s="1209"/>
      <c r="BW143" s="1174"/>
      <c r="BY143" s="1174"/>
    </row>
    <row r="144" spans="1:78">
      <c r="A144" s="1166"/>
      <c r="B144" s="1204">
        <f>+B137+1</f>
        <v>2009</v>
      </c>
      <c r="E144" s="1155"/>
      <c r="F144" s="1801"/>
      <c r="G144" s="1155"/>
      <c r="I144" s="1155"/>
      <c r="J144" s="1192"/>
      <c r="O144" s="1155"/>
      <c r="P144" s="1062"/>
      <c r="Q144" s="1062"/>
      <c r="AB144" s="1155"/>
      <c r="AI144" s="1155"/>
      <c r="AJ144" s="1062"/>
      <c r="AK144" s="1062"/>
      <c r="AR144" s="1155"/>
      <c r="AY144" s="1059" t="s">
        <v>348</v>
      </c>
      <c r="BA144" s="1197"/>
      <c r="BO144" s="1063"/>
      <c r="BW144" s="1174"/>
      <c r="BY144" s="1174"/>
    </row>
    <row r="145" spans="1:80">
      <c r="A145" s="1045" t="str">
        <f>$A$40</f>
        <v>1Q</v>
      </c>
      <c r="B145" s="1154" t="str">
        <f>$B$40</f>
        <v>Apr</v>
      </c>
      <c r="D145" s="1068">
        <f>(T145/T138-1)*100</f>
        <v>-8.0430652311589625</v>
      </c>
      <c r="E145" s="1155" t="s">
        <v>489</v>
      </c>
      <c r="F145" s="1805">
        <v>-8</v>
      </c>
      <c r="G145" s="1155" t="s">
        <v>489</v>
      </c>
      <c r="H145" s="1068">
        <f>D145-F145</f>
        <v>-4.3065231158962547E-2</v>
      </c>
      <c r="I145" s="1155" t="s">
        <v>489</v>
      </c>
      <c r="J145" s="1192">
        <f>'Store New'!V167</f>
        <v>3149</v>
      </c>
      <c r="L145" s="1175">
        <f>AVERAGE(J145,J141)</f>
        <v>3149</v>
      </c>
      <c r="M145" s="1175">
        <f>L145-L141</f>
        <v>-20.5</v>
      </c>
      <c r="N145" s="1068">
        <f>(L145/L138-1)*100</f>
        <v>-0.72509457755359774</v>
      </c>
      <c r="O145" s="1155" t="s">
        <v>489</v>
      </c>
      <c r="P145" s="1214">
        <f>(H145/N145)*100</f>
        <v>5.9392570972273253</v>
      </c>
      <c r="Q145" s="1062" t="s">
        <v>489</v>
      </c>
      <c r="S145" s="1170">
        <f>+'qtrP&amp;L'!CD10</f>
        <v>3127</v>
      </c>
      <c r="T145" s="1170">
        <f>'qtrP&amp;L'!CD10-BO145</f>
        <v>2904</v>
      </c>
      <c r="U145" s="1170"/>
      <c r="V145" s="1170"/>
      <c r="W145" s="1170"/>
      <c r="X145" s="1215"/>
      <c r="Y145" s="1171">
        <f>T145/L145</f>
        <v>0.92219752302318192</v>
      </c>
      <c r="AA145" s="1191">
        <f>(Y145/Y138-1)*100</f>
        <v>-7.3714204233840004</v>
      </c>
      <c r="AB145" s="1155" t="s">
        <v>489</v>
      </c>
      <c r="AD145" s="1185">
        <f>'Store New'!V172</f>
        <v>39.4</v>
      </c>
      <c r="AE145" s="1045" t="s">
        <v>31</v>
      </c>
      <c r="AF145" s="1173">
        <f>AVERAGE(AD145,AD141)</f>
        <v>39.450000000000003</v>
      </c>
      <c r="AH145" s="1068">
        <f>(AF145/AF138-1)*100</f>
        <v>-0.50441361916770955</v>
      </c>
      <c r="AI145" s="1155" t="s">
        <v>489</v>
      </c>
      <c r="AJ145" s="1169">
        <f>+H145/AH145*100</f>
        <v>8.5376820772644599</v>
      </c>
      <c r="AK145" s="1062" t="s">
        <v>489</v>
      </c>
      <c r="AM145" s="1174">
        <f>+T145</f>
        <v>2904</v>
      </c>
      <c r="AN145" s="1060"/>
      <c r="AO145" s="1174">
        <f>AM145/AF145</f>
        <v>73.612167300380221</v>
      </c>
      <c r="AQ145" s="1191">
        <f>(AO145/AO138-1)*100</f>
        <v>-7.5768703780849993</v>
      </c>
      <c r="AR145" s="1155" t="s">
        <v>489</v>
      </c>
      <c r="AS145" s="1170"/>
      <c r="AT145" s="1176">
        <v>79</v>
      </c>
      <c r="AU145" s="1045">
        <v>44</v>
      </c>
      <c r="AV145" s="1170"/>
      <c r="AW145" s="1170"/>
      <c r="AX145" s="1170"/>
      <c r="AY145" s="1176">
        <f>+T145+BO145-AZ145</f>
        <v>44</v>
      </c>
      <c r="AZ145" s="1196">
        <f>+BB145+BC145+BD145+BE145+BO145</f>
        <v>3083</v>
      </c>
      <c r="BA145" s="1197">
        <f>SUM(BB145:BC145)</f>
        <v>1203</v>
      </c>
      <c r="BB145" s="1176">
        <v>834</v>
      </c>
      <c r="BC145" s="1176">
        <v>369</v>
      </c>
      <c r="BD145" s="1176">
        <v>475</v>
      </c>
      <c r="BE145" s="1176">
        <v>1182</v>
      </c>
      <c r="BF145" s="1176"/>
      <c r="BG145" s="1216">
        <f>AU145/AU138-1</f>
        <v>3.4000000000000004</v>
      </c>
      <c r="BH145" s="1210"/>
      <c r="BI145" s="1210"/>
      <c r="BJ145" s="1210"/>
      <c r="BK145" s="1210"/>
      <c r="BL145" s="1210"/>
      <c r="BM145" s="1210"/>
      <c r="BN145" s="1198"/>
      <c r="BO145" s="1195">
        <f>SUM(BR145:BT145)</f>
        <v>223</v>
      </c>
      <c r="BP145" s="1064">
        <f>BO145/BO138-1</f>
        <v>-1.3274336283185861E-2</v>
      </c>
      <c r="BR145" s="1045">
        <v>76</v>
      </c>
      <c r="BS145" s="1045">
        <v>31</v>
      </c>
      <c r="BT145" s="1045">
        <v>116</v>
      </c>
      <c r="BV145" s="1219"/>
      <c r="BW145" s="1217">
        <v>296</v>
      </c>
      <c r="BX145" s="1063">
        <f>+BW145/T145</f>
        <v>0.10192837465564739</v>
      </c>
      <c r="BY145" s="1217">
        <f>97-40</f>
        <v>57</v>
      </c>
      <c r="BZ145" s="1063">
        <f>+BY145/BO145</f>
        <v>0.2556053811659193</v>
      </c>
    </row>
    <row r="146" spans="1:80">
      <c r="A146" s="1045" t="str">
        <f>$A$41</f>
        <v>2Q</v>
      </c>
      <c r="B146" s="1154" t="str">
        <f>$B$41</f>
        <v>Jul</v>
      </c>
      <c r="D146" s="1068">
        <f>(T146/T139-1)*100</f>
        <v>-7.5949367088607556</v>
      </c>
      <c r="F146" s="1805">
        <v>-8</v>
      </c>
      <c r="G146" s="1060"/>
      <c r="H146" s="1068">
        <f>D146-F146</f>
        <v>0.40506329113924444</v>
      </c>
      <c r="J146" s="1192">
        <f>'Store New'!W167</f>
        <v>3145</v>
      </c>
      <c r="L146" s="1175">
        <f>AVERAGE(J146,J145)</f>
        <v>3147</v>
      </c>
      <c r="M146" s="1175">
        <f>L146-L145</f>
        <v>-2</v>
      </c>
      <c r="N146" s="1068">
        <f>(L146/L139-1)*100</f>
        <v>-0.83504017646132134</v>
      </c>
      <c r="O146" s="1155"/>
      <c r="P146" s="1214">
        <f>(H146/N146)*100</f>
        <v>-48.508239789826064</v>
      </c>
      <c r="Q146" s="1062"/>
      <c r="S146" s="1176">
        <f>+'qtrP&amp;L'!CD11</f>
        <v>3245</v>
      </c>
      <c r="T146" s="1176">
        <f>'qtrP&amp;L'!CD11-BO146</f>
        <v>3066</v>
      </c>
      <c r="U146" s="1176"/>
      <c r="V146" s="1176"/>
      <c r="W146" s="1176"/>
      <c r="X146" s="1215"/>
      <c r="Y146" s="1177">
        <f>T146/L146</f>
        <v>0.97426120114394665</v>
      </c>
      <c r="AA146" s="1191">
        <f>(Y146/Y139-1)*100</f>
        <v>-6.8168197157831507</v>
      </c>
      <c r="AB146" s="1155"/>
      <c r="AD146" s="1185">
        <f>'Store New'!W172</f>
        <v>39.4</v>
      </c>
      <c r="AE146" s="1060"/>
      <c r="AF146" s="1173">
        <f>AVERAGE(AD146,AD145)</f>
        <v>39.4</v>
      </c>
      <c r="AH146" s="1068">
        <f>(AF146/AF139-1)*100</f>
        <v>-0.63051702395964249</v>
      </c>
      <c r="AI146" s="1155"/>
      <c r="AJ146" s="1169">
        <f>+H146/AH146*100</f>
        <v>-64.243037974684611</v>
      </c>
      <c r="AK146" s="1062"/>
      <c r="AM146" s="1178">
        <f>+T146</f>
        <v>3066</v>
      </c>
      <c r="AO146" s="1178">
        <f>AM146/AF146</f>
        <v>77.817258883248741</v>
      </c>
      <c r="AQ146" s="1191">
        <f>(AO146/AO139-1)*100</f>
        <v>-7.0086101651352433</v>
      </c>
      <c r="AR146" s="1155"/>
      <c r="AS146" s="1170"/>
      <c r="AT146" s="1176">
        <v>74</v>
      </c>
      <c r="AU146" s="1045">
        <v>45</v>
      </c>
      <c r="AV146" s="1170"/>
      <c r="AW146" s="1170"/>
      <c r="AX146" s="1170"/>
      <c r="AY146" s="1176">
        <f>+T146+BO146-AZ146</f>
        <v>45</v>
      </c>
      <c r="AZ146" s="1196">
        <f>+BB146+BC146+BD146+BE146+BO146</f>
        <v>3200</v>
      </c>
      <c r="BA146" s="1197">
        <f>SUM(BB146:BC146)</f>
        <v>1268</v>
      </c>
      <c r="BB146" s="1176">
        <v>878</v>
      </c>
      <c r="BC146" s="1176">
        <v>390</v>
      </c>
      <c r="BD146" s="1176">
        <v>516</v>
      </c>
      <c r="BE146" s="1176">
        <v>1237</v>
      </c>
      <c r="BF146" s="1176"/>
      <c r="BG146" s="1216">
        <f>AU146/AU139-1</f>
        <v>3.5</v>
      </c>
      <c r="BH146" s="1210"/>
      <c r="BI146" s="1210"/>
      <c r="BJ146" s="1210"/>
      <c r="BK146" s="1210"/>
      <c r="BL146" s="1210"/>
      <c r="BM146" s="1210"/>
      <c r="BN146" s="1198"/>
      <c r="BO146" s="1195">
        <f>SUM(BR146:BT146)</f>
        <v>179</v>
      </c>
      <c r="BP146" s="1064">
        <f>BO146/BO139-1</f>
        <v>-1.1049723756906049E-2</v>
      </c>
      <c r="BQ146" s="1060"/>
      <c r="BR146" s="1045">
        <v>57</v>
      </c>
      <c r="BS146" s="1045">
        <v>26</v>
      </c>
      <c r="BT146" s="1045">
        <v>96</v>
      </c>
      <c r="BV146" s="1219"/>
      <c r="BW146" s="1207">
        <v>335</v>
      </c>
      <c r="BX146" s="1063">
        <f>+BW146/T146</f>
        <v>0.10926288323548597</v>
      </c>
      <c r="BY146" s="1207">
        <v>40</v>
      </c>
      <c r="BZ146" s="1063">
        <f>+BY146/BO146</f>
        <v>0.22346368715083798</v>
      </c>
    </row>
    <row r="147" spans="1:80">
      <c r="A147" s="1045" t="str">
        <f>$A$42</f>
        <v>3Q</v>
      </c>
      <c r="B147" s="1154" t="str">
        <f>$B$42</f>
        <v>Oct</v>
      </c>
      <c r="D147" s="1068">
        <f>(T147/T140-1)*100</f>
        <v>1.1218920557913847</v>
      </c>
      <c r="F147" s="1805">
        <v>0</v>
      </c>
      <c r="G147" s="1060"/>
      <c r="H147" s="1068">
        <f>D147-F147</f>
        <v>1.1218920557913847</v>
      </c>
      <c r="J147" s="1192">
        <f>'Store New'!X167</f>
        <v>3143</v>
      </c>
      <c r="K147" s="1060"/>
      <c r="L147" s="1175">
        <f>AVERAGE(J147,J146)</f>
        <v>3144</v>
      </c>
      <c r="M147" s="1175">
        <f>L147-L146</f>
        <v>-3</v>
      </c>
      <c r="N147" s="1068">
        <f>(L147/L140-1)*100</f>
        <v>-1.132075471698113</v>
      </c>
      <c r="O147" s="1155"/>
      <c r="P147" s="1214">
        <f>(H147/N147)*100</f>
        <v>-99.100464928239006</v>
      </c>
      <c r="Q147" s="1062"/>
      <c r="S147" s="1176">
        <f>+'qtrP&amp;L'!CD12</f>
        <v>3589</v>
      </c>
      <c r="T147" s="1176">
        <f>'qtrP&amp;L'!CD12-BO147</f>
        <v>3335</v>
      </c>
      <c r="U147" s="1176"/>
      <c r="V147" s="1176"/>
      <c r="W147" s="1176"/>
      <c r="X147" s="1215"/>
      <c r="Y147" s="1177">
        <f>T147/L147</f>
        <v>1.0607506361323156</v>
      </c>
      <c r="AA147" s="1191">
        <f>(Y147/Y140-1)*100</f>
        <v>2.279776315972204</v>
      </c>
      <c r="AB147" s="1155"/>
      <c r="AD147" s="1185">
        <f>'Store New'!X172</f>
        <v>39.4</v>
      </c>
      <c r="AE147" s="1060"/>
      <c r="AF147" s="1173">
        <f>AVERAGE(AD147,AD146)</f>
        <v>39.4</v>
      </c>
      <c r="AH147" s="1068">
        <f>(AF147/AF140-1)*100</f>
        <v>-0.88050314465408785</v>
      </c>
      <c r="AI147" s="1155"/>
      <c r="AJ147" s="1169">
        <f>+H147/AH147*100</f>
        <v>-127.41488347916443</v>
      </c>
      <c r="AK147" s="1062"/>
      <c r="AM147" s="1178">
        <f>+T147</f>
        <v>3335</v>
      </c>
      <c r="AO147" s="1178">
        <f>AM147/AF147</f>
        <v>84.64467005076142</v>
      </c>
      <c r="AQ147" s="1191">
        <f>(AO147/AO140-1)*100</f>
        <v>2.0201829750687184</v>
      </c>
      <c r="AR147" s="1155"/>
      <c r="AS147" s="1170"/>
      <c r="AT147" s="1176">
        <v>82</v>
      </c>
      <c r="AU147" s="1045">
        <v>44</v>
      </c>
      <c r="AV147" s="1170"/>
      <c r="AW147" s="1170"/>
      <c r="AX147" s="1170"/>
      <c r="AY147" s="1176">
        <f>+T147+BO147-AZ147</f>
        <v>44</v>
      </c>
      <c r="AZ147" s="1196">
        <f>+BB147+BC147+BD147+BE147+BO147</f>
        <v>3545</v>
      </c>
      <c r="BA147" s="1197">
        <f>SUM(BB147:BC147)</f>
        <v>1403</v>
      </c>
      <c r="BB147" s="1176">
        <v>987</v>
      </c>
      <c r="BC147" s="1176">
        <v>416</v>
      </c>
      <c r="BD147" s="1176">
        <v>541</v>
      </c>
      <c r="BE147" s="1176">
        <v>1347</v>
      </c>
      <c r="BF147" s="1176"/>
      <c r="BG147" s="1216">
        <f>AU147/AU140-1</f>
        <v>1.0952380952380953</v>
      </c>
      <c r="BH147" s="1210"/>
      <c r="BI147" s="1210"/>
      <c r="BJ147" s="1210"/>
      <c r="BK147" s="1210"/>
      <c r="BL147" s="1210"/>
      <c r="BM147" s="1210"/>
      <c r="BN147" s="1198"/>
      <c r="BO147" s="1195">
        <f>SUM(BR147:BT147)</f>
        <v>254</v>
      </c>
      <c r="BP147" s="1064">
        <f>BO147/BO140-1</f>
        <v>-3.4220532319391594E-2</v>
      </c>
      <c r="BR147" s="1045">
        <v>93</v>
      </c>
      <c r="BS147" s="1045">
        <v>33</v>
      </c>
      <c r="BT147" s="1045">
        <v>128</v>
      </c>
      <c r="BV147" s="1219"/>
      <c r="BW147" s="1207">
        <v>425</v>
      </c>
      <c r="BX147" s="1063">
        <f>+BW147/T147</f>
        <v>0.12743628185907047</v>
      </c>
      <c r="BY147" s="1207">
        <v>75</v>
      </c>
      <c r="BZ147" s="1063">
        <f>+BY147/BO147</f>
        <v>0.29527559055118108</v>
      </c>
    </row>
    <row r="148" spans="1:80">
      <c r="A148" s="1045" t="str">
        <f>$A$43</f>
        <v>4Q</v>
      </c>
      <c r="B148" s="1154" t="str">
        <f>$B$43</f>
        <v>Jan</v>
      </c>
      <c r="D148" s="1179">
        <f>(T148/T141-1)*100</f>
        <v>4.264280073703608</v>
      </c>
      <c r="F148" s="1425">
        <v>2</v>
      </c>
      <c r="G148" s="1060"/>
      <c r="H148" s="1179">
        <f>D148-F148</f>
        <v>2.264280073703608</v>
      </c>
      <c r="J148" s="1192">
        <f>'Store New'!Y167</f>
        <v>3095</v>
      </c>
      <c r="K148" s="1060"/>
      <c r="L148" s="1182">
        <f>AVERAGE(J148,J147)</f>
        <v>3119</v>
      </c>
      <c r="M148" s="1175">
        <f>L148-L147</f>
        <v>-25</v>
      </c>
      <c r="N148" s="1179">
        <f>(L148/L141-1)*100</f>
        <v>-1.5933112478308864</v>
      </c>
      <c r="O148" s="1155"/>
      <c r="P148" s="1218">
        <f>(H148/N148)*100</f>
        <v>-142.11159789314044</v>
      </c>
      <c r="Q148" s="1062"/>
      <c r="S148" s="1183">
        <f>+'qtrP&amp;L'!CD13</f>
        <v>4236</v>
      </c>
      <c r="T148" s="1183">
        <f>'qtrP&amp;L'!CD13-BO148</f>
        <v>3961</v>
      </c>
      <c r="U148" s="1197"/>
      <c r="V148" s="1810"/>
      <c r="W148" s="1197"/>
      <c r="X148" s="1215"/>
      <c r="Y148" s="1184">
        <f>T148/L148</f>
        <v>1.2699583199743507</v>
      </c>
      <c r="AA148" s="1180">
        <f>(Y148/Y141-1)*100</f>
        <v>5.9524320915689488</v>
      </c>
      <c r="AB148" s="1155"/>
      <c r="AD148" s="1185">
        <f>'Store New'!Y172</f>
        <v>38.800000000000004</v>
      </c>
      <c r="AE148" s="1060"/>
      <c r="AF148" s="1186">
        <f>AVERAGE(AD148,AD147)</f>
        <v>39.1</v>
      </c>
      <c r="AH148" s="1179">
        <f>(AF148/AF141-1)*100</f>
        <v>-1.5113350125944613</v>
      </c>
      <c r="AI148" s="1155"/>
      <c r="AJ148" s="1182">
        <f>+H148/AH148*100</f>
        <v>-149.81986487672177</v>
      </c>
      <c r="AK148" s="1062"/>
      <c r="AM148" s="1187">
        <f>+T148</f>
        <v>3961</v>
      </c>
      <c r="AO148" s="1187">
        <f>AM148/AF148</f>
        <v>101.30434782608695</v>
      </c>
      <c r="AQ148" s="1180">
        <f>(AO148/AO141-1)*100</f>
        <v>5.8642434507937047</v>
      </c>
      <c r="AR148" s="1155"/>
      <c r="AS148" s="1170"/>
      <c r="AT148" s="1183">
        <f>AT149-SUM(AT145:AT147)</f>
        <v>93</v>
      </c>
      <c r="AU148" s="1065">
        <v>54</v>
      </c>
      <c r="AV148" s="1170"/>
      <c r="AW148" s="1170"/>
      <c r="AX148" s="1170"/>
      <c r="AY148" s="1176">
        <f>+T148+BO148-AZ148</f>
        <v>54</v>
      </c>
      <c r="AZ148" s="1196">
        <f>+BB148+BC148+BD148+BE148+BO148</f>
        <v>4182</v>
      </c>
      <c r="BA148" s="1197">
        <f>SUM(BB148:BC148)</f>
        <v>1674</v>
      </c>
      <c r="BB148" s="1176">
        <v>1121</v>
      </c>
      <c r="BC148" s="1176">
        <v>553</v>
      </c>
      <c r="BD148" s="1176">
        <v>664</v>
      </c>
      <c r="BE148" s="1176">
        <v>1569</v>
      </c>
      <c r="BF148" s="1176"/>
      <c r="BG148" s="1216">
        <f>AU148/AU141-1</f>
        <v>0.5</v>
      </c>
      <c r="BH148" s="1210"/>
      <c r="BI148" s="1210"/>
      <c r="BJ148" s="1210"/>
      <c r="BK148" s="1210"/>
      <c r="BL148" s="1210"/>
      <c r="BM148" s="1210"/>
      <c r="BN148" s="1198"/>
      <c r="BO148" s="1195">
        <f>SUM(BR148:BT148)</f>
        <v>275</v>
      </c>
      <c r="BP148" s="1064">
        <f>BO148/BO141-1</f>
        <v>-2.8268551236749095E-2</v>
      </c>
      <c r="BR148" s="1175">
        <v>98</v>
      </c>
      <c r="BS148" s="1175">
        <v>44</v>
      </c>
      <c r="BT148" s="1175">
        <v>133</v>
      </c>
      <c r="BV148" s="1219"/>
      <c r="BW148" s="1178">
        <f>+BW149-BW145-BW146-BW147</f>
        <v>507</v>
      </c>
      <c r="BX148" s="1063">
        <f>+BW148/T148</f>
        <v>0.12799798030800302</v>
      </c>
      <c r="BY148" s="1178">
        <f>+BY149-BY145-BY146-BY147</f>
        <v>80</v>
      </c>
      <c r="BZ148" s="1063">
        <f>+BY148/BO148</f>
        <v>0.29090909090909089</v>
      </c>
    </row>
    <row r="149" spans="1:80">
      <c r="B149" s="1154" t="str">
        <f>$B$44</f>
        <v>Year</v>
      </c>
      <c r="D149" s="1068">
        <f>(T149/T142-1)*100</f>
        <v>-2.2618433655050452</v>
      </c>
      <c r="F149" s="1805">
        <v>-3.0030152268958239</v>
      </c>
      <c r="H149" s="1068">
        <f>D149-F149</f>
        <v>0.74117186139077873</v>
      </c>
      <c r="J149" s="1192"/>
      <c r="L149" s="1175">
        <f>AVERAGE(L145:L148)</f>
        <v>3139.75</v>
      </c>
      <c r="N149" s="1068">
        <f>(L149/L142-1)*100</f>
        <v>-1.0712879086254401</v>
      </c>
      <c r="O149" s="1155"/>
      <c r="P149" s="1169">
        <f>H149/N149*100</f>
        <v>-69.185123384970311</v>
      </c>
      <c r="Q149" s="1062"/>
      <c r="S149" s="1170">
        <f>SUM(S145:S148)</f>
        <v>14197</v>
      </c>
      <c r="T149" s="1170">
        <f>SUM(T145:T148)</f>
        <v>13266</v>
      </c>
      <c r="U149" s="1170"/>
      <c r="V149" s="1170"/>
      <c r="W149" s="1170"/>
      <c r="Y149" s="1171">
        <f>SUM(Y145:Y148)</f>
        <v>4.2271676802737952</v>
      </c>
      <c r="AA149" s="1191">
        <f>(Y149/Y142-1)*100</f>
        <v>-1.1613885190830064</v>
      </c>
      <c r="AB149" s="1155"/>
      <c r="AF149" s="1173">
        <f>AVERAGE(AF145:AF148)</f>
        <v>39.337499999999999</v>
      </c>
      <c r="AH149" s="1068">
        <f>(AF149/AF142-1)*100</f>
        <v>-0.88188976377953088</v>
      </c>
      <c r="AI149" s="1155"/>
      <c r="AJ149" s="1169">
        <f>+H149/AH149*100</f>
        <v>-84.043594996989768</v>
      </c>
      <c r="AK149" s="1062"/>
      <c r="AM149" s="1174">
        <f>SUM(AM145:AM148)</f>
        <v>13266</v>
      </c>
      <c r="AO149" s="1174">
        <f>SUM(AO145:AO148)</f>
        <v>337.37844406047731</v>
      </c>
      <c r="AQ149" s="1191">
        <f>(AO149/AO142-1)*100</f>
        <v>-1.3485567981993407</v>
      </c>
      <c r="AR149" s="1155"/>
      <c r="AT149" s="1176">
        <v>328</v>
      </c>
      <c r="AU149" s="1045">
        <v>187</v>
      </c>
      <c r="AY149" s="1176">
        <f>+T149+BO149-AZ149</f>
        <v>187</v>
      </c>
      <c r="AZ149" s="1200">
        <f>SUM(AZ145:AZ148)</f>
        <v>14010</v>
      </c>
      <c r="BA149" s="1197">
        <f>SUM(BB149:BC149)</f>
        <v>5548</v>
      </c>
      <c r="BB149" s="1176">
        <v>3820</v>
      </c>
      <c r="BC149" s="1176">
        <v>1728</v>
      </c>
      <c r="BD149" s="1176">
        <v>2196</v>
      </c>
      <c r="BE149" s="1176">
        <v>5335</v>
      </c>
      <c r="BF149" s="1176"/>
      <c r="BH149" s="1175"/>
      <c r="BI149" s="1175"/>
      <c r="BJ149" s="1175"/>
      <c r="BK149" s="1175"/>
      <c r="BL149" s="1175"/>
      <c r="BM149" s="1175"/>
      <c r="BO149" s="1195">
        <f>SUM(BO145:BO148)</f>
        <v>931</v>
      </c>
      <c r="BP149" s="1064">
        <f>BO149/BO142-1</f>
        <v>-2.3084994753410304E-2</v>
      </c>
      <c r="BQ149" s="1064">
        <f>+BO149/AZ149</f>
        <v>6.645253390435403E-2</v>
      </c>
      <c r="BR149" s="1175">
        <v>324</v>
      </c>
      <c r="BS149" s="1175">
        <v>134</v>
      </c>
      <c r="BT149" s="1175">
        <v>473</v>
      </c>
      <c r="BV149" s="1219"/>
      <c r="BW149" s="1178">
        <v>1563</v>
      </c>
      <c r="BX149" s="1063">
        <f>+BW149/T149</f>
        <v>0.11781999095431932</v>
      </c>
      <c r="BY149" s="1178">
        <v>252</v>
      </c>
      <c r="BZ149" s="1063">
        <f>+BY149/BO149</f>
        <v>0.27067669172932329</v>
      </c>
    </row>
    <row r="150" spans="1:80">
      <c r="B150" s="1154"/>
      <c r="D150" s="1068"/>
      <c r="F150" s="1805"/>
      <c r="H150" s="1068"/>
      <c r="J150" s="1192"/>
      <c r="L150" s="1175"/>
      <c r="N150" s="1068"/>
      <c r="O150" s="1155"/>
      <c r="P150" s="1169"/>
      <c r="Q150" s="1062"/>
      <c r="S150" s="1170"/>
      <c r="T150" s="1170"/>
      <c r="U150" s="1170"/>
      <c r="V150" s="1170"/>
      <c r="W150" s="1170"/>
      <c r="Y150" s="1171"/>
      <c r="AA150" s="1191"/>
      <c r="AB150" s="1155"/>
      <c r="AF150" s="1173"/>
      <c r="AH150" s="1068"/>
      <c r="AI150" s="1155"/>
      <c r="AJ150" s="1169"/>
      <c r="AK150" s="1062"/>
      <c r="AM150" s="1174"/>
      <c r="AO150" s="1174"/>
      <c r="AQ150" s="1191"/>
      <c r="AR150" s="1155"/>
      <c r="AT150" s="1202"/>
      <c r="AY150" s="1176"/>
      <c r="AZ150" s="1201"/>
      <c r="BA150" s="1197"/>
      <c r="BB150" s="1202"/>
      <c r="BC150" s="1202"/>
      <c r="BD150" s="1202"/>
      <c r="BE150" s="1202"/>
      <c r="BF150" s="1202"/>
      <c r="BH150" s="1175"/>
      <c r="BI150" s="1175"/>
      <c r="BJ150" s="1175"/>
      <c r="BK150" s="1175"/>
      <c r="BL150" s="1175"/>
      <c r="BM150" s="1175"/>
      <c r="BO150" s="1195"/>
    </row>
    <row r="151" spans="1:80">
      <c r="A151" s="1166"/>
      <c r="B151" s="1204">
        <f>+B144+1</f>
        <v>2010</v>
      </c>
      <c r="D151" s="1068"/>
      <c r="F151" s="1805"/>
      <c r="H151" s="1068"/>
      <c r="J151" s="1192"/>
      <c r="L151" s="1175"/>
      <c r="N151" s="1068"/>
      <c r="O151" s="1155"/>
      <c r="P151" s="1169"/>
      <c r="Q151" s="1062"/>
      <c r="S151" s="1170"/>
      <c r="T151" s="1170"/>
      <c r="U151" s="1170"/>
      <c r="V151" s="1170"/>
      <c r="W151" s="1170"/>
      <c r="Y151" s="1171"/>
      <c r="AA151" s="1191"/>
      <c r="AB151" s="1155"/>
      <c r="AF151" s="1173"/>
      <c r="AH151" s="1068"/>
      <c r="AI151" s="1155"/>
      <c r="AJ151" s="1169"/>
      <c r="AK151" s="1062"/>
      <c r="AM151" s="1174"/>
      <c r="AO151" s="1174"/>
      <c r="AQ151" s="1191"/>
      <c r="AR151" s="1155"/>
      <c r="AY151" s="1059" t="s">
        <v>348</v>
      </c>
      <c r="BA151" s="1197"/>
      <c r="BH151" s="1175"/>
      <c r="BI151" s="1175"/>
      <c r="BJ151" s="1175"/>
      <c r="BK151" s="1175"/>
      <c r="BL151" s="1175"/>
      <c r="BM151" s="1175"/>
      <c r="BO151" s="1195"/>
      <c r="CA151" s="1054" t="s">
        <v>496</v>
      </c>
      <c r="CB151" s="1054" t="s">
        <v>495</v>
      </c>
    </row>
    <row r="152" spans="1:80">
      <c r="A152" s="1045" t="str">
        <f>$A$40</f>
        <v>1Q</v>
      </c>
      <c r="B152" s="1154" t="str">
        <f>$B$40</f>
        <v>Apr</v>
      </c>
      <c r="D152" s="1068">
        <f>(T152/T145-1)*100</f>
        <v>6.5426997245179086</v>
      </c>
      <c r="E152" s="1155" t="s">
        <v>489</v>
      </c>
      <c r="F152" s="1805">
        <v>4</v>
      </c>
      <c r="G152" s="1155" t="s">
        <v>489</v>
      </c>
      <c r="H152" s="1068">
        <f>D152-F152</f>
        <v>2.5426997245179086</v>
      </c>
      <c r="I152" s="1155" t="s">
        <v>489</v>
      </c>
      <c r="J152" s="1192">
        <f>'Store New'!Z167</f>
        <v>3085</v>
      </c>
      <c r="L152" s="1175">
        <f>AVERAGE(J152,J148)</f>
        <v>3090</v>
      </c>
      <c r="M152" s="1175"/>
      <c r="N152" s="1068">
        <f>(L152/L145-1)*100</f>
        <v>-1.8736106700539823</v>
      </c>
      <c r="O152" s="1155" t="s">
        <v>489</v>
      </c>
      <c r="P152" s="1214">
        <f>(H152/N152)*100</f>
        <v>-135.71121072045605</v>
      </c>
      <c r="Q152" s="1062" t="s">
        <v>489</v>
      </c>
      <c r="S152" s="1170">
        <f>+'qtrP&amp;L'!CH10</f>
        <v>3329</v>
      </c>
      <c r="T152" s="1170">
        <f>'qtrP&amp;L'!CH10-qtrSales!BO152</f>
        <v>3094</v>
      </c>
      <c r="U152" s="1170"/>
      <c r="V152" s="1170"/>
      <c r="W152" s="1170"/>
      <c r="X152" s="1215"/>
      <c r="Y152" s="1171">
        <f>T152/L152</f>
        <v>1.001294498381877</v>
      </c>
      <c r="AA152" s="1191">
        <f>(Y152/Y145-1)*100</f>
        <v>8.5770101723323222</v>
      </c>
      <c r="AB152" s="1155" t="s">
        <v>489</v>
      </c>
      <c r="AD152" s="1185">
        <f>'Store New'!Z172</f>
        <v>38.700000000000003</v>
      </c>
      <c r="AE152" s="1045" t="s">
        <v>31</v>
      </c>
      <c r="AF152" s="1173">
        <f>AVERAGE(AD152,AD148)</f>
        <v>38.75</v>
      </c>
      <c r="AH152" s="1068">
        <f>(AF152/AF145-1)*100</f>
        <v>-1.7743979721166148</v>
      </c>
      <c r="AI152" s="1155" t="s">
        <v>489</v>
      </c>
      <c r="AJ152" s="1169">
        <f>+H152/AH152*100</f>
        <v>-143.29929161747265</v>
      </c>
      <c r="AK152" s="1062" t="s">
        <v>489</v>
      </c>
      <c r="AM152" s="1174">
        <f>+T152</f>
        <v>3094</v>
      </c>
      <c r="AN152" s="1060"/>
      <c r="AO152" s="1174">
        <f>AM152/AF152</f>
        <v>79.845161290322579</v>
      </c>
      <c r="AQ152" s="1191">
        <f>(AO152/AO145-1)*100</f>
        <v>8.4673420421221159</v>
      </c>
      <c r="AR152" s="1155"/>
      <c r="AT152" s="1176">
        <v>102</v>
      </c>
      <c r="AU152" s="1045">
        <v>60</v>
      </c>
      <c r="AY152" s="1176">
        <f>+T152+BO152-AZ152</f>
        <v>60</v>
      </c>
      <c r="AZ152" s="1196">
        <f>+BB152+BC152+BD152+BE152+BO152</f>
        <v>3269</v>
      </c>
      <c r="BA152" s="1197">
        <f>SUM(BB152:BC152)</f>
        <v>1270</v>
      </c>
      <c r="BB152" s="1176">
        <v>861</v>
      </c>
      <c r="BC152" s="1176">
        <v>409</v>
      </c>
      <c r="BD152" s="1176">
        <v>509</v>
      </c>
      <c r="BE152" s="1176">
        <v>1255</v>
      </c>
      <c r="BF152" s="1176"/>
      <c r="BG152" s="1216">
        <f>AU152/AU145-1</f>
        <v>0.36363636363636354</v>
      </c>
      <c r="BH152" s="1175"/>
      <c r="BI152" s="1175"/>
      <c r="BJ152" s="1175"/>
      <c r="BK152" s="1175"/>
      <c r="BL152" s="1175"/>
      <c r="BM152" s="1175"/>
      <c r="BO152" s="1195">
        <f>SUM(BR152:BT152)</f>
        <v>235</v>
      </c>
      <c r="BP152" s="1064">
        <f>BO152/BO145-1</f>
        <v>5.3811659192825045E-2</v>
      </c>
      <c r="BQ152" s="1064"/>
      <c r="BR152" s="1045">
        <v>79</v>
      </c>
      <c r="BS152" s="1045">
        <v>34</v>
      </c>
      <c r="BT152" s="1045">
        <v>122</v>
      </c>
      <c r="BU152" s="1220"/>
      <c r="BV152" s="1219"/>
      <c r="BW152" s="1217">
        <v>402</v>
      </c>
      <c r="BX152" s="1063">
        <f>+BW152/T152</f>
        <v>0.129928894634777</v>
      </c>
      <c r="BY152" s="1217">
        <v>72</v>
      </c>
      <c r="BZ152" s="1063">
        <f>+BY152/BO152</f>
        <v>0.30638297872340425</v>
      </c>
      <c r="CA152" s="1178">
        <f>+BW152+BY152</f>
        <v>474</v>
      </c>
      <c r="CB152" s="1178">
        <f>'qtrP&amp;L'!CH60</f>
        <v>474</v>
      </c>
    </row>
    <row r="153" spans="1:80">
      <c r="A153" s="1045" t="str">
        <f>$A$41</f>
        <v>2Q</v>
      </c>
      <c r="B153" s="1154" t="str">
        <f>$B$41</f>
        <v>Jul</v>
      </c>
      <c r="D153" s="1068">
        <f>(T153/T146-1)*100</f>
        <v>1.7612524461839474</v>
      </c>
      <c r="F153" s="1805">
        <v>1</v>
      </c>
      <c r="G153" s="1060"/>
      <c r="H153" s="1068">
        <f>D153-F153</f>
        <v>0.76125244618394738</v>
      </c>
      <c r="J153" s="1192">
        <f>'Store New'!AA167</f>
        <v>3076</v>
      </c>
      <c r="L153" s="1175">
        <f>AVERAGE(J153,J152)</f>
        <v>3080.5</v>
      </c>
      <c r="M153" s="1175"/>
      <c r="N153" s="1068">
        <f>(L153/L146-1)*100</f>
        <v>-2.1131236097871042</v>
      </c>
      <c r="O153" s="1155"/>
      <c r="P153" s="1214">
        <f>(H153/N153)*100</f>
        <v>-36.024984182569568</v>
      </c>
      <c r="Q153" s="1062"/>
      <c r="S153" s="1176">
        <f>+'qtrP&amp;L'!CH11</f>
        <v>3317</v>
      </c>
      <c r="T153" s="1176">
        <f>'qtrP&amp;L'!CH11-qtrSales!BO153</f>
        <v>3120</v>
      </c>
      <c r="U153" s="1176"/>
      <c r="V153" s="1176"/>
      <c r="W153" s="1176"/>
      <c r="X153" s="1215"/>
      <c r="Y153" s="1177">
        <f>T153/L153</f>
        <v>1.0128225937347832</v>
      </c>
      <c r="AA153" s="1191">
        <f>(Y153/Y146-1)*100</f>
        <v>3.9580137796269677</v>
      </c>
      <c r="AB153" s="1155"/>
      <c r="AD153" s="1185">
        <f>'Store New'!AA172</f>
        <v>38.5</v>
      </c>
      <c r="AE153" s="1060"/>
      <c r="AF153" s="1173">
        <f>AVERAGE(AD153,AD152)</f>
        <v>38.6</v>
      </c>
      <c r="AH153" s="1068">
        <f>(AF153/AF146-1)*100</f>
        <v>-2.0304568527918732</v>
      </c>
      <c r="AI153" s="1155"/>
      <c r="AJ153" s="1169">
        <f>+H153/AH153*100</f>
        <v>-37.491682974559502</v>
      </c>
      <c r="AK153" s="1062"/>
      <c r="AM153" s="1178">
        <f>+T153</f>
        <v>3120</v>
      </c>
      <c r="AO153" s="1178">
        <f>AM153/AF153</f>
        <v>80.829015544041454</v>
      </c>
      <c r="AQ153" s="1191">
        <f>(AO153/AO146-1)*100</f>
        <v>3.8702939476592535</v>
      </c>
      <c r="AR153" s="1155"/>
      <c r="AT153" s="1176">
        <v>103</v>
      </c>
      <c r="AU153" s="1045">
        <v>61</v>
      </c>
      <c r="AY153" s="1176">
        <f>+T153+BO153-AZ153</f>
        <v>61</v>
      </c>
      <c r="AZ153" s="1196">
        <f>+BB153+BC153+BD153+BE153+BO153</f>
        <v>3256</v>
      </c>
      <c r="BA153" s="1197">
        <f>SUM(BB153:BC153)</f>
        <v>1274</v>
      </c>
      <c r="BB153" s="1176">
        <v>848</v>
      </c>
      <c r="BC153" s="1176">
        <v>426</v>
      </c>
      <c r="BD153" s="1176">
        <v>539</v>
      </c>
      <c r="BE153" s="1176">
        <v>1246</v>
      </c>
      <c r="BF153" s="1176"/>
      <c r="BG153" s="1216">
        <f>AU153/AU146-1</f>
        <v>0.35555555555555562</v>
      </c>
      <c r="BH153" s="1175"/>
      <c r="BI153" s="1175"/>
      <c r="BJ153" s="1175"/>
      <c r="BK153" s="1175"/>
      <c r="BL153" s="1175"/>
      <c r="BM153" s="1175"/>
      <c r="BO153" s="1195">
        <f>SUM(BR153:BT153)</f>
        <v>197</v>
      </c>
      <c r="BP153" s="1064">
        <f>BO153/BO146-1</f>
        <v>0.1005586592178771</v>
      </c>
      <c r="BQ153" s="1064"/>
      <c r="BR153" s="1045">
        <v>64</v>
      </c>
      <c r="BS153" s="1045">
        <v>30</v>
      </c>
      <c r="BT153" s="1045">
        <v>103</v>
      </c>
      <c r="BU153" s="1220"/>
      <c r="BV153" s="1219"/>
      <c r="BW153" s="1207">
        <v>347</v>
      </c>
      <c r="BX153" s="1063">
        <f>+BW153/T153</f>
        <v>0.11121794871794871</v>
      </c>
      <c r="BY153" s="1207">
        <v>50</v>
      </c>
      <c r="BZ153" s="1063">
        <f>+BY153/BO153</f>
        <v>0.25380710659898476</v>
      </c>
      <c r="CA153" s="1178">
        <f>+BW153+BY153</f>
        <v>397</v>
      </c>
      <c r="CB153" s="1178">
        <f>'qtrP&amp;L'!CH61</f>
        <v>397</v>
      </c>
    </row>
    <row r="154" spans="1:80">
      <c r="A154" s="1045" t="str">
        <f>$A$42</f>
        <v>3Q</v>
      </c>
      <c r="B154" s="1154" t="str">
        <f>$B$42</f>
        <v>Oct</v>
      </c>
      <c r="D154" s="1068">
        <f>(T154/T147-1)*100</f>
        <v>0.98950524737630996</v>
      </c>
      <c r="F154" s="1805">
        <v>0</v>
      </c>
      <c r="G154" s="1060"/>
      <c r="H154" s="1068">
        <f>D154-F154</f>
        <v>0.98950524737630996</v>
      </c>
      <c r="J154" s="1192">
        <f>'Store New'!AB167</f>
        <v>3082</v>
      </c>
      <c r="K154" s="1060"/>
      <c r="L154" s="1175">
        <f>AVERAGE(J154,J153)</f>
        <v>3079</v>
      </c>
      <c r="M154" s="1175"/>
      <c r="N154" s="1068">
        <f>(L154/L147-1)*100</f>
        <v>-2.0674300254452938</v>
      </c>
      <c r="O154" s="1155"/>
      <c r="P154" s="1214">
        <f>(H154/N154)*100</f>
        <v>-47.861607657709484</v>
      </c>
      <c r="Q154" s="1062"/>
      <c r="S154" s="1176">
        <f>+'qtrP&amp;L'!CH12</f>
        <v>3654</v>
      </c>
      <c r="T154" s="1176">
        <f>'qtrP&amp;L'!CH12-qtrSales!BO154</f>
        <v>3368</v>
      </c>
      <c r="U154" s="1176"/>
      <c r="V154" s="1176"/>
      <c r="W154" s="1176"/>
      <c r="X154" s="1215"/>
      <c r="Y154" s="1177">
        <f>T154/L154</f>
        <v>1.0938616433907113</v>
      </c>
      <c r="AA154" s="1191">
        <f>(Y154/Y147-1)*100</f>
        <v>3.1214694698769474</v>
      </c>
      <c r="AB154" s="1155"/>
      <c r="AD154" s="1185">
        <f>'Store New'!AB172</f>
        <v>38.4</v>
      </c>
      <c r="AE154" s="1060"/>
      <c r="AF154" s="1173">
        <f>AVERAGE(AD154,AD153)</f>
        <v>38.450000000000003</v>
      </c>
      <c r="AH154" s="1068">
        <f>(AF154/AF147-1)*100</f>
        <v>-2.4111675126903487</v>
      </c>
      <c r="AI154" s="1155"/>
      <c r="AJ154" s="1169">
        <f>+H154/AH154*100</f>
        <v>-41.038428154343912</v>
      </c>
      <c r="AK154" s="1062"/>
      <c r="AM154" s="1178">
        <f>+T154</f>
        <v>3368</v>
      </c>
      <c r="AO154" s="1178">
        <f>AM154/AF154</f>
        <v>87.594278283485039</v>
      </c>
      <c r="AQ154" s="1191">
        <f>(AO154/AO147-1)*100</f>
        <v>3.4846945837874177</v>
      </c>
      <c r="AR154" s="1155"/>
      <c r="AT154" s="1176">
        <v>111</v>
      </c>
      <c r="AU154" s="1045">
        <v>56</v>
      </c>
      <c r="AY154" s="1176">
        <f>+T154+BO154-AZ154</f>
        <v>56</v>
      </c>
      <c r="AZ154" s="1196">
        <f>+BB154+BC154+BD154+BE154+BO154</f>
        <v>3598</v>
      </c>
      <c r="BA154" s="1197">
        <f>SUM(BB154:BC154)</f>
        <v>1456</v>
      </c>
      <c r="BB154" s="1176">
        <v>987</v>
      </c>
      <c r="BC154" s="1176">
        <v>469</v>
      </c>
      <c r="BD154" s="1176">
        <v>549</v>
      </c>
      <c r="BE154" s="1176">
        <v>1307</v>
      </c>
      <c r="BF154" s="1176"/>
      <c r="BG154" s="1216">
        <f>AU154/AU147-1</f>
        <v>0.27272727272727271</v>
      </c>
      <c r="BH154" s="1175"/>
      <c r="BI154" s="1175"/>
      <c r="BJ154" s="1175"/>
      <c r="BK154" s="1175"/>
      <c r="BL154" s="1175"/>
      <c r="BM154" s="1175"/>
      <c r="BO154" s="1195">
        <f>SUM(BR154:BT154)</f>
        <v>286</v>
      </c>
      <c r="BP154" s="1064">
        <f>BO154/BO147-1</f>
        <v>0.12598425196850394</v>
      </c>
      <c r="BQ154" s="1064"/>
      <c r="BR154" s="1045">
        <v>102</v>
      </c>
      <c r="BS154" s="1045">
        <v>37</v>
      </c>
      <c r="BT154" s="1045">
        <v>147</v>
      </c>
      <c r="BU154" s="1220"/>
      <c r="BV154" s="1219"/>
      <c r="BW154" s="1207">
        <v>420</v>
      </c>
      <c r="BX154" s="1063">
        <f>+BW154/T154</f>
        <v>0.12470308788598575</v>
      </c>
      <c r="BY154" s="1207">
        <v>84</v>
      </c>
      <c r="BZ154" s="1063">
        <f>+BY154/BO154</f>
        <v>0.2937062937062937</v>
      </c>
      <c r="CA154" s="1178">
        <f>+BW154+BY154</f>
        <v>504</v>
      </c>
      <c r="CB154" s="1178">
        <f>'qtrP&amp;L'!CH62</f>
        <v>504</v>
      </c>
    </row>
    <row r="155" spans="1:80">
      <c r="A155" s="1045" t="str">
        <f>$A$43</f>
        <v>4Q</v>
      </c>
      <c r="B155" s="1154" t="str">
        <f>$B$43</f>
        <v>Jan</v>
      </c>
      <c r="D155" s="1179">
        <f>(T155/T148-1)*100</f>
        <v>1.716738197424883</v>
      </c>
      <c r="F155" s="1425">
        <v>1</v>
      </c>
      <c r="G155" s="1060"/>
      <c r="H155" s="1179">
        <f>D155-F155</f>
        <v>0.71673819742488298</v>
      </c>
      <c r="J155" s="1192">
        <f>'Store New'!AC167</f>
        <v>3068</v>
      </c>
      <c r="K155" s="1060"/>
      <c r="L155" s="1182">
        <f>AVERAGE(J155,J154)</f>
        <v>3075</v>
      </c>
      <c r="M155" s="1175"/>
      <c r="N155" s="1179">
        <f>(L155/L148-1)*100</f>
        <v>-1.4107085604360359</v>
      </c>
      <c r="O155" s="1155"/>
      <c r="P155" s="1218">
        <f>(H155/N155)*100</f>
        <v>-50.8069644947321</v>
      </c>
      <c r="Q155" s="1062"/>
      <c r="S155" s="1183">
        <f>+'qtrP&amp;L'!CH13</f>
        <v>4364</v>
      </c>
      <c r="T155" s="1183">
        <f>'qtrP&amp;L'!CH13-qtrSales!BO155</f>
        <v>4029</v>
      </c>
      <c r="U155" s="1197"/>
      <c r="V155" s="1810"/>
      <c r="W155" s="1197"/>
      <c r="X155" s="1215"/>
      <c r="Y155" s="1184">
        <f>T155/L155</f>
        <v>1.3102439024390244</v>
      </c>
      <c r="AA155" s="1180">
        <f>(Y155/Y148-1)*100</f>
        <v>3.1721972155343892</v>
      </c>
      <c r="AB155" s="1155"/>
      <c r="AD155" s="1185">
        <f>'Store New'!AC172</f>
        <v>38.200000000000003</v>
      </c>
      <c r="AE155" s="1060"/>
      <c r="AF155" s="1186">
        <f>AVERAGE(AD155,AD154)</f>
        <v>38.299999999999997</v>
      </c>
      <c r="AH155" s="1179">
        <f>(AF155/AF148-1)*100</f>
        <v>-2.0460358056266115</v>
      </c>
      <c r="AI155" s="1155"/>
      <c r="AJ155" s="1182">
        <f>+H155/AH155*100</f>
        <v>-35.030579399140933</v>
      </c>
      <c r="AK155" s="1062"/>
      <c r="AM155" s="1187">
        <f>+T155</f>
        <v>4029</v>
      </c>
      <c r="AO155" s="1187">
        <f>AM155/AF155</f>
        <v>105.1958224543081</v>
      </c>
      <c r="AQ155" s="1180">
        <f>(AO155/AO148-1)*100</f>
        <v>3.8413698046818157</v>
      </c>
      <c r="AR155" s="1155"/>
      <c r="AT155" s="1176">
        <f>AT156-SUM(AT152:AT154)</f>
        <v>125</v>
      </c>
      <c r="AU155" s="1045">
        <v>69</v>
      </c>
      <c r="AY155" s="1176">
        <f>+T155+BO155-AZ155</f>
        <v>69</v>
      </c>
      <c r="AZ155" s="1196">
        <f>+BB155+BC155+BD155+BE155+BO155</f>
        <v>4295</v>
      </c>
      <c r="BA155" s="1197">
        <f>SUM(BB155:BC155)</f>
        <v>1719</v>
      </c>
      <c r="BB155" s="1176">
        <v>1099</v>
      </c>
      <c r="BC155" s="1176">
        <v>620</v>
      </c>
      <c r="BD155" s="1176">
        <v>677</v>
      </c>
      <c r="BE155" s="1176">
        <v>1564</v>
      </c>
      <c r="BF155" s="1176"/>
      <c r="BG155" s="1216">
        <f>AU155/AU148-1</f>
        <v>0.27777777777777768</v>
      </c>
      <c r="BH155" s="1175"/>
      <c r="BI155" s="1175"/>
      <c r="BJ155" s="1175"/>
      <c r="BK155" s="1175"/>
      <c r="BL155" s="1175"/>
      <c r="BM155" s="1175"/>
      <c r="BO155" s="1195">
        <f>SUM(BR155:BT155)</f>
        <v>335</v>
      </c>
      <c r="BP155" s="1064">
        <f>BO155/BO148-1</f>
        <v>0.21818181818181825</v>
      </c>
      <c r="BQ155" s="1064"/>
      <c r="BR155" s="1045">
        <v>120</v>
      </c>
      <c r="BS155" s="1045">
        <v>54</v>
      </c>
      <c r="BT155" s="1045">
        <v>161</v>
      </c>
      <c r="BU155" s="1220"/>
      <c r="BV155" s="1219"/>
      <c r="BW155" s="1178">
        <f>+BW156-BW152-BW153-BW154</f>
        <v>497</v>
      </c>
      <c r="BX155" s="1063">
        <f>+BW155/T155</f>
        <v>0.12335567138247704</v>
      </c>
      <c r="BY155" s="1178">
        <f>+BY156-BY152-BY153-BY154</f>
        <v>96</v>
      </c>
      <c r="BZ155" s="1063">
        <f>+BY155/BO155</f>
        <v>0.28656716417910449</v>
      </c>
      <c r="CA155" s="1178">
        <f>+BW155+BY155</f>
        <v>593</v>
      </c>
      <c r="CB155" s="1178">
        <f>'qtrP&amp;L'!CH63</f>
        <v>593</v>
      </c>
    </row>
    <row r="156" spans="1:80">
      <c r="B156" s="1154" t="str">
        <f>$B$44</f>
        <v>Year</v>
      </c>
      <c r="D156" s="1068">
        <f>(T156/T149-1)*100</f>
        <v>2.6006331976481167</v>
      </c>
      <c r="F156" s="1805">
        <v>1.4345015061347439</v>
      </c>
      <c r="H156" s="1068">
        <f>D156-F156</f>
        <v>1.1661316915133728</v>
      </c>
      <c r="J156" s="1192"/>
      <c r="L156" s="1175">
        <f>AVERAGE(L152:L155)</f>
        <v>3081.125</v>
      </c>
      <c r="N156" s="1068">
        <f>(L156/L149-1)*100</f>
        <v>-1.8671868779361445</v>
      </c>
      <c r="O156" s="1155"/>
      <c r="P156" s="1169">
        <f>H156/N156*100</f>
        <v>-62.453935666168128</v>
      </c>
      <c r="Q156" s="1062"/>
      <c r="S156" s="1170">
        <f>SUM(S152:S155)</f>
        <v>14664</v>
      </c>
      <c r="T156" s="1170">
        <f>SUM(T152:T155)</f>
        <v>13611</v>
      </c>
      <c r="U156" s="1170"/>
      <c r="V156" s="1170"/>
      <c r="W156" s="1170"/>
      <c r="Y156" s="1171">
        <f>SUM(Y152:Y155)</f>
        <v>4.4182226379463962</v>
      </c>
      <c r="AA156" s="1191">
        <f>(Y156/Y149-1)*100</f>
        <v>4.5196919574344019</v>
      </c>
      <c r="AB156" s="1155"/>
      <c r="AF156" s="1173">
        <f>AVERAGE(AF152:AF155)</f>
        <v>38.524999999999999</v>
      </c>
      <c r="AH156" s="1068">
        <f>(AF156/AF149-1)*100</f>
        <v>-2.0654591674610701</v>
      </c>
      <c r="AI156" s="1155"/>
      <c r="AJ156" s="1169">
        <f>+H156/AH156*100</f>
        <v>-56.458714356809089</v>
      </c>
      <c r="AK156" s="1062"/>
      <c r="AM156" s="1174">
        <f>SUM(AM152:AM155)</f>
        <v>13611</v>
      </c>
      <c r="AO156" s="1174">
        <f>SUM(AO152:AO155)</f>
        <v>353.46427757215719</v>
      </c>
      <c r="AQ156" s="1191">
        <f>(AO156/AO149-1)*100</f>
        <v>4.7678901230561177</v>
      </c>
      <c r="AR156" s="1155"/>
      <c r="AT156" s="1176">
        <v>441</v>
      </c>
      <c r="AU156" s="1045">
        <v>246</v>
      </c>
      <c r="AY156" s="1176">
        <f>+T156+BO156-AZ156</f>
        <v>246</v>
      </c>
      <c r="AZ156" s="1200">
        <f>SUM(AZ152:AZ155)</f>
        <v>14418</v>
      </c>
      <c r="BA156" s="1197">
        <f>SUM(BB156:BC156)</f>
        <v>5719</v>
      </c>
      <c r="BB156" s="1176">
        <v>3795</v>
      </c>
      <c r="BC156" s="1176">
        <v>1924</v>
      </c>
      <c r="BD156" s="1176">
        <v>2274</v>
      </c>
      <c r="BE156" s="1176">
        <v>5372</v>
      </c>
      <c r="BF156" s="1176"/>
      <c r="BH156" s="1207">
        <v>195</v>
      </c>
      <c r="BI156" s="1207">
        <v>178</v>
      </c>
      <c r="BJ156" s="1221">
        <f>BH156/178</f>
        <v>1.095505617977528</v>
      </c>
      <c r="BK156" s="1221"/>
      <c r="BL156" s="1175"/>
      <c r="BM156" s="1175"/>
      <c r="BO156" s="1195">
        <f>SUM(BO152:BO155)</f>
        <v>1053</v>
      </c>
      <c r="BP156" s="1064">
        <f>BO156/BO149-1</f>
        <v>0.13104189044038672</v>
      </c>
      <c r="BQ156" s="1064">
        <f>+BO156/AZ156</f>
        <v>7.3033707865168537E-2</v>
      </c>
      <c r="BR156" s="1045">
        <v>365</v>
      </c>
      <c r="BS156" s="1045">
        <v>155</v>
      </c>
      <c r="BT156" s="1045">
        <v>533</v>
      </c>
      <c r="BU156" s="1220"/>
      <c r="BV156" s="1219"/>
      <c r="BW156" s="1178">
        <v>1666</v>
      </c>
      <c r="BX156" s="1063">
        <f>+BW156/T156</f>
        <v>0.12240099919183013</v>
      </c>
      <c r="BY156" s="1178">
        <v>302</v>
      </c>
      <c r="BZ156" s="1063">
        <f>+BY156/BO156</f>
        <v>0.28679962013295346</v>
      </c>
      <c r="CA156" s="1178">
        <f>+BW156+BY156</f>
        <v>1968</v>
      </c>
      <c r="CB156" s="1178">
        <f>'qtrP&amp;L'!CH64</f>
        <v>1968</v>
      </c>
    </row>
    <row r="157" spans="1:80">
      <c r="B157" s="1222" t="s">
        <v>483</v>
      </c>
      <c r="D157" s="1068"/>
      <c r="F157" s="1805"/>
      <c r="H157" s="1068"/>
      <c r="J157" s="1192"/>
      <c r="L157" s="1175"/>
      <c r="N157" s="1068"/>
      <c r="O157" s="1155"/>
      <c r="P157" s="1169"/>
      <c r="Q157" s="1062"/>
      <c r="S157" s="1170"/>
      <c r="T157" s="1170"/>
      <c r="U157" s="1170"/>
      <c r="V157" s="1170"/>
      <c r="W157" s="1170"/>
      <c r="Y157" s="1171"/>
      <c r="AA157" s="1191"/>
      <c r="AB157" s="1155"/>
      <c r="AF157" s="1173"/>
      <c r="AH157" s="1068"/>
      <c r="AI157" s="1155"/>
      <c r="AJ157" s="1169"/>
      <c r="AK157" s="1062"/>
      <c r="AM157" s="1174"/>
      <c r="AO157" s="1174"/>
      <c r="AQ157" s="1191"/>
      <c r="AR157" s="1155"/>
      <c r="AT157" s="1202"/>
      <c r="AY157" s="1176"/>
      <c r="AZ157" s="1201"/>
      <c r="BA157" s="1197"/>
      <c r="BB157" s="1202"/>
      <c r="BC157" s="1202"/>
      <c r="BD157" s="1202"/>
      <c r="BE157" s="1202"/>
      <c r="BF157" s="1202"/>
      <c r="BH157" s="1175"/>
      <c r="BI157" s="1175"/>
      <c r="BJ157" s="1175"/>
      <c r="BK157" s="1175"/>
      <c r="BL157" s="1175"/>
      <c r="BM157" s="1175"/>
      <c r="BO157" s="1195"/>
      <c r="BT157" s="1063"/>
      <c r="BU157" s="1063"/>
      <c r="BV157" s="1063"/>
    </row>
    <row r="158" spans="1:80">
      <c r="A158" s="1166"/>
      <c r="B158" s="1204">
        <f>+B151+1</f>
        <v>2011</v>
      </c>
      <c r="D158" s="1068"/>
      <c r="F158" s="1805"/>
      <c r="H158" s="1068"/>
      <c r="J158" s="1192"/>
      <c r="L158" s="1175"/>
      <c r="N158" s="1068"/>
      <c r="O158" s="1155"/>
      <c r="P158" s="1169"/>
      <c r="Q158" s="1062"/>
      <c r="S158" s="1170"/>
      <c r="T158" s="1170"/>
      <c r="U158" s="1170"/>
      <c r="V158" s="1170"/>
      <c r="W158" s="1170"/>
      <c r="Y158" s="1171"/>
      <c r="AA158" s="1191"/>
      <c r="AB158" s="1155"/>
      <c r="AF158" s="1173"/>
      <c r="AH158" s="1068"/>
      <c r="AI158" s="1155"/>
      <c r="AJ158" s="1169"/>
      <c r="AK158" s="1062"/>
      <c r="AM158" s="1174"/>
      <c r="AO158" s="1174"/>
      <c r="AQ158" s="1191"/>
      <c r="AR158" s="1155"/>
      <c r="AY158" s="1059" t="s">
        <v>348</v>
      </c>
      <c r="BA158" s="1197"/>
      <c r="BH158" s="1175"/>
      <c r="BI158" s="1175"/>
      <c r="BJ158" s="1175"/>
      <c r="BK158" s="1175"/>
      <c r="BL158" s="1175"/>
      <c r="BM158" s="1175"/>
      <c r="BO158" s="1195"/>
      <c r="BT158" s="1063"/>
      <c r="BU158" s="1063"/>
      <c r="BV158" s="1063"/>
      <c r="CA158" s="1058"/>
      <c r="CB158" s="1058"/>
    </row>
    <row r="159" spans="1:80">
      <c r="A159" s="1045" t="str">
        <f>$A$40</f>
        <v>1Q</v>
      </c>
      <c r="B159" s="1154" t="str">
        <f>$B$40</f>
        <v>Apr</v>
      </c>
      <c r="D159" s="1068">
        <f>(S159/S152-1)*100</f>
        <v>-1.0213277260438525</v>
      </c>
      <c r="E159" s="1155" t="s">
        <v>489</v>
      </c>
      <c r="F159" s="1805">
        <v>-3</v>
      </c>
      <c r="G159" s="1155" t="s">
        <v>489</v>
      </c>
      <c r="H159" s="1068">
        <f>D159-F159</f>
        <v>1.9786722739561475</v>
      </c>
      <c r="I159" s="1155" t="s">
        <v>489</v>
      </c>
      <c r="J159" s="1192">
        <f>'Store New'!AD167</f>
        <v>3059</v>
      </c>
      <c r="L159" s="1175">
        <f>AVERAGE(J159,J155)</f>
        <v>3063.5</v>
      </c>
      <c r="M159" s="1175"/>
      <c r="N159" s="1068">
        <f>(L159/L152-1)*100</f>
        <v>-0.85760517799352565</v>
      </c>
      <c r="O159" s="1155" t="s">
        <v>489</v>
      </c>
      <c r="P159" s="1214">
        <f>(H159/N159)*100</f>
        <v>-230.72065383111357</v>
      </c>
      <c r="Q159" s="1062" t="s">
        <v>489</v>
      </c>
      <c r="S159" s="1170">
        <f>+'qtrP&amp;L'!CL10</f>
        <v>3295</v>
      </c>
      <c r="T159" s="1170">
        <f>+'qtrP&amp;L'!CL10-qtrSales!BO159</f>
        <v>3018</v>
      </c>
      <c r="U159" s="1170"/>
      <c r="V159" s="1170"/>
      <c r="W159" s="1170"/>
      <c r="X159" s="1215"/>
      <c r="Y159" s="1171">
        <f>T159/L159</f>
        <v>0.98514770687122577</v>
      </c>
      <c r="AA159" s="1191">
        <f>(Y159/Y152-1)*100</f>
        <v>-1.6125916537786833</v>
      </c>
      <c r="AB159" s="1155" t="s">
        <v>489</v>
      </c>
      <c r="AD159" s="1185">
        <f>'Store New'!AD172</f>
        <v>37.799999999999997</v>
      </c>
      <c r="AE159" s="1045" t="s">
        <v>31</v>
      </c>
      <c r="AF159" s="1173">
        <f>AVERAGE(AD159,AD155)</f>
        <v>38</v>
      </c>
      <c r="AH159" s="1068">
        <f>(AF159/AF152-1)*100</f>
        <v>-1.9354838709677469</v>
      </c>
      <c r="AI159" s="1155" t="s">
        <v>489</v>
      </c>
      <c r="AJ159" s="1169">
        <f>+H159/AH159*100</f>
        <v>-102.23140082106737</v>
      </c>
      <c r="AK159" s="1062" t="s">
        <v>489</v>
      </c>
      <c r="AM159" s="1174">
        <f>+T159-BH159</f>
        <v>2958</v>
      </c>
      <c r="AN159" s="1060"/>
      <c r="AO159" s="1174">
        <f>AM159/AF159</f>
        <v>77.84210526315789</v>
      </c>
      <c r="AQ159" s="1191">
        <f>(AO159/AO152-1)*100</f>
        <v>-2.5086755349913337</v>
      </c>
      <c r="AR159" s="1155"/>
      <c r="AT159" s="1176">
        <v>131</v>
      </c>
      <c r="AU159" s="1045">
        <v>71</v>
      </c>
      <c r="AY159" s="1176">
        <f>+S159-AZ159-AU159-BH159</f>
        <v>0</v>
      </c>
      <c r="AZ159" s="1196">
        <f>+BA159+BD159+BE159</f>
        <v>3164</v>
      </c>
      <c r="BA159" s="1176">
        <v>1260</v>
      </c>
      <c r="BC159" s="1176"/>
      <c r="BD159" s="1176">
        <v>579</v>
      </c>
      <c r="BE159" s="1176">
        <v>1325</v>
      </c>
      <c r="BF159" s="1176"/>
      <c r="BG159" s="1216">
        <f>AU159/AU152-1</f>
        <v>0.18333333333333335</v>
      </c>
      <c r="BH159" s="1207">
        <v>60</v>
      </c>
      <c r="BI159" s="1207">
        <f>178+8-0</f>
        <v>186</v>
      </c>
      <c r="BJ159" s="1221">
        <f>BH159/AVERAGE(BI159,BI155)</f>
        <v>0.32258064516129031</v>
      </c>
      <c r="BK159" s="1207"/>
      <c r="BL159" s="1207">
        <v>454</v>
      </c>
      <c r="BM159" s="1207"/>
      <c r="BO159" s="1195">
        <f>SUM(BR159:BT159)</f>
        <v>277</v>
      </c>
      <c r="BP159" s="1064">
        <f>BO159/BO152-1</f>
        <v>0.17872340425531918</v>
      </c>
      <c r="BQ159" s="1064"/>
      <c r="BR159" s="1045">
        <v>96</v>
      </c>
      <c r="BS159" s="1045">
        <v>41</v>
      </c>
      <c r="BT159" s="1045">
        <v>140</v>
      </c>
      <c r="BU159" s="1220"/>
      <c r="BV159" s="1219"/>
      <c r="BW159" s="1217">
        <v>304</v>
      </c>
      <c r="BX159" s="1063">
        <f>+BW159/T159</f>
        <v>0.10072895957587806</v>
      </c>
      <c r="BY159" s="1217">
        <v>82</v>
      </c>
      <c r="BZ159" s="1063">
        <f>+BY159/BO159</f>
        <v>0.29602888086642598</v>
      </c>
      <c r="CA159" s="1178">
        <f>+BW159+BY159</f>
        <v>386</v>
      </c>
      <c r="CB159" s="1223">
        <f>+'qtrP&amp;L'!CL60</f>
        <v>386</v>
      </c>
    </row>
    <row r="160" spans="1:80">
      <c r="A160" s="1045" t="str">
        <f>$A$41</f>
        <v>2Q</v>
      </c>
      <c r="B160" s="1154" t="str">
        <f>$B$41</f>
        <v>Jul</v>
      </c>
      <c r="D160" s="1068">
        <f>(S160/S153-1)*100</f>
        <v>2.080192945432624</v>
      </c>
      <c r="F160" s="1805">
        <v>-2</v>
      </c>
      <c r="G160" s="1060"/>
      <c r="H160" s="1068">
        <f>D160-F160</f>
        <v>4.080192945432624</v>
      </c>
      <c r="J160" s="1192">
        <f>'Store New'!AE167</f>
        <v>3053</v>
      </c>
      <c r="L160" s="1175">
        <f>AVERAGE(J160,J159)</f>
        <v>3056</v>
      </c>
      <c r="M160" s="1175"/>
      <c r="N160" s="1068">
        <f>(L160/L153-1)*100</f>
        <v>-0.79532543418275869</v>
      </c>
      <c r="O160" s="1155"/>
      <c r="P160" s="1214">
        <f>(H160/N160)*100</f>
        <v>-513.02181095531671</v>
      </c>
      <c r="Q160" s="1062"/>
      <c r="S160" s="1176">
        <f>+'qtrP&amp;L'!CL11</f>
        <v>3386</v>
      </c>
      <c r="T160" s="1176">
        <f>+'qtrP&amp;L'!CL11-qtrSales!BO160</f>
        <v>3150</v>
      </c>
      <c r="U160" s="1176"/>
      <c r="V160" s="1176"/>
      <c r="W160" s="1176"/>
      <c r="X160" s="1215"/>
      <c r="Y160" s="1177">
        <f>T160/L160</f>
        <v>1.0307591623036649</v>
      </c>
      <c r="AA160" s="1191">
        <f>(Y160/Y153-1)*100</f>
        <v>1.7709487011679625</v>
      </c>
      <c r="AB160" s="1155"/>
      <c r="AD160" s="1185">
        <f>'Store New'!AE172</f>
        <v>37.700000000000003</v>
      </c>
      <c r="AE160" s="1060"/>
      <c r="AF160" s="1173">
        <f>AVERAGE(AD160,AD159)</f>
        <v>37.75</v>
      </c>
      <c r="AH160" s="1068">
        <f>(AF160/AF153-1)*100</f>
        <v>-2.2020725388601115</v>
      </c>
      <c r="AI160" s="1155"/>
      <c r="AJ160" s="1169">
        <f>+H160/AH160*100</f>
        <v>-185.28876199258676</v>
      </c>
      <c r="AK160" s="1062"/>
      <c r="AM160" s="1178">
        <f>+T160-BH160</f>
        <v>3086</v>
      </c>
      <c r="AO160" s="1178">
        <f>AM160/AF160</f>
        <v>81.74834437086092</v>
      </c>
      <c r="AQ160" s="1191">
        <f>(AO160/AO153-1)*100</f>
        <v>1.1373747665138323</v>
      </c>
      <c r="AR160" s="1155"/>
      <c r="AT160" s="1176">
        <v>137</v>
      </c>
      <c r="AU160" s="1045">
        <v>73</v>
      </c>
      <c r="AY160" s="1176">
        <f>+S160-AZ160-AU160-BH160</f>
        <v>0</v>
      </c>
      <c r="AZ160" s="1196">
        <f>+BA160+BC160+BD160+BE160</f>
        <v>3249</v>
      </c>
      <c r="BA160" s="1176">
        <v>1282</v>
      </c>
      <c r="BC160" s="1176"/>
      <c r="BD160" s="1176">
        <v>617</v>
      </c>
      <c r="BE160" s="1176">
        <v>1350</v>
      </c>
      <c r="BF160" s="1176"/>
      <c r="BG160" s="1216">
        <f>AU160/AU153-1</f>
        <v>0.19672131147540983</v>
      </c>
      <c r="BH160" s="1207">
        <v>64</v>
      </c>
      <c r="BI160" s="1207">
        <f>BI159+10-1</f>
        <v>195</v>
      </c>
      <c r="BJ160" s="1221">
        <f>BH160/AVERAGE(BI159:BI160)</f>
        <v>0.33595800524934383</v>
      </c>
      <c r="BK160" s="1207"/>
      <c r="BL160" s="1207">
        <v>515</v>
      </c>
      <c r="BM160" s="1207"/>
      <c r="BN160" s="1175"/>
      <c r="BO160" s="1195">
        <f>SUM(BR160:BT160)</f>
        <v>236</v>
      </c>
      <c r="BP160" s="1064">
        <f>BO160/BO153-1</f>
        <v>0.19796954314720816</v>
      </c>
      <c r="BQ160" s="1064"/>
      <c r="BR160" s="1045">
        <v>77</v>
      </c>
      <c r="BS160" s="1045">
        <v>37</v>
      </c>
      <c r="BT160" s="1045">
        <v>122</v>
      </c>
      <c r="BU160" s="1220"/>
      <c r="BV160" s="1219"/>
      <c r="BW160" s="1207">
        <v>277</v>
      </c>
      <c r="BX160" s="1063">
        <f>+BW160/T160</f>
        <v>8.7936507936507938E-2</v>
      </c>
      <c r="BY160" s="1207">
        <v>57</v>
      </c>
      <c r="BZ160" s="1063">
        <f>+BY160/BO160</f>
        <v>0.24152542372881355</v>
      </c>
      <c r="CA160" s="1178">
        <f>+BW160+BY160</f>
        <v>334</v>
      </c>
      <c r="CB160" s="1223">
        <f>+'qtrP&amp;L'!CL61</f>
        <v>334</v>
      </c>
    </row>
    <row r="161" spans="1:80">
      <c r="A161" s="1045" t="str">
        <f>$A$42</f>
        <v>3Q</v>
      </c>
      <c r="B161" s="1154" t="str">
        <f>$B$42</f>
        <v>Oct</v>
      </c>
      <c r="D161" s="1068">
        <f>(S161/S154-1)*100</f>
        <v>-1.8883415435139606</v>
      </c>
      <c r="F161" s="1805">
        <v>-5</v>
      </c>
      <c r="G161" s="1060"/>
      <c r="H161" s="1068">
        <f>D161-F161</f>
        <v>3.1116584564860394</v>
      </c>
      <c r="J161" s="1192">
        <f>'Store New'!AF167</f>
        <v>3065</v>
      </c>
      <c r="L161" s="1175">
        <f>AVERAGE(J161,J160)</f>
        <v>3059</v>
      </c>
      <c r="M161" s="1175"/>
      <c r="N161" s="1068">
        <f>(L161/L154-1)*100</f>
        <v>-0.64956154595647853</v>
      </c>
      <c r="O161" s="1155"/>
      <c r="P161" s="1214">
        <f>(H161/N161)*100</f>
        <v>-479.03981937602646</v>
      </c>
      <c r="Q161" s="1062"/>
      <c r="S161" s="1176">
        <f>+'qtrP&amp;L'!CL12</f>
        <v>3585</v>
      </c>
      <c r="T161" s="1176">
        <f>+'qtrP&amp;L'!CL12-qtrSales!BO161</f>
        <v>3239</v>
      </c>
      <c r="U161" s="1176"/>
      <c r="V161" s="1176"/>
      <c r="W161" s="1176"/>
      <c r="X161" s="1215"/>
      <c r="Y161" s="1177">
        <f>T161/L161</f>
        <v>1.0588427590715921</v>
      </c>
      <c r="AA161" s="1191">
        <f>(Y161/Y154-1)*100</f>
        <v>-3.2013997867745947</v>
      </c>
      <c r="AB161" s="1155"/>
      <c r="AD161" s="1185">
        <f>'Store New'!AF172</f>
        <v>37.6</v>
      </c>
      <c r="AE161" s="1060"/>
      <c r="AF161" s="1173">
        <f>AVERAGE(AD161,AD160)</f>
        <v>37.650000000000006</v>
      </c>
      <c r="AH161" s="1068">
        <f>(AF161/AF154-1)*100</f>
        <v>-2.0806241872561748</v>
      </c>
      <c r="AI161" s="1155"/>
      <c r="AJ161" s="1169">
        <f>+H161/AH161*100</f>
        <v>-149.5540845648604</v>
      </c>
      <c r="AK161" s="1062"/>
      <c r="AM161" s="1178">
        <f>+T161-BH161</f>
        <v>3158</v>
      </c>
      <c r="AO161" s="1178">
        <f>AM161/AF161</f>
        <v>83.877822045152712</v>
      </c>
      <c r="AQ161" s="1191">
        <f>(AO161/AO154-1)*100</f>
        <v>-4.2428070773122943</v>
      </c>
      <c r="AR161" s="1155"/>
      <c r="AT161" s="1176">
        <v>149</v>
      </c>
      <c r="AU161" s="1045">
        <v>68</v>
      </c>
      <c r="AY161" s="1176">
        <f>+S161-AZ161-AU161-BH161</f>
        <v>0</v>
      </c>
      <c r="AZ161" s="1196">
        <f>+BA161+BC161+BD161+BE161</f>
        <v>3436</v>
      </c>
      <c r="BA161" s="1176">
        <v>1419</v>
      </c>
      <c r="BC161" s="1176"/>
      <c r="BD161" s="1176">
        <v>634</v>
      </c>
      <c r="BE161" s="1176">
        <v>1383</v>
      </c>
      <c r="BF161" s="1176"/>
      <c r="BG161" s="1216">
        <f>AU161/AU154-1</f>
        <v>0.21428571428571419</v>
      </c>
      <c r="BH161" s="1207">
        <v>81</v>
      </c>
      <c r="BI161" s="1207">
        <f>BI160+18-2</f>
        <v>211</v>
      </c>
      <c r="BJ161" s="1221">
        <f>BH161/AVERAGE(BI160:BI161)</f>
        <v>0.39901477832512317</v>
      </c>
      <c r="BK161" s="1207"/>
      <c r="BL161" s="1207">
        <v>525</v>
      </c>
      <c r="BM161" s="1207"/>
      <c r="BN161" s="1175"/>
      <c r="BO161" s="1195">
        <f>SUM(BR161:BT161)</f>
        <v>346</v>
      </c>
      <c r="BP161" s="1064">
        <f>BO161/BO154-1</f>
        <v>0.20979020979020979</v>
      </c>
      <c r="BQ161" s="1064"/>
      <c r="BR161" s="1045">
        <v>121</v>
      </c>
      <c r="BS161" s="1045">
        <v>47</v>
      </c>
      <c r="BT161" s="1045">
        <v>178</v>
      </c>
      <c r="BU161" s="1220"/>
      <c r="BV161" s="1219"/>
      <c r="BW161" s="1207">
        <v>255</v>
      </c>
      <c r="BX161" s="1063">
        <f>+BW161/T161</f>
        <v>7.8728002469898112E-2</v>
      </c>
      <c r="BY161" s="1207">
        <v>91</v>
      </c>
      <c r="BZ161" s="1063">
        <f>+BY161/BO161</f>
        <v>0.26300578034682082</v>
      </c>
      <c r="CA161" s="1178">
        <f>+BW161+BY161</f>
        <v>346</v>
      </c>
      <c r="CB161" s="1223">
        <f>+'qtrP&amp;L'!CL62</f>
        <v>346</v>
      </c>
    </row>
    <row r="162" spans="1:80">
      <c r="A162" s="1045" t="str">
        <f>$A$43</f>
        <v>4Q</v>
      </c>
      <c r="B162" s="1154" t="str">
        <f>$B$43</f>
        <v>Jan</v>
      </c>
      <c r="D162" s="1179">
        <f>(S162/S155-1)*100</f>
        <v>-1.8560953253895507</v>
      </c>
      <c r="F162" s="1425">
        <v>-4</v>
      </c>
      <c r="G162" s="1060"/>
      <c r="H162" s="1179">
        <f>D162-F162</f>
        <v>2.1439046746104493</v>
      </c>
      <c r="J162" s="1192">
        <f>'Store New'!AG167</f>
        <v>3036</v>
      </c>
      <c r="K162" s="1060"/>
      <c r="L162" s="1182">
        <f>AVERAGE(J162,J161)</f>
        <v>3050.5</v>
      </c>
      <c r="M162" s="1175"/>
      <c r="N162" s="1179">
        <f>(L162/L155-1)*100</f>
        <v>-0.7967479674796718</v>
      </c>
      <c r="O162" s="1155"/>
      <c r="P162" s="1218">
        <f>(H162/N162)*100</f>
        <v>-269.08191324192472</v>
      </c>
      <c r="Q162" s="1062"/>
      <c r="S162" s="1183">
        <f>+'qtrP&amp;L'!CL13</f>
        <v>4283</v>
      </c>
      <c r="T162" s="1183">
        <f>+'qtrP&amp;L'!CL13-qtrSales!BO162</f>
        <v>3794</v>
      </c>
      <c r="U162" s="1197"/>
      <c r="V162" s="1810"/>
      <c r="W162" s="1197"/>
      <c r="X162" s="1215"/>
      <c r="Y162" s="1184">
        <f>T162/L162</f>
        <v>1.2437305359777087</v>
      </c>
      <c r="AA162" s="1180">
        <f>(Y162/Y155-1)*100</f>
        <v>-5.076411066481656</v>
      </c>
      <c r="AB162" s="1155"/>
      <c r="AD162" s="1185">
        <f>'Store New'!AG172</f>
        <v>37.200000000000003</v>
      </c>
      <c r="AE162" s="1060"/>
      <c r="AF162" s="1186">
        <f>AVERAGE(AD162,AD161)</f>
        <v>37.400000000000006</v>
      </c>
      <c r="AH162" s="1179">
        <f>(AF162/AF155-1)*100</f>
        <v>-2.3498694516971064</v>
      </c>
      <c r="AI162" s="1155"/>
      <c r="AJ162" s="1182">
        <f>+H162/AH162*100</f>
        <v>-91.235054486201079</v>
      </c>
      <c r="AK162" s="1062"/>
      <c r="AM162" s="1187">
        <f>+T162-BH162</f>
        <v>3716</v>
      </c>
      <c r="AO162" s="1187">
        <f>AM162/AF162</f>
        <v>99.358288770053463</v>
      </c>
      <c r="AQ162" s="1180">
        <f>(AO162/AO155-1)*100</f>
        <v>-5.5492067537094236</v>
      </c>
      <c r="AR162" s="1155"/>
      <c r="AT162" s="1176">
        <f>AT163-SUM(AT159:AT161)</f>
        <v>167</v>
      </c>
      <c r="AU162" s="1045">
        <v>89</v>
      </c>
      <c r="AY162" s="1176">
        <f>+S162-AZ162-AU162-BH162</f>
        <v>0</v>
      </c>
      <c r="AZ162" s="1196">
        <f>+BA162+BC162+BD162+BE162</f>
        <v>4116</v>
      </c>
      <c r="BA162" s="1176">
        <v>1704</v>
      </c>
      <c r="BC162" s="1176"/>
      <c r="BD162" s="1176">
        <v>796</v>
      </c>
      <c r="BE162" s="1176">
        <v>1616</v>
      </c>
      <c r="BF162" s="1176"/>
      <c r="BG162" s="1216">
        <f>AU162/AU155-1</f>
        <v>0.28985507246376807</v>
      </c>
      <c r="BH162" s="1207">
        <v>78</v>
      </c>
      <c r="BI162" s="1207">
        <f>BI161+16-0</f>
        <v>227</v>
      </c>
      <c r="BJ162" s="1221">
        <f>BH162/AVERAGE(BI161:BI162)</f>
        <v>0.35616438356164382</v>
      </c>
      <c r="BK162" s="1207"/>
      <c r="BL162" s="1207"/>
      <c r="BM162" s="1207"/>
      <c r="BN162" s="1175"/>
      <c r="BO162" s="1195">
        <v>489</v>
      </c>
      <c r="BP162" s="1064">
        <f>BO162/BO155-1</f>
        <v>0.45970149253731352</v>
      </c>
      <c r="BQ162" s="1064"/>
      <c r="BR162" s="1175">
        <v>139</v>
      </c>
      <c r="BS162" s="1175">
        <v>63</v>
      </c>
      <c r="BT162" s="1175">
        <v>198</v>
      </c>
      <c r="BU162" s="1195"/>
      <c r="BV162" s="1224"/>
      <c r="BW162" s="1178">
        <f>+BW163-BW159-BW160-BW161</f>
        <v>259</v>
      </c>
      <c r="BX162" s="1063">
        <f>+BW162/T162</f>
        <v>6.8265682656826573E-2</v>
      </c>
      <c r="BY162" s="1178">
        <f>+BY163-BY159-BY160-BY161</f>
        <v>113</v>
      </c>
      <c r="BZ162" s="1063">
        <f>+BY162/BO162</f>
        <v>0.2310838445807771</v>
      </c>
      <c r="CA162" s="1178">
        <f>+BW162+BY162</f>
        <v>372</v>
      </c>
      <c r="CB162" s="1223">
        <f>+'qtrP&amp;L'!CL63</f>
        <v>372</v>
      </c>
    </row>
    <row r="163" spans="1:80">
      <c r="B163" s="1154" t="str">
        <f>$B$44</f>
        <v>Year</v>
      </c>
      <c r="D163" s="1068">
        <f>(T163/T156-1)*100</f>
        <v>-3.0122694879141876</v>
      </c>
      <c r="F163" s="1805">
        <v>-3.5395045829861376</v>
      </c>
      <c r="H163" s="1068">
        <f>D163-F163</f>
        <v>0.52723509507194999</v>
      </c>
      <c r="J163" s="1192"/>
      <c r="L163" s="1175">
        <f>AVERAGE(L159:L162)</f>
        <v>3057.25</v>
      </c>
      <c r="N163" s="1068">
        <f>(L163/L156-1)*100</f>
        <v>-0.77487930544849482</v>
      </c>
      <c r="O163" s="1155"/>
      <c r="P163" s="1169">
        <f>H163/N163*100</f>
        <v>-68.040931195960894</v>
      </c>
      <c r="Q163" s="1062"/>
      <c r="S163" s="1170">
        <f>SUM(S159:S162)</f>
        <v>14549</v>
      </c>
      <c r="T163" s="1170">
        <f>SUM(T159:T162)</f>
        <v>13201</v>
      </c>
      <c r="U163" s="1170"/>
      <c r="V163" s="1170"/>
      <c r="W163" s="1170"/>
      <c r="Y163" s="1171">
        <f>SUM(Y159:Y162)</f>
        <v>4.3184801642241908</v>
      </c>
      <c r="AA163" s="1191">
        <f>(Y163/Y156-1)*100</f>
        <v>-2.2575248441659812</v>
      </c>
      <c r="AB163" s="1155"/>
      <c r="AF163" s="1173">
        <f>AVERAGE(AF159:AF162)</f>
        <v>37.700000000000003</v>
      </c>
      <c r="AH163" s="1068">
        <f>(AF163/AF156-1)*100</f>
        <v>-2.1414665801427479</v>
      </c>
      <c r="AI163" s="1155"/>
      <c r="AJ163" s="1169">
        <f>+H163/AH163*100</f>
        <v>-24.620281257753977</v>
      </c>
      <c r="AK163" s="1062"/>
      <c r="AM163" s="1174">
        <f>SUM(AM159:AM162)</f>
        <v>12918</v>
      </c>
      <c r="AO163" s="1174">
        <f>SUM(AO159:AO162)</f>
        <v>342.82656044922498</v>
      </c>
      <c r="AQ163" s="1191">
        <f>(AO163/AO156-1)*100</f>
        <v>-3.0095593240707541</v>
      </c>
      <c r="AR163" s="1155"/>
      <c r="AT163" s="1176">
        <f>301+283</f>
        <v>584</v>
      </c>
      <c r="AU163" s="1045">
        <v>301</v>
      </c>
      <c r="AY163" s="1176">
        <f>+S163-AZ163-AU163-BH163</f>
        <v>0</v>
      </c>
      <c r="AZ163" s="1200">
        <f>SUM(AZ159:AZ162)</f>
        <v>13965</v>
      </c>
      <c r="BA163" s="1176">
        <v>5665</v>
      </c>
      <c r="BC163" s="1176"/>
      <c r="BD163" s="1176">
        <v>2626</v>
      </c>
      <c r="BE163" s="1176">
        <v>5674</v>
      </c>
      <c r="BF163" s="1176"/>
      <c r="BG163" s="1216">
        <f>AU163/AU156-1</f>
        <v>0.22357723577235777</v>
      </c>
      <c r="BH163" s="1175">
        <f>SUM(BH159:BH162)</f>
        <v>283</v>
      </c>
      <c r="BI163" s="1175">
        <f>BI162</f>
        <v>227</v>
      </c>
      <c r="BJ163" s="1221">
        <f>BH163/BI163</f>
        <v>1.2466960352422907</v>
      </c>
      <c r="BK163" s="1216">
        <f>BJ163/BJ156-1</f>
        <v>0.13800971422116803</v>
      </c>
      <c r="BL163" s="1175"/>
      <c r="BM163" s="1175"/>
      <c r="BO163" s="1195">
        <f>SUM(BO159:BO162)</f>
        <v>1348</v>
      </c>
      <c r="BP163" s="1064">
        <f>BO163/BO156-1</f>
        <v>0.28015194681861355</v>
      </c>
      <c r="BQ163" s="1064">
        <f>+BO163/AZ163</f>
        <v>9.6527031865377727E-2</v>
      </c>
      <c r="BR163" s="1175">
        <v>433</v>
      </c>
      <c r="BS163" s="1175">
        <v>188</v>
      </c>
      <c r="BT163" s="1175">
        <v>638</v>
      </c>
      <c r="BV163" s="1219"/>
      <c r="BW163" s="1207">
        <v>1095</v>
      </c>
      <c r="BX163" s="1063">
        <f>+BW163/T163</f>
        <v>8.2948261495341263E-2</v>
      </c>
      <c r="BY163" s="1207">
        <v>343</v>
      </c>
      <c r="BZ163" s="1063">
        <f>+BY163/BO163</f>
        <v>0.25445103857566764</v>
      </c>
      <c r="CA163" s="1178">
        <f>+BW163+BY163</f>
        <v>1438</v>
      </c>
      <c r="CB163" s="1223">
        <f>+'qtrP&amp;L'!CL64</f>
        <v>1438</v>
      </c>
    </row>
    <row r="164" spans="1:80">
      <c r="B164" s="1154"/>
      <c r="D164" s="1068"/>
      <c r="F164" s="1805"/>
      <c r="H164" s="1068"/>
      <c r="J164" s="1192"/>
      <c r="L164" s="1175"/>
      <c r="N164" s="1068"/>
      <c r="O164" s="1155"/>
      <c r="P164" s="1169"/>
      <c r="Q164" s="1062"/>
      <c r="S164" s="1170"/>
      <c r="T164" s="1170"/>
      <c r="U164" s="1170"/>
      <c r="V164" s="1170"/>
      <c r="W164" s="1170"/>
      <c r="Y164" s="1171"/>
      <c r="AA164" s="1191"/>
      <c r="AB164" s="1155"/>
      <c r="AF164" s="1173"/>
      <c r="AH164" s="1068"/>
      <c r="AI164" s="1155"/>
      <c r="AJ164" s="1169"/>
      <c r="AK164" s="1062"/>
      <c r="AM164" s="1174"/>
      <c r="AO164" s="1174"/>
      <c r="AQ164" s="1191"/>
      <c r="AR164" s="1155"/>
      <c r="AT164" s="1202"/>
      <c r="AY164" s="1176"/>
      <c r="AZ164" s="1201"/>
      <c r="BA164" s="1202"/>
      <c r="BC164" s="1202"/>
      <c r="BD164" s="1202"/>
      <c r="BE164" s="1202"/>
      <c r="BF164" s="1202"/>
      <c r="BH164" s="1175"/>
      <c r="BI164" s="1175"/>
      <c r="BJ164" s="1175"/>
      <c r="BK164" s="1175"/>
      <c r="BL164" s="1175"/>
      <c r="BM164" s="1175"/>
      <c r="BO164" s="1195"/>
      <c r="BT164" s="1063"/>
      <c r="BU164" s="1063"/>
      <c r="BV164" s="1063"/>
    </row>
    <row r="165" spans="1:80">
      <c r="A165" s="1166"/>
      <c r="B165" s="1204">
        <f>+B158+1</f>
        <v>2012</v>
      </c>
      <c r="D165" s="1068"/>
      <c r="F165" s="1805"/>
      <c r="H165" s="1068"/>
      <c r="J165" s="1192"/>
      <c r="L165" s="1175"/>
      <c r="N165" s="1068"/>
      <c r="O165" s="1155"/>
      <c r="P165" s="1169"/>
      <c r="Q165" s="1062"/>
      <c r="S165" s="1170"/>
      <c r="T165" s="1170"/>
      <c r="U165" s="1170"/>
      <c r="V165" s="1170"/>
      <c r="W165" s="1170"/>
      <c r="Y165" s="1171"/>
      <c r="AA165" s="1191"/>
      <c r="AB165" s="1155"/>
      <c r="AF165" s="1173"/>
      <c r="AH165" s="1068"/>
      <c r="AI165" s="1155"/>
      <c r="AJ165" s="1169"/>
      <c r="AK165" s="1062"/>
      <c r="AM165" s="1174"/>
      <c r="AO165" s="1174"/>
      <c r="AQ165" s="1191"/>
      <c r="AR165" s="1155"/>
      <c r="AY165" s="1059" t="s">
        <v>348</v>
      </c>
      <c r="BH165" s="1175"/>
      <c r="BI165" s="1175"/>
      <c r="BJ165" s="1175"/>
      <c r="BK165" s="1175"/>
      <c r="BL165" s="1175"/>
      <c r="BM165" s="1175"/>
      <c r="BO165" s="1195"/>
      <c r="BT165" s="1063"/>
      <c r="BU165" s="1063"/>
      <c r="BV165" s="1063"/>
      <c r="CA165" s="1058"/>
      <c r="CB165" s="1058"/>
    </row>
    <row r="166" spans="1:80">
      <c r="A166" s="1045" t="str">
        <f>$A$40</f>
        <v>1Q</v>
      </c>
      <c r="B166" s="1154" t="str">
        <f>$B$40</f>
        <v>Apr</v>
      </c>
      <c r="D166" s="1068">
        <f>(S166/S159-1)*100</f>
        <v>5.8270106221547824</v>
      </c>
      <c r="E166" s="1155" t="s">
        <v>489</v>
      </c>
      <c r="F166" s="1805">
        <v>4</v>
      </c>
      <c r="G166" s="1155" t="s">
        <v>489</v>
      </c>
      <c r="H166" s="1068">
        <f>D166-F166</f>
        <v>1.8270106221547824</v>
      </c>
      <c r="I166" s="1155" t="s">
        <v>489</v>
      </c>
      <c r="J166" s="1192">
        <f>'Store New'!AH167</f>
        <v>3026</v>
      </c>
      <c r="L166" s="1175">
        <f>AVERAGE(J166,J162)</f>
        <v>3031</v>
      </c>
      <c r="M166" s="1175"/>
      <c r="N166" s="1068">
        <f>(L166/L159-1)*100</f>
        <v>-1.0608780806267371</v>
      </c>
      <c r="O166" s="1155" t="s">
        <v>489</v>
      </c>
      <c r="P166" s="1214">
        <f>(H166/N166)*100</f>
        <v>-172.21683202988186</v>
      </c>
      <c r="Q166" s="1062" t="s">
        <v>489</v>
      </c>
      <c r="S166" s="1170">
        <f>'qtrP&amp;L'!CP10</f>
        <v>3487</v>
      </c>
      <c r="T166" s="1170">
        <f>+'qtrP&amp;L'!CP10-qtrSales!BO166</f>
        <v>3085</v>
      </c>
      <c r="U166" s="1170"/>
      <c r="V166" s="1234"/>
      <c r="W166" s="1170"/>
      <c r="X166" s="1215"/>
      <c r="Y166" s="1171">
        <f>T166/L166</f>
        <v>1.0178159023424613</v>
      </c>
      <c r="AA166" s="1191">
        <f>(Y166/Y159-1)*100</f>
        <v>3.3160708027213381</v>
      </c>
      <c r="AB166" s="1155" t="s">
        <v>489</v>
      </c>
      <c r="AD166" s="1185">
        <f>'Store New'!AH172</f>
        <v>36.9</v>
      </c>
      <c r="AE166" s="1045" t="s">
        <v>31</v>
      </c>
      <c r="AF166" s="1173">
        <f>AVERAGE(AD166,AD162)</f>
        <v>37.049999999999997</v>
      </c>
      <c r="AH166" s="1068">
        <f>(AF166/AF159-1)*100</f>
        <v>-2.5000000000000022</v>
      </c>
      <c r="AI166" s="1155" t="s">
        <v>489</v>
      </c>
      <c r="AJ166" s="1169">
        <f>+H166/AH166*100</f>
        <v>-73.080424886191224</v>
      </c>
      <c r="AK166" s="1062" t="s">
        <v>489</v>
      </c>
      <c r="AM166" s="1174">
        <f>+T166-BH166</f>
        <v>3007</v>
      </c>
      <c r="AN166" s="1060"/>
      <c r="AO166" s="1174">
        <f>AM166/AF166</f>
        <v>81.160593792172747</v>
      </c>
      <c r="AQ166" s="1191">
        <f>(AO166/AO159-1)*100</f>
        <v>4.2631022347046743</v>
      </c>
      <c r="AR166" s="1155"/>
      <c r="AT166" s="1176">
        <f>78+89</f>
        <v>167</v>
      </c>
      <c r="AU166" s="1045">
        <v>89</v>
      </c>
      <c r="AY166" s="1176">
        <f>+S166-AZ166-AU166</f>
        <v>0</v>
      </c>
      <c r="AZ166" s="1196">
        <f>BA166+BD166+BE166</f>
        <v>3398</v>
      </c>
      <c r="BA166" s="1176">
        <v>1385</v>
      </c>
      <c r="BC166" s="1176"/>
      <c r="BD166" s="1176">
        <v>631</v>
      </c>
      <c r="BE166" s="1176">
        <v>1382</v>
      </c>
      <c r="BF166" s="1176"/>
      <c r="BG166" s="1216">
        <f>AU166/AU159-1</f>
        <v>0.25352112676056349</v>
      </c>
      <c r="BH166" s="1207">
        <v>78</v>
      </c>
      <c r="BI166" s="1207">
        <f>BI163+22-5</f>
        <v>244</v>
      </c>
      <c r="BJ166" s="1221">
        <f>BH166/AVERAGE(BI166,BI162)</f>
        <v>0.33121019108280253</v>
      </c>
      <c r="BK166" s="1216">
        <f>BJ166/BJ159-1</f>
        <v>2.6751592356687892E-2</v>
      </c>
      <c r="BL166" s="1207">
        <v>511</v>
      </c>
      <c r="BM166" s="1207"/>
      <c r="BO166" s="1195">
        <f>SUM(BR166:BU166)</f>
        <v>402</v>
      </c>
      <c r="BP166" s="1064">
        <f>BO166/BO159-1</f>
        <v>0.45126353790613716</v>
      </c>
      <c r="BQ166" s="1064"/>
      <c r="BR166" s="1175">
        <v>110</v>
      </c>
      <c r="BS166" s="1175">
        <v>48</v>
      </c>
      <c r="BT166" s="1175">
        <v>163</v>
      </c>
      <c r="BU166" s="1195">
        <f>402-SUM(BR166:BT166)</f>
        <v>81</v>
      </c>
      <c r="BV166" s="1224"/>
      <c r="BW166" s="1217"/>
      <c r="BX166" s="1063"/>
      <c r="BY166" s="1217"/>
      <c r="BZ166" s="1063"/>
      <c r="CA166" s="1178"/>
      <c r="CB166" s="1223"/>
    </row>
    <row r="167" spans="1:80">
      <c r="A167" s="1045" t="str">
        <f>$A$41</f>
        <v>2Q</v>
      </c>
      <c r="B167" s="1154" t="str">
        <f>$B$41</f>
        <v>Jul</v>
      </c>
      <c r="D167" s="1068">
        <f>(S167/S160-1)*100</f>
        <v>5.5818074424099251</v>
      </c>
      <c r="F167" s="1805">
        <v>4</v>
      </c>
      <c r="G167" s="1060"/>
      <c r="H167" s="1068">
        <f>D167-F167</f>
        <v>1.5818074424099251</v>
      </c>
      <c r="J167" s="1192">
        <f>'Store New'!AI167</f>
        <v>3035</v>
      </c>
      <c r="L167" s="1175">
        <f>AVERAGE(J167,J166)</f>
        <v>3030.5</v>
      </c>
      <c r="M167" s="1175"/>
      <c r="N167" s="1068">
        <f>(L167/L160-1)*100</f>
        <v>-0.83442408376963595</v>
      </c>
      <c r="O167" s="1155"/>
      <c r="P167" s="1214">
        <f>(H167/N167)*100</f>
        <v>-189.56876643155752</v>
      </c>
      <c r="Q167" s="1062"/>
      <c r="S167" s="1176">
        <f>'qtrP&amp;L'!CP11</f>
        <v>3575</v>
      </c>
      <c r="T167" s="1176">
        <f>+'qtrP&amp;L'!CP11-qtrSales!BO167</f>
        <v>3208</v>
      </c>
      <c r="U167" s="1176"/>
      <c r="V167" s="1235"/>
      <c r="W167" s="1176"/>
      <c r="X167" s="1215"/>
      <c r="Y167" s="1177">
        <f>T167/L167</f>
        <v>1.0585711928724633</v>
      </c>
      <c r="AA167" s="1191">
        <f>(Y167/Y160-1)*100</f>
        <v>2.698208425976123</v>
      </c>
      <c r="AB167" s="1155"/>
      <c r="AD167" s="1185">
        <f>'Store New'!AI172</f>
        <v>36.799999999999997</v>
      </c>
      <c r="AE167" s="1060"/>
      <c r="AF167" s="1173">
        <f>AVERAGE(AD167,AD166)</f>
        <v>36.849999999999994</v>
      </c>
      <c r="AH167" s="1068">
        <f>(AF167/AF160-1)*100</f>
        <v>-2.3841059602649151</v>
      </c>
      <c r="AI167" s="1155"/>
      <c r="AJ167" s="1169">
        <f>+H167/AH167*100</f>
        <v>-66.34803438997146</v>
      </c>
      <c r="AK167" s="1062"/>
      <c r="AM167" s="1178">
        <f>+T167-BH167</f>
        <v>3128</v>
      </c>
      <c r="AO167" s="1178">
        <f>AM167/AF167</f>
        <v>84.884667571234743</v>
      </c>
      <c r="AQ167" s="1191">
        <f>(AO167/AO160-1)*100</f>
        <v>3.8365586783574823</v>
      </c>
      <c r="AR167" s="1155"/>
      <c r="AT167" s="1176">
        <f>100+80</f>
        <v>180</v>
      </c>
      <c r="AU167" s="1045">
        <v>100</v>
      </c>
      <c r="AY167" s="1176">
        <f>+S167-AZ167-AU167</f>
        <v>0</v>
      </c>
      <c r="AZ167" s="1196">
        <f>+BA167+BC167+BD167+BE167</f>
        <v>3475</v>
      </c>
      <c r="BA167" s="1176">
        <v>1404</v>
      </c>
      <c r="BC167" s="1176"/>
      <c r="BD167" s="1176">
        <v>680</v>
      </c>
      <c r="BE167" s="1176">
        <v>1391</v>
      </c>
      <c r="BF167" s="1176"/>
      <c r="BG167" s="1216">
        <f>AU167/AU160-1</f>
        <v>0.36986301369863006</v>
      </c>
      <c r="BH167" s="1207">
        <v>80</v>
      </c>
      <c r="BI167" s="1207">
        <f>BI166+8-2</f>
        <v>250</v>
      </c>
      <c r="BJ167" s="1221">
        <f>BH167/AVERAGE(BI166:BI167)</f>
        <v>0.32388663967611336</v>
      </c>
      <c r="BK167" s="1216">
        <f>BJ167/BJ160-1</f>
        <v>-3.5931174089068763E-2</v>
      </c>
      <c r="BL167" s="1207">
        <v>551</v>
      </c>
      <c r="BM167" s="1207"/>
      <c r="BN167" s="1175"/>
      <c r="BO167" s="1195">
        <f>SUM(BR167:BU167)</f>
        <v>367</v>
      </c>
      <c r="BP167" s="1064">
        <f>BO167/BO160-1</f>
        <v>0.55508474576271194</v>
      </c>
      <c r="BQ167" s="1064"/>
      <c r="BR167" s="1175">
        <v>96</v>
      </c>
      <c r="BS167" s="1175">
        <v>50</v>
      </c>
      <c r="BT167" s="1175">
        <v>138</v>
      </c>
      <c r="BU167" s="1195">
        <f>367-SUM(BR167:BT167)</f>
        <v>83</v>
      </c>
      <c r="BV167" s="1224"/>
      <c r="BW167" s="1207"/>
      <c r="BX167" s="1063"/>
      <c r="BY167" s="1207"/>
      <c r="BZ167" s="1063"/>
      <c r="CA167" s="1178"/>
      <c r="CB167" s="1223"/>
    </row>
    <row r="168" spans="1:80">
      <c r="A168" s="1045" t="str">
        <f>$A$42</f>
        <v>3Q</v>
      </c>
      <c r="B168" s="1154" t="str">
        <f>$B$42</f>
        <v>Oct</v>
      </c>
      <c r="D168" s="1068">
        <f>(S168/S161-1)*100</f>
        <v>7.7824267782426793</v>
      </c>
      <c r="F168" s="1805">
        <v>6</v>
      </c>
      <c r="G168" s="1060"/>
      <c r="H168" s="1068">
        <f>D168-F168</f>
        <v>1.7824267782426793</v>
      </c>
      <c r="J168" s="1192">
        <f>'Store New'!AJ167</f>
        <v>3068</v>
      </c>
      <c r="K168" s="1060"/>
      <c r="L168" s="1175">
        <f>AVERAGE(J168,J167)</f>
        <v>3051.5</v>
      </c>
      <c r="M168" s="1175"/>
      <c r="N168" s="1068">
        <f>(L168/L161-1)*100</f>
        <v>-0.24517816279829852</v>
      </c>
      <c r="O168" s="1155"/>
      <c r="P168" s="1214">
        <f>(H168/N168)*100</f>
        <v>-726.99246861925212</v>
      </c>
      <c r="Q168" s="1062"/>
      <c r="S168" s="1176">
        <f>'qtrP&amp;L'!CP12</f>
        <v>3864</v>
      </c>
      <c r="T168" s="1176">
        <f>+'qtrP&amp;L'!CP12-qtrSales!BO168</f>
        <v>3373</v>
      </c>
      <c r="U168" s="1176"/>
      <c r="V168" s="1176"/>
      <c r="W168" s="1176"/>
      <c r="X168" s="1215"/>
      <c r="Y168" s="1177">
        <f>T168/L168</f>
        <v>1.1053580206455842</v>
      </c>
      <c r="AA168" s="1191">
        <f>(Y168/Y161-1)*100</f>
        <v>4.393028254240261</v>
      </c>
      <c r="AB168" s="1155"/>
      <c r="AD168" s="1185">
        <f>'Store New'!AJ172</f>
        <v>36.9</v>
      </c>
      <c r="AE168" s="1060"/>
      <c r="AF168" s="1173">
        <f>AVERAGE(AD168,AD167)</f>
        <v>36.849999999999994</v>
      </c>
      <c r="AH168" s="1068">
        <f>(AF168/AF161-1)*100</f>
        <v>-2.1248339973439889</v>
      </c>
      <c r="AI168" s="1155"/>
      <c r="AJ168" s="1169">
        <f>+H168/AH168*100</f>
        <v>-83.885460251044847</v>
      </c>
      <c r="AK168" s="1062"/>
      <c r="AM168" s="1178">
        <f>+T168-BH168</f>
        <v>3283</v>
      </c>
      <c r="AO168" s="1178">
        <f>AM168/AF168</f>
        <v>89.090909090909108</v>
      </c>
      <c r="AQ168" s="1191">
        <f>(AO168/AO161-1)*100</f>
        <v>6.2150958604410445</v>
      </c>
      <c r="AR168" s="1155"/>
      <c r="AT168" s="1176">
        <f>90+89</f>
        <v>179</v>
      </c>
      <c r="AU168" s="1045">
        <v>89</v>
      </c>
      <c r="AY168" s="1176">
        <f>+S168-AZ168-AU168</f>
        <v>0</v>
      </c>
      <c r="AZ168" s="1196">
        <f>+BA168+BC168+BD168+BE168</f>
        <v>3775</v>
      </c>
      <c r="BA168" s="1176">
        <v>1565</v>
      </c>
      <c r="BC168" s="1176"/>
      <c r="BD168" s="1176">
        <v>696</v>
      </c>
      <c r="BE168" s="1176">
        <v>1514</v>
      </c>
      <c r="BF168" s="1176"/>
      <c r="BG168" s="1216">
        <f>AU168/AU161-1</f>
        <v>0.30882352941176472</v>
      </c>
      <c r="BH168" s="1207">
        <v>90</v>
      </c>
      <c r="BI168" s="1207">
        <f>BI167+25-4</f>
        <v>271</v>
      </c>
      <c r="BJ168" s="1221">
        <f>BH168/AVERAGE(BI167:BI168)</f>
        <v>0.34548944337811899</v>
      </c>
      <c r="BK168" s="1216">
        <f>BJ168/BJ161-1</f>
        <v>-0.1341437406696524</v>
      </c>
      <c r="BL168" s="1207">
        <v>564</v>
      </c>
      <c r="BM168" s="1207"/>
      <c r="BN168" s="1175"/>
      <c r="BO168" s="1195">
        <f>SUM(BR168:BU168)</f>
        <v>491</v>
      </c>
      <c r="BP168" s="1064">
        <f>BO168/BO161-1</f>
        <v>0.41907514450867045</v>
      </c>
      <c r="BQ168" s="1064"/>
      <c r="BR168" s="1175">
        <v>146</v>
      </c>
      <c r="BS168" s="1175">
        <v>64</v>
      </c>
      <c r="BT168" s="1175">
        <v>210</v>
      </c>
      <c r="BU168" s="1195">
        <f>491-SUM(BR168:BT168)</f>
        <v>71</v>
      </c>
      <c r="BV168" s="1224"/>
      <c r="BW168" s="1178"/>
      <c r="BX168" s="1225"/>
      <c r="BY168" s="1178"/>
      <c r="BZ168" s="1225"/>
      <c r="CA168" s="1178"/>
      <c r="CB168" s="1178"/>
    </row>
    <row r="169" spans="1:80">
      <c r="A169" s="1045" t="str">
        <f>$A$43</f>
        <v>4Q</v>
      </c>
      <c r="B169" s="1154" t="str">
        <f>$B$43</f>
        <v>Jan</v>
      </c>
      <c r="D169" s="1179">
        <f>(S169/S162-1)*100</f>
        <v>10.319869250525326</v>
      </c>
      <c r="F169" s="1805">
        <v>5</v>
      </c>
      <c r="G169" s="1060"/>
      <c r="H169" s="1179">
        <f>D169-F169</f>
        <v>5.3198692505253256</v>
      </c>
      <c r="J169" s="1192">
        <f>'Store New'!AK167</f>
        <v>3095</v>
      </c>
      <c r="K169" s="1060"/>
      <c r="L169" s="1182">
        <f>AVERAGE(J169,J168)</f>
        <v>3081.5</v>
      </c>
      <c r="M169" s="1175"/>
      <c r="N169" s="1179">
        <f>(L169/L162-1)*100</f>
        <v>1.0162268480576886</v>
      </c>
      <c r="O169" s="1155"/>
      <c r="P169" s="1218">
        <f>(H169/N169)*100</f>
        <v>523.49229512024567</v>
      </c>
      <c r="Q169" s="1062"/>
      <c r="S169" s="1183">
        <f>'qtrP&amp;L'!CP13</f>
        <v>4725</v>
      </c>
      <c r="T169" s="1183">
        <f>+'qtrP&amp;L'!CP13-qtrSales!BO169</f>
        <v>4218</v>
      </c>
      <c r="U169" s="1197"/>
      <c r="V169" s="1810"/>
      <c r="W169" s="1197"/>
      <c r="X169" s="1215"/>
      <c r="Y169" s="1184">
        <f>T169/L169</f>
        <v>1.3688138893396073</v>
      </c>
      <c r="AA169" s="1180">
        <f>(Y169/Y162-1)*100</f>
        <v>10.057110422521664</v>
      </c>
      <c r="AB169" s="1155"/>
      <c r="AD169" s="1185">
        <f>'Store New'!AK172</f>
        <v>36.9</v>
      </c>
      <c r="AE169" s="1060"/>
      <c r="AF169" s="1186">
        <f>AVERAGE(AD169,AD168)</f>
        <v>36.9</v>
      </c>
      <c r="AH169" s="1179">
        <f>(AF169/AF162-1)*100</f>
        <v>-1.3368983957219416</v>
      </c>
      <c r="AI169" s="1155"/>
      <c r="AJ169" s="1182">
        <f>+H169/AH169*100</f>
        <v>-397.92621993928947</v>
      </c>
      <c r="AK169" s="1062"/>
      <c r="AM169" s="1187">
        <f>+T169-BH169</f>
        <v>4135</v>
      </c>
      <c r="AO169" s="1187">
        <f>AM169/AF169</f>
        <v>112.05962059620596</v>
      </c>
      <c r="AQ169" s="1180">
        <f>(AO169/AO162-1)*100</f>
        <v>12.783364109206218</v>
      </c>
      <c r="AR169" s="1155"/>
      <c r="AT169" s="1176">
        <f>AT170-SUM(AT166:AT168)</f>
        <v>200</v>
      </c>
      <c r="AU169" s="1045">
        <v>117</v>
      </c>
      <c r="AY169" s="1176">
        <f>+S169-AZ169-AU169</f>
        <v>0</v>
      </c>
      <c r="AZ169" s="1226">
        <f>+BA169+BC169+BD169+BE169</f>
        <v>4608</v>
      </c>
      <c r="BA169" s="1176">
        <v>1900</v>
      </c>
      <c r="BC169" s="1176"/>
      <c r="BD169" s="1176">
        <v>883</v>
      </c>
      <c r="BE169" s="1176">
        <v>1825</v>
      </c>
      <c r="BF169" s="1176"/>
      <c r="BG169" s="1216">
        <f>AU169/AU162-1</f>
        <v>0.31460674157303381</v>
      </c>
      <c r="BH169" s="1178">
        <f>BH170-SUM(BH166:BH168)</f>
        <v>83</v>
      </c>
      <c r="BI169" s="1207">
        <f>BI168+43-2</f>
        <v>312</v>
      </c>
      <c r="BJ169" s="1221">
        <f>BH169/AVERAGE(BI168:BI169)</f>
        <v>0.28473413379073759</v>
      </c>
      <c r="BK169" s="1216">
        <f>BJ169/BJ162-1</f>
        <v>-0.20055416281831362</v>
      </c>
      <c r="BL169" s="1207"/>
      <c r="BM169" s="1207"/>
      <c r="BN169" s="1175"/>
      <c r="BO169" s="1195">
        <f>SUM(BR169:BU169)</f>
        <v>507</v>
      </c>
      <c r="BP169" s="1064">
        <f>BO169/BO162-1</f>
        <v>3.6809815950920255E-2</v>
      </c>
      <c r="BQ169" s="1064"/>
      <c r="BR169" s="1175">
        <v>185</v>
      </c>
      <c r="BS169" s="1175">
        <v>85</v>
      </c>
      <c r="BT169" s="1175">
        <v>237</v>
      </c>
      <c r="BU169" s="1195"/>
      <c r="BV169" s="1224"/>
      <c r="BW169" s="1178"/>
      <c r="BX169" s="1225"/>
      <c r="BY169" s="1178"/>
      <c r="BZ169" s="1225"/>
      <c r="CA169" s="1178"/>
      <c r="CB169" s="1178"/>
    </row>
    <row r="170" spans="1:80">
      <c r="B170" s="1154" t="str">
        <f>$B$44</f>
        <v>Year</v>
      </c>
      <c r="D170" s="1068">
        <f>(T170/T163-1)*100</f>
        <v>5.1738504658737972</v>
      </c>
      <c r="F170" s="1805">
        <v>4.7896859694612504</v>
      </c>
      <c r="H170" s="1068">
        <f>D170-F170</f>
        <v>0.3841644964125468</v>
      </c>
      <c r="J170" s="1192"/>
      <c r="L170" s="1175">
        <f>AVERAGE(L166:L169)</f>
        <v>3048.625</v>
      </c>
      <c r="N170" s="1068">
        <f>(L170/L163-1)*100</f>
        <v>-0.28211628097145613</v>
      </c>
      <c r="O170" s="1155"/>
      <c r="P170" s="1169">
        <f>H170/N170*100</f>
        <v>-136.17239497475711</v>
      </c>
      <c r="Q170" s="1062"/>
      <c r="S170" s="1170">
        <f>SUM(S166:S169)</f>
        <v>15651</v>
      </c>
      <c r="T170" s="1170">
        <f>SUM(T166:T169)</f>
        <v>13884</v>
      </c>
      <c r="U170" s="1170"/>
      <c r="V170" s="1170"/>
      <c r="W170" s="1170"/>
      <c r="Y170" s="1171">
        <f>SUM(Y166:Y169)</f>
        <v>4.5505590052001157</v>
      </c>
      <c r="AA170" s="1191">
        <f>(Y170/Y163-1)*100</f>
        <v>5.3740860708021199</v>
      </c>
      <c r="AB170" s="1155"/>
      <c r="AF170" s="1173">
        <f>AVERAGE(AF166:AF169)</f>
        <v>36.912499999999994</v>
      </c>
      <c r="AH170" s="1068">
        <f>(AF170/AF163-1)*100</f>
        <v>-2.0888594164456431</v>
      </c>
      <c r="AI170" s="1155"/>
      <c r="AJ170" s="1169">
        <f>+H170/AH170*100</f>
        <v>-18.391113034606828</v>
      </c>
      <c r="AK170" s="1062"/>
      <c r="AM170" s="1174">
        <f>SUM(AM166:AM169)</f>
        <v>13553</v>
      </c>
      <c r="AO170" s="1174">
        <f>SUM(AO166:AO169)</f>
        <v>367.19579105052253</v>
      </c>
      <c r="AQ170" s="1191">
        <f>(AO170/AO163-1)*100</f>
        <v>7.1083263121052065</v>
      </c>
      <c r="AR170" s="1155"/>
      <c r="AT170" s="1176">
        <f>395+331</f>
        <v>726</v>
      </c>
      <c r="AU170" s="1045">
        <v>395</v>
      </c>
      <c r="AY170" s="1176">
        <f>+S170-AZ170-AU170</f>
        <v>0</v>
      </c>
      <c r="AZ170" s="1200">
        <f>SUM(AZ166:AZ169)</f>
        <v>15256</v>
      </c>
      <c r="BA170" s="1176">
        <v>6254</v>
      </c>
      <c r="BC170" s="1176"/>
      <c r="BD170" s="1176">
        <v>2890</v>
      </c>
      <c r="BE170" s="1176">
        <v>6112</v>
      </c>
      <c r="BF170" s="1176"/>
      <c r="BG170" s="1216">
        <f>AU170/AU163-1</f>
        <v>0.31229235880398676</v>
      </c>
      <c r="BH170" s="1207">
        <v>331</v>
      </c>
      <c r="BI170" s="1178">
        <f>BI169</f>
        <v>312</v>
      </c>
      <c r="BJ170" s="1221">
        <f>BH170/BI170</f>
        <v>1.0608974358974359</v>
      </c>
      <c r="BK170" s="1216">
        <f>BJ170/BJ163-1</f>
        <v>-0.14903279876778108</v>
      </c>
      <c r="BL170" s="1175"/>
      <c r="BM170" s="1175"/>
      <c r="BO170" s="1195">
        <f>SUM(BO166:BO169)</f>
        <v>1767</v>
      </c>
      <c r="BP170" s="1064">
        <f>BO170/BO163-1</f>
        <v>0.31083086053412456</v>
      </c>
      <c r="BQ170" s="1064">
        <f>+BO170/AZ170</f>
        <v>0.1158232826428946</v>
      </c>
      <c r="BR170" s="1175">
        <v>537</v>
      </c>
      <c r="BS170" s="1175">
        <v>247</v>
      </c>
      <c r="BT170" s="1175">
        <v>748</v>
      </c>
      <c r="BV170" s="1224"/>
      <c r="BW170" s="1178"/>
      <c r="BX170" s="1063"/>
      <c r="BY170" s="1178"/>
      <c r="BZ170" s="1063"/>
    </row>
    <row r="171" spans="1:80">
      <c r="B171" s="1154"/>
      <c r="D171" s="1227">
        <f>F171+H171</f>
        <v>4.5998692505253258</v>
      </c>
      <c r="F171" s="1805">
        <v>5</v>
      </c>
      <c r="H171" s="1206">
        <f>H169-5.72</f>
        <v>-0.4001307494746742</v>
      </c>
      <c r="J171" s="1192"/>
      <c r="L171" s="1175"/>
      <c r="N171" s="1068"/>
      <c r="O171" s="1155"/>
      <c r="P171" s="1169"/>
      <c r="Q171" s="1062"/>
      <c r="S171" s="1197">
        <f>S162*(1+D171/100)</f>
        <v>4480.0124000000005</v>
      </c>
      <c r="T171" s="1170"/>
      <c r="U171" s="1170"/>
      <c r="V171" s="1170"/>
      <c r="W171" s="1170"/>
      <c r="Y171" s="1171"/>
      <c r="AA171" s="1191"/>
      <c r="AB171" s="1155"/>
      <c r="AF171" s="1173"/>
      <c r="AH171" s="1068"/>
      <c r="AI171" s="1155"/>
      <c r="AJ171" s="1169"/>
      <c r="AK171" s="1062"/>
      <c r="AM171" s="1174"/>
      <c r="AO171" s="1174"/>
      <c r="AQ171" s="1191"/>
      <c r="AR171" s="1155"/>
      <c r="AT171" s="1228"/>
      <c r="AY171" s="1176"/>
      <c r="AZ171" s="1201"/>
      <c r="BA171" s="1228"/>
      <c r="BC171" s="1228"/>
      <c r="BD171" s="1228"/>
      <c r="BE171" s="1228"/>
      <c r="BF171" s="1228"/>
      <c r="BH171" s="1175"/>
      <c r="BI171" s="1175"/>
      <c r="BJ171" s="1175"/>
      <c r="BK171" s="1175"/>
      <c r="BL171" s="1175"/>
      <c r="BM171" s="1175"/>
      <c r="BO171" s="1195"/>
      <c r="BR171" s="1064"/>
      <c r="BS171" s="1064"/>
      <c r="BT171" s="1064"/>
      <c r="BX171" s="1229"/>
      <c r="BY171" s="1229"/>
    </row>
    <row r="172" spans="1:80">
      <c r="A172" s="1166"/>
      <c r="B172" s="1204">
        <f>+B165+1</f>
        <v>2013</v>
      </c>
      <c r="D172" s="1227"/>
      <c r="F172" s="1805"/>
      <c r="H172" s="1230"/>
      <c r="J172" s="1192"/>
      <c r="L172" s="1175"/>
      <c r="N172" s="1068"/>
      <c r="O172" s="1155"/>
      <c r="P172" s="1169"/>
      <c r="Q172" s="1062"/>
      <c r="S172" s="1176"/>
      <c r="T172" s="1170"/>
      <c r="U172" s="1170"/>
      <c r="V172" s="1170"/>
      <c r="W172" s="1170"/>
      <c r="Y172" s="1171"/>
      <c r="AA172" s="1191"/>
      <c r="AB172" s="1155"/>
      <c r="AF172" s="1173"/>
      <c r="AH172" s="1068"/>
      <c r="AI172" s="1155"/>
      <c r="AJ172" s="1169"/>
      <c r="AK172" s="1062"/>
      <c r="AM172" s="1174"/>
      <c r="AO172" s="1174"/>
      <c r="AQ172" s="1191"/>
      <c r="AR172" s="1155"/>
      <c r="AT172" s="1228"/>
      <c r="AY172" s="1059" t="s">
        <v>348</v>
      </c>
      <c r="BA172" s="1228"/>
      <c r="BC172" s="1228"/>
      <c r="BD172" s="1228"/>
      <c r="BE172" s="1228"/>
      <c r="BF172" s="1228"/>
      <c r="BH172" s="1175"/>
      <c r="BI172" s="1175"/>
      <c r="BJ172" s="1175"/>
      <c r="BK172" s="1175"/>
      <c r="BL172" s="1175"/>
      <c r="BM172" s="1175"/>
      <c r="BO172" s="1195"/>
      <c r="BR172" s="1064"/>
      <c r="BS172" s="1064"/>
      <c r="BT172" s="1064"/>
      <c r="BX172" s="1229"/>
      <c r="BY172" s="1229"/>
    </row>
    <row r="173" spans="1:80">
      <c r="A173" s="1045" t="str">
        <f>$A$40</f>
        <v>1Q</v>
      </c>
      <c r="B173" s="1154" t="str">
        <f>$B$40</f>
        <v>Apr</v>
      </c>
      <c r="D173" s="1068">
        <f>(S173/S166-1)*100</f>
        <v>6.9400630914826511</v>
      </c>
      <c r="E173" s="1155" t="s">
        <v>489</v>
      </c>
      <c r="F173" s="1805">
        <v>2</v>
      </c>
      <c r="G173" s="1155" t="s">
        <v>489</v>
      </c>
      <c r="H173" s="1068">
        <f>D173-F173</f>
        <v>4.9400630914826511</v>
      </c>
      <c r="I173" s="1155" t="s">
        <v>489</v>
      </c>
      <c r="J173" s="1192">
        <f>'Store New'!AL167</f>
        <v>3105</v>
      </c>
      <c r="L173" s="1175">
        <f>AVERAGE(J173,J169)</f>
        <v>3100</v>
      </c>
      <c r="N173" s="1068">
        <f>(L173/L166-1)*100</f>
        <v>2.2764764104256097</v>
      </c>
      <c r="O173" s="1155" t="s">
        <v>489</v>
      </c>
      <c r="P173" s="1214">
        <f>(H173/N173)*100</f>
        <v>217.00480043889661</v>
      </c>
      <c r="Q173" s="1062" t="s">
        <v>489</v>
      </c>
      <c r="S173" s="1170">
        <f>+'qtrP&amp;L'!CT10</f>
        <v>3729</v>
      </c>
      <c r="T173" s="1170">
        <f>+'qtrP&amp;L'!CT10-qtrSales!BO173</f>
        <v>3220</v>
      </c>
      <c r="U173" s="1170"/>
      <c r="V173" s="1170"/>
      <c r="W173" s="1170"/>
      <c r="Y173" s="1171">
        <f>T173/L173</f>
        <v>1.0387096774193549</v>
      </c>
      <c r="AA173" s="1191">
        <f>(Y173/Y166-1)*100</f>
        <v>2.0528049354315847</v>
      </c>
      <c r="AB173" s="1155" t="s">
        <v>489</v>
      </c>
      <c r="AD173" s="1185">
        <f>'Store New'!AL172</f>
        <v>37</v>
      </c>
      <c r="AF173" s="1173">
        <f>AVERAGE(AD173,AD169)</f>
        <v>36.950000000000003</v>
      </c>
      <c r="AH173" s="1068">
        <f>(AF173/AF166-1)*100</f>
        <v>-0.26990553306340814</v>
      </c>
      <c r="AI173" s="1155" t="s">
        <v>489</v>
      </c>
      <c r="AJ173" s="1169">
        <f>+H173/AH173*100</f>
        <v>-1830.2933753944553</v>
      </c>
      <c r="AK173" s="1062" t="s">
        <v>489</v>
      </c>
      <c r="AM173" s="1174">
        <f>+T173-BH173</f>
        <v>3142</v>
      </c>
      <c r="AO173" s="1174">
        <f>AM173/AF173</f>
        <v>85.033829499323403</v>
      </c>
      <c r="AQ173" s="1191">
        <f>(AO173/AO166-1)*100</f>
        <v>4.7723107066821369</v>
      </c>
      <c r="AR173" s="1155"/>
      <c r="AT173" s="1176">
        <f>AU173</f>
        <v>148</v>
      </c>
      <c r="AU173" s="1045">
        <v>148</v>
      </c>
      <c r="AY173" s="1176">
        <f>+S173-AZ173</f>
        <v>0</v>
      </c>
      <c r="AZ173" s="1196">
        <f>+BA173+BD173+BE173+AU173</f>
        <v>3729</v>
      </c>
      <c r="BA173" s="1176">
        <v>1464</v>
      </c>
      <c r="BC173" s="1176"/>
      <c r="BD173" s="1176">
        <v>658</v>
      </c>
      <c r="BE173" s="1176">
        <v>1459</v>
      </c>
      <c r="BF173" s="1176"/>
      <c r="BG173" s="1216">
        <f>AU173/AU166-1</f>
        <v>0.66292134831460681</v>
      </c>
      <c r="BH173" s="1207">
        <v>78</v>
      </c>
      <c r="BI173" s="1207">
        <f>BI169+11-0</f>
        <v>323</v>
      </c>
      <c r="BJ173" s="1221">
        <f>BH173/AVERAGE(BI173,BI169)</f>
        <v>0.24566929133858267</v>
      </c>
      <c r="BK173" s="1216">
        <f>BJ173/BJ166-1</f>
        <v>-0.25826771653543301</v>
      </c>
      <c r="BL173" s="1207"/>
      <c r="BM173" s="1207"/>
      <c r="BO173" s="1208">
        <v>509</v>
      </c>
      <c r="BP173" s="1064">
        <f>BO173/BO166-1</f>
        <v>0.26616915422885579</v>
      </c>
      <c r="BR173" s="1175">
        <v>0</v>
      </c>
      <c r="BS173" s="1175">
        <v>0</v>
      </c>
      <c r="BT173" s="1175">
        <v>0</v>
      </c>
      <c r="BX173" s="1229"/>
      <c r="BY173" s="1229"/>
    </row>
    <row r="174" spans="1:80">
      <c r="A174" s="1045" t="str">
        <f>$A$41</f>
        <v>2Q</v>
      </c>
      <c r="B174" s="1154" t="str">
        <f>$B$41</f>
        <v>Jul</v>
      </c>
      <c r="D174" s="1068">
        <f>(S174/S167-1)*100</f>
        <v>8.1958041958041896</v>
      </c>
      <c r="F174" s="1805">
        <v>5</v>
      </c>
      <c r="H174" s="1068">
        <f>D174-F174</f>
        <v>3.1958041958041896</v>
      </c>
      <c r="J174" s="1192">
        <f>'Store New'!AM167</f>
        <v>3106</v>
      </c>
      <c r="L174" s="1175">
        <f>AVERAGE(J174,J173)</f>
        <v>3105.5</v>
      </c>
      <c r="N174" s="1068">
        <f>(L174/L167-1)*100</f>
        <v>2.4748391354561861</v>
      </c>
      <c r="O174" s="1155"/>
      <c r="P174" s="1214">
        <f>(H174/N174)*100</f>
        <v>129.13179487179511</v>
      </c>
      <c r="Q174" s="1062"/>
      <c r="S174" s="1176">
        <f>+'qtrP&amp;L'!CT11</f>
        <v>3868</v>
      </c>
      <c r="T174" s="1176">
        <f>+'qtrP&amp;L'!CT11-qtrSales!BO174</f>
        <v>3402</v>
      </c>
      <c r="U174" s="1176"/>
      <c r="V174" s="1176"/>
      <c r="W174" s="1176"/>
      <c r="Y174" s="1177">
        <f>T174/L174</f>
        <v>1.0954757687972951</v>
      </c>
      <c r="AA174" s="1191">
        <f>(Y174/Y167-1)*100</f>
        <v>3.4862630093579483</v>
      </c>
      <c r="AB174" s="1155"/>
      <c r="AD174" s="1185">
        <f>'Store New'!AM172</f>
        <v>36.799999999999997</v>
      </c>
      <c r="AF174" s="1173">
        <f>AVERAGE(AD174,AD173)</f>
        <v>36.9</v>
      </c>
      <c r="AH174" s="1068">
        <f>(AF174/AF167-1)*100</f>
        <v>0.13568521031208647</v>
      </c>
      <c r="AI174" s="1155"/>
      <c r="AJ174" s="1169">
        <f>+H174/AH174*100</f>
        <v>2355.3076923075059</v>
      </c>
      <c r="AK174" s="1062"/>
      <c r="AM174" s="1178">
        <f>+T174-BH174</f>
        <v>3318</v>
      </c>
      <c r="AO174" s="1178">
        <f>AM174/AF174</f>
        <v>89.918699186991873</v>
      </c>
      <c r="AQ174" s="1191">
        <f>(AO174/AO167-1)*100</f>
        <v>5.9304368619133685</v>
      </c>
      <c r="AR174" s="1155"/>
      <c r="AT174" s="1176">
        <f t="shared" ref="AT174:AT177" si="0">AU174</f>
        <v>171</v>
      </c>
      <c r="AU174" s="1175">
        <v>171</v>
      </c>
      <c r="AY174" s="1176">
        <f>+S174-AZ174</f>
        <v>0</v>
      </c>
      <c r="AZ174" s="1196">
        <f>+BA174+BD174+BE174+AU174</f>
        <v>3868</v>
      </c>
      <c r="BA174" s="1176">
        <v>1471</v>
      </c>
      <c r="BC174" s="1176"/>
      <c r="BD174" s="1176">
        <v>686</v>
      </c>
      <c r="BE174" s="1176">
        <v>1540</v>
      </c>
      <c r="BF174" s="1176"/>
      <c r="BG174" s="1216">
        <f>AU174/AU167-1</f>
        <v>0.71</v>
      </c>
      <c r="BH174" s="1207">
        <v>84</v>
      </c>
      <c r="BI174" s="1207">
        <f>BI173+15-0</f>
        <v>338</v>
      </c>
      <c r="BJ174" s="1221">
        <f>BH174/AVERAGE(BI173:BI174)</f>
        <v>0.25416036308623297</v>
      </c>
      <c r="BK174" s="1216">
        <f>BJ174/BJ167-1</f>
        <v>-0.21527987897125578</v>
      </c>
      <c r="BL174" s="1207"/>
      <c r="BM174" s="1207"/>
      <c r="BO174" s="1208">
        <v>466</v>
      </c>
      <c r="BP174" s="1064">
        <f>BO174/BO167-1</f>
        <v>0.26975476839237067</v>
      </c>
      <c r="BR174" s="1175">
        <v>0</v>
      </c>
      <c r="BS174" s="1175">
        <v>0</v>
      </c>
      <c r="BT174" s="1175">
        <v>0</v>
      </c>
      <c r="BX174" s="1229"/>
      <c r="BY174" s="1229"/>
    </row>
    <row r="175" spans="1:80">
      <c r="A175" s="1045" t="str">
        <f>$A$42</f>
        <v>3Q</v>
      </c>
      <c r="B175" s="1154" t="str">
        <f>$B$42</f>
        <v>Oct</v>
      </c>
      <c r="D175" s="1068">
        <f>(S175/S168-1)*100</f>
        <v>2.8985507246376718</v>
      </c>
      <c r="F175" s="1805">
        <v>1</v>
      </c>
      <c r="H175" s="1068">
        <f>D175-F175</f>
        <v>1.8985507246376718</v>
      </c>
      <c r="J175" s="1192">
        <f>'Store New'!AN167</f>
        <v>3160</v>
      </c>
      <c r="L175" s="1175">
        <f>AVERAGE(J175,J174)</f>
        <v>3133</v>
      </c>
      <c r="N175" s="1068">
        <f>(L175/L168-1)*100</f>
        <v>2.6708176306734499</v>
      </c>
      <c r="O175" s="1155"/>
      <c r="P175" s="1214">
        <f>(H175/N175)*100</f>
        <v>71.085000444562368</v>
      </c>
      <c r="Q175" s="1062"/>
      <c r="S175" s="1176">
        <f>+'qtrP&amp;L'!CT12</f>
        <v>3976</v>
      </c>
      <c r="T175" s="1176">
        <f>+'qtrP&amp;L'!CT12-qtrSales!BO175</f>
        <v>3387</v>
      </c>
      <c r="U175" s="1176"/>
      <c r="V175" s="1176"/>
      <c r="W175" s="1176"/>
      <c r="Y175" s="1177">
        <f>T175/L175</f>
        <v>1.0810724545164379</v>
      </c>
      <c r="AA175" s="1191">
        <f>(Y175/Y168-1)*100</f>
        <v>-2.1970769357571918</v>
      </c>
      <c r="AB175" s="1155"/>
      <c r="AD175" s="1185">
        <f>'Store New'!AN172</f>
        <v>37.200000000000003</v>
      </c>
      <c r="AF175" s="1173">
        <f>AVERAGE(AD175,AD174)</f>
        <v>37</v>
      </c>
      <c r="AH175" s="1068">
        <f>(AF175/AF168-1)*100</f>
        <v>0.4070556309362372</v>
      </c>
      <c r="AI175" s="1155"/>
      <c r="AJ175" s="1169">
        <f>+H175/AH175*100</f>
        <v>466.41062801931082</v>
      </c>
      <c r="AK175" s="1062"/>
      <c r="AM175" s="1178">
        <f>+T175-BH175</f>
        <v>3282</v>
      </c>
      <c r="AO175" s="1178">
        <f>AM175/AF175</f>
        <v>88.702702702702709</v>
      </c>
      <c r="AQ175" s="1191">
        <f>(AO175/AO168-1)*100</f>
        <v>-0.43574186431329931</v>
      </c>
      <c r="AR175" s="1155"/>
      <c r="AT175" s="1176">
        <f t="shared" si="0"/>
        <v>156</v>
      </c>
      <c r="AU175" s="1175">
        <v>156</v>
      </c>
      <c r="AY175" s="1176">
        <f>+S175-AZ175</f>
        <v>0</v>
      </c>
      <c r="AZ175" s="1196">
        <f>+BA175+BD175+BE175+AU175</f>
        <v>3976</v>
      </c>
      <c r="BA175" s="1176">
        <v>1605</v>
      </c>
      <c r="BC175" s="1176"/>
      <c r="BD175" s="1176">
        <v>698</v>
      </c>
      <c r="BE175" s="1176">
        <v>1517</v>
      </c>
      <c r="BF175" s="1176"/>
      <c r="BG175" s="1216">
        <f>AU175/AU168-1</f>
        <v>0.75280898876404501</v>
      </c>
      <c r="BH175" s="1207">
        <v>105</v>
      </c>
      <c r="BI175" s="1207">
        <f>BI174+20-3</f>
        <v>355</v>
      </c>
      <c r="BJ175" s="1221">
        <f>BH175/AVERAGE(BI174:BI175)</f>
        <v>0.30303030303030304</v>
      </c>
      <c r="BK175" s="1216">
        <f>BJ175/BJ168-1</f>
        <v>-0.12289562289562284</v>
      </c>
      <c r="BL175" s="1207"/>
      <c r="BM175" s="1207"/>
      <c r="BO175" s="1208">
        <v>589</v>
      </c>
      <c r="BP175" s="1064">
        <f>BO175/BO168-1</f>
        <v>0.19959266802443998</v>
      </c>
      <c r="BR175" s="1175">
        <v>0</v>
      </c>
      <c r="BS175" s="1175">
        <v>0</v>
      </c>
      <c r="BT175" s="1175">
        <v>0</v>
      </c>
      <c r="BX175" s="1229"/>
      <c r="BY175" s="1229"/>
    </row>
    <row r="176" spans="1:80">
      <c r="A176" s="1045" t="str">
        <f>$A$43</f>
        <v>4Q</v>
      </c>
      <c r="B176" s="1154" t="str">
        <f>$B$43</f>
        <v>Jan</v>
      </c>
      <c r="D176" s="1179">
        <f>(S176/S169-1)*100</f>
        <v>-3.1746031746031744</v>
      </c>
      <c r="F176" s="1425">
        <v>1</v>
      </c>
      <c r="H176" s="1179">
        <f>D176-F176</f>
        <v>-4.174603174603174</v>
      </c>
      <c r="J176" s="1192">
        <f>'Store New'!AO167</f>
        <v>3164</v>
      </c>
      <c r="L176" s="1182">
        <f>AVERAGE(J176,J175)</f>
        <v>3162</v>
      </c>
      <c r="N176" s="1179">
        <f>(L176/L169-1)*100</f>
        <v>2.612364108388765</v>
      </c>
      <c r="O176" s="1155"/>
      <c r="P176" s="1218">
        <f>(H176/N176)*100</f>
        <v>-159.80173518682875</v>
      </c>
      <c r="Q176" s="1062"/>
      <c r="S176" s="1183">
        <f>'qtrP&amp;L'!CT13</f>
        <v>4575</v>
      </c>
      <c r="T176" s="1183">
        <f>+'qtrP&amp;L'!CT13-qtrSales!BO176</f>
        <v>3877</v>
      </c>
      <c r="U176" s="1197"/>
      <c r="V176" s="1810"/>
      <c r="W176" s="1197"/>
      <c r="Y176" s="1184">
        <f>T176/L176</f>
        <v>1.226122707147375</v>
      </c>
      <c r="AA176" s="1180">
        <f>(Y176/Y169-1)*100</f>
        <v>-10.42443996978103</v>
      </c>
      <c r="AB176" s="1155"/>
      <c r="AD176" s="1185">
        <f>'Store New'!AO172</f>
        <v>37.200000000000003</v>
      </c>
      <c r="AF176" s="1186">
        <f>AVERAGE(AD176,AD175)</f>
        <v>37.200000000000003</v>
      </c>
      <c r="AH176" s="1179">
        <f>(AF176/AF169-1)*100</f>
        <v>0.81300813008131634</v>
      </c>
      <c r="AI176" s="1155"/>
      <c r="AJ176" s="1182">
        <f>+H176/AH176*100</f>
        <v>-513.47619047618059</v>
      </c>
      <c r="AK176" s="1062"/>
      <c r="AM176" s="1187">
        <f>+T176-BH176</f>
        <v>3785</v>
      </c>
      <c r="AO176" s="1187">
        <f>AM176/AF176</f>
        <v>101.74731182795698</v>
      </c>
      <c r="AQ176" s="1180">
        <f>(AO176/AO169-1)*100</f>
        <v>-9.2025197956079214</v>
      </c>
      <c r="AR176" s="1155"/>
      <c r="AT176" s="1176">
        <f t="shared" si="0"/>
        <v>196</v>
      </c>
      <c r="AU176" s="1175">
        <v>196</v>
      </c>
      <c r="AY176" s="1176">
        <f>+S176-AZ176</f>
        <v>1</v>
      </c>
      <c r="AZ176" s="1226">
        <f>+BA176+BD176+BE176+AU176</f>
        <v>4574</v>
      </c>
      <c r="BA176" s="1176">
        <v>1811</v>
      </c>
      <c r="BC176" s="1176"/>
      <c r="BD176" s="1176">
        <v>826</v>
      </c>
      <c r="BE176" s="1176">
        <v>1741</v>
      </c>
      <c r="BF176" s="1176"/>
      <c r="BG176" s="1216">
        <f>AU176/AU169-1</f>
        <v>0.67521367521367526</v>
      </c>
      <c r="BH176" s="1178">
        <f>BH177-SUM(BH173:BH175)</f>
        <v>92</v>
      </c>
      <c r="BI176" s="1207">
        <f>BI175+26-6</f>
        <v>375</v>
      </c>
      <c r="BJ176" s="1221">
        <f>BH176/AVERAGE(BI175:BI176)</f>
        <v>0.25205479452054796</v>
      </c>
      <c r="BK176" s="1216">
        <f>BJ176/BJ169-1</f>
        <v>-0.11477141442482253</v>
      </c>
      <c r="BL176" s="1207"/>
      <c r="BM176" s="1207"/>
      <c r="BO176" s="1208">
        <v>698</v>
      </c>
      <c r="BP176" s="1064">
        <f>BO176/BO169-1</f>
        <v>0.37672583826429973</v>
      </c>
      <c r="BR176" s="1175">
        <v>0</v>
      </c>
      <c r="BS176" s="1175">
        <v>0</v>
      </c>
      <c r="BT176" s="1175">
        <v>0</v>
      </c>
      <c r="BX176" s="1229"/>
      <c r="BY176" s="1229"/>
    </row>
    <row r="177" spans="1:77">
      <c r="B177" s="1154" t="str">
        <f>$B$44</f>
        <v>Year</v>
      </c>
      <c r="D177" s="1068">
        <f>(S177/S170-1)*100</f>
        <v>3.1755159414733836</v>
      </c>
      <c r="F177" s="1805">
        <v>2.1890636611345058</v>
      </c>
      <c r="H177" s="1068">
        <f>D177-F177</f>
        <v>0.98645228033887777</v>
      </c>
      <c r="J177" s="1192"/>
      <c r="L177" s="1175">
        <f>AVERAGE(L173:L176)</f>
        <v>3125.125</v>
      </c>
      <c r="N177" s="1068">
        <f>(L177/L170-1)*100</f>
        <v>2.5093279757267606</v>
      </c>
      <c r="O177" s="1155"/>
      <c r="P177" s="1169">
        <f>H177/N177*100</f>
        <v>39.311412851609326</v>
      </c>
      <c r="Q177" s="1062"/>
      <c r="S177" s="1170">
        <f>SUM(S173:S176)</f>
        <v>16148</v>
      </c>
      <c r="T177" s="1170">
        <f>SUM(T173:T176)</f>
        <v>13886</v>
      </c>
      <c r="U177" s="1170"/>
      <c r="V177" s="1170"/>
      <c r="W177" s="1170"/>
      <c r="Y177" s="1171">
        <f>SUM(Y173:Y176)</f>
        <v>4.441380607880463</v>
      </c>
      <c r="AA177" s="1191">
        <f>(Y177/Y170-1)*100</f>
        <v>-2.3992304504763085</v>
      </c>
      <c r="AB177" s="1155"/>
      <c r="AF177" s="1173">
        <f>AVERAGE(AF173:AF176)</f>
        <v>37.012500000000003</v>
      </c>
      <c r="AH177" s="1068">
        <f>(AF177/AF170-1)*100</f>
        <v>0.27091093802915633</v>
      </c>
      <c r="AI177" s="1155"/>
      <c r="AJ177" s="1169">
        <f>+H177/AH177*100</f>
        <v>364.12419798004339</v>
      </c>
      <c r="AK177" s="1062"/>
      <c r="AM177" s="1174">
        <f>SUM(AM173:AM176)</f>
        <v>13527</v>
      </c>
      <c r="AO177" s="1174">
        <f>SUM(AO173:AO176)</f>
        <v>365.402543216975</v>
      </c>
      <c r="AQ177" s="1191">
        <f>(AO177/AO170-1)*100</f>
        <v>-0.48836285089683962</v>
      </c>
      <c r="AR177" s="1155"/>
      <c r="AT177" s="1176">
        <f t="shared" si="0"/>
        <v>672</v>
      </c>
      <c r="AU177" s="1175">
        <v>672</v>
      </c>
      <c r="AY177" s="1176">
        <f>+S177-AZ177</f>
        <v>0</v>
      </c>
      <c r="AZ177" s="1200">
        <f>+BA177+BD177+BE177+AU177</f>
        <v>16148</v>
      </c>
      <c r="BA177" s="1176">
        <v>6351</v>
      </c>
      <c r="BC177" s="1176"/>
      <c r="BD177" s="1176">
        <v>2868</v>
      </c>
      <c r="BE177" s="1176">
        <v>6257</v>
      </c>
      <c r="BF177" s="1176"/>
      <c r="BG177" s="1216">
        <f>AU177/AU170-1</f>
        <v>0.70126582278481009</v>
      </c>
      <c r="BH177" s="1207">
        <v>359</v>
      </c>
      <c r="BI177" s="1178">
        <f>BI176</f>
        <v>375</v>
      </c>
      <c r="BJ177" s="1221">
        <f>BH177/BI177</f>
        <v>0.95733333333333337</v>
      </c>
      <c r="BK177" s="1216">
        <f>BJ177/BJ170-1</f>
        <v>-9.7619335347431946E-2</v>
      </c>
      <c r="BL177" s="1175"/>
      <c r="BM177" s="1175">
        <f>(0.31*'qtrP&amp;L'!CT14)-qtrSales!BH177-qtrSales!BO177</f>
        <v>2384.88</v>
      </c>
      <c r="BO177" s="1195">
        <f>SUM(BO173:BO176)</f>
        <v>2262</v>
      </c>
      <c r="BP177" s="1064">
        <f>BO177/BO170-1</f>
        <v>0.28013582342954169</v>
      </c>
      <c r="BQ177" s="1064">
        <f>+BO177/AZ177</f>
        <v>0.14007926678226407</v>
      </c>
      <c r="BR177" s="1175">
        <v>0</v>
      </c>
      <c r="BS177" s="1175">
        <v>0</v>
      </c>
      <c r="BT177" s="1175">
        <v>0</v>
      </c>
      <c r="BX177" s="1229"/>
      <c r="BY177" s="1229"/>
    </row>
    <row r="178" spans="1:77">
      <c r="B178" s="1154"/>
      <c r="D178" s="1227"/>
      <c r="F178" s="1805"/>
      <c r="H178" s="1230"/>
      <c r="J178" s="1192"/>
      <c r="L178" s="1175"/>
      <c r="N178" s="1068"/>
      <c r="O178" s="1155"/>
      <c r="P178" s="1169"/>
      <c r="Q178" s="1062"/>
      <c r="S178" s="1197"/>
      <c r="T178" s="1170"/>
      <c r="U178" s="1170"/>
      <c r="V178" s="1170"/>
      <c r="W178" s="1170"/>
      <c r="Y178" s="1171"/>
      <c r="AA178" s="1191"/>
      <c r="AB178" s="1155"/>
      <c r="AF178" s="1173"/>
      <c r="AH178" s="1068"/>
      <c r="AI178" s="1155"/>
      <c r="AJ178" s="1169"/>
      <c r="AK178" s="1062"/>
      <c r="AM178" s="1174"/>
      <c r="AO178" s="1174"/>
      <c r="AQ178" s="1191"/>
      <c r="AR178" s="1155"/>
      <c r="AT178" s="1228"/>
      <c r="AY178" s="1176"/>
      <c r="AZ178" s="1201"/>
      <c r="BA178" s="1201"/>
      <c r="BB178" s="1228"/>
      <c r="BC178" s="1228"/>
      <c r="BD178" s="1228"/>
      <c r="BE178" s="1228"/>
      <c r="BF178" s="1228"/>
      <c r="BH178" s="1175"/>
      <c r="BI178" s="1175"/>
      <c r="BJ178" s="1175"/>
      <c r="BK178" s="1175"/>
      <c r="BL178" s="1175"/>
      <c r="BM178" s="1216">
        <f>BM177/'qtrP&amp;L'!CT14</f>
        <v>0.14768887787961357</v>
      </c>
      <c r="BO178" s="1195"/>
      <c r="BR178" s="1064"/>
      <c r="BS178" s="1064"/>
      <c r="BT178" s="1064"/>
      <c r="BX178" s="1229"/>
      <c r="BY178" s="1229"/>
    </row>
    <row r="179" spans="1:77">
      <c r="A179" s="1166"/>
      <c r="B179" s="1204">
        <f>+B172+1</f>
        <v>2014</v>
      </c>
      <c r="D179" s="1227"/>
      <c r="F179" s="1805"/>
      <c r="H179" s="1230"/>
      <c r="J179" s="1192"/>
      <c r="L179" s="1175"/>
      <c r="N179" s="1068"/>
      <c r="O179" s="1155"/>
      <c r="P179" s="1169"/>
      <c r="Q179" s="1062"/>
      <c r="S179" s="1176"/>
      <c r="T179" s="1170"/>
      <c r="U179" s="1170"/>
      <c r="V179" s="1170"/>
      <c r="W179" s="1170"/>
      <c r="Y179" s="1171"/>
      <c r="AA179" s="1191"/>
      <c r="AB179" s="1155"/>
      <c r="AF179" s="1173"/>
      <c r="AH179" s="1068"/>
      <c r="AI179" s="1155"/>
      <c r="AJ179" s="1169"/>
      <c r="AK179" s="1062"/>
      <c r="AM179" s="1174"/>
      <c r="AO179" s="1174"/>
      <c r="AQ179" s="1191"/>
      <c r="AR179" s="1155"/>
      <c r="AT179" s="1228"/>
      <c r="AY179" s="1059" t="s">
        <v>348</v>
      </c>
      <c r="BA179" s="1228"/>
      <c r="BC179" s="1228"/>
      <c r="BD179" s="1228"/>
      <c r="BE179" s="1228"/>
      <c r="BF179" s="1228"/>
      <c r="BH179" s="1175"/>
      <c r="BI179" s="1175"/>
      <c r="BJ179" s="1175"/>
      <c r="BK179" s="1175"/>
      <c r="BL179" s="1175"/>
      <c r="BM179" s="1175"/>
      <c r="BO179" s="1195"/>
      <c r="BR179" s="1064"/>
      <c r="BS179" s="1064"/>
      <c r="BT179" s="1064"/>
      <c r="BX179" s="1229"/>
      <c r="BY179" s="1229"/>
    </row>
    <row r="180" spans="1:77">
      <c r="A180" s="1045" t="str">
        <f>$A$40</f>
        <v>1Q</v>
      </c>
      <c r="B180" s="1154" t="str">
        <f>$B$40</f>
        <v>Apr</v>
      </c>
      <c r="D180" s="1068">
        <f>(S180/S173-1)*100</f>
        <v>1.2067578439259874</v>
      </c>
      <c r="E180" s="1155" t="s">
        <v>489</v>
      </c>
      <c r="F180" s="1805">
        <v>-1</v>
      </c>
      <c r="G180" s="1155" t="s">
        <v>489</v>
      </c>
      <c r="H180" s="1068">
        <f>D180-F180</f>
        <v>2.2067578439259874</v>
      </c>
      <c r="I180" s="1155" t="s">
        <v>489</v>
      </c>
      <c r="J180" s="1192">
        <f>'Store New'!AP167</f>
        <v>3179</v>
      </c>
      <c r="L180" s="1175">
        <f>AVERAGE(J180,J176)</f>
        <v>3171.5</v>
      </c>
      <c r="N180" s="1068">
        <f>(L180/L173-1)*100</f>
        <v>2.3064516129032153</v>
      </c>
      <c r="O180" s="1155" t="s">
        <v>489</v>
      </c>
      <c r="P180" s="1214">
        <f>(H180/N180)*100</f>
        <v>95.677612813574711</v>
      </c>
      <c r="Q180" s="1062" t="s">
        <v>489</v>
      </c>
      <c r="S180" s="1170">
        <f>'qtrP&amp;L'!CX10</f>
        <v>3774</v>
      </c>
      <c r="T180" s="1170">
        <f>+'qtrP&amp;L'!CX10-qtrSales!BO180</f>
        <v>3199</v>
      </c>
      <c r="U180" s="1170"/>
      <c r="V180" s="1170"/>
      <c r="W180" s="1170"/>
      <c r="Y180" s="1171">
        <f>T180/L180</f>
        <v>1.0086709758789216</v>
      </c>
      <c r="AA180" s="1191">
        <f>(Y180/Y173-1)*100</f>
        <v>-2.8919246824640754</v>
      </c>
      <c r="AB180" s="1155" t="s">
        <v>489</v>
      </c>
      <c r="AD180" s="1185">
        <f>'Store New'!AP172</f>
        <v>37.200000000000003</v>
      </c>
      <c r="AF180" s="1173">
        <f>AVERAGE(AD180,AD176)</f>
        <v>37.200000000000003</v>
      </c>
      <c r="AH180" s="1068">
        <f>(AF180/AF173-1)*100</f>
        <v>0.67658998646820123</v>
      </c>
      <c r="AI180" s="1155" t="s">
        <v>489</v>
      </c>
      <c r="AJ180" s="1169">
        <f>+H180/AH180*100</f>
        <v>326.15880933226049</v>
      </c>
      <c r="AK180" s="1062" t="s">
        <v>489</v>
      </c>
      <c r="AM180" s="1174">
        <f>+T180-BH180</f>
        <v>3121</v>
      </c>
      <c r="AO180" s="1174">
        <f>AM180/AF180</f>
        <v>83.897849462365585</v>
      </c>
      <c r="AQ180" s="1191">
        <f>(AO180/AO173-1)*100</f>
        <v>-1.3359154158367748</v>
      </c>
      <c r="AR180" s="1155"/>
      <c r="AT180" s="1176">
        <f t="shared" ref="AT180:AT184" si="1">AU180</f>
        <v>183</v>
      </c>
      <c r="AU180" s="1175">
        <v>183</v>
      </c>
      <c r="AV180" s="1063">
        <f>AU180/AU173-1</f>
        <v>0.2364864864864864</v>
      </c>
      <c r="AY180" s="1176">
        <f>+S180-AZ180</f>
        <v>0</v>
      </c>
      <c r="AZ180" s="1196">
        <f>+BA180+BD180+BE180+AU180</f>
        <v>3774</v>
      </c>
      <c r="BA180" s="1176">
        <v>1441</v>
      </c>
      <c r="BC180" s="1176"/>
      <c r="BD180" s="1176">
        <v>669</v>
      </c>
      <c r="BE180" s="1176">
        <v>1481</v>
      </c>
      <c r="BF180" s="1176"/>
      <c r="BG180" s="1216">
        <f>AU180/AU173-1</f>
        <v>0.2364864864864864</v>
      </c>
      <c r="BH180" s="1207">
        <v>78</v>
      </c>
      <c r="BI180" s="1207">
        <f>BI176+15-4</f>
        <v>386</v>
      </c>
      <c r="BJ180" s="1221">
        <f>BH180/AVERAGE(BI180,BI176)</f>
        <v>0.2049934296977661</v>
      </c>
      <c r="BK180" s="1216">
        <f>BJ180/BJ173-1</f>
        <v>-0.16557161629434947</v>
      </c>
      <c r="BL180" s="1207"/>
      <c r="BM180" s="1207"/>
      <c r="BO180" s="1231">
        <v>575</v>
      </c>
      <c r="BP180" s="1064">
        <f>BO180/BO173-1</f>
        <v>0.12966601178781922</v>
      </c>
      <c r="BR180" s="1175">
        <v>0</v>
      </c>
      <c r="BS180" s="1175">
        <v>0</v>
      </c>
      <c r="BT180" s="1175">
        <v>0</v>
      </c>
      <c r="BX180" s="1229"/>
      <c r="BY180" s="1229"/>
    </row>
    <row r="181" spans="1:77">
      <c r="A181" s="1045" t="str">
        <f>$A$41</f>
        <v>2Q</v>
      </c>
      <c r="B181" s="1154" t="str">
        <f>$B$41</f>
        <v>Jul</v>
      </c>
      <c r="D181" s="1068">
        <f>(S181/S174-1)*100</f>
        <v>2.9214064115822058</v>
      </c>
      <c r="F181" s="1805">
        <v>0</v>
      </c>
      <c r="H181" s="1068">
        <f>D181-F181</f>
        <v>2.9214064115822058</v>
      </c>
      <c r="J181" s="1192">
        <f>'Store New'!AQ167</f>
        <v>3200</v>
      </c>
      <c r="L181" s="1175">
        <f>AVERAGE(J181,J180)</f>
        <v>3189.5</v>
      </c>
      <c r="N181" s="1068">
        <f>(L181/L174-1)*100</f>
        <v>2.7048784414748006</v>
      </c>
      <c r="O181" s="1155"/>
      <c r="P181" s="1214">
        <f>(H181/N181)*100</f>
        <v>108.00509060914938</v>
      </c>
      <c r="Q181" s="1062"/>
      <c r="S181" s="1176">
        <f>'qtrP&amp;L'!CX11</f>
        <v>3981</v>
      </c>
      <c r="T181" s="1176">
        <f>+'qtrP&amp;L'!CX11-qtrSales!BO181</f>
        <v>3466</v>
      </c>
      <c r="U181" s="1176"/>
      <c r="V181" s="1176"/>
      <c r="W181" s="1176"/>
      <c r="Y181" s="1177">
        <f>T181/L181</f>
        <v>1.0866907038720803</v>
      </c>
      <c r="AA181" s="1191">
        <f>(Y181/Y174-1)*100</f>
        <v>-0.8019405974501681</v>
      </c>
      <c r="AB181" s="1155"/>
      <c r="AD181" s="1185">
        <f>'Store New'!AQ172</f>
        <v>37.4</v>
      </c>
      <c r="AF181" s="1173">
        <f>AVERAGE(AD181,AD180)</f>
        <v>37.299999999999997</v>
      </c>
      <c r="AH181" s="1068">
        <f>(AF181/AF174-1)*100</f>
        <v>1.084010840108407</v>
      </c>
      <c r="AI181" s="1155"/>
      <c r="AJ181" s="1169">
        <f>+H181/AH181*100</f>
        <v>269.49974146845699</v>
      </c>
      <c r="AK181" s="1062"/>
      <c r="AM181" s="1178">
        <f>+T181-BH181</f>
        <v>3374</v>
      </c>
      <c r="AO181" s="1178">
        <f>AM181/AF181</f>
        <v>90.455764075067037</v>
      </c>
      <c r="AQ181" s="1191">
        <f>(AO181/AO174-1)*100</f>
        <v>0.59727831133133957</v>
      </c>
      <c r="AR181" s="1155"/>
      <c r="AT181" s="1176">
        <f t="shared" si="1"/>
        <v>186</v>
      </c>
      <c r="AU181" s="1175">
        <v>186</v>
      </c>
      <c r="AV181" s="1063">
        <f t="shared" ref="AV181:AV184" si="2">AU181/AU174-1</f>
        <v>8.7719298245614086E-2</v>
      </c>
      <c r="AY181" s="1176">
        <f>+S181-AZ181</f>
        <v>0</v>
      </c>
      <c r="AZ181" s="1196">
        <f>+BA181+BD181+BE181+AU181</f>
        <v>3981</v>
      </c>
      <c r="BA181" s="1176">
        <v>1469</v>
      </c>
      <c r="BC181" s="1176"/>
      <c r="BD181" s="1176">
        <v>704</v>
      </c>
      <c r="BE181" s="1176">
        <v>1622</v>
      </c>
      <c r="BF181" s="1176"/>
      <c r="BG181" s="1216">
        <f>AU181/AU174-1</f>
        <v>8.7719298245614086E-2</v>
      </c>
      <c r="BH181" s="1207">
        <v>92</v>
      </c>
      <c r="BI181" s="1207">
        <f>BI180+10-2</f>
        <v>394</v>
      </c>
      <c r="BJ181" s="1221">
        <f>BH181/AVERAGE(BI181,BI177)</f>
        <v>0.23927178153446033</v>
      </c>
      <c r="BK181" s="1216">
        <f>BJ181/BJ174-1</f>
        <v>-5.8579478605486401E-2</v>
      </c>
      <c r="BL181" s="1207"/>
      <c r="BM181" s="1207"/>
      <c r="BO181" s="1231">
        <v>515</v>
      </c>
      <c r="BP181" s="1064">
        <f>BO181/BO174-1</f>
        <v>0.10515021459227469</v>
      </c>
      <c r="BQ181" s="1064"/>
      <c r="BR181" s="1175">
        <v>0</v>
      </c>
      <c r="BS181" s="1175">
        <v>0</v>
      </c>
      <c r="BT181" s="1175">
        <v>0</v>
      </c>
      <c r="BX181" s="1229"/>
      <c r="BY181" s="1229"/>
    </row>
    <row r="182" spans="1:77">
      <c r="A182" s="1045" t="str">
        <f>$A$42</f>
        <v>3Q</v>
      </c>
      <c r="B182" s="1154" t="str">
        <f>$B$42</f>
        <v>Oct</v>
      </c>
      <c r="D182" s="1068">
        <f>(S182/S175-1)*100</f>
        <v>-0.1006036217303774</v>
      </c>
      <c r="F182" s="1805">
        <v>-2</v>
      </c>
      <c r="H182" s="1068">
        <f>D182-F182</f>
        <v>1.8993963782696226</v>
      </c>
      <c r="J182" s="1192">
        <f>'Store New'!AR167</f>
        <v>3266</v>
      </c>
      <c r="L182" s="1175">
        <f>AVERAGE(J182,J181)</f>
        <v>3233</v>
      </c>
      <c r="N182" s="1068">
        <f>(L182/L175-1)*100</f>
        <v>3.1918289179700077</v>
      </c>
      <c r="O182" s="1155"/>
      <c r="P182" s="1214">
        <f>(H182/N182)*100</f>
        <v>59.508088531187077</v>
      </c>
      <c r="Q182" s="1062"/>
      <c r="S182" s="1176">
        <f>'qtrP&amp;L'!CX12</f>
        <v>3972</v>
      </c>
      <c r="T182" s="1176">
        <f>+'qtrP&amp;L'!CX12-qtrSales!BO182</f>
        <v>3351</v>
      </c>
      <c r="U182" s="1176"/>
      <c r="V182" s="1176"/>
      <c r="W182" s="1176"/>
      <c r="Y182" s="1177">
        <f>T182/L182</f>
        <v>1.0364986081039282</v>
      </c>
      <c r="AA182" s="1191">
        <f>(Y182/Y175-1)*100</f>
        <v>-4.1231136938409403</v>
      </c>
      <c r="AB182" s="1155"/>
      <c r="AD182" s="1185">
        <f>'Store New'!AR172</f>
        <v>38</v>
      </c>
      <c r="AF182" s="1173">
        <f>AVERAGE(AD182,AD181)</f>
        <v>37.700000000000003</v>
      </c>
      <c r="AH182" s="1068">
        <f>(AF182/AF175-1)*100</f>
        <v>1.8918918918918948</v>
      </c>
      <c r="AI182" s="1155"/>
      <c r="AJ182" s="1169">
        <f>+H182/AH182*100</f>
        <v>100.39666570853704</v>
      </c>
      <c r="AK182" s="1062"/>
      <c r="AM182" s="1178">
        <f>+T182-BH182</f>
        <v>3250</v>
      </c>
      <c r="AO182" s="1178">
        <f>AM182/AF182</f>
        <v>86.206896551724128</v>
      </c>
      <c r="AQ182" s="1191">
        <f>(AO182/AO175-1)*100</f>
        <v>-2.8136754291958388</v>
      </c>
      <c r="AR182" s="1155"/>
      <c r="AT182" s="1176">
        <f t="shared" si="1"/>
        <v>153</v>
      </c>
      <c r="AU182" s="1175">
        <v>153</v>
      </c>
      <c r="AV182" s="1063">
        <f t="shared" si="2"/>
        <v>-1.9230769230769273E-2</v>
      </c>
      <c r="AY182" s="1176">
        <f>+S182-AZ182</f>
        <v>0</v>
      </c>
      <c r="AZ182" s="1196">
        <f>+BA182+BD182+BE182+AU182</f>
        <v>3972</v>
      </c>
      <c r="BA182" s="1176">
        <v>1555</v>
      </c>
      <c r="BC182" s="1176"/>
      <c r="BD182" s="1176">
        <v>706</v>
      </c>
      <c r="BE182" s="1176">
        <v>1558</v>
      </c>
      <c r="BF182" s="1176"/>
      <c r="BG182" s="1216">
        <f>AU182/AU175-1</f>
        <v>-1.9230769230769273E-2</v>
      </c>
      <c r="BH182" s="1207">
        <v>101</v>
      </c>
      <c r="BI182" s="1207">
        <v>414</v>
      </c>
      <c r="BJ182" s="1221">
        <f>BH182/AVERAGE(BI182,BI178)</f>
        <v>0.24396135265700483</v>
      </c>
      <c r="BK182" s="1216">
        <f>BJ182/BJ175-1</f>
        <v>-0.19492753623188408</v>
      </c>
      <c r="BL182" s="1207"/>
      <c r="BM182" s="1207"/>
      <c r="BO182" s="1231">
        <v>621</v>
      </c>
      <c r="BP182" s="1064">
        <f>BO182/BO175-1</f>
        <v>5.4329371816638439E-2</v>
      </c>
      <c r="BQ182" s="1064"/>
      <c r="BR182" s="1175">
        <v>0</v>
      </c>
      <c r="BS182" s="1175">
        <v>0</v>
      </c>
      <c r="BT182" s="1175">
        <v>0</v>
      </c>
      <c r="BX182" s="1229"/>
      <c r="BY182" s="1229"/>
    </row>
    <row r="183" spans="1:77">
      <c r="A183" s="1045" t="str">
        <f>$A$43</f>
        <v>4Q</v>
      </c>
      <c r="B183" s="1154" t="str">
        <f>$B$43</f>
        <v>Jan</v>
      </c>
      <c r="D183" s="1179">
        <f>(S183/S176-1)*100</f>
        <v>2.9071038251366144</v>
      </c>
      <c r="F183" s="1425">
        <v>2</v>
      </c>
      <c r="H183" s="1179">
        <f>D183-F183</f>
        <v>0.90710382513661436</v>
      </c>
      <c r="J183" s="1192">
        <f>'Store New'!AS167</f>
        <v>3280</v>
      </c>
      <c r="L183" s="1182">
        <f>AVERAGE(J183,J182)</f>
        <v>3273</v>
      </c>
      <c r="N183" s="1179">
        <f>(L183/L176-1)*100</f>
        <v>3.5104364326375759</v>
      </c>
      <c r="O183" s="1155"/>
      <c r="P183" s="1218">
        <f>(H183/N183)*100</f>
        <v>25.840200856594329</v>
      </c>
      <c r="Q183" s="1062"/>
      <c r="S183" s="1183">
        <f>'qtrP&amp;L'!CX13</f>
        <v>4708</v>
      </c>
      <c r="T183" s="1183">
        <f>+'qtrP&amp;L'!CX13-qtrSales!BO183</f>
        <v>3916</v>
      </c>
      <c r="U183" s="1197"/>
      <c r="V183" s="1197"/>
      <c r="W183" s="1197"/>
      <c r="Y183" s="1184">
        <f>T183/L183</f>
        <v>1.1964558509013137</v>
      </c>
      <c r="AA183" s="1180">
        <f>(Y183/Y176-1)*100</f>
        <v>-2.419566661079342</v>
      </c>
      <c r="AB183" s="1155"/>
      <c r="AD183" s="1185">
        <f>'Store New'!AS172</f>
        <v>38.1</v>
      </c>
      <c r="AF183" s="1186">
        <f>AVERAGE(AD183,AD182)</f>
        <v>38.049999999999997</v>
      </c>
      <c r="AH183" s="1179">
        <f>(AF183/AF176-1)*100</f>
        <v>2.2849462365591267</v>
      </c>
      <c r="AI183" s="1155"/>
      <c r="AJ183" s="1182">
        <f>+H183/AH183*100</f>
        <v>39.699132111861466</v>
      </c>
      <c r="AK183" s="1062"/>
      <c r="AM183" s="1187">
        <f>+T183-BH183</f>
        <v>3824</v>
      </c>
      <c r="AO183" s="1187">
        <f>AM183/AF183</f>
        <v>100.49934296977662</v>
      </c>
      <c r="AQ183" s="1180">
        <f>(AO183/AO176-1)*100</f>
        <v>-1.2265374246845262</v>
      </c>
      <c r="AR183" s="1155"/>
      <c r="AT183" s="1176">
        <f t="shared" si="1"/>
        <v>207</v>
      </c>
      <c r="AU183" s="1175">
        <v>207</v>
      </c>
      <c r="AV183" s="1063">
        <f t="shared" si="2"/>
        <v>5.6122448979591733E-2</v>
      </c>
      <c r="AY183" s="1176">
        <f>+S183-AZ183</f>
        <v>0</v>
      </c>
      <c r="AZ183" s="1226">
        <f>+BA183+BD183+BE183+AU183</f>
        <v>4708</v>
      </c>
      <c r="BA183" s="1176">
        <v>1700</v>
      </c>
      <c r="BC183" s="1176"/>
      <c r="BD183" s="1176">
        <v>843</v>
      </c>
      <c r="BE183" s="1176">
        <v>1958</v>
      </c>
      <c r="BF183" s="1176"/>
      <c r="BG183" s="1216">
        <f>AU183/AU176-1</f>
        <v>5.6122448979591733E-2</v>
      </c>
      <c r="BH183" s="1178">
        <f>BH176*(1+BK183)</f>
        <v>92</v>
      </c>
      <c r="BI183" s="1207">
        <v>429</v>
      </c>
      <c r="BJ183" s="1207"/>
      <c r="BK183" s="1232">
        <v>0</v>
      </c>
      <c r="BL183" s="1207"/>
      <c r="BM183" s="1207"/>
      <c r="BO183" s="1231">
        <v>792</v>
      </c>
      <c r="BP183" s="1064">
        <f>BO183/BO176-1</f>
        <v>0.13467048710601714</v>
      </c>
      <c r="BR183" s="1175">
        <v>0</v>
      </c>
      <c r="BS183" s="1175">
        <v>0</v>
      </c>
      <c r="BT183" s="1175">
        <v>0</v>
      </c>
      <c r="BX183" s="1229"/>
      <c r="BY183" s="1229"/>
    </row>
    <row r="184" spans="1:77">
      <c r="B184" s="1154" t="str">
        <f>$B$44</f>
        <v>Year</v>
      </c>
      <c r="D184" s="1068">
        <f>(S184/S177-1)*100</f>
        <v>1.7773098835769163</v>
      </c>
      <c r="F184" s="1805">
        <v>-0.14006693033160933</v>
      </c>
      <c r="H184" s="1068">
        <f>D184-F184</f>
        <v>1.9173768139085257</v>
      </c>
      <c r="J184" s="1192"/>
      <c r="L184" s="1175">
        <f>AVERAGE(L180:L183)</f>
        <v>3216.75</v>
      </c>
      <c r="N184" s="1068">
        <f>(L184/L177-1)*100</f>
        <v>2.931882724691004</v>
      </c>
      <c r="O184" s="1155"/>
      <c r="P184" s="1169">
        <f>H184/N184*100</f>
        <v>65.397459378618265</v>
      </c>
      <c r="Q184" s="1062"/>
      <c r="S184" s="1170">
        <f>SUM(S180:S183)</f>
        <v>16435</v>
      </c>
      <c r="T184" s="1170">
        <f>SUM(T180:T183)</f>
        <v>13932</v>
      </c>
      <c r="U184" s="1170"/>
      <c r="V184" s="1170"/>
      <c r="W184" s="1170"/>
      <c r="Y184" s="1171">
        <f>SUM(Y180:Y183)</f>
        <v>4.328316138756243</v>
      </c>
      <c r="AA184" s="1191">
        <f>(Y184/Y177-1)*100</f>
        <v>-2.5457054710331883</v>
      </c>
      <c r="AB184" s="1155"/>
      <c r="AF184" s="1173">
        <f>AVERAGE(AF180:AF183)</f>
        <v>37.5625</v>
      </c>
      <c r="AH184" s="1068">
        <f>(AF184/AF177-1)*100</f>
        <v>1.4859844647078679</v>
      </c>
      <c r="AI184" s="1155"/>
      <c r="AJ184" s="1169">
        <f>+H184/AH184*100</f>
        <v>129.03074422688974</v>
      </c>
      <c r="AK184" s="1062"/>
      <c r="AM184" s="1174">
        <f>SUM(AM180:AM183)</f>
        <v>13569</v>
      </c>
      <c r="AO184" s="1174">
        <f>SUM(AO180:AO183)</f>
        <v>361.05985305893341</v>
      </c>
      <c r="AQ184" s="1191">
        <f>(AO184/AO177-1)*100</f>
        <v>-1.1884674145420271</v>
      </c>
      <c r="AR184" s="1155"/>
      <c r="AT184" s="1176">
        <f t="shared" si="1"/>
        <v>729</v>
      </c>
      <c r="AU184" s="1175">
        <v>729</v>
      </c>
      <c r="AV184" s="1063">
        <f t="shared" si="2"/>
        <v>8.4821428571428603E-2</v>
      </c>
      <c r="AY184" s="1176">
        <f>+S184-AZ184</f>
        <v>0</v>
      </c>
      <c r="AZ184" s="1200">
        <f>+BA184+BD184+BE184+AU184</f>
        <v>16435</v>
      </c>
      <c r="BA184" s="1176">
        <v>6165</v>
      </c>
      <c r="BC184" s="1176"/>
      <c r="BD184" s="1176">
        <v>2922</v>
      </c>
      <c r="BE184" s="1176">
        <v>6619</v>
      </c>
      <c r="BF184" s="1176"/>
      <c r="BG184" s="1216">
        <f>AU184/AU177-1</f>
        <v>8.4821428571428603E-2</v>
      </c>
      <c r="BH184" s="1178">
        <f>SUM(BH180:BH183)</f>
        <v>363</v>
      </c>
      <c r="BI184" s="1175"/>
      <c r="BJ184" s="1175"/>
      <c r="BK184" s="1216">
        <f>BH184/BH177-1</f>
        <v>1.1142061281337101E-2</v>
      </c>
      <c r="BL184" s="1175"/>
      <c r="BM184" s="1175"/>
      <c r="BO184" s="1195">
        <f>SUM(BO180:BO183)</f>
        <v>2503</v>
      </c>
      <c r="BP184" s="1064">
        <f>BO184/BO177-1</f>
        <v>0.10654288240495147</v>
      </c>
      <c r="BQ184" s="1064">
        <f>+BO184/AZ184</f>
        <v>0.15229692728932157</v>
      </c>
      <c r="BR184" s="1175">
        <v>0</v>
      </c>
      <c r="BS184" s="1175">
        <v>0</v>
      </c>
      <c r="BT184" s="1175">
        <v>0</v>
      </c>
      <c r="BX184" s="1229"/>
      <c r="BY184" s="1229"/>
    </row>
    <row r="185" spans="1:77">
      <c r="B185" s="1154"/>
      <c r="D185" s="1227"/>
      <c r="F185" s="1805"/>
      <c r="H185" s="1230"/>
      <c r="J185" s="1192"/>
      <c r="L185" s="1175"/>
      <c r="N185" s="1068"/>
      <c r="O185" s="1155"/>
      <c r="P185" s="1169"/>
      <c r="Q185" s="1062"/>
      <c r="S185" s="1197"/>
      <c r="T185" s="1170"/>
      <c r="U185" s="1170"/>
      <c r="V185" s="1170"/>
      <c r="W185" s="1170"/>
      <c r="Y185" s="1171"/>
      <c r="AA185" s="1191"/>
      <c r="AB185" s="1155"/>
      <c r="AF185" s="1173"/>
      <c r="AH185" s="1068"/>
      <c r="AI185" s="1155"/>
      <c r="AJ185" s="1169"/>
      <c r="AK185" s="1062"/>
      <c r="AM185" s="1174"/>
      <c r="AO185" s="1174"/>
      <c r="AQ185" s="1191"/>
      <c r="AR185" s="1155"/>
      <c r="AT185" s="1228"/>
      <c r="AY185" s="1176"/>
      <c r="AZ185" s="1201"/>
      <c r="BA185" s="1201"/>
      <c r="BB185" s="1228"/>
      <c r="BC185" s="1228"/>
      <c r="BD185" s="1228"/>
      <c r="BE185" s="1228"/>
      <c r="BF185" s="1228"/>
      <c r="BH185" s="1175"/>
      <c r="BI185" s="1175"/>
      <c r="BJ185" s="1175"/>
      <c r="BK185" s="1175"/>
      <c r="BL185" s="1175"/>
      <c r="BM185" s="1175"/>
      <c r="BO185" s="1195"/>
      <c r="BR185" s="1064"/>
      <c r="BS185" s="1064"/>
      <c r="BT185" s="1064"/>
      <c r="BX185" s="1229"/>
      <c r="BY185" s="1229"/>
    </row>
    <row r="186" spans="1:77">
      <c r="A186" s="1166"/>
      <c r="B186" s="1204">
        <f>+B179+1</f>
        <v>2015</v>
      </c>
      <c r="D186" s="1227"/>
      <c r="F186" s="1805"/>
      <c r="H186" s="1230"/>
      <c r="J186" s="1192"/>
      <c r="L186" s="1175"/>
      <c r="N186" s="1068"/>
      <c r="O186" s="1155"/>
      <c r="P186" s="1169"/>
      <c r="Q186" s="1062"/>
      <c r="S186" s="1176"/>
      <c r="T186" s="1170"/>
      <c r="U186" s="1170"/>
      <c r="V186" s="1170"/>
      <c r="W186" s="1170"/>
      <c r="Y186" s="1171"/>
      <c r="AA186" s="1191"/>
      <c r="AB186" s="1155"/>
      <c r="AF186" s="1173"/>
      <c r="AH186" s="1068"/>
      <c r="AI186" s="1155"/>
      <c r="AJ186" s="1169"/>
      <c r="AK186" s="1062"/>
      <c r="AM186" s="1174"/>
      <c r="AO186" s="1174"/>
      <c r="AQ186" s="1191"/>
      <c r="AR186" s="1155"/>
      <c r="AT186" s="1228"/>
      <c r="AY186" s="1059" t="s">
        <v>348</v>
      </c>
      <c r="BA186" s="1228"/>
      <c r="BC186" s="1228"/>
      <c r="BD186" s="1228"/>
      <c r="BE186" s="1228"/>
      <c r="BF186" s="1228"/>
      <c r="BH186" s="1175"/>
      <c r="BI186" s="1175"/>
      <c r="BJ186" s="1175"/>
      <c r="BK186" s="1175"/>
      <c r="BL186" s="1175"/>
      <c r="BM186" s="1175"/>
      <c r="BO186" s="1195"/>
      <c r="BR186" s="1064"/>
      <c r="BS186" s="1064"/>
      <c r="BT186" s="1064"/>
      <c r="BX186" s="1229"/>
      <c r="BY186" s="1229"/>
    </row>
    <row r="187" spans="1:77">
      <c r="A187" s="1045" t="str">
        <f>$A$40</f>
        <v>1Q</v>
      </c>
      <c r="B187" s="1154" t="str">
        <f>$B$40</f>
        <v>Apr</v>
      </c>
      <c r="D187" s="1227">
        <f>(S187/S180-1)*100</f>
        <v>-3.1001589825119247</v>
      </c>
      <c r="E187" s="1155" t="s">
        <v>489</v>
      </c>
      <c r="F187" s="1805">
        <v>-4</v>
      </c>
      <c r="G187" s="1155" t="s">
        <v>489</v>
      </c>
      <c r="H187" s="1068">
        <f>D187-F187</f>
        <v>0.89984101748807532</v>
      </c>
      <c r="I187" s="1155" t="s">
        <v>489</v>
      </c>
      <c r="J187" s="1192">
        <f>'Store New'!AT167</f>
        <v>3309</v>
      </c>
      <c r="L187" s="1175">
        <f>AVERAGE(J187,J183)</f>
        <v>3294.5</v>
      </c>
      <c r="N187" s="1068">
        <f>(L187/L180-1)*100</f>
        <v>3.8782910294813178</v>
      </c>
      <c r="O187" s="1155" t="s">
        <v>489</v>
      </c>
      <c r="P187" s="1214">
        <f>IFERROR((H187/N187)*100,"NM")</f>
        <v>23.201998267995375</v>
      </c>
      <c r="Q187" s="1062" t="s">
        <v>489</v>
      </c>
      <c r="S187" s="1170">
        <f>'qtrP&amp;L'!DB10</f>
        <v>3657</v>
      </c>
      <c r="T187" s="1170">
        <f>'qtrP&amp;L'!DB10-qtrSales!BO187</f>
        <v>3094</v>
      </c>
      <c r="U187" s="1170"/>
      <c r="V187" s="1170"/>
      <c r="W187" s="1170"/>
      <c r="Y187" s="1171">
        <f>T187/L187</f>
        <v>0.93914099256336314</v>
      </c>
      <c r="AA187" s="1191">
        <f>(Y187/Y180-1)*100</f>
        <v>-6.8932273237040871</v>
      </c>
      <c r="AB187" s="1155" t="s">
        <v>489</v>
      </c>
      <c r="AD187" s="1185">
        <f>'Store New'!AT172</f>
        <v>38.299999999999997</v>
      </c>
      <c r="AF187" s="1173">
        <f>AVERAGE(AD187,AD183)</f>
        <v>38.200000000000003</v>
      </c>
      <c r="AH187" s="1068">
        <f>(AF187/AF180-1)*100</f>
        <v>2.6881720430107503</v>
      </c>
      <c r="AI187" s="1155" t="s">
        <v>489</v>
      </c>
      <c r="AJ187" s="1169">
        <f>IFERROR(+H187/AH187*100,"NM")</f>
        <v>33.474085850556435</v>
      </c>
      <c r="AK187" s="1062" t="s">
        <v>489</v>
      </c>
      <c r="AM187" s="1174">
        <f>+T187-BH187</f>
        <v>3094</v>
      </c>
      <c r="AO187" s="1174">
        <f>AM187/AF187</f>
        <v>80.994764397905755</v>
      </c>
      <c r="AQ187" s="1191">
        <f>(AO187/AO180-1)*100</f>
        <v>-3.4602615955753202</v>
      </c>
      <c r="AR187" s="1155"/>
      <c r="AT187" s="1176">
        <f t="shared" ref="AT187:AT191" si="3">AU187</f>
        <v>176</v>
      </c>
      <c r="AU187" s="1175">
        <v>176</v>
      </c>
      <c r="AV187" s="1063">
        <f>AU187/AU180-1</f>
        <v>-3.8251366120218622E-2</v>
      </c>
      <c r="AY187" s="1176">
        <f>+S187-AZ187</f>
        <v>0</v>
      </c>
      <c r="AZ187" s="1196">
        <f>+BA187+BD187+BE187+AU187</f>
        <v>3657</v>
      </c>
      <c r="BA187" s="1176">
        <v>1308</v>
      </c>
      <c r="BC187" s="1176"/>
      <c r="BD187" s="1176">
        <v>621</v>
      </c>
      <c r="BE187" s="1176">
        <v>1552</v>
      </c>
      <c r="BF187" s="1176"/>
      <c r="BG187" s="1216">
        <f>AU187/AU180-1</f>
        <v>-3.8251366120218622E-2</v>
      </c>
      <c r="BH187" s="1207"/>
      <c r="BI187" s="1207">
        <v>440</v>
      </c>
      <c r="BJ187" s="1221"/>
      <c r="BK187" s="1216"/>
      <c r="BL187" s="1207"/>
      <c r="BM187" s="1207"/>
      <c r="BO187" s="1231">
        <v>563</v>
      </c>
      <c r="BP187" s="1064">
        <f>BO187/BO180-1</f>
        <v>-2.086956521739125E-2</v>
      </c>
      <c r="BR187" s="1175">
        <v>0</v>
      </c>
      <c r="BS187" s="1175">
        <v>0</v>
      </c>
      <c r="BT187" s="1175">
        <v>0</v>
      </c>
      <c r="BX187" s="1229"/>
      <c r="BY187" s="1229"/>
    </row>
    <row r="188" spans="1:77">
      <c r="A188" s="1045" t="str">
        <f>$A$41</f>
        <v>2Q</v>
      </c>
      <c r="B188" s="1154" t="str">
        <f>$B$41</f>
        <v>Jul</v>
      </c>
      <c r="D188" s="1068">
        <f>(S188/S181-1)*100</f>
        <v>-2.084903290630491</v>
      </c>
      <c r="F188" s="1805">
        <v>-2</v>
      </c>
      <c r="H188" s="1068">
        <f>D188-F188</f>
        <v>-8.4903290630490957E-2</v>
      </c>
      <c r="J188" s="1192">
        <f>'Store New'!AU167</f>
        <v>3309</v>
      </c>
      <c r="L188" s="1175">
        <f>AVERAGE(J188,J187)</f>
        <v>3309</v>
      </c>
      <c r="N188" s="1068">
        <f>(L188/L181-1)*100</f>
        <v>3.7466687568584511</v>
      </c>
      <c r="O188" s="1155"/>
      <c r="P188" s="1214">
        <f>IFERROR((H188/N188)*100,"NM")</f>
        <v>-2.2661007988782447</v>
      </c>
      <c r="Q188" s="1062"/>
      <c r="S188" s="1176">
        <f>'qtrP&amp;L'!DB11</f>
        <v>3898</v>
      </c>
      <c r="T188" s="1176">
        <f>'qtrP&amp;L'!DB11-qtrSales!BO188</f>
        <v>3383</v>
      </c>
      <c r="U188" s="1176"/>
      <c r="V188" s="1176"/>
      <c r="W188" s="1176"/>
      <c r="Y188" s="1177">
        <f>T188/L188</f>
        <v>1.0223632517376851</v>
      </c>
      <c r="AA188" s="1191">
        <f>(Y188/Y181-1)*100</f>
        <v>-5.9195732424308645</v>
      </c>
      <c r="AB188" s="1155"/>
      <c r="AD188" s="1185">
        <f>'Store New'!AU172</f>
        <v>38.200000000000003</v>
      </c>
      <c r="AF188" s="1173">
        <f>AVERAGE(AD188,AD187)</f>
        <v>38.25</v>
      </c>
      <c r="AH188" s="1068">
        <f>(AF188/AF181-1)*100</f>
        <v>2.5469168900804418</v>
      </c>
      <c r="AI188" s="1155"/>
      <c r="AJ188" s="1169">
        <f>IFERROR(+H188/AH188*100,"NM")</f>
        <v>-3.333571305807681</v>
      </c>
      <c r="AK188" s="1062"/>
      <c r="AM188" s="1178">
        <f>+T188-BH188</f>
        <v>3383</v>
      </c>
      <c r="AO188" s="1178">
        <f>AM188/AF188</f>
        <v>88.444444444444443</v>
      </c>
      <c r="AQ188" s="1191">
        <f>(AO188/AO181-1)*100</f>
        <v>-2.2235394849502876</v>
      </c>
      <c r="AR188" s="1155"/>
      <c r="AT188" s="1176">
        <f t="shared" si="3"/>
        <v>178</v>
      </c>
      <c r="AU188" s="1175">
        <v>178</v>
      </c>
      <c r="AV188" s="1063">
        <f t="shared" ref="AV188:AV191" si="4">AU188/AU181-1</f>
        <v>-4.3010752688172005E-2</v>
      </c>
      <c r="AY188" s="1176">
        <f>+S188-AZ188</f>
        <v>0</v>
      </c>
      <c r="AZ188" s="1196">
        <f>+BA188+BD188+BE188+AU188</f>
        <v>3898</v>
      </c>
      <c r="BA188" s="1176">
        <v>1368</v>
      </c>
      <c r="BC188" s="1176"/>
      <c r="BD188" s="1176">
        <v>677</v>
      </c>
      <c r="BE188" s="1176">
        <v>1675</v>
      </c>
      <c r="BF188" s="1176"/>
      <c r="BG188" s="1216">
        <f>AU188/AU181-1</f>
        <v>-4.3010752688172005E-2</v>
      </c>
      <c r="BH188" s="1207"/>
      <c r="BI188" s="1207">
        <v>442</v>
      </c>
      <c r="BJ188" s="1221"/>
      <c r="BK188" s="1216"/>
      <c r="BL188" s="1207"/>
      <c r="BM188" s="1207"/>
      <c r="BO188" s="1231">
        <v>515</v>
      </c>
      <c r="BP188" s="1064">
        <f>BO188/BO181-1</f>
        <v>0</v>
      </c>
      <c r="BQ188" s="1064"/>
      <c r="BR188" s="1175">
        <v>0</v>
      </c>
      <c r="BS188" s="1175">
        <v>0</v>
      </c>
      <c r="BT188" s="1175">
        <v>0</v>
      </c>
      <c r="BX188" s="1229"/>
      <c r="BY188" s="1229"/>
    </row>
    <row r="189" spans="1:77">
      <c r="A189" s="1045" t="str">
        <f>$A$42</f>
        <v>3Q</v>
      </c>
      <c r="B189" s="1154" t="str">
        <f>$B$42</f>
        <v>Oct</v>
      </c>
      <c r="D189" s="1068">
        <f>(S189/S182-1)*100</f>
        <v>-2.8952668680765403</v>
      </c>
      <c r="F189" s="1805">
        <v>-2</v>
      </c>
      <c r="H189" s="1068">
        <f>D189-F189</f>
        <v>-0.89526686807654032</v>
      </c>
      <c r="J189" s="1192">
        <f>'Store New'!AV167</f>
        <v>3346</v>
      </c>
      <c r="L189" s="1175">
        <f>AVERAGE(J189,J188)</f>
        <v>3327.5</v>
      </c>
      <c r="N189" s="1068">
        <f>(L189/L182-1)*100</f>
        <v>2.922981750695941</v>
      </c>
      <c r="O189" s="1155"/>
      <c r="P189" s="1214">
        <f>IFERROR((H189/N189)*100,"NM")</f>
        <v>-30.628547984036629</v>
      </c>
      <c r="Q189" s="1062"/>
      <c r="S189" s="1176">
        <f>'qtrP&amp;L'!DB12</f>
        <v>3857</v>
      </c>
      <c r="T189" s="1176">
        <f>'qtrP&amp;L'!DB12-qtrSales!BO189</f>
        <v>3222</v>
      </c>
      <c r="U189" s="1176"/>
      <c r="V189" s="1176"/>
      <c r="W189" s="1176"/>
      <c r="Y189" s="1177">
        <f>T189/L189</f>
        <v>0.96829451540195344</v>
      </c>
      <c r="AA189" s="1191">
        <f>(Y189/Y182-1)*100</f>
        <v>-6.5802396808560033</v>
      </c>
      <c r="AB189" s="1155"/>
      <c r="AD189" s="1185">
        <f>'Store New'!AV172</f>
        <v>38.6</v>
      </c>
      <c r="AF189" s="1173">
        <f>AVERAGE(AD189,AD188)</f>
        <v>38.400000000000006</v>
      </c>
      <c r="AH189" s="1068">
        <f>(AF189/AF182-1)*100</f>
        <v>1.8567639257294433</v>
      </c>
      <c r="AI189" s="1155"/>
      <c r="AJ189" s="1169">
        <f>IFERROR(+H189/AH189*100,"NM")</f>
        <v>-48.216515609265095</v>
      </c>
      <c r="AK189" s="1062"/>
      <c r="AM189" s="1178">
        <f>+T189-BH189</f>
        <v>3222</v>
      </c>
      <c r="AO189" s="1178">
        <f>AM189/AF189</f>
        <v>83.906249999999986</v>
      </c>
      <c r="AQ189" s="1191">
        <f>(AO189/AO182-1)*100</f>
        <v>-2.6687500000000086</v>
      </c>
      <c r="AR189" s="1155"/>
      <c r="AT189" s="1176">
        <f t="shared" si="3"/>
        <v>159</v>
      </c>
      <c r="AU189" s="1175">
        <v>159</v>
      </c>
      <c r="AV189" s="1063">
        <f t="shared" si="4"/>
        <v>3.9215686274509887E-2</v>
      </c>
      <c r="AY189" s="1176">
        <f>+S189-AZ189</f>
        <v>0</v>
      </c>
      <c r="AZ189" s="1196">
        <f>+BA189+BD189+BE189+AU189</f>
        <v>3857</v>
      </c>
      <c r="BA189" s="1176">
        <v>1448</v>
      </c>
      <c r="BC189" s="1176"/>
      <c r="BD189" s="1176">
        <v>627</v>
      </c>
      <c r="BE189" s="1176">
        <v>1623</v>
      </c>
      <c r="BF189" s="1176"/>
      <c r="BG189" s="1216">
        <f>AU189/AU182-1</f>
        <v>3.9215686274509887E-2</v>
      </c>
      <c r="BH189" s="1207"/>
      <c r="BI189" s="1207"/>
      <c r="BJ189" s="1207"/>
      <c r="BK189" s="1232"/>
      <c r="BL189" s="1207"/>
      <c r="BM189" s="1207"/>
      <c r="BO189" s="1231">
        <v>635</v>
      </c>
      <c r="BP189" s="1064">
        <f>BO189/BO182-1</f>
        <v>2.2544283413848731E-2</v>
      </c>
      <c r="BQ189" s="1064"/>
      <c r="BR189" s="1175">
        <v>0</v>
      </c>
      <c r="BS189" s="1175">
        <v>0</v>
      </c>
      <c r="BT189" s="1175">
        <v>0</v>
      </c>
      <c r="BX189" s="1229"/>
      <c r="BY189" s="1229"/>
    </row>
    <row r="190" spans="1:77" s="24" customFormat="1">
      <c r="A190" s="24" t="str">
        <f>$A$43</f>
        <v>4Q</v>
      </c>
      <c r="B190" s="29" t="str">
        <f>$B$43</f>
        <v>Jan</v>
      </c>
      <c r="D190" s="1606">
        <f>(S190/S183-1)*100</f>
        <v>-6.860662701784193</v>
      </c>
      <c r="F190" s="1607">
        <v>-7</v>
      </c>
      <c r="H190" s="1606">
        <f>D190-F190</f>
        <v>0.13933729821580698</v>
      </c>
      <c r="J190" s="1594">
        <f>'Store New'!AW167</f>
        <v>3275</v>
      </c>
      <c r="L190" s="1608">
        <f>AVERAGE(J190,J189)</f>
        <v>3310.5</v>
      </c>
      <c r="N190" s="1606">
        <f>(L190/L183-1)*100</f>
        <v>1.1457378551787301</v>
      </c>
      <c r="O190" s="30"/>
      <c r="P190" s="1720">
        <f>IFERROR((H190/N190)*100,"NM")</f>
        <v>12.161359388275688</v>
      </c>
      <c r="Q190" s="35"/>
      <c r="S190" s="1614">
        <f>'qtrP&amp;L'!DB13</f>
        <v>4385</v>
      </c>
      <c r="T190" s="1614">
        <f>'qtrP&amp;L'!DB13-qtrSales!BO190</f>
        <v>3582</v>
      </c>
      <c r="U190" s="38"/>
      <c r="V190" s="38"/>
      <c r="W190" s="38"/>
      <c r="Y190" s="1611">
        <f>T190/L190</f>
        <v>1.0820117806977798</v>
      </c>
      <c r="AA190" s="1612">
        <f>(Y190/Y183-1)*100</f>
        <v>-9.5652564294220195</v>
      </c>
      <c r="AB190" s="30"/>
      <c r="AD190" s="1597">
        <f>'Store New'!AW172</f>
        <v>37.9</v>
      </c>
      <c r="AF190" s="1613">
        <f>AVERAGE(AD190,AD189)</f>
        <v>38.25</v>
      </c>
      <c r="AH190" s="1606">
        <f>(AF190/AF183-1)*100</f>
        <v>0.52562417871222511</v>
      </c>
      <c r="AI190" s="30"/>
      <c r="AJ190" s="1608">
        <f>IFERROR(+H190/AH190*100,"NM")</f>
        <v>26.508920985557062</v>
      </c>
      <c r="AK190" s="35"/>
      <c r="AM190" s="1615">
        <f>+T190-BH190</f>
        <v>3582</v>
      </c>
      <c r="AO190" s="1615">
        <f>AM190/AF190</f>
        <v>93.647058823529406</v>
      </c>
      <c r="AQ190" s="1612">
        <f>(AO190/AO183-1)*100</f>
        <v>-6.8182377553532074</v>
      </c>
      <c r="AR190" s="30"/>
      <c r="AT190" s="1603">
        <f t="shared" si="3"/>
        <v>202</v>
      </c>
      <c r="AU190" s="1583">
        <v>202</v>
      </c>
      <c r="AV190" s="1599">
        <f t="shared" si="4"/>
        <v>-2.4154589371980673E-2</v>
      </c>
      <c r="AY190" s="1603">
        <f>+S190-AZ190</f>
        <v>0</v>
      </c>
      <c r="AZ190" s="1731">
        <f>+BA190+BD190+BE190+AU190</f>
        <v>4385</v>
      </c>
      <c r="BA190" s="1603">
        <v>1627</v>
      </c>
      <c r="BC190" s="1603"/>
      <c r="BD190" s="1603">
        <v>731</v>
      </c>
      <c r="BE190" s="1603">
        <v>1825</v>
      </c>
      <c r="BF190" s="1603"/>
      <c r="BG190" s="1726">
        <f>AU190/AU183-1</f>
        <v>-2.4154589371980673E-2</v>
      </c>
      <c r="BH190" s="1727"/>
      <c r="BI190" s="1727"/>
      <c r="BJ190" s="1727"/>
      <c r="BK190" s="1730"/>
      <c r="BL190" s="1727"/>
      <c r="BM190" s="1727"/>
      <c r="BO190" s="2082">
        <v>803</v>
      </c>
      <c r="BP190" s="1729">
        <v>0.05</v>
      </c>
      <c r="BR190" s="1583">
        <v>0</v>
      </c>
      <c r="BS190" s="1583">
        <v>0</v>
      </c>
      <c r="BT190" s="1583">
        <v>0</v>
      </c>
      <c r="BX190" s="1724"/>
      <c r="BY190" s="1724"/>
    </row>
    <row r="191" spans="1:77" s="24" customFormat="1">
      <c r="B191" s="29" t="str">
        <f>$B$44</f>
        <v>Year</v>
      </c>
      <c r="D191" s="1581">
        <f>(S191/S184-1)*100</f>
        <v>-3.8819592333434794</v>
      </c>
      <c r="F191" s="1616">
        <v>-4</v>
      </c>
      <c r="H191" s="1581">
        <f>D191-F191</f>
        <v>0.11804076665652063</v>
      </c>
      <c r="J191" s="1594"/>
      <c r="L191" s="1583">
        <f>AVERAGE(L187:L190)</f>
        <v>3310.375</v>
      </c>
      <c r="N191" s="1581">
        <f>(L191/L184-1)*100</f>
        <v>2.9105463589026215</v>
      </c>
      <c r="O191" s="30"/>
      <c r="P191" s="1589">
        <f>H191/N191*100</f>
        <v>4.0556222818943919</v>
      </c>
      <c r="Q191" s="35"/>
      <c r="S191" s="1590">
        <f>SUM(S187:S190)</f>
        <v>15797</v>
      </c>
      <c r="T191" s="1590">
        <f>SUM(T187:T190)</f>
        <v>13281</v>
      </c>
      <c r="U191" s="1590"/>
      <c r="V191" s="1590"/>
      <c r="W191" s="1590"/>
      <c r="Y191" s="1586">
        <f>SUM(Y187:Y190)</f>
        <v>4.0118105404007816</v>
      </c>
      <c r="AA191" s="1587">
        <f>(Y191/Y184-1)*100</f>
        <v>-7.3124417951229042</v>
      </c>
      <c r="AB191" s="30"/>
      <c r="AF191" s="1588">
        <f>AVERAGE(AF187:AF190)</f>
        <v>38.275000000000006</v>
      </c>
      <c r="AH191" s="1581">
        <f>(AF191/AF184-1)*100</f>
        <v>1.8968386023294759</v>
      </c>
      <c r="AI191" s="30"/>
      <c r="AJ191" s="1589">
        <f>+H191/AH191*100</f>
        <v>6.223026382505962</v>
      </c>
      <c r="AK191" s="35"/>
      <c r="AM191" s="1591">
        <f>SUM(AM187:AM190)</f>
        <v>13281</v>
      </c>
      <c r="AO191" s="1591">
        <f>SUM(AO187:AO190)</f>
        <v>346.99251766587957</v>
      </c>
      <c r="AQ191" s="1587">
        <f>(AO191/AO184-1)*100</f>
        <v>-3.8961228377716428</v>
      </c>
      <c r="AR191" s="30"/>
      <c r="AT191" s="1603">
        <f t="shared" si="3"/>
        <v>715</v>
      </c>
      <c r="AU191" s="1583">
        <v>715</v>
      </c>
      <c r="AV191" s="1599">
        <f t="shared" si="4"/>
        <v>-1.9204389574759895E-2</v>
      </c>
      <c r="AY191" s="1603">
        <f>+S191-AZ191</f>
        <v>0</v>
      </c>
      <c r="AZ191" s="1732">
        <f>+BA191+BD191+BE191+AU191</f>
        <v>15797</v>
      </c>
      <c r="BA191" s="1603">
        <v>5751</v>
      </c>
      <c r="BC191" s="1603"/>
      <c r="BD191" s="1603">
        <v>2656</v>
      </c>
      <c r="BE191" s="1603">
        <v>6675</v>
      </c>
      <c r="BF191" s="1603"/>
      <c r="BG191" s="1726">
        <f>AU191/AU184-1</f>
        <v>-1.9204389574759895E-2</v>
      </c>
      <c r="BH191" s="1604"/>
      <c r="BI191" s="1583"/>
      <c r="BJ191" s="1583"/>
      <c r="BK191" s="1726"/>
      <c r="BL191" s="1583"/>
      <c r="BM191" s="1583"/>
      <c r="BO191" s="1723">
        <f>SUM(BO187:BO190)</f>
        <v>2516</v>
      </c>
      <c r="BP191" s="1630">
        <f>BO191/BO184-1</f>
        <v>5.1937674790252242E-3</v>
      </c>
      <c r="BQ191" s="1630">
        <f>+BO191/AZ191</f>
        <v>0.15927074761030574</v>
      </c>
      <c r="BR191" s="1583">
        <v>0</v>
      </c>
      <c r="BS191" s="1583">
        <v>0</v>
      </c>
      <c r="BT191" s="1583">
        <v>0</v>
      </c>
      <c r="BX191" s="1724"/>
      <c r="BY191" s="1724"/>
    </row>
    <row r="192" spans="1:77" s="24" customFormat="1">
      <c r="B192" s="29"/>
      <c r="D192" s="1964"/>
      <c r="F192" s="1616"/>
      <c r="H192" s="1965"/>
      <c r="J192" s="1594"/>
      <c r="L192" s="1583"/>
      <c r="N192" s="1581"/>
      <c r="O192" s="30"/>
      <c r="P192" s="1589"/>
      <c r="Q192" s="35"/>
      <c r="S192" s="38"/>
      <c r="T192" s="1590"/>
      <c r="U192" s="1590"/>
      <c r="V192" s="1590"/>
      <c r="W192" s="1590"/>
      <c r="Y192" s="1586"/>
      <c r="AA192" s="1587"/>
      <c r="AB192" s="30"/>
      <c r="AF192" s="1588"/>
      <c r="AH192" s="1581"/>
      <c r="AI192" s="30"/>
      <c r="AJ192" s="1589"/>
      <c r="AK192" s="35"/>
      <c r="AM192" s="1591"/>
      <c r="AO192" s="1591"/>
      <c r="AQ192" s="1587"/>
      <c r="AR192" s="30"/>
      <c r="AT192" s="1722"/>
      <c r="AY192" s="1603"/>
      <c r="AZ192" s="2083"/>
      <c r="BA192" s="2083"/>
      <c r="BB192" s="1722"/>
      <c r="BC192" s="1722"/>
      <c r="BD192" s="1722"/>
      <c r="BE192" s="1722"/>
      <c r="BF192" s="1722"/>
      <c r="BH192" s="1583"/>
      <c r="BI192" s="1583"/>
      <c r="BJ192" s="1583"/>
      <c r="BK192" s="1583"/>
      <c r="BL192" s="1583"/>
      <c r="BM192" s="1583"/>
      <c r="BO192" s="1723"/>
      <c r="BR192" s="1630"/>
      <c r="BS192" s="1630"/>
      <c r="BT192" s="1630"/>
      <c r="BX192" s="1724"/>
      <c r="BY192" s="1724"/>
    </row>
    <row r="193" spans="1:77" s="24" customFormat="1">
      <c r="A193" s="1579"/>
      <c r="B193" s="1580">
        <f>+B186+1</f>
        <v>2016</v>
      </c>
      <c r="D193" s="1964"/>
      <c r="F193" s="1616"/>
      <c r="H193" s="1965"/>
      <c r="J193" s="1594"/>
      <c r="L193" s="1583"/>
      <c r="N193" s="1581"/>
      <c r="O193" s="30"/>
      <c r="P193" s="1589"/>
      <c r="Q193" s="35"/>
      <c r="S193" s="1603"/>
      <c r="T193" s="1590"/>
      <c r="U193" s="1590"/>
      <c r="V193" s="1590"/>
      <c r="W193" s="1590"/>
      <c r="Y193" s="1586"/>
      <c r="AA193" s="1587"/>
      <c r="AB193" s="30"/>
      <c r="AF193" s="1588"/>
      <c r="AH193" s="1581"/>
      <c r="AI193" s="30"/>
      <c r="AJ193" s="1589"/>
      <c r="AK193" s="35"/>
      <c r="AM193" s="1591"/>
      <c r="AO193" s="1591"/>
      <c r="AQ193" s="1587"/>
      <c r="AR193" s="30"/>
      <c r="AT193" s="1722"/>
      <c r="AY193" s="1721" t="s">
        <v>348</v>
      </c>
      <c r="BA193" s="1722"/>
      <c r="BC193" s="1722"/>
      <c r="BD193" s="1722"/>
      <c r="BE193" s="1722"/>
      <c r="BF193" s="1722"/>
      <c r="BH193" s="1583"/>
      <c r="BI193" s="1583"/>
      <c r="BJ193" s="1583"/>
      <c r="BK193" s="1583"/>
      <c r="BL193" s="1583"/>
      <c r="BM193" s="1583"/>
      <c r="BO193" s="1723"/>
      <c r="BR193" s="1630"/>
      <c r="BS193" s="1630"/>
      <c r="BT193" s="1630"/>
      <c r="BX193" s="1724"/>
      <c r="BY193" s="1724"/>
    </row>
    <row r="194" spans="1:77" s="24" customFormat="1">
      <c r="A194" s="24" t="str">
        <f>$A$40</f>
        <v>1Q</v>
      </c>
      <c r="B194" s="29" t="str">
        <f>$B$40</f>
        <v>Apr</v>
      </c>
      <c r="D194" s="1964">
        <f>(S194/S187-1)*100</f>
        <v>-5.9885151763740758</v>
      </c>
      <c r="E194" s="30" t="s">
        <v>489</v>
      </c>
      <c r="F194" s="1813">
        <v>-5</v>
      </c>
      <c r="G194" s="30" t="s">
        <v>489</v>
      </c>
      <c r="H194" s="1581">
        <f>D194-F194</f>
        <v>-0.98851517637407582</v>
      </c>
      <c r="I194" s="30" t="s">
        <v>489</v>
      </c>
      <c r="J194" s="1594">
        <f>'Store New'!AX167</f>
        <v>3276</v>
      </c>
      <c r="L194" s="1583">
        <f>AVERAGE(J194,J190)</f>
        <v>3275.5</v>
      </c>
      <c r="N194" s="1581">
        <f>(L194/L187-1)*100</f>
        <v>-0.57671877371376912</v>
      </c>
      <c r="O194" s="30" t="s">
        <v>489</v>
      </c>
      <c r="P194" s="1719">
        <f>IFERROR((H194/N194)*100,"NM")</f>
        <v>171.40332887180904</v>
      </c>
      <c r="Q194" s="35" t="s">
        <v>489</v>
      </c>
      <c r="S194" s="1590">
        <f>'qtrP&amp;L'!DF10</f>
        <v>3438</v>
      </c>
      <c r="T194" s="1590">
        <f>'qtrP&amp;L'!DF10</f>
        <v>3438</v>
      </c>
      <c r="U194" s="1590"/>
      <c r="V194" s="1590"/>
      <c r="W194" s="1590"/>
      <c r="Y194" s="1586">
        <f>T194/L194</f>
        <v>1.0496107464509234</v>
      </c>
      <c r="AA194" s="1587">
        <f>(Y194/Y187-1)*100</f>
        <v>11.762850813916215</v>
      </c>
      <c r="AB194" s="30" t="s">
        <v>489</v>
      </c>
      <c r="AD194" s="1597">
        <f>'Store New'!AX172</f>
        <v>37.799999999999997</v>
      </c>
      <c r="AF194" s="1588">
        <f>AVERAGE(AD194,AD190)</f>
        <v>37.849999999999994</v>
      </c>
      <c r="AH194" s="1581">
        <f>(AF194/AF187-1)*100</f>
        <v>-0.9162303664921656</v>
      </c>
      <c r="AI194" s="30" t="s">
        <v>489</v>
      </c>
      <c r="AJ194" s="1589">
        <f>IFERROR(+H194/AH194*100,"NM")</f>
        <v>107.88937067853975</v>
      </c>
      <c r="AK194" s="35" t="s">
        <v>489</v>
      </c>
      <c r="AM194" s="1591">
        <f>+T194-BH194</f>
        <v>3438</v>
      </c>
      <c r="AO194" s="1591">
        <f>AM194/AF194</f>
        <v>90.8322324966975</v>
      </c>
      <c r="AQ194" s="1587">
        <f>(AO194/AO187-1)*100</f>
        <v>12.145807413504993</v>
      </c>
      <c r="AR194" s="30"/>
      <c r="AT194" s="1603">
        <f t="shared" ref="AT194:AT198" si="5">AU194</f>
        <v>179</v>
      </c>
      <c r="AU194" s="1583">
        <v>179</v>
      </c>
      <c r="AV194" s="1599">
        <f>AU194/AU187-1</f>
        <v>1.7045454545454586E-2</v>
      </c>
      <c r="AY194" s="1603">
        <f>+S194-AZ194</f>
        <v>0</v>
      </c>
      <c r="AZ194" s="1725">
        <f>+BA194+BD194+BE194+AU194</f>
        <v>3438</v>
      </c>
      <c r="BA194" s="1603">
        <v>1223</v>
      </c>
      <c r="BC194" s="1603"/>
      <c r="BD194" s="1603">
        <v>550</v>
      </c>
      <c r="BE194" s="1603">
        <v>1486</v>
      </c>
      <c r="BF194" s="1603"/>
      <c r="BG194" s="1726">
        <f>AU194/AU187-1</f>
        <v>1.7045454545454586E-2</v>
      </c>
      <c r="BH194" s="1727"/>
      <c r="BI194" s="1727">
        <v>440</v>
      </c>
      <c r="BJ194" s="1728"/>
      <c r="BK194" s="1726"/>
      <c r="BL194" s="1727"/>
      <c r="BM194" s="1727"/>
      <c r="BO194" s="1723"/>
      <c r="BP194" s="1729"/>
      <c r="BR194" s="1583">
        <v>0</v>
      </c>
      <c r="BS194" s="1583">
        <v>0</v>
      </c>
      <c r="BT194" s="1583">
        <v>0</v>
      </c>
      <c r="BX194" s="1724"/>
      <c r="BY194" s="1724"/>
    </row>
    <row r="195" spans="1:77" s="24" customFormat="1">
      <c r="A195" s="24" t="str">
        <f>$A$41</f>
        <v>2Q</v>
      </c>
      <c r="B195" s="29" t="str">
        <f>$B$41</f>
        <v>Jul</v>
      </c>
      <c r="D195" s="1581">
        <f>(S195/S188-1)*100</f>
        <v>-1.2057465366854814</v>
      </c>
      <c r="F195" s="1813">
        <v>-2</v>
      </c>
      <c r="H195" s="1581">
        <f>D195-F195</f>
        <v>0.79425346331451863</v>
      </c>
      <c r="J195" s="1594">
        <f>'Store New'!AY167</f>
        <v>3273</v>
      </c>
      <c r="L195" s="1583">
        <f>AVERAGE(J195,J194)</f>
        <v>3274.5</v>
      </c>
      <c r="N195" s="1581">
        <f>(L195/L188-1)*100</f>
        <v>-1.0426110607434258</v>
      </c>
      <c r="O195" s="30"/>
      <c r="P195" s="1719">
        <f>IFERROR((H195/N195)*100,"NM")</f>
        <v>-76.179266959644792</v>
      </c>
      <c r="Q195" s="35"/>
      <c r="S195" s="1590">
        <f>'qtrP&amp;L'!DF11</f>
        <v>3851</v>
      </c>
      <c r="T195" s="1603">
        <f>'qtrP&amp;L'!DF11</f>
        <v>3851</v>
      </c>
      <c r="U195" s="1603"/>
      <c r="V195" s="1603"/>
      <c r="W195" s="1603"/>
      <c r="Y195" s="1602">
        <f>T195/L195</f>
        <v>1.176057413345549</v>
      </c>
      <c r="AA195" s="1587">
        <f>(Y195/Y188-1)*100</f>
        <v>15.033224379557254</v>
      </c>
      <c r="AB195" s="30"/>
      <c r="AD195" s="1597">
        <f>'Store New'!AY172</f>
        <v>37.799999999999997</v>
      </c>
      <c r="AF195" s="1588">
        <f>AVERAGE(AD195,AD194)</f>
        <v>37.799999999999997</v>
      </c>
      <c r="AH195" s="1581">
        <f>(AF195/AF188-1)*100</f>
        <v>-1.176470588235301</v>
      </c>
      <c r="AI195" s="30"/>
      <c r="AJ195" s="1589">
        <f>IFERROR(+H195/AH195*100,"NM")</f>
        <v>-67.511544381733685</v>
      </c>
      <c r="AK195" s="35"/>
      <c r="AM195" s="1604">
        <f>+T195-BH195</f>
        <v>3851</v>
      </c>
      <c r="AO195" s="1604">
        <f>AM195/AF195</f>
        <v>101.87830687830689</v>
      </c>
      <c r="AQ195" s="1587">
        <f>(AO195/AO188-1)*100</f>
        <v>15.189040440296742</v>
      </c>
      <c r="AR195" s="30"/>
      <c r="AT195" s="1603">
        <f t="shared" si="5"/>
        <v>200</v>
      </c>
      <c r="AU195" s="1583">
        <v>200</v>
      </c>
      <c r="AV195" s="1599">
        <f t="shared" ref="AV195:AV198" si="6">AU195/AU188-1</f>
        <v>0.12359550561797761</v>
      </c>
      <c r="AY195" s="1603">
        <f>+S195-AZ195</f>
        <v>0</v>
      </c>
      <c r="AZ195" s="1725">
        <f>+BA195+BD195+BE195+AU195</f>
        <v>3851</v>
      </c>
      <c r="BA195" s="1603">
        <v>1313</v>
      </c>
      <c r="BC195" s="1603"/>
      <c r="BD195" s="1603">
        <v>633</v>
      </c>
      <c r="BE195" s="1603">
        <v>1705</v>
      </c>
      <c r="BF195" s="1603"/>
      <c r="BG195" s="1726">
        <f>AU195/AU188-1</f>
        <v>0.12359550561797761</v>
      </c>
      <c r="BH195" s="1727"/>
      <c r="BI195" s="1727">
        <v>442</v>
      </c>
      <c r="BJ195" s="1728"/>
      <c r="BK195" s="1726"/>
      <c r="BL195" s="1727"/>
      <c r="BM195" s="1727"/>
      <c r="BO195" s="1723"/>
      <c r="BP195" s="1729"/>
      <c r="BQ195" s="1630"/>
      <c r="BR195" s="1583">
        <v>0</v>
      </c>
      <c r="BS195" s="1583">
        <v>0</v>
      </c>
      <c r="BT195" s="1583">
        <v>0</v>
      </c>
      <c r="BX195" s="1724"/>
      <c r="BY195" s="1724"/>
    </row>
    <row r="196" spans="1:77" s="24" customFormat="1">
      <c r="A196" s="24" t="str">
        <f>$A$42</f>
        <v>3Q</v>
      </c>
      <c r="B196" s="29" t="str">
        <f>$B$42</f>
        <v>Oct</v>
      </c>
      <c r="D196" s="1581">
        <f>(S196/S189-1)*100</f>
        <v>-1.5296862846772119</v>
      </c>
      <c r="F196" s="1813">
        <v>-3</v>
      </c>
      <c r="H196" s="1581">
        <f>D196-F196</f>
        <v>1.4703137153227881</v>
      </c>
      <c r="J196" s="1594">
        <f>'Store New'!AZ167</f>
        <v>3281</v>
      </c>
      <c r="L196" s="1583">
        <f>AVERAGE(J196,J195)</f>
        <v>3277</v>
      </c>
      <c r="N196" s="1581">
        <f>(L196/L189-1)*100</f>
        <v>-1.5176558978211907</v>
      </c>
      <c r="O196" s="30"/>
      <c r="P196" s="1719">
        <f>IFERROR((H196/N196)*100,"NM")</f>
        <v>-96.880572034387441</v>
      </c>
      <c r="Q196" s="35"/>
      <c r="S196" s="1590">
        <f>'qtrP&amp;L'!DF12</f>
        <v>3798</v>
      </c>
      <c r="T196" s="1603">
        <f>'qtrP&amp;L'!DF12</f>
        <v>3798</v>
      </c>
      <c r="U196" s="1603"/>
      <c r="V196" s="1603"/>
      <c r="W196" s="1603"/>
      <c r="Y196" s="1602">
        <f>T196/L196</f>
        <v>1.1589868782422947</v>
      </c>
      <c r="AA196" s="1587">
        <f>(Y196/Y189-1)*100</f>
        <v>19.693632444172437</v>
      </c>
      <c r="AB196" s="30"/>
      <c r="AD196" s="1597">
        <f>'Store New'!AZ172</f>
        <v>37.700000000000003</v>
      </c>
      <c r="AF196" s="1588">
        <f>AVERAGE(AD196,AD195)</f>
        <v>37.75</v>
      </c>
      <c r="AH196" s="1581">
        <f>(AF196/AF189-1)*100</f>
        <v>-1.6927083333333481</v>
      </c>
      <c r="AI196" s="30"/>
      <c r="AJ196" s="1589">
        <f>IFERROR(+H196/AH196*100,"NM")</f>
        <v>-86.86161025906857</v>
      </c>
      <c r="AK196" s="35"/>
      <c r="AM196" s="1604">
        <f>+T196-BH196</f>
        <v>3798</v>
      </c>
      <c r="AO196" s="1604">
        <f>AM196/AF196</f>
        <v>100.6092715231788</v>
      </c>
      <c r="AQ196" s="1587">
        <f>(AO196/AO189-1)*100</f>
        <v>19.906766806023168</v>
      </c>
      <c r="AR196" s="30"/>
      <c r="AT196" s="1603">
        <f t="shared" si="5"/>
        <v>173</v>
      </c>
      <c r="AU196" s="1583">
        <v>173</v>
      </c>
      <c r="AV196" s="1599">
        <f t="shared" si="6"/>
        <v>8.8050314465408785E-2</v>
      </c>
      <c r="AY196" s="1603">
        <f>+S196-AZ196</f>
        <v>0</v>
      </c>
      <c r="AZ196" s="1725">
        <f>+BA196+BD196+BE196+AU196</f>
        <v>3798</v>
      </c>
      <c r="BA196" s="1603">
        <v>1340</v>
      </c>
      <c r="BC196" s="1603"/>
      <c r="BD196" s="1603">
        <v>580</v>
      </c>
      <c r="BE196" s="1603">
        <v>1705</v>
      </c>
      <c r="BF196" s="1603"/>
      <c r="BG196" s="1726">
        <f>AU196/AU189-1</f>
        <v>8.8050314465408785E-2</v>
      </c>
      <c r="BH196" s="1727"/>
      <c r="BI196" s="1727"/>
      <c r="BJ196" s="1727"/>
      <c r="BK196" s="1730"/>
      <c r="BL196" s="1727"/>
      <c r="BM196" s="1727"/>
      <c r="BO196" s="1723"/>
      <c r="BP196" s="1729"/>
      <c r="BQ196" s="1630"/>
      <c r="BR196" s="1583">
        <v>0</v>
      </c>
      <c r="BS196" s="1583">
        <v>0</v>
      </c>
      <c r="BT196" s="1583">
        <v>0</v>
      </c>
      <c r="BX196" s="1724"/>
      <c r="BY196" s="1724"/>
    </row>
    <row r="197" spans="1:77" s="24" customFormat="1">
      <c r="A197" s="24" t="str">
        <f>$A$43</f>
        <v>4Q</v>
      </c>
      <c r="B197" s="29" t="str">
        <f>$B$43</f>
        <v>Jan</v>
      </c>
      <c r="D197" s="1606">
        <f>(S197/S190-1)*100</f>
        <v>1.0034207525655647</v>
      </c>
      <c r="F197" s="1607">
        <v>2</v>
      </c>
      <c r="H197" s="1606">
        <f>D197-F197</f>
        <v>-0.99657924743443527</v>
      </c>
      <c r="J197" s="1594">
        <f>'Store New'!BA167</f>
        <v>3200</v>
      </c>
      <c r="L197" s="1608">
        <f>AVERAGE(J197,J196)</f>
        <v>3240.5</v>
      </c>
      <c r="N197" s="1606">
        <f>(L197/L190-1)*100</f>
        <v>-2.1144842168856703</v>
      </c>
      <c r="O197" s="30"/>
      <c r="P197" s="1720">
        <f>IFERROR((H197/N197)*100,"NM")</f>
        <v>47.131079980452753</v>
      </c>
      <c r="Q197" s="35"/>
      <c r="S197" s="2084">
        <f>'qtrP&amp;L'!DF13</f>
        <v>4429</v>
      </c>
      <c r="T197" s="1614">
        <f>'qtrP&amp;L'!DF13</f>
        <v>4429</v>
      </c>
      <c r="U197" s="38"/>
      <c r="V197" s="38"/>
      <c r="W197" s="38"/>
      <c r="Y197" s="1611">
        <f>T197/L197</f>
        <v>1.3667643882116958</v>
      </c>
      <c r="AA197" s="1612">
        <f>(Y197/Y190-1)*100</f>
        <v>26.316959999296998</v>
      </c>
      <c r="AB197" s="30"/>
      <c r="AD197" s="1597">
        <f>'Store New'!BA172</f>
        <v>36.700000000000003</v>
      </c>
      <c r="AF197" s="1613">
        <f>AVERAGE(AD197,AD196)</f>
        <v>37.200000000000003</v>
      </c>
      <c r="AH197" s="1606">
        <f>(AF197/AF190-1)*100</f>
        <v>-2.7450980392156765</v>
      </c>
      <c r="AI197" s="30"/>
      <c r="AJ197" s="1608">
        <f>IFERROR(+H197/AH197*100,"NM")</f>
        <v>36.303958299397415</v>
      </c>
      <c r="AK197" s="35"/>
      <c r="AM197" s="1615">
        <f>+T197-BH197</f>
        <v>4429</v>
      </c>
      <c r="AO197" s="1615">
        <f>AM197/AF197</f>
        <v>119.05913978494623</v>
      </c>
      <c r="AQ197" s="1612">
        <f>(AO197/AO190-1)*100</f>
        <v>27.136016102015461</v>
      </c>
      <c r="AR197" s="30"/>
      <c r="AT197" s="1603">
        <f t="shared" si="5"/>
        <v>224</v>
      </c>
      <c r="AU197" s="1583">
        <v>224</v>
      </c>
      <c r="AV197" s="1599">
        <f t="shared" si="6"/>
        <v>0.10891089108910901</v>
      </c>
      <c r="AY197" s="1603">
        <f>+S197-AZ197</f>
        <v>0</v>
      </c>
      <c r="AZ197" s="1731">
        <f>+BA197+BD197+BE197+AU197</f>
        <v>4429</v>
      </c>
      <c r="BA197" s="1603">
        <v>1579</v>
      </c>
      <c r="BC197" s="1603"/>
      <c r="BD197" s="1603">
        <v>708</v>
      </c>
      <c r="BE197" s="1603">
        <v>1918</v>
      </c>
      <c r="BF197" s="1603"/>
      <c r="BG197" s="1726">
        <f>AU197/AU190-1</f>
        <v>0.10891089108910901</v>
      </c>
      <c r="BH197" s="1727"/>
      <c r="BI197" s="1727"/>
      <c r="BJ197" s="1727"/>
      <c r="BK197" s="1730"/>
      <c r="BL197" s="1727"/>
      <c r="BM197" s="1727"/>
      <c r="BO197" s="1723"/>
      <c r="BP197" s="1729"/>
      <c r="BR197" s="1583">
        <v>0</v>
      </c>
      <c r="BS197" s="1583">
        <v>0</v>
      </c>
      <c r="BT197" s="1583">
        <v>0</v>
      </c>
      <c r="BX197" s="1724"/>
      <c r="BY197" s="1724"/>
    </row>
    <row r="198" spans="1:77" s="24" customFormat="1">
      <c r="B198" s="29" t="str">
        <f>$B$44</f>
        <v>Year</v>
      </c>
      <c r="D198" s="1581">
        <f>(S198/S191-1)*100</f>
        <v>-1.778818763056278</v>
      </c>
      <c r="F198" s="1813">
        <v>-2</v>
      </c>
      <c r="H198" s="1581">
        <f>D198-F198</f>
        <v>0.22118123694372205</v>
      </c>
      <c r="J198" s="1594"/>
      <c r="L198" s="1583">
        <f>AVERAGE(L194:L197)</f>
        <v>3266.875</v>
      </c>
      <c r="N198" s="1581">
        <f>(L198/L191-1)*100</f>
        <v>-1.3140505229770061</v>
      </c>
      <c r="O198" s="30"/>
      <c r="P198" s="1589">
        <f>H198/N198*100</f>
        <v>-16.83201924707064</v>
      </c>
      <c r="Q198" s="35"/>
      <c r="S198" s="1590">
        <f>SUM(S194:S197)</f>
        <v>15516</v>
      </c>
      <c r="T198" s="1590">
        <f>'qtrP&amp;L'!DF14</f>
        <v>15516</v>
      </c>
      <c r="U198" s="1590"/>
      <c r="V198" s="1590"/>
      <c r="W198" s="1590"/>
      <c r="Y198" s="1586">
        <f>SUM(Y194:Y197)</f>
        <v>4.7514194262504628</v>
      </c>
      <c r="AA198" s="1587">
        <f>(Y198/Y191-1)*100</f>
        <v>18.435787991518502</v>
      </c>
      <c r="AB198" s="30"/>
      <c r="AF198" s="1588">
        <f>AVERAGE(AF194:AF197)</f>
        <v>37.65</v>
      </c>
      <c r="AH198" s="1581">
        <f>(AF198/AF191-1)*100</f>
        <v>-1.6329196603527274</v>
      </c>
      <c r="AI198" s="30"/>
      <c r="AJ198" s="1589">
        <f>+H198/AH198*100</f>
        <v>-13.545138950433399</v>
      </c>
      <c r="AK198" s="35"/>
      <c r="AM198" s="1591">
        <f>SUM(AM194:AM197)</f>
        <v>15516</v>
      </c>
      <c r="AO198" s="1591">
        <f>SUM(AO194:AO197)</f>
        <v>412.3789506831294</v>
      </c>
      <c r="AQ198" s="1587">
        <f>(AO198/AO191-1)*100</f>
        <v>18.843758781049758</v>
      </c>
      <c r="AR198" s="30"/>
      <c r="AT198" s="1603">
        <f t="shared" si="5"/>
        <v>776</v>
      </c>
      <c r="AU198" s="1583">
        <v>776</v>
      </c>
      <c r="AV198" s="1599">
        <f t="shared" si="6"/>
        <v>8.5314685314685335E-2</v>
      </c>
      <c r="AY198" s="1603">
        <f>+S198-AZ198</f>
        <v>0</v>
      </c>
      <c r="AZ198" s="1732">
        <f>+BA198+BD198+BE198+AU198</f>
        <v>15516</v>
      </c>
      <c r="BA198" s="1603">
        <v>5455</v>
      </c>
      <c r="BC198" s="1603"/>
      <c r="BD198" s="1603">
        <v>2471</v>
      </c>
      <c r="BE198" s="1603">
        <v>6814</v>
      </c>
      <c r="BF198" s="1603"/>
      <c r="BG198" s="1726">
        <f>AU198/AU191-1</f>
        <v>8.5314685314685335E-2</v>
      </c>
      <c r="BH198" s="1604"/>
      <c r="BI198" s="1583"/>
      <c r="BJ198" s="1583"/>
      <c r="BK198" s="1726"/>
      <c r="BL198" s="1583"/>
      <c r="BM198" s="1583"/>
      <c r="BO198" s="1723"/>
      <c r="BP198" s="1630"/>
      <c r="BQ198" s="1630"/>
      <c r="BR198" s="1583">
        <v>0</v>
      </c>
      <c r="BS198" s="1583">
        <v>0</v>
      </c>
      <c r="BT198" s="1583">
        <v>0</v>
      </c>
      <c r="BX198" s="1724"/>
      <c r="BY198" s="1724"/>
    </row>
    <row r="199" spans="1:77" s="24" customFormat="1">
      <c r="B199" s="29"/>
      <c r="D199" s="1581"/>
      <c r="F199" s="1813"/>
      <c r="H199" s="1581"/>
      <c r="J199" s="1594"/>
      <c r="L199" s="1583"/>
      <c r="N199" s="1581"/>
      <c r="O199" s="30"/>
      <c r="P199" s="1589"/>
      <c r="Q199" s="35"/>
      <c r="S199" s="1590"/>
      <c r="T199" s="1590"/>
      <c r="U199" s="1590"/>
      <c r="V199" s="1590"/>
      <c r="W199" s="1590"/>
      <c r="Y199" s="1586"/>
      <c r="AA199" s="1587"/>
      <c r="AB199" s="30"/>
      <c r="AF199" s="1588"/>
      <c r="AH199" s="1581"/>
      <c r="AI199" s="30"/>
      <c r="AJ199" s="1589"/>
      <c r="AK199" s="35"/>
      <c r="AM199" s="1591"/>
      <c r="AO199" s="1591"/>
      <c r="AQ199" s="1587"/>
      <c r="AR199" s="30"/>
      <c r="AT199" s="1603"/>
      <c r="AU199" s="1583"/>
      <c r="AY199" s="1603"/>
      <c r="AZ199" s="2083"/>
      <c r="BA199" s="1603"/>
      <c r="BC199" s="1603"/>
      <c r="BD199" s="1603"/>
      <c r="BE199" s="1603"/>
      <c r="BF199" s="1603"/>
      <c r="BG199" s="1726"/>
      <c r="BH199" s="1604"/>
      <c r="BI199" s="1583"/>
      <c r="BJ199" s="1583"/>
      <c r="BK199" s="1726"/>
      <c r="BL199" s="1583"/>
      <c r="BM199" s="1583"/>
      <c r="BO199" s="1723"/>
      <c r="BP199" s="1630"/>
      <c r="BQ199" s="1630"/>
      <c r="BR199" s="1583"/>
      <c r="BS199" s="1583"/>
      <c r="BT199" s="1583"/>
      <c r="BX199" s="1724"/>
      <c r="BY199" s="1724"/>
    </row>
    <row r="200" spans="1:77" s="24" customFormat="1">
      <c r="A200" s="1579"/>
      <c r="B200" s="1580">
        <f>+B193+1</f>
        <v>2017</v>
      </c>
      <c r="D200" s="1964"/>
      <c r="F200" s="1616"/>
      <c r="H200" s="1965"/>
      <c r="J200" s="1594"/>
      <c r="L200" s="1583"/>
      <c r="N200" s="1581"/>
      <c r="O200" s="30"/>
      <c r="P200" s="1589"/>
      <c r="Q200" s="35"/>
      <c r="S200" s="1603"/>
      <c r="T200" s="1590"/>
      <c r="U200" s="1590"/>
      <c r="V200" s="1590"/>
      <c r="W200" s="1590"/>
      <c r="Y200" s="1586"/>
      <c r="AA200" s="1587"/>
      <c r="AB200" s="30"/>
      <c r="AF200" s="1588"/>
      <c r="AH200" s="1581"/>
      <c r="AI200" s="30"/>
      <c r="AJ200" s="1589"/>
      <c r="AK200" s="35"/>
      <c r="AM200" s="1591"/>
      <c r="AO200" s="1591"/>
      <c r="AQ200" s="1587"/>
      <c r="AR200" s="30"/>
      <c r="AT200" s="1722"/>
      <c r="AY200" s="1721" t="s">
        <v>348</v>
      </c>
      <c r="BA200" s="1722"/>
      <c r="BC200" s="1722"/>
      <c r="BD200" s="1722"/>
      <c r="BE200" s="1722"/>
      <c r="BF200" s="1722"/>
      <c r="BH200" s="1583"/>
      <c r="BI200" s="1583"/>
      <c r="BJ200" s="1583"/>
      <c r="BK200" s="1583"/>
      <c r="BL200" s="1583"/>
      <c r="BM200" s="1583"/>
      <c r="BO200" s="1723"/>
      <c r="BR200" s="1630"/>
      <c r="BS200" s="1630"/>
      <c r="BT200" s="1630"/>
      <c r="BX200" s="1724"/>
      <c r="BY200" s="1724"/>
    </row>
    <row r="201" spans="1:77" s="24" customFormat="1">
      <c r="A201" s="24" t="str">
        <f>$A$40</f>
        <v>1Q</v>
      </c>
      <c r="B201" s="29" t="str">
        <f>$B$40</f>
        <v>Apr</v>
      </c>
      <c r="D201" s="1964">
        <f>(S201/S194-1)*100</f>
        <v>5.8173356602675419E-2</v>
      </c>
      <c r="E201" s="30" t="s">
        <v>489</v>
      </c>
      <c r="F201" s="1813">
        <v>2</v>
      </c>
      <c r="G201" s="30" t="s">
        <v>489</v>
      </c>
      <c r="H201" s="1581">
        <f>D201-F201</f>
        <v>-1.9418266433973246</v>
      </c>
      <c r="I201" s="30" t="s">
        <v>489</v>
      </c>
      <c r="J201" s="1594">
        <f>'Store New'!BB167</f>
        <v>3186</v>
      </c>
      <c r="L201" s="1583">
        <f>AVERAGE(J201,J197)</f>
        <v>3193</v>
      </c>
      <c r="N201" s="1581">
        <f>(L201/L194-1)*100</f>
        <v>-2.518699435200733</v>
      </c>
      <c r="O201" s="30" t="s">
        <v>489</v>
      </c>
      <c r="P201" s="1719">
        <f>IFERROR((H201/N201)*100,"NM")</f>
        <v>77.09640206603558</v>
      </c>
      <c r="Q201" s="35" t="s">
        <v>489</v>
      </c>
      <c r="S201" s="1603">
        <f>'qtrP&amp;L'!DJ10</f>
        <v>3440</v>
      </c>
      <c r="T201" s="1590">
        <f>'qtrP&amp;L'!DJ10</f>
        <v>3440</v>
      </c>
      <c r="U201" s="1590"/>
      <c r="V201" s="1590"/>
      <c r="W201" s="1590"/>
      <c r="Y201" s="1586">
        <f>T201/L201</f>
        <v>1.0773567178202317</v>
      </c>
      <c r="AA201" s="1587">
        <f>(Y201/Y194-1)*100</f>
        <v>2.6434534386320374</v>
      </c>
      <c r="AB201" s="30" t="s">
        <v>489</v>
      </c>
      <c r="AD201" s="1597">
        <f>'Store New'!BB172</f>
        <v>36.5</v>
      </c>
      <c r="AF201" s="1588">
        <f>AVERAGE(AD201,AD197)</f>
        <v>36.6</v>
      </c>
      <c r="AH201" s="1581">
        <f>(AF201/AF194-1)*100</f>
        <v>-3.3025099075297049</v>
      </c>
      <c r="AI201" s="30" t="s">
        <v>489</v>
      </c>
      <c r="AJ201" s="1589">
        <f>IFERROR(+H201/AH201*100,"NM")</f>
        <v>58.798510762071302</v>
      </c>
      <c r="AK201" s="35" t="s">
        <v>489</v>
      </c>
      <c r="AM201" s="1591">
        <f>+T201-BH201</f>
        <v>3440</v>
      </c>
      <c r="AO201" s="1591">
        <f>AM201/AF201</f>
        <v>93.989071038251367</v>
      </c>
      <c r="AQ201" s="1587">
        <f>(AO201/AO194-1)*100</f>
        <v>3.4754606980166969</v>
      </c>
      <c r="AR201" s="30"/>
      <c r="AT201" s="1603">
        <f t="shared" ref="AT201:AT205" si="7">AU201</f>
        <v>203</v>
      </c>
      <c r="AU201" s="1583">
        <v>203</v>
      </c>
      <c r="AV201" s="1599">
        <f>AU201/AU194-1</f>
        <v>0.13407821229050287</v>
      </c>
      <c r="AY201" s="1603">
        <f>+S201-AZ201</f>
        <v>0</v>
      </c>
      <c r="AZ201" s="1725">
        <f>+BA201+BD201+BE201+AU201</f>
        <v>3440</v>
      </c>
      <c r="BA201" s="1603">
        <v>1158</v>
      </c>
      <c r="BC201" s="1603"/>
      <c r="BD201" s="1603">
        <v>517</v>
      </c>
      <c r="BE201" s="1603">
        <v>1562</v>
      </c>
      <c r="BF201" s="1603"/>
      <c r="BG201" s="1726">
        <f>AU201/AU194-1</f>
        <v>0.13407821229050287</v>
      </c>
      <c r="BH201" s="1727"/>
      <c r="BI201" s="1727"/>
      <c r="BJ201" s="1728"/>
      <c r="BK201" s="1726"/>
      <c r="BL201" s="1727"/>
      <c r="BM201" s="1727"/>
      <c r="BO201" s="1723"/>
      <c r="BP201" s="1729"/>
      <c r="BR201" s="1583">
        <v>0</v>
      </c>
      <c r="BS201" s="1583">
        <v>0</v>
      </c>
      <c r="BT201" s="1583">
        <v>0</v>
      </c>
      <c r="BX201" s="1724"/>
      <c r="BY201" s="1724"/>
    </row>
    <row r="202" spans="1:77" s="24" customFormat="1">
      <c r="A202" s="24" t="str">
        <f>$A$41</f>
        <v>2Q</v>
      </c>
      <c r="B202" s="29" t="str">
        <f>$B$41</f>
        <v>Jul</v>
      </c>
      <c r="D202" s="1581">
        <f>(S202/S195-1)*100</f>
        <v>-1.3502986237340919</v>
      </c>
      <c r="F202" s="1813">
        <v>1</v>
      </c>
      <c r="H202" s="1581">
        <f>D202-F202</f>
        <v>-2.3502986237340919</v>
      </c>
      <c r="J202" s="1594">
        <f>'Store New'!BC167</f>
        <v>3179</v>
      </c>
      <c r="L202" s="1583">
        <f>AVERAGE(J202,J201)</f>
        <v>3182.5</v>
      </c>
      <c r="N202" s="1581">
        <f>(L202/L195-1)*100</f>
        <v>-2.8095892502672193</v>
      </c>
      <c r="O202" s="30"/>
      <c r="P202" s="1719">
        <f>IFERROR((H202/N202)*100,"NM")</f>
        <v>83.652748298013861</v>
      </c>
      <c r="Q202" s="35"/>
      <c r="S202" s="1603">
        <f>'qtrP&amp;L'!DJ11</f>
        <v>3799</v>
      </c>
      <c r="T202" s="1603">
        <f>'qtrP&amp;L'!DJ11</f>
        <v>3799</v>
      </c>
      <c r="U202" s="1603"/>
      <c r="V202" s="1603"/>
      <c r="W202" s="1603"/>
      <c r="Y202" s="1602">
        <f>T202/L202</f>
        <v>1.1937156323644933</v>
      </c>
      <c r="AA202" s="1587">
        <f>(Y202/Y195-1)*100</f>
        <v>1.5014759329403438</v>
      </c>
      <c r="AB202" s="30"/>
      <c r="AD202" s="1597">
        <f>'Store New'!BC172</f>
        <v>36.5</v>
      </c>
      <c r="AF202" s="1588">
        <f>AVERAGE(AD202,AD201)</f>
        <v>36.5</v>
      </c>
      <c r="AH202" s="1581">
        <f>(AF202/AF195-1)*100</f>
        <v>-3.4391534391534306</v>
      </c>
      <c r="AI202" s="30"/>
      <c r="AJ202" s="1589">
        <f>IFERROR(+H202/AH202*100,"NM")</f>
        <v>68.339452290114536</v>
      </c>
      <c r="AK202" s="35"/>
      <c r="AM202" s="1604">
        <f>+T202-BH202</f>
        <v>3799</v>
      </c>
      <c r="AO202" s="1604">
        <f>AM202/AF202</f>
        <v>104.08219178082192</v>
      </c>
      <c r="AQ202" s="1587">
        <f>(AO202/AO195-1)*100</f>
        <v>2.1632523841876861</v>
      </c>
      <c r="AR202" s="30"/>
      <c r="AT202" s="1603">
        <f t="shared" si="7"/>
        <v>231</v>
      </c>
      <c r="AU202" s="1583">
        <v>231</v>
      </c>
      <c r="AV202" s="1599">
        <f t="shared" ref="AV202:AV205" si="8">AU202/AU195-1</f>
        <v>0.15500000000000003</v>
      </c>
      <c r="AY202" s="1603">
        <f>+S202-AZ202</f>
        <v>0</v>
      </c>
      <c r="AZ202" s="1725">
        <f>+BA202+BD202+BE202+AU202</f>
        <v>3799</v>
      </c>
      <c r="BA202" s="1603">
        <v>1232</v>
      </c>
      <c r="BC202" s="1603"/>
      <c r="BD202" s="1603">
        <v>579</v>
      </c>
      <c r="BE202" s="1603">
        <v>1757</v>
      </c>
      <c r="BF202" s="1603"/>
      <c r="BG202" s="1726">
        <f>AU202/AU195-1</f>
        <v>0.15500000000000003</v>
      </c>
      <c r="BH202" s="1727"/>
      <c r="BI202" s="1727"/>
      <c r="BJ202" s="1728"/>
      <c r="BK202" s="1726"/>
      <c r="BL202" s="1727"/>
      <c r="BM202" s="1727"/>
      <c r="BO202" s="1723"/>
      <c r="BP202" s="1729"/>
      <c r="BQ202" s="1630"/>
      <c r="BR202" s="1583">
        <v>0</v>
      </c>
      <c r="BS202" s="1583">
        <v>0</v>
      </c>
      <c r="BT202" s="1583">
        <v>0</v>
      </c>
      <c r="BX202" s="1724"/>
      <c r="BY202" s="1724"/>
    </row>
    <row r="203" spans="1:77" s="24" customFormat="1">
      <c r="A203" s="24" t="str">
        <f>$A$42</f>
        <v>3Q</v>
      </c>
      <c r="B203" s="29" t="str">
        <f>$B$42</f>
        <v>Oct</v>
      </c>
      <c r="D203" s="1581">
        <f>(S203/S196-1)*100</f>
        <v>1.053185887309116</v>
      </c>
      <c r="F203" s="1813">
        <v>3</v>
      </c>
      <c r="H203" s="1581">
        <f>D203-F203</f>
        <v>-1.946814112690884</v>
      </c>
      <c r="J203" s="1594">
        <f>'Store New'!BD167</f>
        <v>3193</v>
      </c>
      <c r="L203" s="1583">
        <f>AVERAGE(J203,J202)</f>
        <v>3186</v>
      </c>
      <c r="N203" s="1581">
        <f>(L203/L196-1)*100</f>
        <v>-2.7769301190112894</v>
      </c>
      <c r="O203" s="30"/>
      <c r="P203" s="1719">
        <f>IFERROR((H203/N203)*100,"NM")</f>
        <v>70.106701618549778</v>
      </c>
      <c r="Q203" s="35"/>
      <c r="S203" s="1603">
        <f>'qtrP&amp;L'!DJ12</f>
        <v>3838</v>
      </c>
      <c r="T203" s="1603">
        <f>'qtrP&amp;L'!DJ12</f>
        <v>3838</v>
      </c>
      <c r="U203" s="1603"/>
      <c r="V203" s="1603"/>
      <c r="W203" s="1603"/>
      <c r="Y203" s="1602">
        <f>T203/L203</f>
        <v>1.204645323289391</v>
      </c>
      <c r="AA203" s="1587">
        <f>(Y203/Y196-1)*100</f>
        <v>3.9395135444795892</v>
      </c>
      <c r="AB203" s="30"/>
      <c r="AD203" s="1597">
        <f>'Store New'!BD172</f>
        <v>36.6</v>
      </c>
      <c r="AF203" s="1588">
        <f>AVERAGE(AD203,AD202)</f>
        <v>36.549999999999997</v>
      </c>
      <c r="AH203" s="1581">
        <f>(AF203/AF196-1)*100</f>
        <v>-3.1788079470198793</v>
      </c>
      <c r="AI203" s="30"/>
      <c r="AJ203" s="1589">
        <f>IFERROR(+H203/AH203*100,"NM")</f>
        <v>61.243527295067167</v>
      </c>
      <c r="AK203" s="35"/>
      <c r="AM203" s="1604">
        <f>+T203-BH203</f>
        <v>3838</v>
      </c>
      <c r="AO203" s="1604">
        <f>AM203/AF203</f>
        <v>105.00683994528045</v>
      </c>
      <c r="AQ203" s="1587">
        <f>(AO203/AO196-1)*100</f>
        <v>4.3709375443480081</v>
      </c>
      <c r="AR203" s="30"/>
      <c r="AT203" s="1603">
        <f t="shared" si="7"/>
        <v>201</v>
      </c>
      <c r="AU203" s="1583">
        <v>201</v>
      </c>
      <c r="AV203" s="1599">
        <f t="shared" si="8"/>
        <v>0.16184971098265888</v>
      </c>
      <c r="AY203" s="1603">
        <f>+S203-AZ203</f>
        <v>0</v>
      </c>
      <c r="AZ203" s="1725">
        <f>+BA203+BD203+BE203+AU203</f>
        <v>3838</v>
      </c>
      <c r="BA203" s="1603">
        <v>1322</v>
      </c>
      <c r="BC203" s="1603"/>
      <c r="BD203" s="1603">
        <v>557</v>
      </c>
      <c r="BE203" s="1603">
        <v>1758</v>
      </c>
      <c r="BF203" s="1603"/>
      <c r="BG203" s="1726">
        <f>AU203/AU196-1</f>
        <v>0.16184971098265888</v>
      </c>
      <c r="BH203" s="1727"/>
      <c r="BI203" s="1727"/>
      <c r="BJ203" s="1727"/>
      <c r="BK203" s="1730"/>
      <c r="BL203" s="1727"/>
      <c r="BM203" s="1727"/>
      <c r="BO203" s="1723"/>
      <c r="BP203" s="1729"/>
      <c r="BQ203" s="1630"/>
      <c r="BR203" s="1583">
        <v>0</v>
      </c>
      <c r="BS203" s="1583">
        <v>0</v>
      </c>
      <c r="BT203" s="1583">
        <v>0</v>
      </c>
      <c r="BX203" s="1724"/>
      <c r="BY203" s="1724"/>
    </row>
    <row r="204" spans="1:77" s="24" customFormat="1">
      <c r="A204" s="24" t="str">
        <f>$A$43</f>
        <v>4Q</v>
      </c>
      <c r="B204" s="29" t="str">
        <f>$B$43</f>
        <v>Jan</v>
      </c>
      <c r="D204" s="1606">
        <f>(S204/S197-1)*100</f>
        <v>7.8798825920072257</v>
      </c>
      <c r="F204" s="1607">
        <v>5</v>
      </c>
      <c r="H204" s="1606">
        <f>D204-F204</f>
        <v>2.8798825920072257</v>
      </c>
      <c r="J204" s="1594">
        <f>'Store New'!BE167</f>
        <v>3165</v>
      </c>
      <c r="L204" s="1608">
        <f>AVERAGE(J204,J203)</f>
        <v>3179</v>
      </c>
      <c r="N204" s="1606">
        <f>(L204/L197-1)*100</f>
        <v>-1.8978552692485717</v>
      </c>
      <c r="O204" s="30"/>
      <c r="P204" s="1720">
        <f>IFERROR((H204/N204)*100,"NM")</f>
        <v>-151.74405755121006</v>
      </c>
      <c r="Q204" s="35"/>
      <c r="S204" s="1614">
        <f>'qtrP&amp;L'!DJ13</f>
        <v>4778</v>
      </c>
      <c r="T204" s="1614">
        <f>'qtrP&amp;L'!DJ13</f>
        <v>4778</v>
      </c>
      <c r="U204" s="38"/>
      <c r="V204" s="1825"/>
      <c r="W204" s="1825"/>
      <c r="Y204" s="1611">
        <f>T204/L204</f>
        <v>1.5029883611198489</v>
      </c>
      <c r="AA204" s="1612">
        <f>(Y204/Y197-1)*100</f>
        <v>9.96689510519011</v>
      </c>
      <c r="AB204" s="30"/>
      <c r="AD204" s="1597">
        <f>'Store New'!BE172</f>
        <v>36.4</v>
      </c>
      <c r="AF204" s="1613">
        <f>AVERAGE(AD204,AD203)</f>
        <v>36.5</v>
      </c>
      <c r="AH204" s="1606">
        <f>(AF204/AF197-1)*100</f>
        <v>-1.8817204301075363</v>
      </c>
      <c r="AI204" s="30"/>
      <c r="AJ204" s="1608">
        <f>IFERROR(+H204/AH204*100,"NM")</f>
        <v>-153.04518917524038</v>
      </c>
      <c r="AK204" s="35"/>
      <c r="AM204" s="1615">
        <f>+T204-BH204</f>
        <v>4778</v>
      </c>
      <c r="AO204" s="1615">
        <f>AM204/AF204</f>
        <v>130.9041095890411</v>
      </c>
      <c r="AQ204" s="1612">
        <f>(AO204/AO197-1)*100</f>
        <v>9.948811847196426</v>
      </c>
      <c r="AR204" s="30"/>
      <c r="AT204" s="1603">
        <f t="shared" si="7"/>
        <v>284</v>
      </c>
      <c r="AU204" s="1583">
        <v>284</v>
      </c>
      <c r="AV204" s="1599">
        <f t="shared" si="8"/>
        <v>0.26785714285714279</v>
      </c>
      <c r="AY204" s="1603">
        <f>+S204-AZ204</f>
        <v>183.875</v>
      </c>
      <c r="AZ204" s="1731">
        <f>+BA204+BD204+BE204+AU204</f>
        <v>4594.125</v>
      </c>
      <c r="BA204" s="1603">
        <v>1571.105</v>
      </c>
      <c r="BC204" s="1603"/>
      <c r="BD204" s="1603">
        <v>686.76</v>
      </c>
      <c r="BE204" s="1603">
        <v>2052.2600000000002</v>
      </c>
      <c r="BF204" s="1603"/>
      <c r="BG204" s="1726">
        <f>AU204/AU197-1</f>
        <v>0.26785714285714279</v>
      </c>
      <c r="BH204" s="1727"/>
      <c r="BI204" s="1727"/>
      <c r="BJ204" s="1727"/>
      <c r="BK204" s="1730"/>
      <c r="BL204" s="1727"/>
      <c r="BM204" s="1727"/>
      <c r="BO204" s="1723"/>
      <c r="BP204" s="1729"/>
      <c r="BR204" s="1583">
        <v>0</v>
      </c>
      <c r="BS204" s="1583">
        <v>0</v>
      </c>
      <c r="BT204" s="1583">
        <v>0</v>
      </c>
      <c r="BX204" s="1724"/>
      <c r="BY204" s="1724"/>
    </row>
    <row r="205" spans="1:77" s="24" customFormat="1">
      <c r="B205" s="29" t="str">
        <f>$B$44</f>
        <v>Year</v>
      </c>
      <c r="D205" s="1581">
        <f>(S205/S198-1)*100</f>
        <v>2.1848414539829886</v>
      </c>
      <c r="F205" s="1962">
        <f>F201*S201/$S205+F202*S202/$S205+F203*S203/$S205+F204*S204/$S205</f>
        <v>2.9065279091769156</v>
      </c>
      <c r="H205" s="1581">
        <f>D205-F205</f>
        <v>-0.72168645519392705</v>
      </c>
      <c r="J205" s="1594"/>
      <c r="L205" s="1583">
        <f>AVERAGE(L201:L204)</f>
        <v>3185.125</v>
      </c>
      <c r="N205" s="1581">
        <f>(L205/L198-1)*100</f>
        <v>-2.5023914291180449</v>
      </c>
      <c r="O205" s="30"/>
      <c r="P205" s="1589">
        <f>H205/N205*100</f>
        <v>28.839870805035556</v>
      </c>
      <c r="Q205" s="35"/>
      <c r="S205" s="1590">
        <f>SUM(S201:S204)</f>
        <v>15855</v>
      </c>
      <c r="T205" s="1590">
        <f>'qtrP&amp;L'!DJ14</f>
        <v>15855</v>
      </c>
      <c r="U205" s="1590"/>
      <c r="V205" s="1590"/>
      <c r="W205" s="1590"/>
      <c r="Y205" s="1586">
        <f>SUM(Y201:Y204)</f>
        <v>4.9787060345939649</v>
      </c>
      <c r="AA205" s="1587">
        <f>(Y205/Y198-1)*100</f>
        <v>4.7835517758713975</v>
      </c>
      <c r="AB205" s="30"/>
      <c r="AF205" s="1588">
        <f>AVERAGE(AF201:AF204)</f>
        <v>36.537499999999994</v>
      </c>
      <c r="AH205" s="1581">
        <f>(AF205/AF198-1)*100</f>
        <v>-2.9548472775564494</v>
      </c>
      <c r="AI205" s="30"/>
      <c r="AJ205" s="1589">
        <f>+H205/AH205*100</f>
        <v>24.423815764540471</v>
      </c>
      <c r="AK205" s="35"/>
      <c r="AM205" s="1591">
        <f>SUM(AM201:AM204)</f>
        <v>15855</v>
      </c>
      <c r="AO205" s="1591">
        <f>SUM(AO201:AO204)</f>
        <v>433.98221235339486</v>
      </c>
      <c r="AQ205" s="1587">
        <f>(AO205/AO198-1)*100</f>
        <v>5.2386916535090977</v>
      </c>
      <c r="AR205" s="30"/>
      <c r="AT205" s="1603">
        <f t="shared" si="7"/>
        <v>919</v>
      </c>
      <c r="AU205" s="1583">
        <v>919</v>
      </c>
      <c r="AV205" s="1599">
        <f t="shared" si="8"/>
        <v>0.18427835051546393</v>
      </c>
      <c r="AY205" s="1603">
        <f>+S205-AZ205</f>
        <v>183.875</v>
      </c>
      <c r="AZ205" s="1732">
        <f>+BA205+BD205+BE205+AU205</f>
        <v>15671.125</v>
      </c>
      <c r="BA205" s="1603">
        <v>5283.1049999999996</v>
      </c>
      <c r="BC205" s="1603"/>
      <c r="BD205" s="1603">
        <v>2339.7600000000002</v>
      </c>
      <c r="BE205" s="1603">
        <v>7129.26</v>
      </c>
      <c r="BF205" s="1603"/>
      <c r="BG205" s="1726">
        <f>AU205/AU198-1</f>
        <v>0.18427835051546393</v>
      </c>
      <c r="BH205" s="1604"/>
      <c r="BI205" s="1583"/>
      <c r="BJ205" s="1583"/>
      <c r="BK205" s="1726"/>
      <c r="BL205" s="1583"/>
      <c r="BM205" s="1583"/>
      <c r="BO205" s="1723"/>
      <c r="BP205" s="1630"/>
      <c r="BQ205" s="1630"/>
      <c r="BR205" s="1583">
        <v>0</v>
      </c>
      <c r="BS205" s="1583">
        <v>0</v>
      </c>
      <c r="BT205" s="1583">
        <v>0</v>
      </c>
      <c r="BX205" s="1724"/>
      <c r="BY205" s="1724"/>
    </row>
    <row r="206" spans="1:77" s="24" customFormat="1">
      <c r="B206" s="29"/>
      <c r="D206" s="1581"/>
      <c r="F206" s="1962"/>
      <c r="H206" s="1581"/>
      <c r="J206" s="1594"/>
      <c r="L206" s="1583"/>
      <c r="N206" s="1581"/>
      <c r="O206" s="30"/>
      <c r="P206" s="1589"/>
      <c r="Q206" s="35"/>
      <c r="S206" s="1590"/>
      <c r="T206" s="1590"/>
      <c r="U206" s="1590"/>
      <c r="V206" s="1590"/>
      <c r="W206" s="1590"/>
      <c r="Y206" s="1586"/>
      <c r="AA206" s="1587"/>
      <c r="AB206" s="30"/>
      <c r="AF206" s="1588"/>
      <c r="AH206" s="1581"/>
      <c r="AI206" s="30"/>
      <c r="AJ206" s="1589"/>
      <c r="AK206" s="35"/>
      <c r="AM206" s="1591"/>
      <c r="AO206" s="1591"/>
      <c r="AQ206" s="1587"/>
      <c r="AR206" s="30"/>
      <c r="AT206" s="1603"/>
      <c r="AU206" s="1597"/>
      <c r="AY206" s="1603"/>
      <c r="AZ206" s="2083"/>
      <c r="BA206" s="1603"/>
      <c r="BC206" s="1603"/>
      <c r="BD206" s="1603"/>
      <c r="BE206" s="1603"/>
      <c r="BF206" s="1603"/>
      <c r="BG206" s="1726"/>
      <c r="BH206" s="1604"/>
      <c r="BI206" s="1583"/>
      <c r="BJ206" s="1583"/>
      <c r="BK206" s="1726"/>
      <c r="BL206" s="1583"/>
      <c r="BM206" s="1583"/>
      <c r="BO206" s="1723"/>
      <c r="BP206" s="1630"/>
      <c r="BQ206" s="1630"/>
      <c r="BR206" s="1583"/>
      <c r="BS206" s="1583"/>
      <c r="BT206" s="1583"/>
      <c r="BX206" s="1724"/>
      <c r="BY206" s="1724"/>
    </row>
    <row r="207" spans="1:77" s="24" customFormat="1">
      <c r="A207" s="1579"/>
      <c r="B207" s="1715">
        <f>+B200+1</f>
        <v>2018</v>
      </c>
      <c r="D207" s="1964"/>
      <c r="F207" s="1582"/>
      <c r="H207" s="1965"/>
      <c r="J207" s="1594"/>
      <c r="L207" s="1583"/>
      <c r="N207" s="1581"/>
      <c r="O207" s="30"/>
      <c r="P207" s="1589"/>
      <c r="Q207" s="35"/>
      <c r="S207" s="1603"/>
      <c r="T207" s="1590"/>
      <c r="U207" s="1590"/>
      <c r="V207" s="1590"/>
      <c r="W207" s="1590"/>
      <c r="Y207" s="1586"/>
      <c r="AA207" s="1587"/>
      <c r="AB207" s="30"/>
      <c r="AF207" s="1588"/>
      <c r="AH207" s="1581"/>
      <c r="AI207" s="30"/>
      <c r="AJ207" s="1589"/>
      <c r="AK207" s="35"/>
      <c r="AM207" s="1591"/>
      <c r="AO207" s="1591"/>
      <c r="AQ207" s="1587"/>
      <c r="AR207" s="30"/>
      <c r="AT207" s="1722"/>
      <c r="AY207" s="1721" t="s">
        <v>348</v>
      </c>
      <c r="BA207" s="1722"/>
      <c r="BC207" s="1722"/>
      <c r="BD207" s="1722"/>
      <c r="BE207" s="1722"/>
      <c r="BF207" s="1722"/>
      <c r="BH207" s="1583"/>
      <c r="BI207" s="1583"/>
      <c r="BJ207" s="1583"/>
      <c r="BK207" s="1583"/>
      <c r="BL207" s="1583"/>
      <c r="BM207" s="1583"/>
      <c r="BO207" s="1723"/>
      <c r="BR207" s="1630"/>
      <c r="BS207" s="1630"/>
      <c r="BT207" s="1630"/>
      <c r="BX207" s="1724"/>
      <c r="BY207" s="1724"/>
    </row>
    <row r="208" spans="1:77" s="24" customFormat="1">
      <c r="A208" s="24" t="str">
        <f>$A$40</f>
        <v>1Q</v>
      </c>
      <c r="B208" s="29" t="str">
        <f>$B$40</f>
        <v>Apr</v>
      </c>
      <c r="D208" s="1964">
        <f>(S208/S201-1)*100</f>
        <v>2.2525276647606951</v>
      </c>
      <c r="E208" s="30" t="s">
        <v>489</v>
      </c>
      <c r="F208" s="1963">
        <f>(segQtrSales!S188/qtrSales!S201*segQtrSales!F195)+(segQtrSales!S395/qtrSales!S201*segQtrSales!F402)+(segQtrSales!S560/qtrSales!S201*segQtrSales!F567)+(AT201/S201*AV208)</f>
        <v>0.19678779069767438</v>
      </c>
      <c r="G208" s="30" t="s">
        <v>489</v>
      </c>
      <c r="H208" s="1581">
        <f>D208-F208</f>
        <v>2.0557398740630206</v>
      </c>
      <c r="I208" s="30" t="s">
        <v>489</v>
      </c>
      <c r="J208" s="1594">
        <f>'Store New'!BF167</f>
        <v>3169</v>
      </c>
      <c r="L208" s="1583">
        <f>AVERAGE(J208,J204)</f>
        <v>3167</v>
      </c>
      <c r="N208" s="1581">
        <f>(L208/L201-1)*100</f>
        <v>-0.81428124021296622</v>
      </c>
      <c r="O208" s="30" t="s">
        <v>489</v>
      </c>
      <c r="P208" s="1719">
        <f>IFERROR((H208/N208)*100,"NM")</f>
        <v>-252.46066991858544</v>
      </c>
      <c r="Q208" s="35" t="s">
        <v>489</v>
      </c>
      <c r="S208" s="1603">
        <f>segQtrSales!S195+segQtrSales!S402+segQtrSales!S567+AT208</f>
        <v>3517.4869516677682</v>
      </c>
      <c r="T208" s="1590">
        <f>'qtrP&amp;L'!DN10</f>
        <v>3517.4869516677682</v>
      </c>
      <c r="U208" s="1590"/>
      <c r="V208" s="1590"/>
      <c r="W208" s="1590"/>
      <c r="Y208" s="1586">
        <f>T208/L208</f>
        <v>1.1106684406908014</v>
      </c>
      <c r="AA208" s="1587">
        <f>(Y208/Y201-1)*100</f>
        <v>3.0919863699339967</v>
      </c>
      <c r="AB208" s="30" t="s">
        <v>489</v>
      </c>
      <c r="AD208" s="1597">
        <f>'Store New'!BF172</f>
        <v>36.385999999999996</v>
      </c>
      <c r="AF208" s="1588">
        <f>AVERAGE(AD208,AD204)</f>
        <v>36.393000000000001</v>
      </c>
      <c r="AH208" s="1581">
        <f>(AF208/AF201-1)*100</f>
        <v>-0.56557377049180069</v>
      </c>
      <c r="AI208" s="30" t="s">
        <v>489</v>
      </c>
      <c r="AJ208" s="1589">
        <f>IFERROR(+H208/AH208*100,"NM")</f>
        <v>-363.47864439955021</v>
      </c>
      <c r="AK208" s="35" t="s">
        <v>489</v>
      </c>
      <c r="AM208" s="1591">
        <f>+T208-BH208</f>
        <v>3517.4869516677682</v>
      </c>
      <c r="AO208" s="1591">
        <f>AM208/AF208</f>
        <v>96.652843999334166</v>
      </c>
      <c r="AQ208" s="1587">
        <f>(AO208/AO201-1)*100</f>
        <v>2.8341305341752943</v>
      </c>
      <c r="AR208" s="30"/>
      <c r="AT208" s="1603">
        <f t="shared" ref="AT208:AT212" si="9">AU208</f>
        <v>233.45</v>
      </c>
      <c r="AU208" s="1583">
        <f>(1+AV208)*(AU201)</f>
        <v>233.45</v>
      </c>
      <c r="AV208" s="2085">
        <v>0.15</v>
      </c>
      <c r="AY208" s="1603">
        <f>+S208-AZ208</f>
        <v>-90.15304833223172</v>
      </c>
      <c r="AZ208" s="1725">
        <f>+BA208+BD208+BE208+AU208</f>
        <v>3607.64</v>
      </c>
      <c r="BA208" s="1603">
        <v>1123.26</v>
      </c>
      <c r="BC208" s="1603"/>
      <c r="BD208" s="1603">
        <v>501.49</v>
      </c>
      <c r="BE208" s="1603">
        <v>1749.44</v>
      </c>
      <c r="BF208" s="1603"/>
      <c r="BG208" s="1726">
        <f>AU208/AU201-1</f>
        <v>0.14999999999999991</v>
      </c>
      <c r="BH208" s="1727"/>
      <c r="BI208" s="1727"/>
      <c r="BJ208" s="1728"/>
      <c r="BK208" s="1726"/>
      <c r="BL208" s="1727"/>
      <c r="BM208" s="1727"/>
      <c r="BO208" s="1723"/>
      <c r="BP208" s="1729"/>
      <c r="BR208" s="1583">
        <v>0</v>
      </c>
      <c r="BS208" s="1583">
        <v>0</v>
      </c>
      <c r="BT208" s="1583">
        <v>0</v>
      </c>
      <c r="BX208" s="1724"/>
      <c r="BY208" s="1724"/>
    </row>
    <row r="209" spans="1:77" s="24" customFormat="1">
      <c r="A209" s="24" t="str">
        <f>$A$41</f>
        <v>2Q</v>
      </c>
      <c r="B209" s="29" t="str">
        <f>$B$41</f>
        <v>Jul</v>
      </c>
      <c r="D209" s="1581">
        <f>(S209/S202-1)*100</f>
        <v>2.7795116930450003</v>
      </c>
      <c r="F209" s="1963">
        <f>(segQtrSales!S189/qtrSales!S202*segQtrSales!F196)+(segQtrSales!S396/qtrSales!S202*segQtrSales!F403)+(segQtrSales!S561/qtrSales!S202*segQtrSales!F568)+(AT202/S202*AV209)</f>
        <v>1.1706106870229007</v>
      </c>
      <c r="H209" s="1581">
        <f>D209-F209</f>
        <v>1.6089010060220996</v>
      </c>
      <c r="J209" s="1594">
        <f>'Store New'!BG167</f>
        <v>3169</v>
      </c>
      <c r="L209" s="1583">
        <f>AVERAGE(J209,J208)</f>
        <v>3169</v>
      </c>
      <c r="N209" s="1581">
        <f>(L209/L202-1)*100</f>
        <v>-0.42419481539670567</v>
      </c>
      <c r="O209" s="30"/>
      <c r="P209" s="1719">
        <f>IFERROR((H209/N209)*100,"NM")</f>
        <v>-379.28351493816831</v>
      </c>
      <c r="Q209" s="35"/>
      <c r="S209" s="1954">
        <f>segQtrSales!S196+segQtrSales!S403+segQtrSales!S568+AT209</f>
        <v>3904.5936492187793</v>
      </c>
      <c r="T209" s="1603">
        <f>'qtrP&amp;L'!DN11</f>
        <v>3904.5936492187793</v>
      </c>
      <c r="U209" s="1603"/>
      <c r="V209" s="1603"/>
      <c r="W209" s="1603"/>
      <c r="Y209" s="1602">
        <f>T209/L209</f>
        <v>1.2321216942943449</v>
      </c>
      <c r="AA209" s="1587">
        <f>(Y209/Y202-1)*100</f>
        <v>3.2173543588247755</v>
      </c>
      <c r="AB209" s="30"/>
      <c r="AD209" s="1597">
        <f>'Store New'!BG172</f>
        <v>36.337999999999994</v>
      </c>
      <c r="AF209" s="1588">
        <f>AVERAGE(AD209,AD208)</f>
        <v>36.361999999999995</v>
      </c>
      <c r="AH209" s="1581">
        <f>(AF209/AF202-1)*100</f>
        <v>-0.37808219178083746</v>
      </c>
      <c r="AI209" s="30"/>
      <c r="AJ209" s="1589">
        <f>IFERROR(+H209/AH209*100,"NM")</f>
        <v>-425.54265738988562</v>
      </c>
      <c r="AK209" s="35"/>
      <c r="AM209" s="1604">
        <f>+T209-BH209</f>
        <v>3904.5936492187793</v>
      </c>
      <c r="AO209" s="1604">
        <f>AM209/AF209</f>
        <v>107.38115750560419</v>
      </c>
      <c r="AQ209" s="1587">
        <f>(AO209/AO202-1)*100</f>
        <v>3.1695774928811149</v>
      </c>
      <c r="AR209" s="30"/>
      <c r="AT209" s="1603">
        <f t="shared" si="9"/>
        <v>265.64999999999998</v>
      </c>
      <c r="AU209" s="1583">
        <f t="shared" ref="AU209:AU211" si="10">(1+AV209)*(AU202)</f>
        <v>265.64999999999998</v>
      </c>
      <c r="AV209" s="2085">
        <v>0.15</v>
      </c>
      <c r="AY209" s="1603">
        <f>+S209-AZ209</f>
        <v>-64.026350781221026</v>
      </c>
      <c r="AZ209" s="1725">
        <f>+BA209+BD209+BE209+AU209</f>
        <v>3968.6200000000003</v>
      </c>
      <c r="BA209" s="1603">
        <v>1232</v>
      </c>
      <c r="BC209" s="1603"/>
      <c r="BD209" s="1603">
        <v>555.84</v>
      </c>
      <c r="BE209" s="1603">
        <v>1915.13</v>
      </c>
      <c r="BF209" s="1603"/>
      <c r="BG209" s="1726">
        <f>AU209/AU202-1</f>
        <v>0.14999999999999991</v>
      </c>
      <c r="BH209" s="1727"/>
      <c r="BI209" s="1727"/>
      <c r="BJ209" s="1728"/>
      <c r="BK209" s="1726"/>
      <c r="BL209" s="1727"/>
      <c r="BM209" s="1727"/>
      <c r="BO209" s="1723"/>
      <c r="BP209" s="1729"/>
      <c r="BQ209" s="1630"/>
      <c r="BR209" s="1583">
        <v>0</v>
      </c>
      <c r="BS209" s="1583">
        <v>0</v>
      </c>
      <c r="BT209" s="1583">
        <v>0</v>
      </c>
      <c r="BX209" s="1724"/>
      <c r="BY209" s="1724"/>
    </row>
    <row r="210" spans="1:77" s="24" customFormat="1">
      <c r="A210" s="24" t="str">
        <f>$A$42</f>
        <v>3Q</v>
      </c>
      <c r="B210" s="29" t="str">
        <f>$B$42</f>
        <v>Oct</v>
      </c>
      <c r="D210" s="1581">
        <f>(S210/S203-1)*100</f>
        <v>1.7164606748988787</v>
      </c>
      <c r="F210" s="1963">
        <f>(segQtrSales!S190/qtrSales!S203*segQtrSales!F197)+(segQtrSales!S397/qtrSales!S203*segQtrSales!F404)+(segQtrSales!S562/qtrSales!S203*segQtrSales!F569)+(AT203/S203*AV210)</f>
        <v>0.16939812402292875</v>
      </c>
      <c r="H210" s="1581">
        <f>D210-F210</f>
        <v>1.5470625508759499</v>
      </c>
      <c r="J210" s="1594">
        <f>'Store New'!BH167</f>
        <v>3155</v>
      </c>
      <c r="L210" s="1583">
        <f>AVERAGE(J210,J209)</f>
        <v>3162</v>
      </c>
      <c r="N210" s="1581">
        <f>(L210/L203-1)*100</f>
        <v>-0.7532956685499026</v>
      </c>
      <c r="O210" s="30"/>
      <c r="P210" s="1719">
        <f>IFERROR((H210/N210)*100,"NM")</f>
        <v>-205.37255362878324</v>
      </c>
      <c r="Q210" s="35"/>
      <c r="S210" s="1603">
        <f>segQtrSales!S197+segQtrSales!S404+segQtrSales!S569+AT210</f>
        <v>3903.8777607026191</v>
      </c>
      <c r="T210" s="1603">
        <f>'qtrP&amp;L'!DN12</f>
        <v>3903.8777607026191</v>
      </c>
      <c r="U210" s="1603"/>
      <c r="V210" s="1603"/>
      <c r="W210" s="1603"/>
      <c r="Y210" s="1602">
        <f>T210/L210</f>
        <v>1.2346229477237884</v>
      </c>
      <c r="AA210" s="1587">
        <f>(Y210/Y203-1)*100</f>
        <v>2.4885021221467074</v>
      </c>
      <c r="AB210" s="30"/>
      <c r="AD210" s="1597">
        <f>'Store New'!BH172</f>
        <v>36.165999999999997</v>
      </c>
      <c r="AF210" s="1588">
        <f>AVERAGE(AD210,AD209)</f>
        <v>36.251999999999995</v>
      </c>
      <c r="AH210" s="1581">
        <f>(AF210/AF203-1)*100</f>
        <v>-0.81532147742818806</v>
      </c>
      <c r="AI210" s="30"/>
      <c r="AJ210" s="1589">
        <f>IFERROR(+H210/AH210*100,"NM")</f>
        <v>-189.74877931045452</v>
      </c>
      <c r="AK210" s="35"/>
      <c r="AM210" s="1604">
        <f>+T210-BH210</f>
        <v>3903.8777607026191</v>
      </c>
      <c r="AO210" s="1604">
        <f>AM210/AF210</f>
        <v>107.68723824072106</v>
      </c>
      <c r="AQ210" s="1587">
        <f>(AO210/AO203-1)*100</f>
        <v>2.5525939994360147</v>
      </c>
      <c r="AR210" s="30"/>
      <c r="AT210" s="1603">
        <f t="shared" si="9"/>
        <v>231.14999999999998</v>
      </c>
      <c r="AU210" s="1583">
        <f t="shared" si="10"/>
        <v>231.14999999999998</v>
      </c>
      <c r="AV210" s="2085">
        <v>0.15</v>
      </c>
      <c r="AY210" s="1603">
        <f>+S210-AZ210</f>
        <v>-131.35223929738095</v>
      </c>
      <c r="AZ210" s="1725">
        <f>+BA210+BD210+BE210+AU210</f>
        <v>4035.23</v>
      </c>
      <c r="BA210" s="1603">
        <v>1348.44</v>
      </c>
      <c r="BC210" s="1603"/>
      <c r="BD210" s="1603">
        <v>557</v>
      </c>
      <c r="BE210" s="1603">
        <v>1898.64</v>
      </c>
      <c r="BF210" s="1603"/>
      <c r="BG210" s="1726">
        <f>AU210/AU203-1</f>
        <v>0.14999999999999991</v>
      </c>
      <c r="BH210" s="1727"/>
      <c r="BI210" s="1727"/>
      <c r="BJ210" s="1727"/>
      <c r="BK210" s="1730"/>
      <c r="BL210" s="1727"/>
      <c r="BM210" s="1727"/>
      <c r="BO210" s="1723"/>
      <c r="BP210" s="1729"/>
      <c r="BQ210" s="1630"/>
      <c r="BR210" s="1583">
        <v>0</v>
      </c>
      <c r="BS210" s="1583">
        <v>0</v>
      </c>
      <c r="BT210" s="1583">
        <v>0</v>
      </c>
      <c r="BX210" s="1724"/>
      <c r="BY210" s="1724"/>
    </row>
    <row r="211" spans="1:77" s="24" customFormat="1">
      <c r="A211" s="24" t="str">
        <f>$A$43</f>
        <v>4Q</v>
      </c>
      <c r="B211" s="29" t="str">
        <f>$B$43</f>
        <v>Jan</v>
      </c>
      <c r="D211" s="1606">
        <f>(S211/S204-1)*100</f>
        <v>-2.0214341081832732</v>
      </c>
      <c r="F211" s="1961">
        <f>(segQtrSales!S191/qtrSales!S204*segQtrSales!F198)+(segQtrSales!S398/qtrSales!S204*segQtrSales!F405)+(segQtrSales!S563/qtrSales!S204*segQtrSales!F570)+(AT204/S204*AV211)</f>
        <v>-1.3501255755546253</v>
      </c>
      <c r="H211" s="1606">
        <f>D211-F211</f>
        <v>-0.67130853262864787</v>
      </c>
      <c r="J211" s="1594">
        <f>'Store New'!BI167</f>
        <v>3087</v>
      </c>
      <c r="L211" s="1608">
        <f>AVERAGE(J211,J210)</f>
        <v>3121</v>
      </c>
      <c r="N211" s="1606">
        <f>(L211/L204-1)*100</f>
        <v>-1.8244731047499241</v>
      </c>
      <c r="O211" s="30"/>
      <c r="P211" s="1720">
        <f>IFERROR((H211/N211)*100,"NM")</f>
        <v>36.794652159077039</v>
      </c>
      <c r="Q211" s="35"/>
      <c r="S211" s="1614">
        <f>segQtrSales!S198+segQtrSales!S405+segQtrSales!S570+AT211</f>
        <v>4681.4158783110033</v>
      </c>
      <c r="T211" s="1614">
        <f>'qtrP&amp;L'!DN13</f>
        <v>4681.4158783110033</v>
      </c>
      <c r="U211" s="38"/>
      <c r="V211" s="38"/>
      <c r="W211" s="38"/>
      <c r="Y211" s="1611">
        <f>T211/L211</f>
        <v>1.4999730465591168</v>
      </c>
      <c r="AA211" s="1612">
        <f>(Y211/Y204-1)*100</f>
        <v>-0.20062128481723729</v>
      </c>
      <c r="AB211" s="30"/>
      <c r="AD211" s="1597">
        <f>'Store New'!BI172</f>
        <v>35.505999999999993</v>
      </c>
      <c r="AF211" s="1613">
        <f>AVERAGE(AD211,AD210)</f>
        <v>35.835999999999999</v>
      </c>
      <c r="AH211" s="1606">
        <f>(AF211/AF204-1)*100</f>
        <v>-1.8191780821917858</v>
      </c>
      <c r="AI211" s="30"/>
      <c r="AJ211" s="1608">
        <f>IFERROR(+H211/AH211*100,"NM")</f>
        <v>36.901749158050571</v>
      </c>
      <c r="AK211" s="35"/>
      <c r="AM211" s="1615">
        <f>+T211-BH211</f>
        <v>4681.4158783110033</v>
      </c>
      <c r="AO211" s="1615">
        <f>AM211/AF211</f>
        <v>130.63444241296472</v>
      </c>
      <c r="AQ211" s="1612">
        <f>(AO211/AO204-1)*100</f>
        <v>-0.20600359830029724</v>
      </c>
      <c r="AR211" s="30"/>
      <c r="AT211" s="1603">
        <f t="shared" si="9"/>
        <v>326.59999999999997</v>
      </c>
      <c r="AU211" s="1583">
        <f t="shared" si="10"/>
        <v>326.59999999999997</v>
      </c>
      <c r="AV211" s="2085">
        <v>0.15</v>
      </c>
      <c r="AY211" s="1603">
        <f>+S211-AZ211</f>
        <v>-70.508996688997286</v>
      </c>
      <c r="AZ211" s="1731">
        <f>+BA211+BD211+BE211+AU211</f>
        <v>4751.9248750000006</v>
      </c>
      <c r="BA211" s="1603">
        <v>1563.2494750000001</v>
      </c>
      <c r="BC211" s="1603"/>
      <c r="BD211" s="1603">
        <v>666.15719999999999</v>
      </c>
      <c r="BE211" s="1603">
        <v>2195.9182000000005</v>
      </c>
      <c r="BF211" s="1603"/>
      <c r="BG211" s="1726">
        <f>AU211/AU204-1</f>
        <v>0.14999999999999991</v>
      </c>
      <c r="BH211" s="1727"/>
      <c r="BI211" s="1727"/>
      <c r="BJ211" s="1727"/>
      <c r="BK211" s="1730"/>
      <c r="BL211" s="1727"/>
      <c r="BM211" s="1727"/>
      <c r="BO211" s="1723"/>
      <c r="BP211" s="1729"/>
      <c r="BR211" s="1583">
        <v>0</v>
      </c>
      <c r="BS211" s="1583">
        <v>0</v>
      </c>
      <c r="BT211" s="1583">
        <v>0</v>
      </c>
      <c r="BX211" s="1724"/>
      <c r="BY211" s="1724"/>
    </row>
    <row r="212" spans="1:77" s="24" customFormat="1">
      <c r="B212" s="29" t="str">
        <f>$B$44</f>
        <v>Year</v>
      </c>
      <c r="D212" s="1581">
        <f>(S212/S205-1)*100</f>
        <v>0.96104850142018083</v>
      </c>
      <c r="F212" s="1963">
        <f>(segQtrSales!S192/qtrSales!S205*segQtrSales!F199)+(segQtrSales!S399/qtrSales!S205*segQtrSales!F406)+(segQtrSales!S564/qtrSales!S205*segQtrSales!F571)+(AT205/S205*AV212)</f>
        <v>-1.202125311883347E-2</v>
      </c>
      <c r="H212" s="1581">
        <f>D212-F212</f>
        <v>0.97306975453901434</v>
      </c>
      <c r="J212" s="1594"/>
      <c r="L212" s="1583">
        <f>AVERAGE(L208:L211)</f>
        <v>3154.75</v>
      </c>
      <c r="N212" s="1581">
        <f>(L212/L205-1)*100</f>
        <v>-0.95365174051253998</v>
      </c>
      <c r="O212" s="30"/>
      <c r="P212" s="1589">
        <f>H212/N212*100</f>
        <v>-102.03617454900655</v>
      </c>
      <c r="Q212" s="35"/>
      <c r="S212" s="1590">
        <f>SUM(S208:S211)</f>
        <v>16007.374239900169</v>
      </c>
      <c r="T212" s="1590">
        <f>SUM(T208:T211)</f>
        <v>16007.374239900169</v>
      </c>
      <c r="U212" s="1590"/>
      <c r="V212" s="1590"/>
      <c r="W212" s="1590"/>
      <c r="Y212" s="1586">
        <f>SUM(Y208:Y211)</f>
        <v>5.0773861292680511</v>
      </c>
      <c r="AA212" s="1587">
        <f>(Y212/Y205-1)*100</f>
        <v>1.9820430045160098</v>
      </c>
      <c r="AB212" s="30"/>
      <c r="AF212" s="1588">
        <f>AVERAGE(AF208:AF211)</f>
        <v>36.210749999999997</v>
      </c>
      <c r="AH212" s="1581">
        <f>(AF212/AF205-1)*100</f>
        <v>-0.89428669175504183</v>
      </c>
      <c r="AI212" s="30"/>
      <c r="AJ212" s="1589">
        <f>+H212/AH212*100</f>
        <v>-108.80959803051083</v>
      </c>
      <c r="AK212" s="35"/>
      <c r="AM212" s="1591">
        <f>SUM(AM208:AM211)</f>
        <v>16007.374239900169</v>
      </c>
      <c r="AO212" s="1591">
        <f>SUM(AO208:AO211)</f>
        <v>442.35568215862418</v>
      </c>
      <c r="AQ212" s="1587">
        <f>(AO212/AO205-1)*100</f>
        <v>1.9294500020684557</v>
      </c>
      <c r="AR212" s="30"/>
      <c r="AT212" s="1603">
        <f t="shared" si="9"/>
        <v>1056.8499999999999</v>
      </c>
      <c r="AU212" s="1583">
        <f>SUM(AU208:AU211)</f>
        <v>1056.8499999999999</v>
      </c>
      <c r="AV212" s="2085">
        <v>0.15</v>
      </c>
      <c r="AY212" s="1603">
        <f>+S212-AZ212</f>
        <v>-356.0406350998328</v>
      </c>
      <c r="AZ212" s="1732">
        <f>+BA212+BD212+BE212+AU212</f>
        <v>16363.414875000002</v>
      </c>
      <c r="BA212" s="1603">
        <v>5266.9494750000003</v>
      </c>
      <c r="BC212" s="1603"/>
      <c r="BD212" s="1603">
        <v>2280.4872</v>
      </c>
      <c r="BE212" s="1603">
        <v>7759.128200000001</v>
      </c>
      <c r="BF212" s="1603"/>
      <c r="BG212" s="1726">
        <f>AU212/AU205-1</f>
        <v>0.14999999999999991</v>
      </c>
      <c r="BH212" s="1604"/>
      <c r="BI212" s="1583"/>
      <c r="BJ212" s="1583"/>
      <c r="BK212" s="1726"/>
      <c r="BL212" s="1583"/>
      <c r="BM212" s="1583"/>
      <c r="BO212" s="1723"/>
      <c r="BP212" s="1630"/>
      <c r="BQ212" s="1630"/>
      <c r="BR212" s="1583">
        <v>0</v>
      </c>
      <c r="BS212" s="1583">
        <v>0</v>
      </c>
      <c r="BT212" s="1583">
        <v>0</v>
      </c>
      <c r="BX212" s="1724"/>
      <c r="BY212" s="1724"/>
    </row>
    <row r="213" spans="1:77">
      <c r="B213" s="1154"/>
      <c r="D213" s="1068"/>
      <c r="F213" s="1205"/>
      <c r="H213" s="1068"/>
      <c r="J213" s="1192"/>
      <c r="L213" s="1175"/>
      <c r="N213" s="1068"/>
      <c r="O213" s="1155"/>
      <c r="P213" s="1169"/>
      <c r="Q213" s="1062"/>
      <c r="S213" s="1170"/>
      <c r="T213" s="1170"/>
      <c r="U213" s="1170"/>
      <c r="V213" s="1170"/>
      <c r="W213" s="1170"/>
      <c r="Y213" s="1171"/>
      <c r="AA213" s="1191"/>
      <c r="AB213" s="1155"/>
      <c r="AF213" s="1173"/>
      <c r="AH213" s="1068"/>
      <c r="AI213" s="1155"/>
      <c r="AJ213" s="1169"/>
      <c r="AK213" s="1062"/>
      <c r="AM213" s="1174"/>
      <c r="AO213" s="1174"/>
      <c r="AQ213" s="1191"/>
      <c r="AR213" s="1155"/>
      <c r="AT213" s="1176"/>
      <c r="AU213" s="1175"/>
      <c r="AY213" s="1176"/>
      <c r="AZ213" s="1201"/>
      <c r="BA213" s="1176"/>
      <c r="BC213" s="1176"/>
      <c r="BD213" s="1176"/>
      <c r="BE213" s="1176"/>
      <c r="BF213" s="1176"/>
      <c r="BG213" s="1216"/>
      <c r="BH213" s="1178"/>
      <c r="BI213" s="1175"/>
      <c r="BJ213" s="1175"/>
      <c r="BK213" s="1216"/>
      <c r="BL213" s="1175"/>
      <c r="BM213" s="1175"/>
      <c r="BO213" s="1195"/>
      <c r="BP213" s="1064"/>
      <c r="BQ213" s="1064"/>
      <c r="BR213" s="1175"/>
      <c r="BS213" s="1175"/>
      <c r="BT213" s="1175"/>
      <c r="BX213" s="1229"/>
      <c r="BY213" s="1229"/>
    </row>
    <row r="214" spans="1:77">
      <c r="A214" s="1113" t="s">
        <v>520</v>
      </c>
      <c r="B214" s="1154"/>
      <c r="T214" s="1176"/>
      <c r="U214" s="1176"/>
      <c r="V214" s="1176"/>
      <c r="W214" s="1176"/>
      <c r="AT214" s="1228"/>
      <c r="BB214" s="1228"/>
      <c r="BC214" s="1228"/>
      <c r="BD214" s="1228"/>
      <c r="BE214" s="1228"/>
      <c r="BF214" s="1228"/>
      <c r="BR214" s="1170"/>
      <c r="BS214" s="1170"/>
      <c r="BX214" s="1064"/>
      <c r="BY214" s="1064"/>
    </row>
    <row r="215" spans="1:77">
      <c r="S215" s="1176"/>
      <c r="AY215" s="1176"/>
      <c r="BS215" s="1170"/>
      <c r="BY215" s="1229"/>
    </row>
    <row r="216" spans="1:77">
      <c r="BS216" s="1170"/>
    </row>
    <row r="217" spans="1:77">
      <c r="H217" s="1061"/>
    </row>
  </sheetData>
  <mergeCells count="2">
    <mergeCell ref="BB8:BC8"/>
    <mergeCell ref="BB94:BC94"/>
  </mergeCells>
  <dataValidations disablePrompts="1" count="2">
    <dataValidation allowBlank="1" showInputMessage="1" errorTitle="DontRemoveTheErrorMessage" error="_2__FDSAUDITLINK__" prompt="Right-click to audit FactSet content" sqref="H25"/>
    <dataValidation type="custom" allowBlank="1" showInputMessage="1" showErrorMessage="1" sqref="F96:F98 F173 F166:F169 F159:F162 F145:F148 F138:F141 F131:F134 F117:F119 F110:F112 F124:F126 F103:F107 F152:F155 F100 T110:W113 T117:W120 T124:W127 T131:W134 T138:W141 T145:W148 T152:W155 T159:W162 T166:W169 T173:W176 T180:W183 T187:W190 T194:W197 T201:W204 T103:W106 T208:W211 T99:W99">
      <formula1>-1</formula1>
    </dataValidation>
  </dataValidations>
  <printOptions horizontalCentered="1"/>
  <pageMargins left="0" right="0" top="0" bottom="0" header="0.5" footer="0.5"/>
  <pageSetup scale="53" orientation="landscape" r:id="rId1"/>
  <headerFooter alignWithMargins="0"/>
  <rowBreaks count="2" manualBreakCount="2">
    <brk id="59" max="42" man="1"/>
    <brk id="108" max="42"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EU2062"/>
  <sheetViews>
    <sheetView showGridLines="0" topLeftCell="A33" zoomScale="85" zoomScaleNormal="85" zoomScaleSheetLayoutView="100" workbookViewId="0">
      <pane ySplit="7635" topLeftCell="A111"/>
      <selection pane="bottomLeft" activeCell="DN198" sqref="DN198"/>
    </sheetView>
  </sheetViews>
  <sheetFormatPr defaultRowHeight="12.75" outlineLevelRow="3" outlineLevelCol="2"/>
  <cols>
    <col min="1" max="1" width="3" style="10" customWidth="1"/>
    <col min="2" max="2" width="5.140625" style="10" customWidth="1"/>
    <col min="3" max="3" width="2.7109375" style="10" hidden="1" customWidth="1"/>
    <col min="4" max="4" width="9.140625" style="10" hidden="1" customWidth="1" outlineLevel="1"/>
    <col min="5" max="5" width="5.7109375" style="10" hidden="1" customWidth="1" outlineLevel="1"/>
    <col min="6" max="6" width="9.140625" style="10" hidden="1" customWidth="1" outlineLevel="1"/>
    <col min="7" max="8" width="5.7109375" style="10" hidden="1" customWidth="1" outlineLevel="1"/>
    <col min="9" max="9" width="2.42578125" style="10" hidden="1" customWidth="1" outlineLevel="1"/>
    <col min="10" max="10" width="9.140625" style="10" hidden="1" customWidth="1" outlineLevel="1"/>
    <col min="11" max="12" width="5.7109375" style="10" hidden="1" customWidth="1" outlineLevel="1"/>
    <col min="13" max="13" width="2.42578125" style="10" hidden="1" customWidth="1" outlineLevel="1"/>
    <col min="14" max="14" width="9.140625" style="10" hidden="1" customWidth="1" outlineLevel="1"/>
    <col min="15" max="16" width="5.7109375" style="10" hidden="1" customWidth="1" outlineLevel="1"/>
    <col min="17" max="17" width="2.42578125" style="10" hidden="1" customWidth="1" outlineLevel="1"/>
    <col min="18" max="18" width="9.140625" style="10" hidden="1" customWidth="1" outlineLevel="1"/>
    <col min="19" max="20" width="5.7109375" style="10" hidden="1" customWidth="1" outlineLevel="1"/>
    <col min="21" max="21" width="2.42578125" style="10" hidden="1" customWidth="1" outlineLevel="1"/>
    <col min="22" max="22" width="9.140625" style="10" hidden="1" customWidth="1" outlineLevel="1"/>
    <col min="23" max="24" width="5.7109375" style="10" hidden="1" customWidth="1" outlineLevel="1"/>
    <col min="25" max="25" width="2.42578125" style="10" hidden="1" customWidth="1" outlineLevel="1"/>
    <col min="26" max="26" width="9.140625" style="10" hidden="1" customWidth="1" outlineLevel="1"/>
    <col min="27" max="28" width="5.7109375" style="10" hidden="1" customWidth="1" outlineLevel="1"/>
    <col min="29" max="29" width="2.42578125" style="10" hidden="1" customWidth="1" outlineLevel="1"/>
    <col min="30" max="30" width="9.140625" style="10" hidden="1" customWidth="1" outlineLevel="1"/>
    <col min="31" max="32" width="5.7109375" style="10" hidden="1" customWidth="1" outlineLevel="1"/>
    <col min="33" max="33" width="2.42578125" style="10" hidden="1" customWidth="1" outlineLevel="1"/>
    <col min="34" max="34" width="9.140625" style="10" hidden="1" customWidth="1" outlineLevel="1" collapsed="1"/>
    <col min="35" max="35" width="5.7109375" style="10" hidden="1" customWidth="1" outlineLevel="1"/>
    <col min="36" max="36" width="4.85546875" style="10" hidden="1" customWidth="1" outlineLevel="1"/>
    <col min="37" max="37" width="2" style="10" hidden="1" customWidth="1" outlineLevel="1"/>
    <col min="38" max="38" width="9.140625" style="10" hidden="1" customWidth="1" outlineLevel="1"/>
    <col min="39" max="39" width="6" style="10" hidden="1" customWidth="1" outlineLevel="1"/>
    <col min="40" max="40" width="5.7109375" style="10" hidden="1" customWidth="1" outlineLevel="1"/>
    <col min="41" max="41" width="2.42578125" style="10" hidden="1" customWidth="1" outlineLevel="1"/>
    <col min="42" max="42" width="9.140625" style="10" hidden="1" customWidth="1" outlineLevel="1"/>
    <col min="43" max="43" width="6.28515625" style="10" hidden="1" customWidth="1" outlineLevel="1"/>
    <col min="44" max="44" width="6.42578125" style="10" hidden="1" customWidth="1" outlineLevel="1"/>
    <col min="45" max="45" width="2.42578125" style="10" hidden="1" customWidth="1" outlineLevel="1"/>
    <col min="46" max="46" width="9.5703125" style="10" hidden="1" customWidth="1" outlineLevel="1"/>
    <col min="47" max="48" width="5.7109375" style="10" hidden="1" customWidth="1" outlineLevel="1"/>
    <col min="49" max="49" width="2.42578125" style="10" hidden="1" customWidth="1" outlineLevel="1"/>
    <col min="50" max="50" width="9.140625" style="10" hidden="1" customWidth="1" outlineLevel="1" collapsed="1"/>
    <col min="51" max="51" width="6.140625" style="10" hidden="1" customWidth="1" outlineLevel="1"/>
    <col min="52" max="52" width="5.7109375" style="10" hidden="1" customWidth="1" outlineLevel="1"/>
    <col min="53" max="53" width="2.42578125" style="10" hidden="1" customWidth="1" outlineLevel="1"/>
    <col min="54" max="54" width="9.140625" style="10" hidden="1" customWidth="1" outlineLevel="1"/>
    <col min="55" max="55" width="6.28515625" style="10" hidden="1" customWidth="1" outlineLevel="1"/>
    <col min="56" max="56" width="5.7109375" style="10" hidden="1" customWidth="1" outlineLevel="1"/>
    <col min="57" max="57" width="2.42578125" style="10" hidden="1" customWidth="1" outlineLevel="1"/>
    <col min="58" max="58" width="9.140625" style="10" hidden="1" customWidth="1" outlineLevel="1"/>
    <col min="59" max="60" width="6.28515625" style="10" hidden="1" customWidth="1" outlineLevel="1"/>
    <col min="61" max="61" width="2.140625" style="10" hidden="1" customWidth="1" outlineLevel="1" collapsed="1"/>
    <col min="62" max="62" width="9.42578125" style="10" hidden="1" customWidth="1" outlineLevel="1"/>
    <col min="63" max="64" width="6.28515625" style="10" hidden="1" customWidth="1" outlineLevel="1"/>
    <col min="65" max="65" width="1.5703125" style="10" hidden="1" customWidth="1" outlineLevel="1"/>
    <col min="66" max="66" width="9.5703125" style="10" hidden="1" customWidth="1" outlineLevel="1"/>
    <col min="67" max="67" width="7.140625" style="10" hidden="1" customWidth="1" outlineLevel="1"/>
    <col min="68" max="68" width="6.5703125" style="10" hidden="1" customWidth="1" outlineLevel="1"/>
    <col min="69" max="69" width="1.5703125" style="10" hidden="1" customWidth="1" outlineLevel="1"/>
    <col min="70" max="70" width="9.140625" style="10" hidden="1" customWidth="1" outlineLevel="1"/>
    <col min="71" max="71" width="7.140625" style="10" hidden="1" customWidth="1" outlineLevel="1"/>
    <col min="72" max="72" width="6.5703125" style="10" hidden="1" customWidth="1" outlineLevel="1"/>
    <col min="73" max="73" width="4.7109375" style="10" hidden="1" customWidth="1" outlineLevel="1"/>
    <col min="74" max="74" width="9.7109375" style="10" hidden="1" customWidth="1" outlineLevel="1" collapsed="1"/>
    <col min="75" max="75" width="7.140625" style="10" hidden="1" customWidth="1" outlineLevel="1"/>
    <col min="76" max="76" width="6.5703125" style="10" hidden="1" customWidth="1" outlineLevel="1"/>
    <col min="77" max="77" width="5.5703125" style="10" hidden="1" customWidth="1" outlineLevel="1"/>
    <col min="78" max="78" width="10.7109375" style="10" hidden="1" customWidth="1" outlineLevel="1"/>
    <col min="79" max="79" width="7.140625" style="10" hidden="1" customWidth="1" outlineLevel="1"/>
    <col min="80" max="80" width="6.5703125" style="10" hidden="1" customWidth="1" outlineLevel="1"/>
    <col min="81" max="81" width="5.7109375" style="10" hidden="1" customWidth="1" outlineLevel="1"/>
    <col min="82" max="82" width="10.7109375" style="10" hidden="1" customWidth="1" outlineLevel="1" collapsed="1"/>
    <col min="83" max="83" width="7.140625" style="10" hidden="1" customWidth="1" outlineLevel="1"/>
    <col min="84" max="84" width="7" style="10" hidden="1" customWidth="1" outlineLevel="1"/>
    <col min="85" max="85" width="5.85546875" style="10" hidden="1" customWidth="1" outlineLevel="1"/>
    <col min="86" max="86" width="10.7109375" style="10" customWidth="1" collapsed="1"/>
    <col min="87" max="87" width="7.140625" style="10" customWidth="1"/>
    <col min="88" max="88" width="6.5703125" style="10" customWidth="1"/>
    <col min="89" max="89" width="3.140625" style="10" customWidth="1"/>
    <col min="90" max="90" width="9.7109375" style="10" bestFit="1" customWidth="1"/>
    <col min="91" max="91" width="8.28515625" style="10" customWidth="1"/>
    <col min="92" max="92" width="6.140625" style="10" customWidth="1"/>
    <col min="93" max="93" width="3.140625" style="10" customWidth="1"/>
    <col min="94" max="94" width="10.42578125" style="10" bestFit="1" customWidth="1"/>
    <col min="95" max="95" width="8.28515625" style="10" customWidth="1"/>
    <col min="96" max="96" width="7" style="10" customWidth="1"/>
    <col min="97" max="97" width="3.140625" style="10" customWidth="1"/>
    <col min="98" max="98" width="10.42578125" style="10" bestFit="1" customWidth="1"/>
    <col min="99" max="99" width="8.28515625" style="10" customWidth="1"/>
    <col min="100" max="100" width="7" style="10" bestFit="1" customWidth="1"/>
    <col min="101" max="101" width="3.140625" style="10" customWidth="1"/>
    <col min="102" max="102" width="10.42578125" style="10" bestFit="1" customWidth="1"/>
    <col min="103" max="103" width="8.28515625" style="10" customWidth="1"/>
    <col min="104" max="104" width="6.140625" style="10" customWidth="1"/>
    <col min="105" max="105" width="3.140625" style="10" customWidth="1"/>
    <col min="106" max="106" width="10.42578125" style="10" bestFit="1" customWidth="1"/>
    <col min="107" max="107" width="10.85546875" style="10" customWidth="1"/>
    <col min="108" max="108" width="6.140625" style="10" customWidth="1"/>
    <col min="109" max="109" width="2.28515625" style="10" customWidth="1"/>
    <col min="110" max="110" width="10.5703125" style="10" customWidth="1"/>
    <col min="111" max="111" width="9.140625" style="10" customWidth="1"/>
    <col min="112" max="112" width="6.140625" style="10" customWidth="1"/>
    <col min="113" max="113" width="2.5703125" style="10" customWidth="1"/>
    <col min="114" max="114" width="12.7109375" style="10" bestFit="1" customWidth="1"/>
    <col min="115" max="115" width="9.140625" style="10" customWidth="1"/>
    <col min="116" max="116" width="8" style="10" bestFit="1" customWidth="1"/>
    <col min="117" max="117" width="2.5703125" style="10" customWidth="1"/>
    <col min="118" max="118" width="12.7109375" style="24" bestFit="1" customWidth="1"/>
    <col min="119" max="119" width="9.140625" style="24" customWidth="1"/>
    <col min="120" max="120" width="8" style="24" bestFit="1" customWidth="1"/>
    <col min="121" max="121" width="6.42578125" style="10" customWidth="1"/>
    <col min="122" max="122" width="9.5703125" style="10" bestFit="1" customWidth="1" outlineLevel="1"/>
    <col min="123" max="123" width="8.7109375" style="10" bestFit="1" customWidth="1" outlineLevel="1"/>
    <col min="124" max="124" width="8.85546875" style="10" bestFit="1" customWidth="1"/>
    <col min="125" max="125" width="8.140625" style="10" customWidth="1" outlineLevel="1"/>
    <col min="126" max="126" width="7.5703125" style="10" customWidth="1" outlineLevel="1"/>
    <col min="127" max="127" width="8.42578125" style="10" customWidth="1" outlineLevel="1"/>
    <col min="128" max="128" width="7.7109375" style="10" customWidth="1" outlineLevel="1"/>
    <col min="129" max="129" width="6.28515625" style="10" customWidth="1" outlineLevel="1"/>
    <col min="130" max="130" width="9" style="10" customWidth="1" outlineLevel="2"/>
    <col min="131" max="131" width="10.140625" style="10" customWidth="1" outlineLevel="2"/>
    <col min="132" max="132" width="13.85546875" style="10" customWidth="1" outlineLevel="2"/>
    <col min="133" max="133" width="8.7109375" style="10" customWidth="1" outlineLevel="2"/>
    <col min="134" max="134" width="7.42578125" style="10" customWidth="1" outlineLevel="2"/>
    <col min="135" max="136" width="7.42578125" style="10" customWidth="1" outlineLevel="1"/>
    <col min="137" max="137" width="9.42578125" style="10" customWidth="1" outlineLevel="1"/>
    <col min="138" max="138" width="8.28515625" style="10" customWidth="1" outlineLevel="1"/>
    <col min="139" max="139" width="9.7109375" style="10" customWidth="1" outlineLevel="1"/>
    <col min="140" max="140" width="12.28515625" style="10" customWidth="1" outlineLevel="1"/>
    <col min="141" max="141" width="9.42578125" style="10" customWidth="1" outlineLevel="1"/>
    <col min="142" max="142" width="11.42578125" style="10" customWidth="1" outlineLevel="1"/>
    <col min="143" max="143" width="8.7109375" style="10" customWidth="1" outlineLevel="1"/>
    <col min="144" max="144" width="9.7109375" style="10" customWidth="1" outlineLevel="1"/>
    <col min="145" max="145" width="11.42578125" style="10" customWidth="1" outlineLevel="1"/>
    <col min="146" max="147" width="9.140625" style="10" customWidth="1" outlineLevel="1"/>
    <col min="148" max="16384" width="9.140625" style="10"/>
  </cols>
  <sheetData>
    <row r="1" spans="1:134">
      <c r="A1" s="12" t="str">
        <f>sumry!A1</f>
        <v>The Gap, Inc.</v>
      </c>
      <c r="B1" s="12"/>
      <c r="C1" s="26"/>
      <c r="D1" s="121"/>
      <c r="E1" s="26"/>
      <c r="F1" s="121"/>
      <c r="G1" s="26"/>
      <c r="H1" s="26"/>
      <c r="I1" s="26"/>
      <c r="J1" s="121"/>
      <c r="K1" s="26"/>
      <c r="L1" s="26"/>
      <c r="M1" s="26"/>
      <c r="N1" s="121"/>
      <c r="O1" s="26"/>
      <c r="P1" s="26"/>
      <c r="Q1" s="26"/>
      <c r="R1" s="121"/>
      <c r="S1" s="26"/>
      <c r="T1" s="26"/>
      <c r="U1" s="26"/>
      <c r="V1" s="121"/>
      <c r="W1" s="26"/>
      <c r="X1" s="26"/>
      <c r="Y1" s="26"/>
      <c r="Z1" s="121"/>
      <c r="AA1" s="26"/>
      <c r="AB1" s="26"/>
      <c r="AC1" s="26"/>
      <c r="AD1" s="121"/>
      <c r="AE1" s="26"/>
      <c r="AF1" s="26"/>
      <c r="AG1" s="26"/>
      <c r="AH1" s="121"/>
      <c r="AI1" s="26"/>
      <c r="AJ1" s="26"/>
      <c r="AK1" s="121"/>
      <c r="AL1" s="121"/>
      <c r="AM1" s="26"/>
      <c r="AN1" s="26"/>
      <c r="AO1" s="26"/>
      <c r="AP1" s="26"/>
      <c r="AQ1" s="26"/>
      <c r="AR1" s="26"/>
      <c r="AS1" s="26"/>
      <c r="AT1" s="26"/>
      <c r="AU1" s="26"/>
      <c r="AV1" s="26"/>
      <c r="AW1" s="26"/>
      <c r="AX1" s="26"/>
      <c r="AY1" s="26"/>
      <c r="AZ1" s="26"/>
      <c r="BA1" s="26"/>
      <c r="BB1" s="26"/>
      <c r="BC1" s="26"/>
      <c r="BD1" s="26"/>
      <c r="BE1" s="26"/>
      <c r="BF1" s="26"/>
      <c r="BG1" s="26"/>
      <c r="BH1" s="26"/>
      <c r="BI1" s="26" t="s">
        <v>95</v>
      </c>
      <c r="BJ1" s="26"/>
      <c r="BK1" s="26"/>
      <c r="BL1" s="26"/>
      <c r="BM1" s="26"/>
      <c r="BN1" s="26"/>
      <c r="BO1" s="26"/>
      <c r="BP1" s="26"/>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26"/>
      <c r="DO1" s="26"/>
      <c r="DP1" s="26"/>
      <c r="DQ1" s="12"/>
      <c r="DR1" s="12"/>
      <c r="DS1" s="12"/>
      <c r="DT1" s="12"/>
      <c r="DU1" s="12"/>
      <c r="DV1" s="12"/>
      <c r="DW1" s="12"/>
      <c r="DX1" s="12"/>
      <c r="DY1" s="12"/>
      <c r="DZ1" s="12"/>
      <c r="EA1" s="12"/>
      <c r="EB1" s="12"/>
      <c r="EC1" s="12"/>
      <c r="ED1" s="12"/>
    </row>
    <row r="2" spans="1:134">
      <c r="A2" s="13" t="s">
        <v>523</v>
      </c>
      <c r="B2" s="13"/>
      <c r="C2" s="27"/>
      <c r="D2" s="116"/>
      <c r="E2" s="27"/>
      <c r="F2" s="116"/>
      <c r="G2" s="27"/>
      <c r="H2" s="27"/>
      <c r="I2" s="27"/>
      <c r="J2" s="116"/>
      <c r="K2" s="27"/>
      <c r="L2" s="27"/>
      <c r="M2" s="27"/>
      <c r="N2" s="116"/>
      <c r="O2" s="27"/>
      <c r="P2" s="27"/>
      <c r="Q2" s="27"/>
      <c r="R2" s="116"/>
      <c r="S2" s="27"/>
      <c r="T2" s="27"/>
      <c r="U2" s="27"/>
      <c r="V2" s="116"/>
      <c r="W2" s="27"/>
      <c r="X2" s="27"/>
      <c r="Y2" s="27"/>
      <c r="Z2" s="116"/>
      <c r="AA2" s="27"/>
      <c r="AB2" s="27"/>
      <c r="AC2" s="27"/>
      <c r="AD2" s="116"/>
      <c r="AE2" s="27"/>
      <c r="AF2" s="27"/>
      <c r="AG2" s="27"/>
      <c r="AH2" s="116"/>
      <c r="AI2" s="27"/>
      <c r="AJ2" s="27"/>
      <c r="AK2" s="116"/>
      <c r="AL2" s="116"/>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6"/>
      <c r="BN2" s="27"/>
      <c r="BO2" s="27"/>
      <c r="BP2" s="27"/>
      <c r="BQ2" s="12"/>
      <c r="BR2" s="13"/>
      <c r="BS2" s="13"/>
      <c r="BT2" s="13"/>
      <c r="BU2" s="12"/>
      <c r="BV2" s="13"/>
      <c r="BW2" s="13"/>
      <c r="BX2" s="13"/>
      <c r="BY2" s="12"/>
      <c r="BZ2" s="13"/>
      <c r="CA2" s="13"/>
      <c r="CB2" s="13"/>
      <c r="CC2" s="12"/>
      <c r="CD2" s="13"/>
      <c r="CE2" s="13"/>
      <c r="CF2" s="13"/>
      <c r="CG2" s="12"/>
      <c r="CH2" s="13"/>
      <c r="CI2" s="13"/>
      <c r="CJ2" s="13"/>
      <c r="CK2" s="12"/>
      <c r="CL2" s="13"/>
      <c r="CM2" s="13"/>
      <c r="CN2" s="13"/>
      <c r="CO2" s="12"/>
      <c r="CP2" s="13"/>
      <c r="CQ2" s="13"/>
      <c r="CR2" s="13"/>
      <c r="CS2" s="12"/>
      <c r="CT2" s="13"/>
      <c r="CU2" s="13"/>
      <c r="CV2" s="13"/>
      <c r="CW2" s="12"/>
      <c r="CX2" s="13"/>
      <c r="CY2" s="13"/>
      <c r="CZ2" s="13"/>
      <c r="DA2" s="12"/>
      <c r="DB2" s="13"/>
      <c r="DC2" s="13"/>
      <c r="DD2" s="13"/>
      <c r="DE2" s="12"/>
      <c r="DF2" s="13"/>
      <c r="DG2" s="13"/>
      <c r="DH2" s="13"/>
      <c r="DI2" s="16"/>
      <c r="DJ2" s="13"/>
      <c r="DK2" s="13"/>
      <c r="DL2" s="13"/>
      <c r="DM2" s="16"/>
      <c r="DN2" s="27"/>
      <c r="DO2" s="27"/>
      <c r="DP2" s="27"/>
      <c r="DQ2" s="12"/>
      <c r="DR2" s="12"/>
      <c r="DS2" s="12"/>
      <c r="DT2" s="12"/>
      <c r="DU2" s="12"/>
      <c r="DV2" s="12"/>
      <c r="DW2" s="12"/>
      <c r="DX2" s="12"/>
      <c r="DY2" s="12"/>
      <c r="DZ2" s="12"/>
      <c r="EA2" s="122"/>
      <c r="EB2" s="12"/>
      <c r="EC2" s="12"/>
      <c r="ED2" s="12"/>
    </row>
    <row r="3" spans="1:134">
      <c r="A3" s="123" t="s">
        <v>645</v>
      </c>
      <c r="C3" s="24"/>
      <c r="D3" s="24"/>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DZ3" s="124"/>
      <c r="EA3" s="41"/>
    </row>
    <row r="4" spans="1:134">
      <c r="A4" s="123" t="s">
        <v>524</v>
      </c>
      <c r="C4" s="24"/>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CD4" s="120"/>
      <c r="EA4" s="122"/>
      <c r="EB4" s="124"/>
    </row>
    <row r="5" spans="1:134">
      <c r="A5" s="123"/>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CD5" s="125"/>
      <c r="CG5" s="22"/>
      <c r="CH5" s="125"/>
      <c r="CK5" s="22"/>
      <c r="CL5" s="125"/>
      <c r="CO5" s="22"/>
      <c r="CP5" s="125"/>
      <c r="EA5" s="124"/>
      <c r="EB5" s="124"/>
      <c r="EC5" s="41"/>
    </row>
    <row r="6" spans="1:134">
      <c r="A6" s="123"/>
      <c r="C6" s="24"/>
      <c r="D6" s="126">
        <v>1989</v>
      </c>
      <c r="E6" s="24"/>
      <c r="F6" s="126">
        <v>1990</v>
      </c>
      <c r="G6" s="127"/>
      <c r="H6" s="128"/>
      <c r="I6" s="24"/>
      <c r="J6" s="126">
        <v>1991</v>
      </c>
      <c r="K6" s="127"/>
      <c r="L6" s="128"/>
      <c r="M6" s="24"/>
      <c r="N6" s="126">
        <v>1992</v>
      </c>
      <c r="O6" s="127"/>
      <c r="P6" s="128"/>
      <c r="Q6" s="24"/>
      <c r="R6" s="126">
        <v>1993</v>
      </c>
      <c r="S6" s="127"/>
      <c r="T6" s="128"/>
      <c r="U6" s="24"/>
      <c r="V6" s="126">
        <v>1994</v>
      </c>
      <c r="W6" s="127"/>
      <c r="X6" s="128"/>
      <c r="Y6" s="24"/>
      <c r="Z6" s="126">
        <v>1995</v>
      </c>
      <c r="AA6" s="127"/>
      <c r="AB6" s="128"/>
      <c r="AC6" s="24"/>
      <c r="AD6" s="128">
        <f>Z6+1</f>
        <v>1996</v>
      </c>
      <c r="AE6" s="127"/>
      <c r="AF6" s="128"/>
      <c r="AG6" s="24"/>
      <c r="AH6" s="128">
        <f>AD6+1</f>
        <v>1997</v>
      </c>
      <c r="AI6" s="127"/>
      <c r="AJ6" s="128"/>
      <c r="AK6" s="24"/>
      <c r="AL6" s="128">
        <f>AH6+1</f>
        <v>1998</v>
      </c>
      <c r="AM6" s="127"/>
      <c r="AN6" s="128"/>
      <c r="AO6" s="24"/>
      <c r="AP6" s="128">
        <f>AL6+1</f>
        <v>1999</v>
      </c>
      <c r="AQ6" s="127"/>
      <c r="AR6" s="128"/>
      <c r="AS6" s="24"/>
      <c r="AT6" s="128">
        <f>AP6+1</f>
        <v>2000</v>
      </c>
      <c r="AU6" s="127"/>
      <c r="AV6" s="128"/>
      <c r="AW6" s="24"/>
      <c r="AX6" s="128">
        <f>AT6+1</f>
        <v>2001</v>
      </c>
      <c r="AY6" s="127"/>
      <c r="AZ6" s="128"/>
      <c r="BA6" s="24"/>
      <c r="BB6" s="128">
        <v>2002</v>
      </c>
      <c r="BC6" s="127"/>
      <c r="BD6" s="128"/>
      <c r="BE6" s="24"/>
      <c r="BF6" s="128">
        <v>2003</v>
      </c>
      <c r="BG6" s="127"/>
      <c r="BH6" s="128"/>
      <c r="BI6" s="24"/>
      <c r="BJ6" s="128">
        <v>2004</v>
      </c>
      <c r="BK6" s="127"/>
      <c r="BL6" s="128"/>
      <c r="BM6" s="24"/>
      <c r="BN6" s="129">
        <v>2005</v>
      </c>
      <c r="BO6" s="127"/>
      <c r="BP6" s="128"/>
      <c r="BR6" s="129">
        <v>2006</v>
      </c>
      <c r="BS6" s="130"/>
      <c r="BT6" s="131"/>
      <c r="BV6" s="129">
        <v>2007</v>
      </c>
      <c r="BW6" s="130"/>
      <c r="BX6" s="131"/>
      <c r="BZ6" s="129">
        <v>2008</v>
      </c>
      <c r="CA6" s="130"/>
      <c r="CB6" s="131"/>
      <c r="CD6" s="129">
        <v>2009</v>
      </c>
      <c r="CE6" s="130"/>
      <c r="CF6" s="131"/>
      <c r="CG6" s="22"/>
      <c r="CH6" s="129">
        <v>2010</v>
      </c>
      <c r="CI6" s="130"/>
      <c r="CJ6" s="131"/>
      <c r="CK6" s="22"/>
      <c r="CL6" s="129">
        <v>2011</v>
      </c>
      <c r="CM6" s="130"/>
      <c r="CN6" s="131"/>
      <c r="CO6" s="22"/>
      <c r="CP6" s="129">
        <v>2012</v>
      </c>
      <c r="CQ6" s="129"/>
      <c r="CR6" s="131"/>
      <c r="CT6" s="129">
        <v>2013</v>
      </c>
      <c r="CU6" s="130"/>
      <c r="CV6" s="131"/>
      <c r="CX6" s="129">
        <v>2014</v>
      </c>
      <c r="CY6" s="130"/>
      <c r="CZ6" s="131"/>
      <c r="DB6" s="131">
        <v>2015</v>
      </c>
      <c r="DC6" s="130"/>
      <c r="DD6" s="131"/>
      <c r="DF6" s="131">
        <v>2016</v>
      </c>
      <c r="DG6" s="131"/>
      <c r="DH6" s="131"/>
      <c r="DI6" s="1032"/>
      <c r="DJ6" s="131">
        <v>2017</v>
      </c>
      <c r="DK6" s="130"/>
      <c r="DL6" s="131"/>
      <c r="DM6" s="1032"/>
      <c r="DN6" s="2019">
        <v>2018</v>
      </c>
      <c r="DO6" s="127"/>
      <c r="DP6" s="128"/>
      <c r="DR6" s="1350" t="s">
        <v>751</v>
      </c>
      <c r="DS6" s="1351"/>
      <c r="DX6" s="54"/>
      <c r="DY6" s="44"/>
      <c r="EB6" s="124"/>
    </row>
    <row r="7" spans="1:134" outlineLevel="1">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CG7" s="22"/>
      <c r="CK7" s="22"/>
      <c r="CO7" s="22"/>
      <c r="DR7" s="1352"/>
      <c r="DS7" s="1353"/>
      <c r="DW7" s="22"/>
      <c r="DX7" s="44"/>
      <c r="DY7" s="44"/>
      <c r="DZ7" s="22"/>
      <c r="EB7" s="132"/>
    </row>
    <row r="8" spans="1:134" outlineLevel="1">
      <c r="C8" s="40"/>
      <c r="D8" s="133"/>
      <c r="E8" s="40" t="str">
        <f>AH8</f>
        <v xml:space="preserve">1. Net Sales    (% Increase -- Total/Comparable Stores) </v>
      </c>
      <c r="F8" s="133"/>
      <c r="G8" s="24"/>
      <c r="H8" s="24"/>
      <c r="I8" s="24"/>
      <c r="J8" s="133"/>
      <c r="K8" s="24"/>
      <c r="L8" s="24"/>
      <c r="M8" s="24"/>
      <c r="N8" s="133"/>
      <c r="O8" s="24"/>
      <c r="P8" s="24"/>
      <c r="Q8" s="24"/>
      <c r="R8" s="133"/>
      <c r="S8" s="24"/>
      <c r="T8" s="24"/>
      <c r="U8" s="24"/>
      <c r="V8" s="133"/>
      <c r="W8" s="24"/>
      <c r="X8" s="24"/>
      <c r="Y8" s="24"/>
      <c r="Z8" s="24"/>
      <c r="AA8" s="134"/>
      <c r="AB8" s="134"/>
      <c r="AC8" s="134"/>
      <c r="AD8" s="135"/>
      <c r="AE8" s="134"/>
      <c r="AF8" s="134"/>
      <c r="AG8" s="134"/>
      <c r="AH8" s="135" t="s">
        <v>674</v>
      </c>
      <c r="AI8" s="135"/>
      <c r="AJ8" s="135"/>
      <c r="AK8" s="135"/>
      <c r="AL8" s="44"/>
      <c r="AM8" s="135"/>
      <c r="AN8" s="135"/>
      <c r="AO8" s="135"/>
      <c r="AP8" s="44"/>
      <c r="AQ8" s="135"/>
      <c r="AR8" s="135"/>
      <c r="AS8" s="135"/>
      <c r="AT8" s="44"/>
      <c r="AU8" s="135"/>
      <c r="AV8" s="135"/>
      <c r="AW8" s="135"/>
      <c r="AX8" s="135"/>
      <c r="AY8" s="135"/>
      <c r="AZ8" s="135"/>
      <c r="BA8" s="135"/>
      <c r="BB8" s="44"/>
      <c r="BC8" s="135"/>
      <c r="BD8" s="135"/>
      <c r="BE8" s="134"/>
      <c r="BF8" s="135"/>
      <c r="BG8" s="134"/>
      <c r="BH8" s="134"/>
      <c r="BI8" s="134"/>
      <c r="BJ8" s="135" t="s">
        <v>674</v>
      </c>
      <c r="BK8" s="134"/>
      <c r="BL8" s="134"/>
      <c r="BM8" s="134"/>
      <c r="BN8" s="136"/>
      <c r="BO8" s="134"/>
      <c r="BP8" s="134"/>
      <c r="BQ8" s="136"/>
      <c r="BR8" s="137"/>
      <c r="BS8" s="136"/>
      <c r="BT8" s="136"/>
      <c r="BU8" s="136"/>
      <c r="BV8" s="135" t="s">
        <v>674</v>
      </c>
      <c r="BW8" s="136"/>
      <c r="BX8" s="136"/>
      <c r="BY8" s="136"/>
      <c r="BZ8" s="137"/>
      <c r="CA8" s="136"/>
      <c r="CB8" s="136"/>
      <c r="CC8" s="136"/>
      <c r="CD8" s="137"/>
      <c r="CE8" s="136"/>
      <c r="CF8" s="136"/>
      <c r="CG8" s="138"/>
      <c r="CH8" s="139" t="str">
        <f>+BV8</f>
        <v xml:space="preserve">1. Net Sales    (% Increase -- Total/Comparable Stores) </v>
      </c>
      <c r="CI8" s="136"/>
      <c r="CJ8" s="136"/>
      <c r="CK8" s="138"/>
      <c r="CL8" s="137"/>
      <c r="CM8" s="136"/>
      <c r="CN8" s="136"/>
      <c r="CO8" s="138"/>
      <c r="CP8" s="137"/>
      <c r="CQ8" s="136"/>
      <c r="CR8" s="136"/>
      <c r="CS8" s="44"/>
      <c r="CT8" s="44"/>
      <c r="CU8" s="44"/>
      <c r="CV8" s="44"/>
      <c r="CW8" s="44"/>
      <c r="CX8" s="44"/>
      <c r="CY8" s="44"/>
      <c r="CZ8" s="44"/>
      <c r="DA8" s="44"/>
      <c r="DB8" s="44"/>
      <c r="DC8" s="44"/>
      <c r="DD8" s="44"/>
      <c r="DE8" s="44"/>
      <c r="DF8" s="44"/>
      <c r="DG8" s="44"/>
      <c r="DH8" s="44"/>
      <c r="DI8" s="44"/>
      <c r="DJ8" s="44"/>
      <c r="DK8" s="44"/>
      <c r="DL8" s="44"/>
      <c r="DM8" s="44"/>
      <c r="DN8" s="57"/>
      <c r="DO8" s="57"/>
      <c r="DP8" s="57"/>
      <c r="DQ8" s="44"/>
      <c r="DR8" s="1354"/>
      <c r="DS8" s="1355"/>
      <c r="DT8" s="44"/>
      <c r="DU8" s="44"/>
      <c r="DV8" s="44"/>
      <c r="DW8" s="59"/>
      <c r="DX8" s="44"/>
      <c r="DY8" s="44"/>
      <c r="DZ8" s="59"/>
      <c r="EA8" s="44"/>
      <c r="EB8" s="132"/>
      <c r="EC8" s="140"/>
      <c r="ED8" s="44"/>
    </row>
    <row r="9" spans="1:134" outlineLevel="1">
      <c r="A9" s="44"/>
      <c r="B9" s="44"/>
      <c r="C9" s="57"/>
      <c r="D9" s="57"/>
      <c r="E9" s="57"/>
      <c r="F9" s="57"/>
      <c r="G9" s="57"/>
      <c r="H9" s="57"/>
      <c r="I9" s="57"/>
      <c r="J9" s="57"/>
      <c r="K9" s="57"/>
      <c r="L9" s="57"/>
      <c r="M9" s="57"/>
      <c r="N9" s="57"/>
      <c r="O9" s="57"/>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44"/>
      <c r="BR9" s="44"/>
      <c r="BS9" s="44"/>
      <c r="BT9" s="44"/>
      <c r="BU9" s="44"/>
      <c r="BV9" s="141"/>
      <c r="BW9" s="44"/>
      <c r="BX9" s="142"/>
      <c r="BY9" s="44"/>
      <c r="BZ9" s="143"/>
      <c r="CA9" s="44"/>
      <c r="CB9" s="144"/>
      <c r="CC9" s="44"/>
      <c r="CD9" s="145"/>
      <c r="CE9" s="44"/>
      <c r="CF9" s="144"/>
      <c r="CG9" s="59"/>
      <c r="CH9" s="145"/>
      <c r="CI9" s="44"/>
      <c r="CJ9" s="144"/>
      <c r="CK9" s="59"/>
      <c r="CL9" s="145"/>
      <c r="CM9" s="44"/>
      <c r="CN9" s="144"/>
      <c r="CO9" s="59"/>
      <c r="CP9" s="145"/>
      <c r="CQ9" s="44"/>
      <c r="CR9" s="144"/>
      <c r="CS9" s="44"/>
      <c r="CT9" s="44"/>
      <c r="CU9" s="44"/>
      <c r="CV9" s="44"/>
      <c r="CW9" s="44"/>
      <c r="CX9" s="44"/>
      <c r="CY9" s="44"/>
      <c r="CZ9" s="44"/>
      <c r="DA9" s="44"/>
      <c r="DB9" s="44"/>
      <c r="DC9" s="44"/>
      <c r="DD9" s="44"/>
      <c r="DE9" s="44"/>
      <c r="DF9" s="44"/>
      <c r="DG9" s="44"/>
      <c r="DH9" s="44"/>
      <c r="DI9" s="44"/>
      <c r="DJ9" s="44"/>
      <c r="DK9" s="44"/>
      <c r="DL9" s="44"/>
      <c r="DM9" s="44"/>
      <c r="DN9" s="57"/>
      <c r="DO9" s="57"/>
      <c r="DP9" s="57"/>
      <c r="DQ9" s="44"/>
      <c r="DR9" s="1573" t="s">
        <v>752</v>
      </c>
      <c r="DS9" s="1574" t="s">
        <v>753</v>
      </c>
      <c r="DT9" s="44"/>
      <c r="DU9" s="44"/>
      <c r="DV9" s="44"/>
      <c r="DW9" s="59"/>
      <c r="DX9" s="44"/>
      <c r="DY9" s="44"/>
      <c r="DZ9" s="59"/>
      <c r="EA9" s="44"/>
      <c r="EB9" s="58"/>
      <c r="EC9" s="44"/>
      <c r="ED9" s="44"/>
    </row>
    <row r="10" spans="1:134" outlineLevel="1">
      <c r="A10" s="146" t="s">
        <v>525</v>
      </c>
      <c r="B10" s="146" t="s">
        <v>510</v>
      </c>
      <c r="C10" s="57"/>
      <c r="D10" s="147">
        <v>309.92500000000001</v>
      </c>
      <c r="E10" s="57"/>
      <c r="F10" s="147">
        <v>402.36799999999999</v>
      </c>
      <c r="G10" s="148">
        <f>(F10/D10-1)*100</f>
        <v>29.827538920706619</v>
      </c>
      <c r="H10" s="149">
        <v>18</v>
      </c>
      <c r="I10" s="57"/>
      <c r="J10" s="147">
        <v>490.3</v>
      </c>
      <c r="K10" s="148">
        <f t="shared" ref="K10:K16" si="0">(J10/F10-1)*100</f>
        <v>21.853626530936854</v>
      </c>
      <c r="L10" s="149">
        <v>6</v>
      </c>
      <c r="M10" s="57"/>
      <c r="N10" s="147">
        <v>588.86400000000003</v>
      </c>
      <c r="O10" s="148">
        <f t="shared" ref="O10:O16" si="1">(N10/J10-1)*100</f>
        <v>20.102794207627994</v>
      </c>
      <c r="P10" s="149">
        <v>5</v>
      </c>
      <c r="Q10" s="57"/>
      <c r="R10" s="147">
        <v>643.58000000000004</v>
      </c>
      <c r="S10" s="148">
        <f t="shared" ref="S10:S16" si="2">(R10/N10-1)*100</f>
        <v>9.2917889359852133</v>
      </c>
      <c r="T10" s="149">
        <v>-1</v>
      </c>
      <c r="U10" s="57"/>
      <c r="V10" s="147">
        <v>751.67</v>
      </c>
      <c r="W10" s="148">
        <f t="shared" ref="W10:W16" si="3">(V10/R10-1)*100</f>
        <v>16.795114826439583</v>
      </c>
      <c r="X10" s="149">
        <v>7</v>
      </c>
      <c r="Y10" s="57"/>
      <c r="Z10" s="147">
        <v>848.68799999999999</v>
      </c>
      <c r="AA10" s="148">
        <f t="shared" ref="AA10:AA16" si="4">(Z10/V10-1)*100</f>
        <v>12.906993760559814</v>
      </c>
      <c r="AB10" s="149">
        <v>-2</v>
      </c>
      <c r="AC10" s="57"/>
      <c r="AD10" s="147">
        <v>1113.154</v>
      </c>
      <c r="AE10" s="148">
        <f>(AD10/Z10-1)*100</f>
        <v>31.161746130497892</v>
      </c>
      <c r="AF10" s="149">
        <v>9</v>
      </c>
      <c r="AG10" s="57"/>
      <c r="AH10" s="147">
        <v>1231.1859999999999</v>
      </c>
      <c r="AI10" s="148">
        <f>(AH10/AD10-1)*100</f>
        <v>10.603384617043087</v>
      </c>
      <c r="AJ10" s="149">
        <v>-3</v>
      </c>
      <c r="AK10" s="57"/>
      <c r="AL10" s="147">
        <v>1719.712</v>
      </c>
      <c r="AM10" s="148">
        <f>(AL10/AH10-1)*100</f>
        <v>39.679301096666151</v>
      </c>
      <c r="AN10" s="149">
        <v>17</v>
      </c>
      <c r="AO10" s="57"/>
      <c r="AP10" s="147">
        <v>2277.7339999999999</v>
      </c>
      <c r="AQ10" s="148">
        <f>(AP10/AL10-1)*100</f>
        <v>32.448572784280152</v>
      </c>
      <c r="AR10" s="149">
        <v>11</v>
      </c>
      <c r="AS10" s="57"/>
      <c r="AT10" s="147">
        <v>2731.99</v>
      </c>
      <c r="AU10" s="148">
        <f>(AT10/AP10-1)*100</f>
        <v>19.943329642530692</v>
      </c>
      <c r="AV10" s="149">
        <v>-2</v>
      </c>
      <c r="AW10" s="57"/>
      <c r="AX10" s="147">
        <v>3179.6559999999999</v>
      </c>
      <c r="AY10" s="148">
        <f>(AX10/AT10-1)*100</f>
        <v>16.386077547868048</v>
      </c>
      <c r="AZ10" s="149">
        <v>-6.8</v>
      </c>
      <c r="BA10" s="57"/>
      <c r="BB10" s="147">
        <v>2890.84</v>
      </c>
      <c r="BC10" s="148">
        <f>(BB10/AX10-1)*100</f>
        <v>-9.083246741156902</v>
      </c>
      <c r="BD10" s="149">
        <v>-17.5</v>
      </c>
      <c r="BE10" s="57"/>
      <c r="BF10" s="147">
        <v>3352.7710000000002</v>
      </c>
      <c r="BG10" s="148">
        <f>(BF10/BB10-1)*100</f>
        <v>15.979127174108566</v>
      </c>
      <c r="BH10" s="149">
        <v>12.5</v>
      </c>
      <c r="BI10" s="150"/>
      <c r="BJ10" s="147">
        <v>3667.5650000000001</v>
      </c>
      <c r="BK10" s="148">
        <f t="shared" ref="BK10:BK16" si="5">(BJ10/BF10-1)*100</f>
        <v>9.3890695189143614</v>
      </c>
      <c r="BL10" s="149">
        <v>7.2</v>
      </c>
      <c r="BM10" s="57"/>
      <c r="BN10" s="147">
        <v>3626.2930000000001</v>
      </c>
      <c r="BO10" s="148">
        <f>(BN10/BJ10-1)*100</f>
        <v>-1.1253242955475917</v>
      </c>
      <c r="BP10" s="149">
        <v>-4.2</v>
      </c>
      <c r="BQ10" s="44"/>
      <c r="BR10" s="141">
        <v>3439</v>
      </c>
      <c r="BS10" s="151">
        <f>(BR10/BN10-1)*100</f>
        <v>-5.1648611957169521</v>
      </c>
      <c r="BT10" s="149">
        <v>-9.3000000000000007</v>
      </c>
      <c r="BU10" s="44"/>
      <c r="BV10" s="141">
        <v>3549</v>
      </c>
      <c r="BW10" s="151">
        <f t="shared" ref="BW10:BW16" si="6">(BV10/BR10-1)*100</f>
        <v>3.198604245420178</v>
      </c>
      <c r="BX10" s="149">
        <v>-4</v>
      </c>
      <c r="BY10" s="44"/>
      <c r="BZ10" s="141">
        <v>3384</v>
      </c>
      <c r="CA10" s="151">
        <f t="shared" ref="CA10:CA16" si="7">(BZ10/BV10-1)*100</f>
        <v>-4.6491969568892682</v>
      </c>
      <c r="CB10" s="149">
        <v>-11</v>
      </c>
      <c r="CC10" s="140">
        <f>BZ10/$BZ$14</f>
        <v>0.23296158612143741</v>
      </c>
      <c r="CD10" s="141">
        <f>3127</f>
        <v>3127</v>
      </c>
      <c r="CE10" s="151">
        <f t="shared" ref="CE10:CE16" si="8">(CD10/BZ10-1)*100</f>
        <v>-7.5945626477541328</v>
      </c>
      <c r="CF10" s="149">
        <v>-8</v>
      </c>
      <c r="CG10" s="152"/>
      <c r="CH10" s="141">
        <v>3329</v>
      </c>
      <c r="CI10" s="151">
        <f t="shared" ref="CI10:CI16" si="9">(CH10/CD10-1)*100</f>
        <v>6.4598656859609749</v>
      </c>
      <c r="CJ10" s="149">
        <v>4</v>
      </c>
      <c r="CK10" s="56"/>
      <c r="CL10" s="141">
        <v>3295</v>
      </c>
      <c r="CM10" s="151">
        <f t="shared" ref="CM10:CM16" si="10">(CL10/CH10-1)*100</f>
        <v>-1.0213277260438525</v>
      </c>
      <c r="CN10" s="149">
        <v>-3</v>
      </c>
      <c r="CO10" s="56"/>
      <c r="CP10" s="141">
        <v>3487</v>
      </c>
      <c r="CQ10" s="151">
        <f t="shared" ref="CQ10:CQ16" si="11">(CP10/CL10-1)*100</f>
        <v>5.8270106221547824</v>
      </c>
      <c r="CR10" s="1471">
        <v>4</v>
      </c>
      <c r="CS10" s="55"/>
      <c r="CT10" s="141">
        <v>3729</v>
      </c>
      <c r="CU10" s="151">
        <f>(CT10/CP10-1)*100</f>
        <v>6.9400630914826511</v>
      </c>
      <c r="CV10" s="1471">
        <v>2</v>
      </c>
      <c r="CW10" s="55"/>
      <c r="CX10" s="141">
        <v>3774</v>
      </c>
      <c r="CY10" s="151">
        <f>(CX10/CT10-1)*100</f>
        <v>1.2067578439259874</v>
      </c>
      <c r="CZ10" s="1471">
        <v>-1</v>
      </c>
      <c r="DA10" s="55"/>
      <c r="DB10" s="141">
        <v>3657</v>
      </c>
      <c r="DC10" s="151">
        <f>(DB10/CX10-1)*100</f>
        <v>-3.1001589825119247</v>
      </c>
      <c r="DD10" s="1471">
        <v>-4</v>
      </c>
      <c r="DE10" s="55"/>
      <c r="DF10" s="141">
        <v>3438</v>
      </c>
      <c r="DG10" s="151">
        <f t="shared" ref="DG10:DG16" si="12">(DF10/DB10-1)*100</f>
        <v>-5.9885151763740758</v>
      </c>
      <c r="DH10" s="1471">
        <v>-5</v>
      </c>
      <c r="DI10" s="149"/>
      <c r="DJ10" s="141">
        <v>3440</v>
      </c>
      <c r="DK10" s="151">
        <f t="shared" ref="DK10:DK16" si="13">(DJ10/DF10-1)*100</f>
        <v>5.8173356602675419E-2</v>
      </c>
      <c r="DL10" s="1471">
        <v>2</v>
      </c>
      <c r="DM10" s="149"/>
      <c r="DN10" s="230">
        <f>qtrSales!S208</f>
        <v>3517.4869516677682</v>
      </c>
      <c r="DO10" s="148">
        <f t="shared" ref="DO10:DO11" si="14">(DN10/DJ10-1)*100</f>
        <v>2.2525276647606951</v>
      </c>
      <c r="DP10" s="1475">
        <f>qtrSales!F208</f>
        <v>0.19678779069767438</v>
      </c>
      <c r="DQ10" s="55"/>
      <c r="DR10" s="1575">
        <f>DL10+DH10</f>
        <v>-3</v>
      </c>
      <c r="DS10" s="1576">
        <f>DH10+DL10+DD10</f>
        <v>-7</v>
      </c>
      <c r="DT10" s="54"/>
      <c r="DU10" s="153"/>
      <c r="DV10" s="56"/>
      <c r="DW10" s="56"/>
      <c r="DX10" s="154"/>
      <c r="DY10" s="56"/>
      <c r="DZ10" s="155"/>
      <c r="EA10" s="44"/>
      <c r="EB10" s="140"/>
      <c r="EC10" s="44"/>
      <c r="ED10" s="44"/>
    </row>
    <row r="11" spans="1:134" outlineLevel="1">
      <c r="A11" s="146" t="s">
        <v>526</v>
      </c>
      <c r="B11" s="146" t="s">
        <v>511</v>
      </c>
      <c r="C11" s="57"/>
      <c r="D11" s="156">
        <v>325.93900000000002</v>
      </c>
      <c r="E11" s="57"/>
      <c r="F11" s="156">
        <v>404.99599999999998</v>
      </c>
      <c r="G11" s="148">
        <f t="shared" ref="G11:G16" si="15">(F11/D11-1)*100</f>
        <v>24.255152037651207</v>
      </c>
      <c r="H11" s="149">
        <v>19</v>
      </c>
      <c r="I11" s="57"/>
      <c r="J11" s="156">
        <v>523.05600000000004</v>
      </c>
      <c r="K11" s="148">
        <f t="shared" si="0"/>
        <v>29.1509051941254</v>
      </c>
      <c r="L11" s="149">
        <v>11</v>
      </c>
      <c r="M11" s="57"/>
      <c r="N11" s="156">
        <v>614.11400000000003</v>
      </c>
      <c r="O11" s="148">
        <f t="shared" si="1"/>
        <v>17.408843412560039</v>
      </c>
      <c r="P11" s="149">
        <v>5</v>
      </c>
      <c r="Q11" s="57"/>
      <c r="R11" s="156">
        <v>693.19200000000001</v>
      </c>
      <c r="S11" s="148">
        <f t="shared" si="2"/>
        <v>12.876762294948495</v>
      </c>
      <c r="T11" s="149">
        <v>1</v>
      </c>
      <c r="U11" s="57"/>
      <c r="V11" s="156">
        <v>773.13099999999997</v>
      </c>
      <c r="W11" s="148">
        <f t="shared" si="3"/>
        <v>11.53201421828296</v>
      </c>
      <c r="X11" s="149">
        <v>1</v>
      </c>
      <c r="Y11" s="57"/>
      <c r="Z11" s="157">
        <v>868.51400000000001</v>
      </c>
      <c r="AA11" s="148">
        <f t="shared" si="4"/>
        <v>12.337236509724757</v>
      </c>
      <c r="AB11" s="149">
        <v>-4</v>
      </c>
      <c r="AC11" s="57"/>
      <c r="AD11" s="157">
        <v>1120.335</v>
      </c>
      <c r="AE11" s="148">
        <f t="shared" ref="AE11:AE16" si="16">(AD11/Z11-1)*100</f>
        <v>28.994466410443586</v>
      </c>
      <c r="AF11" s="149">
        <v>9</v>
      </c>
      <c r="AG11" s="57"/>
      <c r="AH11" s="157">
        <v>1345.221</v>
      </c>
      <c r="AI11" s="148">
        <f t="shared" ref="AI11:AI16" si="17">(AH11/AD11-1)*100</f>
        <v>20.073103134330349</v>
      </c>
      <c r="AJ11" s="149">
        <v>4</v>
      </c>
      <c r="AK11" s="57"/>
      <c r="AL11" s="157">
        <v>1904.97</v>
      </c>
      <c r="AM11" s="148">
        <f t="shared" ref="AM11:AM16" si="18">(AL11/AH11-1)*100</f>
        <v>41.610188957799508</v>
      </c>
      <c r="AN11" s="149">
        <v>19</v>
      </c>
      <c r="AO11" s="57"/>
      <c r="AP11" s="157">
        <v>2453.3389999999999</v>
      </c>
      <c r="AQ11" s="148">
        <f t="shared" ref="AQ11:AQ16" si="19">(AP11/AL11-1)*100</f>
        <v>28.786227604634185</v>
      </c>
      <c r="AR11" s="149">
        <v>8</v>
      </c>
      <c r="AS11" s="57"/>
      <c r="AT11" s="157">
        <v>2947.7139999999999</v>
      </c>
      <c r="AU11" s="148">
        <f t="shared" ref="AU11:AU16" si="20">(AT11/AP11-1)*100</f>
        <v>20.151108346624746</v>
      </c>
      <c r="AV11" s="149">
        <v>-2</v>
      </c>
      <c r="AW11" s="57"/>
      <c r="AX11" s="157">
        <v>3245.2190000000001</v>
      </c>
      <c r="AY11" s="148">
        <f t="shared" ref="AY11:AY16" si="21">(AX11/AT11-1)*100</f>
        <v>10.092736269529535</v>
      </c>
      <c r="AZ11" s="149">
        <v>-9.4</v>
      </c>
      <c r="BA11" s="57"/>
      <c r="BB11" s="157">
        <v>3268.3090000000002</v>
      </c>
      <c r="BC11" s="148">
        <f t="shared" ref="BC11:BC16" si="22">(BB11/AX11-1)*100</f>
        <v>0.71150822178718265</v>
      </c>
      <c r="BD11" s="149">
        <v>-7.4</v>
      </c>
      <c r="BE11" s="57"/>
      <c r="BF11" s="157">
        <v>3685.299</v>
      </c>
      <c r="BG11" s="148">
        <f t="shared" ref="BG11:BG16" si="23">(BF11/BB11-1)*100</f>
        <v>12.758585556016877</v>
      </c>
      <c r="BH11" s="149">
        <v>9.8000000000000007</v>
      </c>
      <c r="BI11" s="150"/>
      <c r="BJ11" s="157">
        <v>3720.7890000000002</v>
      </c>
      <c r="BK11" s="148">
        <f t="shared" si="5"/>
        <v>0.96301548395394398</v>
      </c>
      <c r="BL11" s="149">
        <v>-0.3</v>
      </c>
      <c r="BM11" s="57"/>
      <c r="BN11" s="157">
        <v>3716.2979999999998</v>
      </c>
      <c r="BO11" s="148">
        <f t="shared" ref="BO11:BO16" si="24">(BN11/BJ11-1)*100</f>
        <v>-0.12070020632721778</v>
      </c>
      <c r="BP11" s="149">
        <v>-3.5</v>
      </c>
      <c r="BQ11" s="44"/>
      <c r="BR11" s="158">
        <v>3714</v>
      </c>
      <c r="BS11" s="151">
        <f t="shared" ref="BS11:BS16" si="25">(BR11/BN11-1)*100</f>
        <v>-6.183573007331189E-2</v>
      </c>
      <c r="BT11" s="149">
        <v>-5.4</v>
      </c>
      <c r="BU11" s="44"/>
      <c r="BV11" s="158">
        <v>3685</v>
      </c>
      <c r="BW11" s="151">
        <f t="shared" si="6"/>
        <v>-0.78082929456112504</v>
      </c>
      <c r="BX11" s="149">
        <v>-5</v>
      </c>
      <c r="BY11" s="44"/>
      <c r="BZ11" s="158">
        <v>3499</v>
      </c>
      <c r="CA11" s="151">
        <f t="shared" si="7"/>
        <v>-5.0474898236092303</v>
      </c>
      <c r="CB11" s="149">
        <v>-10</v>
      </c>
      <c r="CC11" s="140">
        <f>BZ11/$BZ$14</f>
        <v>0.24087842489329478</v>
      </c>
      <c r="CD11" s="158">
        <f>3245</f>
        <v>3245</v>
      </c>
      <c r="CE11" s="151">
        <f t="shared" si="8"/>
        <v>-7.2592169191197486</v>
      </c>
      <c r="CF11" s="149">
        <v>-8</v>
      </c>
      <c r="CG11" s="152"/>
      <c r="CH11" s="158">
        <v>3317</v>
      </c>
      <c r="CI11" s="151">
        <f t="shared" si="9"/>
        <v>2.2187981510015442</v>
      </c>
      <c r="CJ11" s="149">
        <v>1</v>
      </c>
      <c r="CK11" s="56"/>
      <c r="CL11" s="158">
        <v>3386</v>
      </c>
      <c r="CM11" s="151">
        <f t="shared" si="10"/>
        <v>2.080192945432624</v>
      </c>
      <c r="CN11" s="149">
        <v>-2</v>
      </c>
      <c r="CO11" s="56"/>
      <c r="CP11" s="158">
        <v>3575</v>
      </c>
      <c r="CQ11" s="151">
        <f t="shared" si="11"/>
        <v>5.5818074424099251</v>
      </c>
      <c r="CR11" s="1471">
        <v>4</v>
      </c>
      <c r="CS11" s="55"/>
      <c r="CT11" s="159">
        <v>3868</v>
      </c>
      <c r="CU11" s="151">
        <f t="shared" ref="CU11:CU16" si="26">(CT11/CP11-1)*100</f>
        <v>8.1958041958041896</v>
      </c>
      <c r="CV11" s="1472">
        <v>5</v>
      </c>
      <c r="CW11" s="55"/>
      <c r="CX11" s="159">
        <v>3981</v>
      </c>
      <c r="CY11" s="151">
        <f t="shared" ref="CY11:CY16" si="27">(CX11/CT11-1)*100</f>
        <v>2.9214064115822058</v>
      </c>
      <c r="CZ11" s="1472">
        <v>0</v>
      </c>
      <c r="DA11" s="55"/>
      <c r="DB11" s="159">
        <v>3898</v>
      </c>
      <c r="DC11" s="151">
        <f t="shared" ref="DC11:DC16" si="28">(DB11/CX11-1)*100</f>
        <v>-2.084903290630491</v>
      </c>
      <c r="DD11" s="1472">
        <v>-2</v>
      </c>
      <c r="DE11" s="55"/>
      <c r="DF11" s="159">
        <v>3851</v>
      </c>
      <c r="DG11" s="151">
        <f t="shared" si="12"/>
        <v>-1.2057465366854814</v>
      </c>
      <c r="DH11" s="1472">
        <v>-2</v>
      </c>
      <c r="DI11" s="160"/>
      <c r="DJ11" s="159">
        <v>3799</v>
      </c>
      <c r="DK11" s="151">
        <f t="shared" si="13"/>
        <v>-1.3502986237340919</v>
      </c>
      <c r="DL11" s="1473">
        <v>1</v>
      </c>
      <c r="DM11" s="160"/>
      <c r="DN11" s="2097">
        <f>qtrSales!S209</f>
        <v>3904.5936492187793</v>
      </c>
      <c r="DO11" s="148">
        <f t="shared" si="14"/>
        <v>2.7795116930450003</v>
      </c>
      <c r="DP11" s="1475">
        <f>qtrSales!F209</f>
        <v>1.1706106870229007</v>
      </c>
      <c r="DQ11" s="55"/>
      <c r="DR11" s="1575">
        <f>DL11+DH11</f>
        <v>-1</v>
      </c>
      <c r="DS11" s="1576">
        <f>DH11+DL11+DD11</f>
        <v>-3</v>
      </c>
      <c r="DT11" s="55"/>
      <c r="DU11" s="55"/>
      <c r="DV11" s="56"/>
      <c r="DW11" s="56"/>
      <c r="DX11" s="56"/>
      <c r="DY11" s="56"/>
      <c r="DZ11" s="161"/>
      <c r="EA11" s="44"/>
      <c r="EB11" s="44"/>
      <c r="EC11" s="44"/>
      <c r="ED11" s="44"/>
    </row>
    <row r="12" spans="1:134" outlineLevel="1">
      <c r="A12" s="146" t="s">
        <v>527</v>
      </c>
      <c r="B12" s="146" t="s">
        <v>512</v>
      </c>
      <c r="C12" s="57"/>
      <c r="D12" s="156">
        <v>405.601</v>
      </c>
      <c r="E12" s="57"/>
      <c r="F12" s="156">
        <v>501.69</v>
      </c>
      <c r="G12" s="148">
        <f t="shared" si="15"/>
        <v>23.690523445455014</v>
      </c>
      <c r="H12" s="149">
        <v>12</v>
      </c>
      <c r="I12" s="57"/>
      <c r="J12" s="156">
        <v>702.05200000000002</v>
      </c>
      <c r="K12" s="148">
        <f t="shared" si="0"/>
        <v>39.937411548964505</v>
      </c>
      <c r="L12" s="149">
        <v>20</v>
      </c>
      <c r="M12" s="57"/>
      <c r="N12" s="156">
        <v>827.22199999999998</v>
      </c>
      <c r="O12" s="148">
        <f t="shared" si="1"/>
        <v>17.82916365169531</v>
      </c>
      <c r="P12" s="149">
        <v>7</v>
      </c>
      <c r="Q12" s="57"/>
      <c r="R12" s="156">
        <v>898.67700000000002</v>
      </c>
      <c r="S12" s="148">
        <f t="shared" si="2"/>
        <v>8.6379472499522603</v>
      </c>
      <c r="T12" s="149">
        <v>-1</v>
      </c>
      <c r="U12" s="57"/>
      <c r="V12" s="156">
        <v>988.346</v>
      </c>
      <c r="W12" s="148">
        <f t="shared" si="3"/>
        <v>9.9778897201107775</v>
      </c>
      <c r="X12" s="149">
        <v>-2</v>
      </c>
      <c r="Y12" s="57"/>
      <c r="Z12" s="157">
        <v>1155.9290000000001</v>
      </c>
      <c r="AA12" s="148">
        <f t="shared" si="4"/>
        <v>16.955904106456664</v>
      </c>
      <c r="AB12" s="149">
        <v>0</v>
      </c>
      <c r="AC12" s="57"/>
      <c r="AD12" s="157">
        <v>1382.9960000000001</v>
      </c>
      <c r="AE12" s="148">
        <f t="shared" si="16"/>
        <v>19.643680537472452</v>
      </c>
      <c r="AF12" s="149">
        <v>1</v>
      </c>
      <c r="AG12" s="57"/>
      <c r="AH12" s="157">
        <v>1765.9390000000001</v>
      </c>
      <c r="AI12" s="148">
        <f t="shared" si="17"/>
        <v>27.689378711145942</v>
      </c>
      <c r="AJ12" s="149">
        <v>9</v>
      </c>
      <c r="AK12" s="57"/>
      <c r="AL12" s="157">
        <v>2399.9479999999999</v>
      </c>
      <c r="AM12" s="148">
        <f t="shared" si="18"/>
        <v>35.90208948327205</v>
      </c>
      <c r="AN12" s="149">
        <v>13</v>
      </c>
      <c r="AO12" s="57"/>
      <c r="AP12" s="157">
        <v>3045.386</v>
      </c>
      <c r="AQ12" s="148">
        <f t="shared" si="19"/>
        <v>26.893832699708508</v>
      </c>
      <c r="AR12" s="149">
        <v>5</v>
      </c>
      <c r="AS12" s="57"/>
      <c r="AT12" s="157">
        <v>3414.6680000000001</v>
      </c>
      <c r="AU12" s="148">
        <f t="shared" si="20"/>
        <v>12.125950536319529</v>
      </c>
      <c r="AV12" s="149">
        <v>-8</v>
      </c>
      <c r="AW12" s="57"/>
      <c r="AX12" s="157">
        <v>3333.373</v>
      </c>
      <c r="AY12" s="148">
        <f t="shared" si="21"/>
        <v>-2.3807585393367692</v>
      </c>
      <c r="AZ12" s="149">
        <v>-16.7</v>
      </c>
      <c r="BA12" s="57"/>
      <c r="BB12" s="162">
        <v>3644.9560000000001</v>
      </c>
      <c r="BC12" s="148">
        <f t="shared" si="22"/>
        <v>9.3473787661926941</v>
      </c>
      <c r="BD12" s="149">
        <v>2.2999999999999998</v>
      </c>
      <c r="BE12" s="57"/>
      <c r="BF12" s="157">
        <v>3929.4560000000001</v>
      </c>
      <c r="BG12" s="148">
        <f t="shared" si="23"/>
        <v>7.8053068404666526</v>
      </c>
      <c r="BH12" s="149">
        <v>6.1</v>
      </c>
      <c r="BI12" s="150"/>
      <c r="BJ12" s="157">
        <v>3980.15</v>
      </c>
      <c r="BK12" s="148">
        <f t="shared" si="5"/>
        <v>1.2901022431603737</v>
      </c>
      <c r="BL12" s="149">
        <v>-1</v>
      </c>
      <c r="BM12" s="57"/>
      <c r="BN12" s="157">
        <v>3859.9059999999999</v>
      </c>
      <c r="BO12" s="148">
        <f t="shared" si="24"/>
        <v>-3.0210921698931026</v>
      </c>
      <c r="BP12" s="149">
        <v>-6.7</v>
      </c>
      <c r="BQ12" s="44"/>
      <c r="BR12" s="158">
        <v>3851</v>
      </c>
      <c r="BS12" s="151">
        <f t="shared" si="25"/>
        <v>-0.23073100743904451</v>
      </c>
      <c r="BT12" s="149">
        <v>-5.5</v>
      </c>
      <c r="BU12" s="44"/>
      <c r="BV12" s="158">
        <v>3854</v>
      </c>
      <c r="BW12" s="151">
        <f t="shared" si="6"/>
        <v>7.7901843676975169E-2</v>
      </c>
      <c r="BX12" s="149">
        <v>-5</v>
      </c>
      <c r="BY12" s="44"/>
      <c r="BZ12" s="157">
        <v>3561</v>
      </c>
      <c r="CA12" s="148">
        <f t="shared" si="7"/>
        <v>-7.6024909185262057</v>
      </c>
      <c r="CB12" s="149">
        <v>-12</v>
      </c>
      <c r="CC12" s="140">
        <f>BZ12/$BZ$14</f>
        <v>0.24514663362247005</v>
      </c>
      <c r="CD12" s="157">
        <v>3589</v>
      </c>
      <c r="CE12" s="148">
        <f t="shared" si="8"/>
        <v>0.78629598427408798</v>
      </c>
      <c r="CF12" s="149">
        <v>0</v>
      </c>
      <c r="CG12" s="152"/>
      <c r="CH12" s="157">
        <v>3654</v>
      </c>
      <c r="CI12" s="148">
        <f t="shared" si="9"/>
        <v>1.8110894399554267</v>
      </c>
      <c r="CJ12" s="149">
        <v>0</v>
      </c>
      <c r="CK12" s="56"/>
      <c r="CL12" s="158">
        <v>3585</v>
      </c>
      <c r="CM12" s="151">
        <f>(CL12/CH12-1)*100</f>
        <v>-1.8883415435139606</v>
      </c>
      <c r="CN12" s="149">
        <v>-5</v>
      </c>
      <c r="CO12" s="56"/>
      <c r="CP12" s="158">
        <v>3864</v>
      </c>
      <c r="CQ12" s="148">
        <f t="shared" si="11"/>
        <v>7.7824267782426793</v>
      </c>
      <c r="CR12" s="1471">
        <v>6</v>
      </c>
      <c r="CS12" s="55"/>
      <c r="CT12" s="157">
        <v>3976</v>
      </c>
      <c r="CU12" s="148">
        <f t="shared" si="26"/>
        <v>2.8985507246376718</v>
      </c>
      <c r="CV12" s="1472">
        <v>1</v>
      </c>
      <c r="CW12" s="55"/>
      <c r="CX12" s="157">
        <v>3972</v>
      </c>
      <c r="CY12" s="148">
        <f t="shared" si="27"/>
        <v>-0.1006036217303774</v>
      </c>
      <c r="CZ12" s="1472">
        <v>-2</v>
      </c>
      <c r="DA12" s="55"/>
      <c r="DB12" s="157">
        <v>3857</v>
      </c>
      <c r="DC12" s="148">
        <f>(DB12/CX12-1)*100</f>
        <v>-2.8952668680765403</v>
      </c>
      <c r="DD12" s="1472">
        <v>-2</v>
      </c>
      <c r="DE12" s="55"/>
      <c r="DF12" s="157">
        <v>3798</v>
      </c>
      <c r="DG12" s="148">
        <f t="shared" si="12"/>
        <v>-1.5296862846772119</v>
      </c>
      <c r="DH12" s="1472">
        <v>-3</v>
      </c>
      <c r="DI12" s="160"/>
      <c r="DJ12" s="159">
        <v>3838</v>
      </c>
      <c r="DK12" s="148">
        <f>(DJ12/DF12-1)*100</f>
        <v>1.053185887309116</v>
      </c>
      <c r="DL12" s="1473">
        <v>3</v>
      </c>
      <c r="DM12" s="160"/>
      <c r="DN12" s="2097">
        <f>qtrSales!S210</f>
        <v>3903.8777607026191</v>
      </c>
      <c r="DO12" s="148">
        <f>(DN12/DJ12-1)*100</f>
        <v>1.7164606748988787</v>
      </c>
      <c r="DP12" s="1475">
        <f>qtrSales!F210</f>
        <v>0.16939812402292875</v>
      </c>
      <c r="DQ12" s="55"/>
      <c r="DR12" s="1575">
        <f>DL12+DH12</f>
        <v>0</v>
      </c>
      <c r="DS12" s="1576">
        <f>DH12+DL12+DD12</f>
        <v>-2</v>
      </c>
      <c r="DT12" s="55"/>
      <c r="DU12" s="55"/>
      <c r="DV12" s="56"/>
      <c r="DW12" s="56"/>
      <c r="DX12" s="56"/>
      <c r="DY12" s="56"/>
      <c r="DZ12" s="161"/>
      <c r="EA12" s="44"/>
      <c r="EB12" s="44"/>
      <c r="EC12" s="44"/>
      <c r="ED12" s="44"/>
    </row>
    <row r="13" spans="1:134" outlineLevel="1">
      <c r="A13" s="146" t="s">
        <v>528</v>
      </c>
      <c r="B13" s="146" t="s">
        <v>514</v>
      </c>
      <c r="C13" s="60"/>
      <c r="D13" s="163">
        <v>545.13099999999997</v>
      </c>
      <c r="E13" s="60"/>
      <c r="F13" s="163">
        <v>624.726</v>
      </c>
      <c r="G13" s="148">
        <f t="shared" si="15"/>
        <v>14.601077539160311</v>
      </c>
      <c r="H13" s="149">
        <v>9</v>
      </c>
      <c r="I13" s="57"/>
      <c r="J13" s="163">
        <v>803.48500000000001</v>
      </c>
      <c r="K13" s="148">
        <f t="shared" si="0"/>
        <v>28.613984370748135</v>
      </c>
      <c r="L13" s="149">
        <v>12</v>
      </c>
      <c r="M13" s="57"/>
      <c r="N13" s="163">
        <v>930.20899999999995</v>
      </c>
      <c r="O13" s="148">
        <f t="shared" si="1"/>
        <v>15.771794121856653</v>
      </c>
      <c r="P13" s="149">
        <v>4</v>
      </c>
      <c r="Q13" s="57"/>
      <c r="R13" s="163">
        <v>1060.23</v>
      </c>
      <c r="S13" s="148">
        <f t="shared" si="2"/>
        <v>13.977611483010822</v>
      </c>
      <c r="T13" s="149">
        <v>4</v>
      </c>
      <c r="U13" s="57"/>
      <c r="V13" s="163">
        <v>1209.7929999999999</v>
      </c>
      <c r="W13" s="148">
        <f t="shared" si="3"/>
        <v>14.106656102921056</v>
      </c>
      <c r="X13" s="149">
        <v>1</v>
      </c>
      <c r="Y13" s="57"/>
      <c r="Z13" s="164">
        <v>1522.1220000000001</v>
      </c>
      <c r="AA13" s="148">
        <f t="shared" si="4"/>
        <v>25.816730630777339</v>
      </c>
      <c r="AB13" s="149">
        <v>4</v>
      </c>
      <c r="AC13" s="57"/>
      <c r="AD13" s="164">
        <v>1667.896</v>
      </c>
      <c r="AE13" s="148">
        <f t="shared" si="16"/>
        <v>9.5770247062981753</v>
      </c>
      <c r="AF13" s="149">
        <v>3</v>
      </c>
      <c r="AG13" s="57"/>
      <c r="AH13" s="164">
        <v>2165.4789999999998</v>
      </c>
      <c r="AI13" s="148">
        <f t="shared" si="17"/>
        <v>29.832975197494328</v>
      </c>
      <c r="AJ13" s="149">
        <v>10</v>
      </c>
      <c r="AK13" s="57"/>
      <c r="AL13" s="164">
        <v>3029.8319999999999</v>
      </c>
      <c r="AM13" s="148">
        <f t="shared" si="18"/>
        <v>39.915094997457842</v>
      </c>
      <c r="AN13" s="149">
        <v>17</v>
      </c>
      <c r="AO13" s="57"/>
      <c r="AP13" s="164">
        <v>3858.9389999999999</v>
      </c>
      <c r="AQ13" s="148">
        <f t="shared" si="19"/>
        <v>27.364784582115441</v>
      </c>
      <c r="AR13" s="149">
        <v>5</v>
      </c>
      <c r="AS13" s="57"/>
      <c r="AT13" s="164">
        <v>4579.0879999999997</v>
      </c>
      <c r="AU13" s="148">
        <f t="shared" si="20"/>
        <v>18.661839433066962</v>
      </c>
      <c r="AV13" s="149">
        <v>-6</v>
      </c>
      <c r="AW13" s="57"/>
      <c r="AX13" s="164">
        <v>4089.625</v>
      </c>
      <c r="AY13" s="148">
        <f t="shared" si="21"/>
        <v>-10.689093548759054</v>
      </c>
      <c r="AZ13" s="149">
        <v>-16.100000000000001</v>
      </c>
      <c r="BA13" s="57"/>
      <c r="BB13" s="165">
        <v>4650.6040000000003</v>
      </c>
      <c r="BC13" s="148">
        <f t="shared" si="22"/>
        <v>13.717125653330076</v>
      </c>
      <c r="BD13" s="149">
        <v>8.1</v>
      </c>
      <c r="BE13" s="57"/>
      <c r="BF13" s="164">
        <v>4886.2640000000001</v>
      </c>
      <c r="BG13" s="148">
        <f t="shared" si="23"/>
        <v>5.0672987852760532</v>
      </c>
      <c r="BH13" s="149">
        <v>3</v>
      </c>
      <c r="BI13" s="150"/>
      <c r="BJ13" s="164">
        <v>4898.8969999999999</v>
      </c>
      <c r="BK13" s="148">
        <f>(BJ13/BF13-1)*100</f>
        <v>0.25854108578660107</v>
      </c>
      <c r="BL13" s="149">
        <v>-2.8</v>
      </c>
      <c r="BM13" s="57"/>
      <c r="BN13" s="164">
        <v>4820.8829999999998</v>
      </c>
      <c r="BO13" s="148">
        <f>(BN13/BJ13-1)*100</f>
        <v>-1.5924809196845802</v>
      </c>
      <c r="BP13" s="149">
        <v>-5.6</v>
      </c>
      <c r="BQ13" s="44"/>
      <c r="BR13" s="164">
        <v>4919</v>
      </c>
      <c r="BS13" s="151">
        <f t="shared" si="25"/>
        <v>2.0352495590538089</v>
      </c>
      <c r="BT13" s="149">
        <v>-7</v>
      </c>
      <c r="BU13" s="44"/>
      <c r="BV13" s="164">
        <v>4675</v>
      </c>
      <c r="BW13" s="151">
        <f t="shared" si="6"/>
        <v>-4.9603577963000633</v>
      </c>
      <c r="BX13" s="149">
        <v>-3</v>
      </c>
      <c r="BY13" s="44"/>
      <c r="BZ13" s="164">
        <v>4082</v>
      </c>
      <c r="CA13" s="148">
        <f t="shared" si="7"/>
        <v>-12.684491978609625</v>
      </c>
      <c r="CB13" s="149">
        <v>-14</v>
      </c>
      <c r="CC13" s="140">
        <f>BZ13/$BZ$14</f>
        <v>0.28101335536279776</v>
      </c>
      <c r="CD13" s="164">
        <v>4236</v>
      </c>
      <c r="CE13" s="148">
        <f t="shared" si="8"/>
        <v>3.7726604605585523</v>
      </c>
      <c r="CF13" s="149">
        <v>2</v>
      </c>
      <c r="CG13" s="152"/>
      <c r="CH13" s="164">
        <v>4364</v>
      </c>
      <c r="CI13" s="148">
        <f t="shared" si="9"/>
        <v>3.0217186024551479</v>
      </c>
      <c r="CJ13" s="149">
        <v>1</v>
      </c>
      <c r="CK13" s="56"/>
      <c r="CL13" s="164">
        <v>4283</v>
      </c>
      <c r="CM13" s="148">
        <f t="shared" si="10"/>
        <v>-1.8560953253895507</v>
      </c>
      <c r="CN13" s="149">
        <v>-4</v>
      </c>
      <c r="CO13" s="56"/>
      <c r="CP13" s="164">
        <v>4725</v>
      </c>
      <c r="CQ13" s="148">
        <f t="shared" si="11"/>
        <v>10.319869250525326</v>
      </c>
      <c r="CR13" s="1471">
        <v>5</v>
      </c>
      <c r="CS13" s="55"/>
      <c r="CT13" s="164">
        <v>4575</v>
      </c>
      <c r="CU13" s="148">
        <f t="shared" si="26"/>
        <v>-3.1746031746031744</v>
      </c>
      <c r="CV13" s="1472">
        <v>1</v>
      </c>
      <c r="CW13" s="55"/>
      <c r="CX13" s="164">
        <v>4708</v>
      </c>
      <c r="CY13" s="148">
        <f t="shared" si="27"/>
        <v>2.9071038251366144</v>
      </c>
      <c r="CZ13" s="1472">
        <v>2</v>
      </c>
      <c r="DA13" s="55"/>
      <c r="DB13" s="164">
        <v>4385</v>
      </c>
      <c r="DC13" s="148">
        <f>(DB13/CX13-1)*100</f>
        <v>-6.860662701784193</v>
      </c>
      <c r="DD13" s="1472">
        <v>-7</v>
      </c>
      <c r="DE13" s="55"/>
      <c r="DF13" s="1428">
        <v>4429</v>
      </c>
      <c r="DG13" s="148">
        <f t="shared" si="12"/>
        <v>1.0034207525655647</v>
      </c>
      <c r="DH13" s="1473">
        <v>2</v>
      </c>
      <c r="DI13" s="450"/>
      <c r="DJ13" s="1428">
        <v>4778</v>
      </c>
      <c r="DK13" s="148">
        <f t="shared" si="13"/>
        <v>7.8798825920072257</v>
      </c>
      <c r="DL13" s="1473">
        <v>5</v>
      </c>
      <c r="DM13" s="450"/>
      <c r="DN13" s="166">
        <f>qtrSales!S211</f>
        <v>4681.4158783110033</v>
      </c>
      <c r="DO13" s="148">
        <f t="shared" ref="DO13:DO16" si="29">(DN13/DJ13-1)*100</f>
        <v>-2.0214341081832732</v>
      </c>
      <c r="DP13" s="2020">
        <f>qtrSales!F211</f>
        <v>-1.3501255755546253</v>
      </c>
      <c r="DQ13" s="54"/>
      <c r="DR13" s="1577">
        <f>DL13+DH13</f>
        <v>7</v>
      </c>
      <c r="DS13" s="1578">
        <f>DH13+DL13+DD13</f>
        <v>0</v>
      </c>
      <c r="DT13" s="55"/>
      <c r="DU13" s="55"/>
      <c r="DV13" s="56"/>
      <c r="DW13" s="56"/>
      <c r="DX13" s="56"/>
      <c r="DY13" s="56"/>
      <c r="DZ13" s="44"/>
      <c r="EA13" s="44"/>
      <c r="EB13" s="44"/>
      <c r="EC13" s="44"/>
      <c r="ED13" s="44"/>
    </row>
    <row r="14" spans="1:134" outlineLevel="1">
      <c r="A14" s="146"/>
      <c r="B14" s="146" t="s">
        <v>529</v>
      </c>
      <c r="C14" s="57"/>
      <c r="D14" s="167">
        <f>SUM(D10:D13)</f>
        <v>1586.596</v>
      </c>
      <c r="E14" s="57"/>
      <c r="F14" s="167">
        <f>SUM(F10:F13)</f>
        <v>1933.7800000000002</v>
      </c>
      <c r="G14" s="148">
        <f t="shared" si="15"/>
        <v>21.882319128499006</v>
      </c>
      <c r="H14" s="149">
        <v>14</v>
      </c>
      <c r="I14" s="57"/>
      <c r="J14" s="167">
        <f>SUM(J10:J13)</f>
        <v>2518.893</v>
      </c>
      <c r="K14" s="148">
        <f t="shared" si="0"/>
        <v>30.257474997155811</v>
      </c>
      <c r="L14" s="149">
        <v>13</v>
      </c>
      <c r="M14" s="57"/>
      <c r="N14" s="167">
        <f>SUM(N10:N13)</f>
        <v>2960.4090000000001</v>
      </c>
      <c r="O14" s="148">
        <f t="shared" si="1"/>
        <v>17.528176067820269</v>
      </c>
      <c r="P14" s="149">
        <v>5</v>
      </c>
      <c r="Q14" s="57"/>
      <c r="R14" s="167">
        <f>SUM(R10:R13)</f>
        <v>3295.6790000000001</v>
      </c>
      <c r="S14" s="148">
        <f t="shared" si="2"/>
        <v>11.325124332482428</v>
      </c>
      <c r="T14" s="149">
        <v>1</v>
      </c>
      <c r="U14" s="57"/>
      <c r="V14" s="167">
        <f>SUM(V10:V13)</f>
        <v>3722.9399999999996</v>
      </c>
      <c r="W14" s="148">
        <f t="shared" si="3"/>
        <v>12.964278377839577</v>
      </c>
      <c r="X14" s="149">
        <v>1</v>
      </c>
      <c r="Y14" s="57"/>
      <c r="Z14" s="167">
        <f>SUM(Z10:Z13)</f>
        <v>4395.2530000000006</v>
      </c>
      <c r="AA14" s="148">
        <f t="shared" si="4"/>
        <v>18.058657942378908</v>
      </c>
      <c r="AB14" s="149">
        <v>0</v>
      </c>
      <c r="AC14" s="57"/>
      <c r="AD14" s="167">
        <f>SUM(AD10:AD13)</f>
        <v>5284.3810000000003</v>
      </c>
      <c r="AE14" s="148">
        <f t="shared" si="16"/>
        <v>20.229279179150762</v>
      </c>
      <c r="AF14" s="149">
        <v>5</v>
      </c>
      <c r="AG14" s="57"/>
      <c r="AH14" s="167">
        <f>SUM(AH10:AH13)</f>
        <v>6507.8250000000007</v>
      </c>
      <c r="AI14" s="148">
        <f t="shared" si="17"/>
        <v>23.15207779302817</v>
      </c>
      <c r="AJ14" s="149">
        <v>6</v>
      </c>
      <c r="AK14" s="57"/>
      <c r="AL14" s="167">
        <f>SUM(AL10:AL13)</f>
        <v>9054.4619999999995</v>
      </c>
      <c r="AM14" s="148">
        <f t="shared" si="18"/>
        <v>39.131921955492018</v>
      </c>
      <c r="AN14" s="149">
        <v>17</v>
      </c>
      <c r="AO14" s="57"/>
      <c r="AP14" s="167">
        <f>SUM(AP10:AP13)</f>
        <v>11635.398000000001</v>
      </c>
      <c r="AQ14" s="148">
        <f t="shared" si="19"/>
        <v>28.504575975911116</v>
      </c>
      <c r="AR14" s="149">
        <v>7</v>
      </c>
      <c r="AS14" s="57"/>
      <c r="AT14" s="167">
        <f>SUM(AT10:AT13)</f>
        <v>13673.46</v>
      </c>
      <c r="AU14" s="148">
        <f t="shared" si="20"/>
        <v>17.516048870867994</v>
      </c>
      <c r="AV14" s="149">
        <v>-5</v>
      </c>
      <c r="AW14" s="57"/>
      <c r="AX14" s="167">
        <f>SUM(AX10:AX13)</f>
        <v>13847.873</v>
      </c>
      <c r="AY14" s="148">
        <f t="shared" si="21"/>
        <v>1.2755586369507022</v>
      </c>
      <c r="AZ14" s="149">
        <v>-12.9</v>
      </c>
      <c r="BA14" s="57"/>
      <c r="BB14" s="167">
        <f>+SUM(BB10:BB13)</f>
        <v>14454.708999999999</v>
      </c>
      <c r="BC14" s="148">
        <f t="shared" si="22"/>
        <v>4.3821603505462381</v>
      </c>
      <c r="BD14" s="149">
        <v>-2.7</v>
      </c>
      <c r="BE14" s="57"/>
      <c r="BF14" s="167">
        <f>SUM(BF10:BF13)</f>
        <v>15853.79</v>
      </c>
      <c r="BG14" s="148">
        <f t="shared" si="23"/>
        <v>9.6790672160885549</v>
      </c>
      <c r="BH14" s="149">
        <v>7.2</v>
      </c>
      <c r="BI14" s="57"/>
      <c r="BJ14" s="167">
        <f>SUM(BJ10:BJ13)</f>
        <v>16267.401000000002</v>
      </c>
      <c r="BK14" s="148">
        <f t="shared" si="5"/>
        <v>2.608909289198369</v>
      </c>
      <c r="BL14" s="149">
        <v>0.4</v>
      </c>
      <c r="BM14" s="57"/>
      <c r="BN14" s="167">
        <f>SUM(BN10:BN13)</f>
        <v>16023.38</v>
      </c>
      <c r="BO14" s="148">
        <f t="shared" si="24"/>
        <v>-1.5000613804258101</v>
      </c>
      <c r="BP14" s="149">
        <v>-5.0999999999999996</v>
      </c>
      <c r="BQ14" s="44"/>
      <c r="BR14" s="66">
        <f>SUM(BR10:BR13)</f>
        <v>15923</v>
      </c>
      <c r="BS14" s="151">
        <f t="shared" si="25"/>
        <v>-0.62645958593005036</v>
      </c>
      <c r="BT14" s="149">
        <v>-7</v>
      </c>
      <c r="BU14" s="44"/>
      <c r="BV14" s="66">
        <f>SUM(BV10:BV13)</f>
        <v>15763</v>
      </c>
      <c r="BW14" s="151">
        <f t="shared" si="6"/>
        <v>-1.0048357721534895</v>
      </c>
      <c r="BX14" s="168">
        <v>-4</v>
      </c>
      <c r="BY14" s="44"/>
      <c r="BZ14" s="66">
        <f>SUM(BZ10:BZ13)</f>
        <v>14526</v>
      </c>
      <c r="CA14" s="151">
        <f t="shared" si="7"/>
        <v>-7.8474909598426734</v>
      </c>
      <c r="CB14" s="149">
        <v>-12</v>
      </c>
      <c r="CC14" s="44"/>
      <c r="CD14" s="66">
        <f>SUM(CD10:CD13)</f>
        <v>14197</v>
      </c>
      <c r="CE14" s="151">
        <f t="shared" si="8"/>
        <v>-2.2649043095139709</v>
      </c>
      <c r="CF14" s="149">
        <v>-3</v>
      </c>
      <c r="CG14" s="59"/>
      <c r="CH14" s="66">
        <f>SUM(CH10:CH13)</f>
        <v>14664</v>
      </c>
      <c r="CI14" s="151">
        <f t="shared" si="9"/>
        <v>3.2894273438050403</v>
      </c>
      <c r="CJ14" s="149">
        <v>2</v>
      </c>
      <c r="CK14" s="59"/>
      <c r="CL14" s="66">
        <f>SUM(CL10:CL13)</f>
        <v>14549</v>
      </c>
      <c r="CM14" s="151">
        <f t="shared" si="10"/>
        <v>-0.78423349699945355</v>
      </c>
      <c r="CN14" s="149">
        <v>-4</v>
      </c>
      <c r="CO14" s="59"/>
      <c r="CP14" s="66">
        <f>SUM(CP10:CP13)</f>
        <v>15651</v>
      </c>
      <c r="CQ14" s="151">
        <f t="shared" si="11"/>
        <v>7.5744037390885977</v>
      </c>
      <c r="CR14" s="1475">
        <v>4.7896859694612504</v>
      </c>
      <c r="CS14" s="44"/>
      <c r="CT14" s="66">
        <f>SUM(CT10:CT13)</f>
        <v>16148</v>
      </c>
      <c r="CU14" s="151">
        <f t="shared" si="26"/>
        <v>3.1755159414733836</v>
      </c>
      <c r="CV14" s="1475">
        <v>2.1890636611345058</v>
      </c>
      <c r="CW14" s="44"/>
      <c r="CX14" s="66">
        <f>SUM(CX10:CX13)</f>
        <v>16435</v>
      </c>
      <c r="CY14" s="151">
        <f>(CX14/CT14-1)*100</f>
        <v>1.7773098835769163</v>
      </c>
      <c r="CZ14" s="1475">
        <v>0</v>
      </c>
      <c r="DA14" s="44"/>
      <c r="DB14" s="66">
        <f>SUM(DB10:DB13)</f>
        <v>15797</v>
      </c>
      <c r="DC14" s="151">
        <f>(DB14/CX14-1)*100</f>
        <v>-3.8819592333434794</v>
      </c>
      <c r="DD14" s="1474">
        <v>-4</v>
      </c>
      <c r="DE14" s="44"/>
      <c r="DF14" s="66">
        <f>SUM(DF10:DF13)</f>
        <v>15516</v>
      </c>
      <c r="DG14" s="151">
        <f t="shared" si="12"/>
        <v>-1.778818763056278</v>
      </c>
      <c r="DH14" s="1474">
        <v>-2</v>
      </c>
      <c r="DI14" s="150"/>
      <c r="DJ14" s="66">
        <f>SUM(DJ10:DJ13)</f>
        <v>15855</v>
      </c>
      <c r="DK14" s="151">
        <f t="shared" si="13"/>
        <v>2.1848414539829886</v>
      </c>
      <c r="DL14" s="1473">
        <v>3</v>
      </c>
      <c r="DM14" s="150"/>
      <c r="DN14" s="167">
        <f>SUM(DN10:DN13)</f>
        <v>16007.374239900169</v>
      </c>
      <c r="DO14" s="148">
        <f t="shared" si="29"/>
        <v>0.96104850142018083</v>
      </c>
      <c r="DP14" s="2020">
        <f>qtrSales!F212</f>
        <v>-1.202125311883347E-2</v>
      </c>
      <c r="DQ14" s="44"/>
      <c r="DR14" s="1358">
        <f t="shared" ref="DR14" si="30">DL14+DH14</f>
        <v>1</v>
      </c>
      <c r="DS14" s="1359">
        <f>DH14+DL14+DD14</f>
        <v>-3</v>
      </c>
      <c r="DT14" s="44"/>
      <c r="DU14" s="44"/>
      <c r="DV14" s="56"/>
      <c r="DW14" s="44"/>
      <c r="DX14" s="44"/>
      <c r="DY14" s="44"/>
      <c r="DZ14" s="44"/>
      <c r="EA14" s="44"/>
      <c r="EB14" s="44"/>
      <c r="EC14" s="44"/>
      <c r="ED14" s="44"/>
    </row>
    <row r="15" spans="1:134" ht="10.5" hidden="1" customHeight="1" outlineLevel="2">
      <c r="A15" s="146" t="s">
        <v>530</v>
      </c>
      <c r="B15" s="146"/>
      <c r="C15" s="57"/>
      <c r="D15" s="169">
        <f>SUM(D10:D11)</f>
        <v>635.86400000000003</v>
      </c>
      <c r="E15" s="57"/>
      <c r="F15" s="169">
        <f>SUM(F10:F11)</f>
        <v>807.36400000000003</v>
      </c>
      <c r="G15" s="148">
        <f t="shared" si="15"/>
        <v>26.971176226362871</v>
      </c>
      <c r="H15" s="150">
        <f>((F10/F15)*H10)+((F11/F15)*H11)</f>
        <v>18.501627518690455</v>
      </c>
      <c r="I15" s="57"/>
      <c r="J15" s="169">
        <f>SUM(J10:J11)</f>
        <v>1013.356</v>
      </c>
      <c r="K15" s="148">
        <f t="shared" si="0"/>
        <v>25.514142319944909</v>
      </c>
      <c r="L15" s="150">
        <f>((J10/J15)*L10)+((J11/J15)*L11)</f>
        <v>8.5808106923924079</v>
      </c>
      <c r="M15" s="57"/>
      <c r="N15" s="169">
        <f>SUM(N10:N11)</f>
        <v>1202.9780000000001</v>
      </c>
      <c r="O15" s="148">
        <f t="shared" si="1"/>
        <v>18.712278804289916</v>
      </c>
      <c r="P15" s="150">
        <f>((N10/N15)*P10)+((N11/N15)*P11)</f>
        <v>5</v>
      </c>
      <c r="Q15" s="57"/>
      <c r="R15" s="169">
        <f>SUM(R10:R11)</f>
        <v>1336.7719999999999</v>
      </c>
      <c r="S15" s="148">
        <f t="shared" si="2"/>
        <v>11.121899153600467</v>
      </c>
      <c r="T15" s="150">
        <f>((R10/R15)*T10)+((R11/R15)*T11)</f>
        <v>3.7113284838401817E-2</v>
      </c>
      <c r="U15" s="57"/>
      <c r="V15" s="169">
        <f>SUM(V10:V11)</f>
        <v>1524.8009999999999</v>
      </c>
      <c r="W15" s="148">
        <f t="shared" si="3"/>
        <v>14.065899046359442</v>
      </c>
      <c r="X15" s="150">
        <f>((V10/V15)*X10)+((V11/V15)*X11)</f>
        <v>3.9577761294752563</v>
      </c>
      <c r="Y15" s="57"/>
      <c r="Z15" s="169">
        <f>SUM(Z10:Z11)</f>
        <v>1717.202</v>
      </c>
      <c r="AA15" s="148">
        <f t="shared" si="4"/>
        <v>12.618105575743988</v>
      </c>
      <c r="AB15" s="150">
        <f>((Z10/Z15)*AB10)+((Z11/Z15)*AB11)</f>
        <v>-3.0115455258030215</v>
      </c>
      <c r="AC15" s="57"/>
      <c r="AD15" s="169">
        <f>SUM(AD10:AD11)</f>
        <v>2233.489</v>
      </c>
      <c r="AE15" s="148">
        <f t="shared" si="16"/>
        <v>30.065595078505613</v>
      </c>
      <c r="AF15" s="150">
        <f>((AD10/AD15)*AF10)+((AD11/AD15)*AF11)</f>
        <v>9</v>
      </c>
      <c r="AG15" s="57"/>
      <c r="AH15" s="169">
        <f>SUM(AH10:AH11)</f>
        <v>2576.4070000000002</v>
      </c>
      <c r="AI15" s="148">
        <f t="shared" si="17"/>
        <v>15.353467153856592</v>
      </c>
      <c r="AJ15" s="150">
        <f>((AH10/AH15)*AJ10)+((AH11/AH15)*AJ11)</f>
        <v>0.65491438270428581</v>
      </c>
      <c r="AK15" s="57"/>
      <c r="AL15" s="169">
        <f>SUM(AL10:AL11)</f>
        <v>3624.6819999999998</v>
      </c>
      <c r="AM15" s="148">
        <f t="shared" si="18"/>
        <v>40.68747678452975</v>
      </c>
      <c r="AN15" s="150">
        <f>((AL10/AL15)*AN10)+((AL11/AL15)*AN11)</f>
        <v>18.051110138765278</v>
      </c>
      <c r="AO15" s="57"/>
      <c r="AP15" s="169">
        <f>SUM(AP10:AP11)</f>
        <v>4731.0730000000003</v>
      </c>
      <c r="AQ15" s="148">
        <f t="shared" si="19"/>
        <v>30.523808709288168</v>
      </c>
      <c r="AR15" s="150">
        <f>((AP10/AP15)*AR10)+((AP11/AP15)*AR11)</f>
        <v>9.4443239408903636</v>
      </c>
      <c r="AS15" s="57"/>
      <c r="AT15" s="169">
        <f>SUM(AT10:AT11)</f>
        <v>5679.7039999999997</v>
      </c>
      <c r="AU15" s="148">
        <f t="shared" si="20"/>
        <v>20.051075094381332</v>
      </c>
      <c r="AV15" s="150">
        <f>((AT10/AT15)*AV10)+((AT11/AT15)*AV11)</f>
        <v>-2</v>
      </c>
      <c r="AW15" s="57"/>
      <c r="AX15" s="169">
        <f>SUM(AX10:AX11)</f>
        <v>6424.875</v>
      </c>
      <c r="AY15" s="148">
        <f t="shared" si="21"/>
        <v>13.119891459132393</v>
      </c>
      <c r="AZ15" s="150">
        <f>((AX10/AX15)*AZ10)+((AX11/AX15)*AZ11)</f>
        <v>-8.1132659234615456</v>
      </c>
      <c r="BA15" s="57"/>
      <c r="BB15" s="169">
        <f>SUM(BB10:BB11)</f>
        <v>6159.1490000000003</v>
      </c>
      <c r="BC15" s="148">
        <f t="shared" si="22"/>
        <v>-4.1358936944298481</v>
      </c>
      <c r="BD15" s="150">
        <f>((BB10/BB15)*BD10)+((BB11/BB15)*BD11)</f>
        <v>-12.140506196554103</v>
      </c>
      <c r="BE15" s="57"/>
      <c r="BF15" s="169">
        <f>SUM(BF10:BF11)</f>
        <v>7038.07</v>
      </c>
      <c r="BG15" s="148">
        <f t="shared" si="23"/>
        <v>14.270169466593497</v>
      </c>
      <c r="BH15" s="150">
        <f>((BF10/BF15)*BH10)+((BF11/BF15)*BH11)</f>
        <v>11.086216491168745</v>
      </c>
      <c r="BI15" s="57"/>
      <c r="BJ15" s="169">
        <f>SUM(BJ10:BJ11)</f>
        <v>7388.3540000000003</v>
      </c>
      <c r="BK15" s="148">
        <f t="shared" si="5"/>
        <v>4.9769894303409945</v>
      </c>
      <c r="BL15" s="150">
        <f>((BJ10/BJ15)*BL10)+((BJ11/BJ15)*BL11)</f>
        <v>3.4229858639691599</v>
      </c>
      <c r="BM15" s="57"/>
      <c r="BN15" s="169">
        <f>SUM(BN10:BN11)</f>
        <v>7342.5910000000003</v>
      </c>
      <c r="BO15" s="148">
        <f t="shared" si="24"/>
        <v>-0.61939371069659188</v>
      </c>
      <c r="BP15" s="150">
        <f>((BN10/BN15)*BP10)+((BN11/BN15)*BP11)</f>
        <v>-3.8457097229029911</v>
      </c>
      <c r="BQ15" s="44"/>
      <c r="BR15" s="58">
        <f>SUM(BR10:BR11)</f>
        <v>7153</v>
      </c>
      <c r="BS15" s="151">
        <f t="shared" si="25"/>
        <v>-2.5820721867798491</v>
      </c>
      <c r="BT15" s="170">
        <f>((BR10/BR15)*BT10)+((BR11/BR15)*BT11)</f>
        <v>-7.2750314553334263</v>
      </c>
      <c r="BU15" s="44"/>
      <c r="BV15" s="58">
        <f>SUM(BV10:BV11)</f>
        <v>7234</v>
      </c>
      <c r="BW15" s="151">
        <f t="shared" si="6"/>
        <v>1.1323920033552426</v>
      </c>
      <c r="BX15" s="170">
        <f>((BV10/BV15)*BX10)+((BV11/BV15)*BX11)</f>
        <v>-4.5094000552944431</v>
      </c>
      <c r="BY15" s="44"/>
      <c r="BZ15" s="58">
        <f>SUM(BZ10:BZ11)</f>
        <v>6883</v>
      </c>
      <c r="CA15" s="151">
        <f t="shared" si="7"/>
        <v>-4.8520873652197931</v>
      </c>
      <c r="CB15" s="170">
        <f>((BZ10/BZ15)*CB10)+((BZ11/BZ15)*CB11)</f>
        <v>-10.491646084556152</v>
      </c>
      <c r="CC15" s="44"/>
      <c r="CD15" s="58">
        <f>SUM(CD10:CD11)</f>
        <v>6372</v>
      </c>
      <c r="CE15" s="151">
        <f t="shared" si="8"/>
        <v>-7.4240883335754742</v>
      </c>
      <c r="CF15" s="170">
        <f>((CD10/CD15)*CF10)+((CD11/CD15)*CF11)</f>
        <v>-8</v>
      </c>
      <c r="CG15" s="59"/>
      <c r="CH15" s="58">
        <f>SUM(CH10:CH11)</f>
        <v>6646</v>
      </c>
      <c r="CI15" s="151">
        <f t="shared" si="9"/>
        <v>4.3000627746390352</v>
      </c>
      <c r="CJ15" s="170">
        <f>((CH10/CH15)*CJ10)+((CH11/CH15)*CJ11)</f>
        <v>2.5027083960276859</v>
      </c>
      <c r="CK15" s="59"/>
      <c r="CL15" s="58">
        <f>SUM(CL10:CL11)</f>
        <v>6681</v>
      </c>
      <c r="CM15" s="151">
        <f t="shared" si="10"/>
        <v>0.52663256093889999</v>
      </c>
      <c r="CN15" s="170">
        <f>((CL10/CL15)*CN10)+((CL11/CL15)*CN11)</f>
        <v>-2.4931896422691215</v>
      </c>
      <c r="CO15" s="59"/>
      <c r="CP15" s="58">
        <f>SUM(CP10:CP11)</f>
        <v>7062</v>
      </c>
      <c r="CQ15" s="151">
        <f t="shared" si="11"/>
        <v>5.7027391109115477</v>
      </c>
      <c r="CR15" s="170">
        <f>((CP10/CP15)*CR10)+((CP11/CP15)*CR11)</f>
        <v>4</v>
      </c>
      <c r="CS15" s="44"/>
      <c r="CT15" s="58">
        <f>SUM(CT10:CT11)</f>
        <v>7597</v>
      </c>
      <c r="CU15" s="151">
        <f t="shared" si="26"/>
        <v>7.575757575757569</v>
      </c>
      <c r="CV15" s="170">
        <f>((CT10/CT15)*CV10)+((CT11/CT15)*CV11)</f>
        <v>3.5274450440963538</v>
      </c>
      <c r="CW15" s="44"/>
      <c r="CX15" s="58">
        <f>SUM(CX10:CX11)</f>
        <v>7755</v>
      </c>
      <c r="CY15" s="151">
        <f t="shared" si="27"/>
        <v>2.0797683296037928</v>
      </c>
      <c r="CZ15" s="170">
        <f>((CX10/CX15)*CZ10)+((CX11/CX15)*CZ11)</f>
        <v>-0.48665377176015473</v>
      </c>
      <c r="DA15" s="44"/>
      <c r="DB15" s="58">
        <f>SUM(DB10:DB11)</f>
        <v>7555</v>
      </c>
      <c r="DC15" s="151">
        <f t="shared" si="28"/>
        <v>-2.5789813023855523</v>
      </c>
      <c r="DD15" s="170">
        <f>((DB10/DB15)*DD10)+((DB11/DB15)*DD11)</f>
        <v>-2.9681005956320319</v>
      </c>
      <c r="DE15" s="44"/>
      <c r="DF15" s="58">
        <f>SUM(DF10:DF11)</f>
        <v>7289</v>
      </c>
      <c r="DG15" s="151">
        <f t="shared" si="12"/>
        <v>-3.5208471211118475</v>
      </c>
      <c r="DH15" s="170">
        <f>((DF10/DF15)*DH10)+((DF11/DF15)*DH11)</f>
        <v>-3.4150089175469889</v>
      </c>
      <c r="DI15" s="170"/>
      <c r="DJ15" s="58">
        <f>SUM(DJ10:DJ11)</f>
        <v>7239</v>
      </c>
      <c r="DK15" s="151">
        <f t="shared" si="13"/>
        <v>-0.68596515297022487</v>
      </c>
      <c r="DL15" s="170">
        <f>((DJ10/DJ15)*DL10)+((DJ11/DJ15)*DL11)</f>
        <v>1.4752037574250587</v>
      </c>
      <c r="DM15" s="170"/>
      <c r="DN15" s="169">
        <f>SUM(DN10:DN11)</f>
        <v>7422.0806008865475</v>
      </c>
      <c r="DO15" s="148">
        <f t="shared" si="29"/>
        <v>2.5290869027013052</v>
      </c>
      <c r="DP15" s="150">
        <f>((DN10/DN15)*DP10)+((DN11/DN15)*DP11)</f>
        <v>0.70909463576226883</v>
      </c>
      <c r="DQ15" s="44"/>
      <c r="DR15" s="1356"/>
      <c r="DS15" s="1357"/>
      <c r="DT15" s="44"/>
      <c r="DU15" s="44"/>
      <c r="DV15" s="44"/>
      <c r="DW15" s="44"/>
      <c r="DX15" s="44"/>
      <c r="DY15" s="44"/>
      <c r="DZ15" s="44"/>
      <c r="EA15" s="44"/>
      <c r="EB15" s="44"/>
      <c r="EC15" s="44"/>
      <c r="ED15" s="44"/>
    </row>
    <row r="16" spans="1:134" ht="10.5" hidden="1" customHeight="1" outlineLevel="2">
      <c r="A16" s="146" t="s">
        <v>531</v>
      </c>
      <c r="B16" s="146"/>
      <c r="C16" s="57"/>
      <c r="D16" s="169">
        <f>SUM(D10:D12)</f>
        <v>1041.4650000000001</v>
      </c>
      <c r="E16" s="57"/>
      <c r="F16" s="169">
        <f>SUM(F10:F12)</f>
        <v>1309.0540000000001</v>
      </c>
      <c r="G16" s="148">
        <f t="shared" si="15"/>
        <v>25.693518265136127</v>
      </c>
      <c r="H16" s="150">
        <f>((F12/F16)*H12)+((F15/F16)*H15)</f>
        <v>16.009903334774577</v>
      </c>
      <c r="I16" s="57"/>
      <c r="J16" s="169">
        <f>SUM(J10:J12)</f>
        <v>1715.4079999999999</v>
      </c>
      <c r="K16" s="148">
        <f t="shared" si="0"/>
        <v>31.041805762023557</v>
      </c>
      <c r="L16" s="150">
        <f>((J12/J16)*L12)+((J15/J16)*L15)</f>
        <v>13.254255547368324</v>
      </c>
      <c r="M16" s="57"/>
      <c r="N16" s="169">
        <f>SUM(N10:N12)</f>
        <v>2030.2</v>
      </c>
      <c r="O16" s="148">
        <f t="shared" si="1"/>
        <v>18.350852974919096</v>
      </c>
      <c r="P16" s="150">
        <f>((N12/N16)*P12)+((N15/N16)*P15)</f>
        <v>5.8149167569697564</v>
      </c>
      <c r="Q16" s="57"/>
      <c r="R16" s="169">
        <f>SUM(R10:R12)</f>
        <v>2235.4490000000001</v>
      </c>
      <c r="S16" s="148">
        <f t="shared" si="2"/>
        <v>10.109792138705554</v>
      </c>
      <c r="T16" s="150">
        <f>((R12/R16)*T12)+((R15/R16)*T15)</f>
        <v>-0.37981855099355877</v>
      </c>
      <c r="U16" s="57"/>
      <c r="V16" s="169">
        <f>SUM(V10:V12)</f>
        <v>2513.1469999999999</v>
      </c>
      <c r="W16" s="148">
        <f t="shared" si="3"/>
        <v>12.422470832481514</v>
      </c>
      <c r="X16" s="150">
        <f>((V12/V16)*X12)+((V15/V16)*X15)</f>
        <v>1.6147599006345432</v>
      </c>
      <c r="Y16" s="57"/>
      <c r="Z16" s="169">
        <f>SUM(Z10:Z12)</f>
        <v>2873.1310000000003</v>
      </c>
      <c r="AA16" s="148">
        <f t="shared" si="4"/>
        <v>14.324032776435303</v>
      </c>
      <c r="AB16" s="150">
        <f>((Z12/Z16)*AB12)+((Z15/Z16)*AB15)</f>
        <v>-1.799929066930815</v>
      </c>
      <c r="AC16" s="57"/>
      <c r="AD16" s="169">
        <f>SUM(AD10:AD12)</f>
        <v>3616.4850000000001</v>
      </c>
      <c r="AE16" s="148">
        <f t="shared" si="16"/>
        <v>25.872610751128299</v>
      </c>
      <c r="AF16" s="150">
        <f>((AD12/AD16)*AF12)+((AD15/AD16)*AF15)</f>
        <v>5.9406846703359752</v>
      </c>
      <c r="AG16" s="57"/>
      <c r="AH16" s="169">
        <f>SUM(AH10:AH12)</f>
        <v>4342.3460000000005</v>
      </c>
      <c r="AI16" s="148">
        <f t="shared" si="17"/>
        <v>20.070897570430969</v>
      </c>
      <c r="AJ16" s="150">
        <f>((AH12/AH16)*AJ12)+((AH15/AH16)*AJ15)</f>
        <v>4.0486817494506422</v>
      </c>
      <c r="AK16" s="57"/>
      <c r="AL16" s="169">
        <f>SUM(AL10:AL12)</f>
        <v>6024.6299999999992</v>
      </c>
      <c r="AM16" s="148">
        <f t="shared" si="18"/>
        <v>38.741362387981027</v>
      </c>
      <c r="AN16" s="150">
        <f>((AL12/AL16)*AN12)+((AL15/AL16)*AN15)</f>
        <v>16.038969696064324</v>
      </c>
      <c r="AO16" s="57"/>
      <c r="AP16" s="169">
        <f>SUM(AP10:AP12)</f>
        <v>7776.4590000000007</v>
      </c>
      <c r="AQ16" s="148">
        <f t="shared" si="19"/>
        <v>29.077785689743642</v>
      </c>
      <c r="AR16" s="150">
        <f>((AP12/AP16)*AR12)+((AP15/AP16)*AR15)</f>
        <v>7.7038554437180196</v>
      </c>
      <c r="AS16" s="57"/>
      <c r="AT16" s="169">
        <f>SUM(AT10:AT12)</f>
        <v>9094.3719999999994</v>
      </c>
      <c r="AU16" s="148">
        <f t="shared" si="20"/>
        <v>16.947469278755257</v>
      </c>
      <c r="AV16" s="150">
        <f>((AT12/AT16)*AV12)+((AT15/AT16)*AV15)</f>
        <v>-4.2528227347638738</v>
      </c>
      <c r="AW16" s="57"/>
      <c r="AX16" s="169">
        <f>SUM(AX10:AX12)</f>
        <v>9758.2479999999996</v>
      </c>
      <c r="AY16" s="148">
        <f t="shared" si="21"/>
        <v>7.299855339104222</v>
      </c>
      <c r="AZ16" s="150">
        <f>((AX12/AX16)*AZ12)+((AX15/AX16)*AZ15)</f>
        <v>-11.046455111614296</v>
      </c>
      <c r="BA16" s="57"/>
      <c r="BB16" s="169">
        <f>SUM(BB10:BB12)</f>
        <v>9804.1049999999996</v>
      </c>
      <c r="BC16" s="148">
        <f t="shared" si="22"/>
        <v>0.46993066788219018</v>
      </c>
      <c r="BD16" s="150">
        <f>((BB12/BB16)*BD12)+((BB15/BB16)*BD15)</f>
        <v>-6.7718356545549048</v>
      </c>
      <c r="BE16" s="57"/>
      <c r="BF16" s="169">
        <f>SUM(BF10:BF12)</f>
        <v>10967.526</v>
      </c>
      <c r="BG16" s="148">
        <f t="shared" si="23"/>
        <v>11.866672174563607</v>
      </c>
      <c r="BH16" s="150">
        <f>((BF12/BF16)*BH12)+((BF15/BF16)*BH15)</f>
        <v>9.2997499436062441</v>
      </c>
      <c r="BI16" s="57"/>
      <c r="BJ16" s="169">
        <f>SUM(BJ10:BJ12)</f>
        <v>11368.504000000001</v>
      </c>
      <c r="BK16" s="148">
        <f t="shared" si="5"/>
        <v>3.6560478634835247</v>
      </c>
      <c r="BL16" s="150">
        <f>((BJ12/BJ16)*BL12)+((BJ15/BJ16)*BL15)</f>
        <v>1.8744842153373915</v>
      </c>
      <c r="BM16" s="57"/>
      <c r="BN16" s="169">
        <f>SUM(BN10:BN12)</f>
        <v>11202.496999999999</v>
      </c>
      <c r="BO16" s="148">
        <f t="shared" si="24"/>
        <v>-1.4602361049439905</v>
      </c>
      <c r="BP16" s="150">
        <f>((BN12/BN16)*BP12)+((BN15/BN16)*BP15)</f>
        <v>-4.8291772628905862</v>
      </c>
      <c r="BQ16" s="44"/>
      <c r="BR16" s="58">
        <f>SUM(BR10:BR12)</f>
        <v>11004</v>
      </c>
      <c r="BS16" s="151">
        <f t="shared" si="25"/>
        <v>-1.771899604168603</v>
      </c>
      <c r="BT16" s="170">
        <f>((BR12/BR16)*BT12)+((BR15/BR16)*BT15)</f>
        <v>-6.6538349691021441</v>
      </c>
      <c r="BU16" s="44"/>
      <c r="BV16" s="58">
        <f>SUM(BV10:BV12)</f>
        <v>11088</v>
      </c>
      <c r="BW16" s="151">
        <f t="shared" si="6"/>
        <v>0.76335877862594437</v>
      </c>
      <c r="BX16" s="170">
        <f>((BV12/BV16)*BX12)+((BV15/BV16)*BX15)</f>
        <v>-4.6799242424242422</v>
      </c>
      <c r="BY16" s="44"/>
      <c r="BZ16" s="58">
        <f>SUM(BZ10:BZ12)</f>
        <v>10444</v>
      </c>
      <c r="CA16" s="151">
        <f t="shared" si="7"/>
        <v>-5.8080808080808062</v>
      </c>
      <c r="CB16" s="170">
        <f>((BZ12/BZ16)*CB12)+((BZ15/BZ16)*CB15)</f>
        <v>-11.005936422826501</v>
      </c>
      <c r="CC16" s="44"/>
      <c r="CD16" s="58">
        <f>SUM(CD10:CD12)</f>
        <v>9961</v>
      </c>
      <c r="CE16" s="151">
        <f t="shared" si="8"/>
        <v>-4.6246648793565655</v>
      </c>
      <c r="CF16" s="170">
        <f>((CD12/CD16)*CF12)+((CD15/CD16)*CF15)</f>
        <v>-5.117558478064451</v>
      </c>
      <c r="CG16" s="59"/>
      <c r="CH16" s="58">
        <f>SUM(CH10:CH12)</f>
        <v>10300</v>
      </c>
      <c r="CI16" s="151">
        <f t="shared" si="9"/>
        <v>3.4032727637787419</v>
      </c>
      <c r="CJ16" s="170">
        <f>((CH12/CH16)*CJ12)+((CH15/CH16)*CJ15)</f>
        <v>1.6148543689320389</v>
      </c>
      <c r="CK16" s="59"/>
      <c r="CL16" s="58">
        <f>SUM(CL10:CL12)</f>
        <v>10266</v>
      </c>
      <c r="CM16" s="151">
        <f t="shared" si="10"/>
        <v>-0.33009708737864463</v>
      </c>
      <c r="CN16" s="170">
        <f>((CL12/CL16)*CN12)+((CL15/CL16)*CN15)</f>
        <v>-3.3685953633352819</v>
      </c>
      <c r="CO16" s="59"/>
      <c r="CP16" s="58">
        <f>SUM(CP10:CP12)</f>
        <v>10926</v>
      </c>
      <c r="CQ16" s="151">
        <f t="shared" si="11"/>
        <v>6.4289888953828145</v>
      </c>
      <c r="CR16" s="170">
        <f>((CP12/CP16)*CR12)+((CP15/CP16)*CR15)</f>
        <v>4.7073036792970893</v>
      </c>
      <c r="CS16" s="44"/>
      <c r="CT16" s="58">
        <f>SUM(CT10:CT12)</f>
        <v>11573</v>
      </c>
      <c r="CU16" s="151">
        <f t="shared" si="26"/>
        <v>5.9216547684422416</v>
      </c>
      <c r="CV16" s="170">
        <f>((CT12/CT16)*CV12)+((CT15/CT16)*CV15)</f>
        <v>2.6591203663699989</v>
      </c>
      <c r="CW16" s="44"/>
      <c r="CX16" s="58">
        <f>SUM(CX10:CX12)</f>
        <v>11727</v>
      </c>
      <c r="CY16" s="151">
        <f t="shared" si="27"/>
        <v>1.3306834874276419</v>
      </c>
      <c r="CZ16" s="170">
        <f>((CX12/CX16)*CZ12)+((CX15/CX16)*CZ15)</f>
        <v>-0.99923254029163466</v>
      </c>
      <c r="DA16" s="44"/>
      <c r="DB16" s="58">
        <f>SUM(DB10:DB12)</f>
        <v>11412</v>
      </c>
      <c r="DC16" s="151">
        <f t="shared" si="28"/>
        <v>-2.6861089792785897</v>
      </c>
      <c r="DD16" s="170">
        <f>((DB12/DB16)*DD12)+((DB15/DB16)*DD15)</f>
        <v>-2.6409043112513144</v>
      </c>
      <c r="DE16" s="44"/>
      <c r="DF16" s="58">
        <f>SUM(DF10:DF12)</f>
        <v>11087</v>
      </c>
      <c r="DG16" s="151">
        <f t="shared" si="12"/>
        <v>-2.8478794251664885</v>
      </c>
      <c r="DH16" s="170">
        <f>((DF12/DF16)*DH12)+((DF15/DF16)*DH15)</f>
        <v>-3.2728420672860108</v>
      </c>
      <c r="DI16" s="170"/>
      <c r="DJ16" s="58">
        <f>SUM(DJ10:DJ12)</f>
        <v>11077</v>
      </c>
      <c r="DK16" s="151">
        <f t="shared" si="13"/>
        <v>-9.0195724722652582E-2</v>
      </c>
      <c r="DL16" s="170">
        <f>((DJ12/DJ16)*DL12)+((DJ15/DJ16)*DL15)</f>
        <v>2.0035208088832714</v>
      </c>
      <c r="DM16" s="170"/>
      <c r="DN16" s="169">
        <f>SUM(DN10:DN12)</f>
        <v>11325.958361589166</v>
      </c>
      <c r="DO16" s="148">
        <f t="shared" si="29"/>
        <v>2.247525156533059</v>
      </c>
      <c r="DP16" s="150">
        <f>((DN12/DN16)*DP12)+((DN15/DN16)*DP15)</f>
        <v>0.52306982952129255</v>
      </c>
      <c r="DQ16" s="44"/>
      <c r="DR16" s="1360"/>
      <c r="DS16" s="1361"/>
      <c r="DT16" s="44"/>
      <c r="DU16" s="44"/>
      <c r="DV16" s="44"/>
      <c r="DW16" s="44"/>
      <c r="DX16" s="44"/>
      <c r="DY16" s="44"/>
      <c r="DZ16" s="44"/>
      <c r="EA16" s="44"/>
      <c r="EB16" s="44"/>
      <c r="EC16" s="44"/>
      <c r="ED16" s="44"/>
    </row>
    <row r="17" spans="1:148" ht="12" customHeight="1" outlineLevel="1" collapsed="1">
      <c r="A17" s="44"/>
      <c r="B17" s="44"/>
      <c r="C17" s="57"/>
      <c r="D17" s="57"/>
      <c r="E17" s="57"/>
      <c r="F17" s="57"/>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167"/>
      <c r="AU17" s="57"/>
      <c r="AV17" s="57"/>
      <c r="AW17" s="57"/>
      <c r="AX17" s="57"/>
      <c r="AY17" s="57"/>
      <c r="AZ17" s="57"/>
      <c r="BA17" s="57"/>
      <c r="BB17" s="57"/>
      <c r="BC17" s="57"/>
      <c r="BD17" s="57"/>
      <c r="BE17" s="57"/>
      <c r="BF17" s="57"/>
      <c r="BG17" s="57"/>
      <c r="BH17" s="57"/>
      <c r="BI17" s="57"/>
      <c r="BJ17" s="57"/>
      <c r="BK17" s="57"/>
      <c r="BL17" s="57"/>
      <c r="BM17" s="57"/>
      <c r="BN17" s="57"/>
      <c r="BO17" s="57"/>
      <c r="BP17" s="57"/>
      <c r="BQ17" s="44"/>
      <c r="BR17" s="117"/>
      <c r="BS17" s="44"/>
      <c r="BT17" s="44"/>
      <c r="BU17" s="44"/>
      <c r="BV17" s="44"/>
      <c r="BW17" s="44"/>
      <c r="BX17" s="144"/>
      <c r="BY17" s="44"/>
      <c r="BZ17" s="171"/>
      <c r="CA17" s="44"/>
      <c r="CB17" s="144"/>
      <c r="CC17" s="44"/>
      <c r="CD17" s="44"/>
      <c r="CE17" s="44"/>
      <c r="CF17" s="144"/>
      <c r="CG17" s="59"/>
      <c r="CH17" s="44"/>
      <c r="CI17" s="44"/>
      <c r="CJ17" s="144"/>
      <c r="CK17" s="59"/>
      <c r="CL17" s="172"/>
      <c r="CM17" s="44"/>
      <c r="CN17" s="144"/>
      <c r="CO17" s="59"/>
      <c r="CP17" s="313"/>
      <c r="CQ17" s="44"/>
      <c r="CR17" s="144"/>
      <c r="CS17" s="44"/>
      <c r="CT17" s="173"/>
      <c r="CU17" s="44"/>
      <c r="CV17" s="44"/>
      <c r="CW17" s="44"/>
      <c r="CX17" s="173"/>
      <c r="CY17" s="44"/>
      <c r="CZ17" s="44"/>
      <c r="DA17" s="44"/>
      <c r="DB17" s="173"/>
      <c r="DC17" s="44"/>
      <c r="DD17" s="44"/>
      <c r="DE17" s="44"/>
      <c r="DF17" s="1565"/>
      <c r="DG17" s="44"/>
      <c r="DH17" s="44"/>
      <c r="DI17" s="44"/>
      <c r="DJ17" s="54"/>
      <c r="DK17" s="44"/>
      <c r="DL17" s="44"/>
      <c r="DM17" s="44"/>
      <c r="DN17" s="1851"/>
      <c r="DO17" s="57"/>
      <c r="DP17" s="57"/>
      <c r="DQ17" s="44"/>
      <c r="DR17" s="1362"/>
      <c r="DS17" s="1361"/>
      <c r="DT17" s="44"/>
      <c r="DU17" s="44"/>
      <c r="DV17" s="44"/>
      <c r="DW17" s="44"/>
      <c r="DX17" s="174"/>
      <c r="DY17" s="44"/>
      <c r="DZ17" s="44"/>
      <c r="EA17" s="44"/>
      <c r="EB17" s="44"/>
      <c r="EC17" s="44"/>
      <c r="ED17" s="44"/>
    </row>
    <row r="18" spans="1:148" outlineLevel="1">
      <c r="A18" s="136"/>
      <c r="B18" s="136"/>
      <c r="C18" s="175"/>
      <c r="D18" s="135"/>
      <c r="E18" s="175" t="str">
        <f>AH18</f>
        <v>2.  Cost of Goods Sold   (% Gross Margin)</v>
      </c>
      <c r="F18" s="135"/>
      <c r="G18" s="134"/>
      <c r="H18" s="134"/>
      <c r="I18" s="134"/>
      <c r="J18" s="135"/>
      <c r="K18" s="134"/>
      <c r="L18" s="134"/>
      <c r="M18" s="134"/>
      <c r="N18" s="135"/>
      <c r="O18" s="134"/>
      <c r="P18" s="134"/>
      <c r="Q18" s="134"/>
      <c r="R18" s="135"/>
      <c r="S18" s="134"/>
      <c r="T18" s="134"/>
      <c r="U18" s="134"/>
      <c r="V18" s="135"/>
      <c r="W18" s="134"/>
      <c r="X18" s="134"/>
      <c r="Y18" s="134"/>
      <c r="Z18" s="134"/>
      <c r="AA18" s="134"/>
      <c r="AB18" s="134"/>
      <c r="AC18" s="134"/>
      <c r="AD18" s="135"/>
      <c r="AE18" s="134"/>
      <c r="AF18" s="134"/>
      <c r="AG18" s="134"/>
      <c r="AH18" s="135" t="s">
        <v>532</v>
      </c>
      <c r="AI18" s="135"/>
      <c r="AJ18" s="135"/>
      <c r="AK18" s="135"/>
      <c r="AL18" s="44"/>
      <c r="AM18" s="135"/>
      <c r="AN18" s="135"/>
      <c r="AO18" s="135"/>
      <c r="AP18" s="44"/>
      <c r="AQ18" s="135"/>
      <c r="AR18" s="135"/>
      <c r="AS18" s="135"/>
      <c r="AT18" s="44"/>
      <c r="AU18" s="135"/>
      <c r="AV18" s="135"/>
      <c r="AW18" s="135"/>
      <c r="AX18" s="135"/>
      <c r="AY18" s="135"/>
      <c r="AZ18" s="135"/>
      <c r="BA18" s="135"/>
      <c r="BB18" s="135"/>
      <c r="BC18" s="135"/>
      <c r="BD18" s="135"/>
      <c r="BE18" s="134"/>
      <c r="BF18" s="135"/>
      <c r="BG18" s="134"/>
      <c r="BH18" s="134"/>
      <c r="BI18" s="134"/>
      <c r="BJ18" s="135" t="s">
        <v>532</v>
      </c>
      <c r="BK18" s="134"/>
      <c r="BL18" s="134"/>
      <c r="BM18" s="134"/>
      <c r="BN18" s="135"/>
      <c r="BO18" s="134"/>
      <c r="BP18" s="134"/>
      <c r="BQ18" s="136"/>
      <c r="BR18" s="137"/>
      <c r="BS18" s="136"/>
      <c r="BT18" s="136"/>
      <c r="BU18" s="136"/>
      <c r="BV18" s="176" t="s">
        <v>532</v>
      </c>
      <c r="BW18" s="177"/>
      <c r="BX18" s="177"/>
      <c r="BY18" s="177"/>
      <c r="BZ18" s="177"/>
      <c r="CA18" s="177"/>
      <c r="CB18" s="177"/>
      <c r="CC18" s="177"/>
      <c r="CD18" s="177"/>
      <c r="CE18" s="177"/>
      <c r="CF18" s="177"/>
      <c r="CG18" s="177"/>
      <c r="CH18" s="139" t="str">
        <f>+BV18</f>
        <v>2.  Cost of Goods Sold   (% Gross Margin)</v>
      </c>
      <c r="CI18" s="177"/>
      <c r="CJ18" s="177"/>
      <c r="CK18" s="177"/>
      <c r="CL18" s="177"/>
      <c r="CM18" s="177"/>
      <c r="CN18" s="177"/>
      <c r="CO18" s="177"/>
      <c r="CP18" s="177"/>
      <c r="CQ18" s="177"/>
      <c r="CR18" s="177"/>
      <c r="CS18" s="177"/>
      <c r="CT18" s="136"/>
      <c r="CU18" s="136"/>
      <c r="CV18" s="136"/>
      <c r="CW18" s="136"/>
      <c r="CX18" s="178"/>
      <c r="CY18" s="136"/>
      <c r="CZ18" s="136"/>
      <c r="DA18" s="136"/>
      <c r="DB18" s="178"/>
      <c r="DC18" s="136"/>
      <c r="DD18" s="136"/>
      <c r="DE18" s="136"/>
      <c r="DF18" s="178"/>
      <c r="DG18" s="136"/>
      <c r="DH18" s="136"/>
      <c r="DI18" s="136"/>
      <c r="DJ18" s="178"/>
      <c r="DK18" s="136"/>
      <c r="DL18" s="136"/>
      <c r="DM18" s="136"/>
      <c r="DN18" s="2021"/>
      <c r="DO18" s="134"/>
      <c r="DP18" s="134"/>
      <c r="DQ18" s="207"/>
      <c r="DR18" s="1362"/>
      <c r="DS18" s="1361"/>
      <c r="DT18" s="136"/>
      <c r="DU18" s="136"/>
      <c r="DV18" s="136"/>
      <c r="DW18" s="136"/>
      <c r="DX18" s="136"/>
      <c r="DY18" s="136"/>
      <c r="DZ18" s="136"/>
      <c r="EA18" s="44"/>
      <c r="EB18" s="44"/>
      <c r="EC18" s="44"/>
      <c r="ED18" s="44"/>
    </row>
    <row r="19" spans="1:148" ht="10.5" customHeight="1" outlineLevel="1">
      <c r="A19" s="44"/>
      <c r="B19" s="44"/>
      <c r="C19" s="57"/>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c r="AX19" s="57"/>
      <c r="AY19" s="57"/>
      <c r="AZ19" s="57"/>
      <c r="BA19" s="57"/>
      <c r="BB19" s="57"/>
      <c r="BC19" s="57"/>
      <c r="BD19" s="57"/>
      <c r="BE19" s="57"/>
      <c r="BF19" s="179"/>
      <c r="BG19" s="57"/>
      <c r="BH19" s="57"/>
      <c r="BI19" s="57"/>
      <c r="BJ19" s="180"/>
      <c r="BK19" s="57"/>
      <c r="BL19" s="181"/>
      <c r="BM19" s="57"/>
      <c r="BN19" s="182"/>
      <c r="BO19" s="57"/>
      <c r="BP19" s="181"/>
      <c r="BQ19" s="44"/>
      <c r="BR19" s="44"/>
      <c r="BS19" s="44"/>
      <c r="BT19" s="181"/>
      <c r="BU19" s="44"/>
      <c r="BV19" s="44"/>
      <c r="BW19" s="44"/>
      <c r="BX19" s="181"/>
      <c r="BY19" s="44"/>
      <c r="BZ19" s="44"/>
      <c r="CA19" s="44"/>
      <c r="CB19" s="181"/>
      <c r="CC19" s="44"/>
      <c r="CD19" s="44"/>
      <c r="CE19" s="44"/>
      <c r="CF19" s="181"/>
      <c r="CG19" s="59"/>
      <c r="CH19" s="44"/>
      <c r="CI19" s="44"/>
      <c r="CJ19" s="181"/>
      <c r="CK19" s="59"/>
      <c r="CL19" s="44"/>
      <c r="CM19" s="44"/>
      <c r="CN19" s="181"/>
      <c r="CO19" s="59"/>
      <c r="CP19" s="44"/>
      <c r="CQ19" s="44"/>
      <c r="CR19" s="181"/>
      <c r="CS19" s="44"/>
      <c r="CT19" s="44"/>
      <c r="CU19" s="183"/>
      <c r="CV19" s="44"/>
      <c r="CW19" s="44"/>
      <c r="CX19" s="142"/>
      <c r="CY19" s="44"/>
      <c r="CZ19" s="44"/>
      <c r="DA19" s="44"/>
      <c r="DB19" s="142"/>
      <c r="DC19" s="44"/>
      <c r="DD19" s="44"/>
      <c r="DE19" s="44"/>
      <c r="DF19" s="142"/>
      <c r="DG19" s="44"/>
      <c r="DH19" s="44"/>
      <c r="DI19" s="44"/>
      <c r="DJ19" s="142"/>
      <c r="DK19" s="44"/>
      <c r="DL19" s="44"/>
      <c r="DM19" s="44"/>
      <c r="DN19" s="230"/>
      <c r="DO19" s="57"/>
      <c r="DP19" s="57"/>
      <c r="DQ19" s="44"/>
      <c r="DR19" s="1362"/>
      <c r="DS19" s="1361"/>
      <c r="DT19" s="44"/>
      <c r="DU19" s="44"/>
      <c r="DV19" s="142"/>
      <c r="DW19" s="70"/>
      <c r="DX19" s="70"/>
      <c r="DY19" s="70"/>
      <c r="DZ19" s="184"/>
      <c r="EA19" s="44"/>
      <c r="EB19" s="59"/>
      <c r="EC19" s="59"/>
      <c r="ED19" s="44"/>
    </row>
    <row r="20" spans="1:148" outlineLevel="1">
      <c r="A20" s="44" t="str">
        <f>$A$10</f>
        <v>1Q</v>
      </c>
      <c r="B20" s="44" t="str">
        <f>$B$10</f>
        <v>Apr</v>
      </c>
      <c r="C20" s="57"/>
      <c r="D20" s="147"/>
      <c r="E20" s="57"/>
      <c r="F20" s="147">
        <v>269.79300000000001</v>
      </c>
      <c r="G20" s="181">
        <f t="shared" ref="G20:G26" si="31">((F10-F20)/F10)*100</f>
        <v>32.948693733100043</v>
      </c>
      <c r="H20" s="57"/>
      <c r="I20" s="57"/>
      <c r="J20" s="147">
        <v>307.04599999999999</v>
      </c>
      <c r="K20" s="181">
        <f t="shared" ref="K20:K26" si="32">((J10-J20)/J10)*100</f>
        <v>37.375892310830103</v>
      </c>
      <c r="L20" s="57"/>
      <c r="M20" s="57"/>
      <c r="N20" s="147">
        <v>380.27100000000002</v>
      </c>
      <c r="O20" s="181">
        <f t="shared" ref="O20:O26" si="33">((N10-N20)/N10)*100</f>
        <v>35.422949951092278</v>
      </c>
      <c r="P20" s="57"/>
      <c r="Q20" s="57"/>
      <c r="R20" s="147">
        <v>423.95600000000002</v>
      </c>
      <c r="S20" s="181">
        <f t="shared" ref="S20:S26" si="34">((R10-R20)/R10)*100</f>
        <v>34.12536126044936</v>
      </c>
      <c r="T20" s="57"/>
      <c r="U20" s="57"/>
      <c r="V20" s="147">
        <v>462.08699999999999</v>
      </c>
      <c r="W20" s="181">
        <f t="shared" ref="W20:W26" si="35">((V10-V20)/V10)*100</f>
        <v>38.525283701624382</v>
      </c>
      <c r="X20" s="57"/>
      <c r="Y20" s="57"/>
      <c r="Z20" s="147">
        <v>568.13099999999997</v>
      </c>
      <c r="AA20" s="181">
        <f t="shared" ref="AA20:AA26" si="36">((Z10-Z20)/Z10)*100</f>
        <v>33.057731463152543</v>
      </c>
      <c r="AB20" s="57"/>
      <c r="AC20" s="57"/>
      <c r="AD20" s="147">
        <v>699.31399999999996</v>
      </c>
      <c r="AE20" s="181">
        <f t="shared" ref="AE20:AE26" si="37">((AD10-AD20)/AD10)*100</f>
        <v>37.177245915659476</v>
      </c>
      <c r="AF20" s="57"/>
      <c r="AG20" s="57"/>
      <c r="AH20" s="147">
        <v>789.12599999999998</v>
      </c>
      <c r="AI20" s="181">
        <f t="shared" ref="AI20:AI26" si="38">((AH10-AH20)/AH10)*100</f>
        <v>35.905216596030165</v>
      </c>
      <c r="AJ20" s="57"/>
      <c r="AK20" s="57"/>
      <c r="AL20" s="147">
        <v>1031.0039999999999</v>
      </c>
      <c r="AM20" s="181">
        <f t="shared" ref="AM20:AM26" si="39">((AL10-AL20)/AL10)*100</f>
        <v>40.047868480303684</v>
      </c>
      <c r="AN20" s="57"/>
      <c r="AO20" s="57"/>
      <c r="AP20" s="147">
        <v>1334.155</v>
      </c>
      <c r="AQ20" s="181">
        <f t="shared" ref="AQ20:AQ26" si="40">((AP10-AP20)/AP10)*100</f>
        <v>41.426215703853039</v>
      </c>
      <c r="AR20" s="148">
        <f>+AQ20-AM20</f>
        <v>1.3783472235493548</v>
      </c>
      <c r="AS20" s="57"/>
      <c r="AT20" s="147">
        <v>1601.905</v>
      </c>
      <c r="AU20" s="181">
        <f t="shared" ref="AU20:AU26" si="41">((AT10-AT20)/AT10)*100</f>
        <v>41.364902506963787</v>
      </c>
      <c r="AV20" s="148">
        <f>+AU20-AQ20</f>
        <v>-6.1313196889251742E-2</v>
      </c>
      <c r="AW20" s="57"/>
      <c r="AX20" s="147">
        <v>2054.482</v>
      </c>
      <c r="AY20" s="181">
        <f t="shared" ref="AY20:AY26" si="42">((AX10-AX20)/AX10)*100</f>
        <v>35.386658179375381</v>
      </c>
      <c r="AZ20" s="148">
        <f>+AY20-AU20</f>
        <v>-5.9782443275884063</v>
      </c>
      <c r="BA20" s="57"/>
      <c r="BB20" s="147">
        <v>2011.7619999999999</v>
      </c>
      <c r="BC20" s="181">
        <f t="shared" ref="BC20:BC26" si="43">((BB10-BB20)/BB10)*100</f>
        <v>30.409085248578272</v>
      </c>
      <c r="BD20" s="148">
        <f>+BC20-AY20</f>
        <v>-4.9775729307971091</v>
      </c>
      <c r="BE20" s="57"/>
      <c r="BF20" s="147">
        <v>2074.77</v>
      </c>
      <c r="BG20" s="181">
        <f t="shared" ref="BG20:BG26" si="44">((BF10-BF20)/BF10)*100</f>
        <v>38.117753941441279</v>
      </c>
      <c r="BH20" s="148">
        <f>+BG20-BC20</f>
        <v>7.7086686928630073</v>
      </c>
      <c r="BI20" s="185"/>
      <c r="BJ20" s="147">
        <v>2087.5650000000001</v>
      </c>
      <c r="BK20" s="181">
        <f t="shared" ref="BK20:BK26" si="45">((BJ10-BJ20)/BJ10)*100</f>
        <v>43.08035440408009</v>
      </c>
      <c r="BL20" s="148">
        <f>+BK20-BG20</f>
        <v>4.9626004626388109</v>
      </c>
      <c r="BM20" s="57"/>
      <c r="BN20" s="147">
        <v>2145.2779999999998</v>
      </c>
      <c r="BO20" s="181">
        <f t="shared" ref="BO20:BO26" si="46">((BN10-BN20)/BN10)*100</f>
        <v>40.841018638041668</v>
      </c>
      <c r="BP20" s="186">
        <f>(+BO20-BK20)*100</f>
        <v>-223.93357660384225</v>
      </c>
      <c r="BQ20" s="44"/>
      <c r="BR20" s="141">
        <v>2054</v>
      </c>
      <c r="BS20" s="181">
        <f t="shared" ref="BS20:BS26" si="47">((BR10-BR20)/BR10)*100</f>
        <v>40.273335271881358</v>
      </c>
      <c r="BT20" s="186">
        <f>(+BS20-BO20)*100</f>
        <v>-56.768336616030979</v>
      </c>
      <c r="BU20" s="44">
        <v>30</v>
      </c>
      <c r="BV20" s="141">
        <v>2194</v>
      </c>
      <c r="BW20" s="181">
        <f t="shared" ref="BW20:BW26" si="48">((BV10-BV20)/BV10)*100</f>
        <v>38.179768948999723</v>
      </c>
      <c r="BX20" s="186">
        <f>(+BW20-BS20)*100</f>
        <v>-209.35663228816352</v>
      </c>
      <c r="BY20" s="44"/>
      <c r="BZ20" s="141">
        <v>2042</v>
      </c>
      <c r="CA20" s="181">
        <f t="shared" ref="CA20:CA26" si="49">((BZ10-BZ20)/BZ10)*100</f>
        <v>39.657210401891248</v>
      </c>
      <c r="CB20" s="186">
        <f>(+CA20-BW20)*100</f>
        <v>147.74414528915258</v>
      </c>
      <c r="CC20" s="44"/>
      <c r="CD20" s="141">
        <v>1888</v>
      </c>
      <c r="CE20" s="181">
        <f t="shared" ref="CE20:CE26" si="50">((CD10-CD20)/CD10)*100</f>
        <v>39.622641509433961</v>
      </c>
      <c r="CF20" s="186">
        <f>(+CE20-CA20)*100</f>
        <v>-3.4568892457286893</v>
      </c>
      <c r="CG20" s="59"/>
      <c r="CH20" s="141">
        <v>1928</v>
      </c>
      <c r="CI20" s="181">
        <f t="shared" ref="CI20:CI26" si="51">((CH10-CH20)/CH10)*100</f>
        <v>42.084710123160107</v>
      </c>
      <c r="CJ20" s="186">
        <f>(+CI20-CE20)*100</f>
        <v>246.20686137261458</v>
      </c>
      <c r="CK20" s="59"/>
      <c r="CL20" s="141">
        <v>1991</v>
      </c>
      <c r="CM20" s="181">
        <f t="shared" ref="CM20:CM26" si="52">((CL10-CL20)/CL10)*100</f>
        <v>39.575113808801213</v>
      </c>
      <c r="CN20" s="186">
        <f>(+CM20-CI20)*100</f>
        <v>-250.95963143588946</v>
      </c>
      <c r="CO20" s="59"/>
      <c r="CP20" s="141">
        <v>2112</v>
      </c>
      <c r="CQ20" s="181">
        <f t="shared" ref="CQ20:CQ26" si="53">((CP10-CP20)/CP10)*100</f>
        <v>39.43217665615142</v>
      </c>
      <c r="CR20" s="186">
        <f>(+CQ20-CM20)*100</f>
        <v>-14.293715264979312</v>
      </c>
      <c r="CS20" s="187"/>
      <c r="CT20" s="141">
        <v>2185</v>
      </c>
      <c r="CU20" s="181">
        <f t="shared" ref="CU20:CU26" si="54">((CT10-CT20)/CT10)*100</f>
        <v>41.405202467149373</v>
      </c>
      <c r="CV20" s="186">
        <f>(+CU20-CQ20)*100</f>
        <v>197.3025810997953</v>
      </c>
      <c r="CW20" s="187"/>
      <c r="CX20" s="141">
        <v>2308</v>
      </c>
      <c r="CY20" s="181">
        <f t="shared" ref="CY20:CY26" si="55">((CX10-CX20)/CX10)*100</f>
        <v>38.844727080021194</v>
      </c>
      <c r="CZ20" s="186">
        <f>(+CY20-CU20)*100</f>
        <v>-256.04753871281787</v>
      </c>
      <c r="DA20" s="187"/>
      <c r="DB20" s="141">
        <f>2275-9</f>
        <v>2266</v>
      </c>
      <c r="DC20" s="181">
        <f t="shared" ref="DC20:DC26" si="56">((DB10-DB20)/DB10)*100</f>
        <v>38.036642056330329</v>
      </c>
      <c r="DD20" s="186">
        <f>(+DC20-CY20)*100</f>
        <v>-80.808502369086455</v>
      </c>
      <c r="DE20" s="187"/>
      <c r="DF20" s="141">
        <v>2229</v>
      </c>
      <c r="DG20" s="181">
        <f>((DF10-DF20)/DF10)*100</f>
        <v>35.165794066317623</v>
      </c>
      <c r="DH20" s="186">
        <f>(+DG20-DC20)*100</f>
        <v>-287.0847990012706</v>
      </c>
      <c r="DI20" s="186"/>
      <c r="DJ20" s="141">
        <v>2137</v>
      </c>
      <c r="DK20" s="181">
        <f t="shared" ref="DK20:DK26" si="57">((DJ10-DJ20)/DJ10)*100</f>
        <v>37.877906976744185</v>
      </c>
      <c r="DL20" s="186">
        <f>(+DK20-DG20)*100</f>
        <v>271.21129104265617</v>
      </c>
      <c r="DM20" s="186"/>
      <c r="DN20" s="2022">
        <f t="shared" ref="DN20:DN22" si="58">DN10*(1-DO20/100)</f>
        <v>2198.4293447923551</v>
      </c>
      <c r="DO20" s="432">
        <v>37.5</v>
      </c>
      <c r="DP20" s="186">
        <f>(+DO20-DK20)*100</f>
        <v>-37.790697674418539</v>
      </c>
      <c r="DQ20" s="187"/>
      <c r="DR20" s="1575">
        <f>DL20+DH20</f>
        <v>-15.873507958614425</v>
      </c>
      <c r="DS20" s="1576">
        <f>DL20+DH20+DD20</f>
        <v>-96.68201032770088</v>
      </c>
      <c r="DT20" s="187"/>
      <c r="DU20" s="187"/>
      <c r="DV20" s="155"/>
      <c r="DW20" s="155"/>
      <c r="DX20" s="142"/>
      <c r="DY20" s="155"/>
      <c r="DZ20" s="188"/>
      <c r="EA20" s="44"/>
      <c r="EB20" s="155"/>
      <c r="EC20" s="155"/>
      <c r="ED20" s="155"/>
      <c r="EE20" s="188"/>
    </row>
    <row r="21" spans="1:148" outlineLevel="1">
      <c r="A21" s="44" t="str">
        <f>$A$11</f>
        <v>2Q</v>
      </c>
      <c r="B21" s="44" t="str">
        <f>$B$11</f>
        <v>Jul</v>
      </c>
      <c r="C21" s="57"/>
      <c r="D21" s="156"/>
      <c r="E21" s="57"/>
      <c r="F21" s="156">
        <v>273.86900000000003</v>
      </c>
      <c r="G21" s="181">
        <f t="shared" si="31"/>
        <v>32.377356813400617</v>
      </c>
      <c r="H21" s="57"/>
      <c r="I21" s="57"/>
      <c r="J21" s="156">
        <v>343.64299999999997</v>
      </c>
      <c r="K21" s="181">
        <f t="shared" si="32"/>
        <v>34.30091615429324</v>
      </c>
      <c r="L21" s="57"/>
      <c r="M21" s="57"/>
      <c r="N21" s="156">
        <v>412.18299999999999</v>
      </c>
      <c r="O21" s="181">
        <f t="shared" si="33"/>
        <v>32.881679948674034</v>
      </c>
      <c r="P21" s="57"/>
      <c r="Q21" s="57"/>
      <c r="R21" s="156">
        <v>492.65</v>
      </c>
      <c r="S21" s="181">
        <f t="shared" si="34"/>
        <v>28.930224238017754</v>
      </c>
      <c r="T21" s="57"/>
      <c r="U21" s="57"/>
      <c r="V21" s="156">
        <v>507.85399999999998</v>
      </c>
      <c r="W21" s="181">
        <f t="shared" si="35"/>
        <v>34.312037675374548</v>
      </c>
      <c r="X21" s="57"/>
      <c r="Y21" s="57"/>
      <c r="Z21" s="157">
        <v>609.32100000000003</v>
      </c>
      <c r="AA21" s="181">
        <f t="shared" si="36"/>
        <v>29.843272532164132</v>
      </c>
      <c r="AB21" s="57"/>
      <c r="AC21" s="57"/>
      <c r="AD21" s="157">
        <v>720.16499999999996</v>
      </c>
      <c r="AE21" s="181">
        <f t="shared" si="37"/>
        <v>35.718780543319639</v>
      </c>
      <c r="AF21" s="57"/>
      <c r="AG21" s="57"/>
      <c r="AH21" s="157">
        <v>883.08600000000001</v>
      </c>
      <c r="AI21" s="181">
        <f t="shared" si="38"/>
        <v>34.353834797405035</v>
      </c>
      <c r="AJ21" s="57"/>
      <c r="AK21" s="57"/>
      <c r="AL21" s="157">
        <v>1135.165</v>
      </c>
      <c r="AM21" s="181">
        <f t="shared" si="39"/>
        <v>40.410347669517108</v>
      </c>
      <c r="AN21" s="57"/>
      <c r="AO21" s="57"/>
      <c r="AP21" s="157">
        <v>1443.5450000000001</v>
      </c>
      <c r="AQ21" s="181">
        <f t="shared" si="40"/>
        <v>41.159986451118243</v>
      </c>
      <c r="AR21" s="148">
        <f>+AQ21-AM21</f>
        <v>0.74963878160113495</v>
      </c>
      <c r="AS21" s="57"/>
      <c r="AT21" s="157">
        <v>1837.0640000000001</v>
      </c>
      <c r="AU21" s="181">
        <f t="shared" si="41"/>
        <v>37.678350070597077</v>
      </c>
      <c r="AV21" s="148">
        <f>+AU21-AQ21</f>
        <v>-3.4816363805211665</v>
      </c>
      <c r="AW21" s="57"/>
      <c r="AX21" s="157">
        <v>2204.1370000000002</v>
      </c>
      <c r="AY21" s="181">
        <f t="shared" si="42"/>
        <v>32.080485169105685</v>
      </c>
      <c r="AZ21" s="148">
        <f>+AY21-AU21</f>
        <v>-5.5978649014913913</v>
      </c>
      <c r="BA21" s="57"/>
      <c r="BB21" s="157">
        <v>2177.7739999999999</v>
      </c>
      <c r="BC21" s="181">
        <f t="shared" si="43"/>
        <v>33.36694908590345</v>
      </c>
      <c r="BD21" s="148">
        <f>+BC21-AY21</f>
        <v>1.2864639167977643</v>
      </c>
      <c r="BE21" s="57"/>
      <c r="BF21" s="157">
        <v>2359.299</v>
      </c>
      <c r="BG21" s="181">
        <f t="shared" si="44"/>
        <v>35.980798301576073</v>
      </c>
      <c r="BH21" s="148">
        <f>+BG21-BC21</f>
        <v>2.613849215672623</v>
      </c>
      <c r="BI21" s="185"/>
      <c r="BJ21" s="157">
        <v>2288.7890000000002</v>
      </c>
      <c r="BK21" s="181">
        <f t="shared" si="45"/>
        <v>38.486460801727802</v>
      </c>
      <c r="BL21" s="148">
        <f>+BK21-BG21</f>
        <v>2.505662500151729</v>
      </c>
      <c r="BM21" s="57"/>
      <c r="BN21" s="157">
        <v>2331.6970000000001</v>
      </c>
      <c r="BO21" s="181">
        <f t="shared" si="46"/>
        <v>37.257534245100899</v>
      </c>
      <c r="BP21" s="186">
        <f>(+BO21-BK21)*100</f>
        <v>-122.89265566269023</v>
      </c>
      <c r="BQ21" s="44"/>
      <c r="BR21" s="158">
        <v>2489</v>
      </c>
      <c r="BS21" s="181">
        <f t="shared" si="47"/>
        <v>32.983306408185243</v>
      </c>
      <c r="BT21" s="186">
        <f>(+BS21-BO21)*100</f>
        <v>-427.42278369156566</v>
      </c>
      <c r="BU21" s="44">
        <v>40</v>
      </c>
      <c r="BV21" s="158">
        <v>2421</v>
      </c>
      <c r="BW21" s="181">
        <f t="shared" si="48"/>
        <v>34.301221166892809</v>
      </c>
      <c r="BX21" s="186">
        <f>(+BW21-BS21)*100</f>
        <v>131.79147587075661</v>
      </c>
      <c r="BY21" s="44"/>
      <c r="BZ21" s="158">
        <v>2161</v>
      </c>
      <c r="CA21" s="181">
        <f t="shared" si="49"/>
        <v>38.239496999142617</v>
      </c>
      <c r="CB21" s="186">
        <f>(+CA21-BW21)*100</f>
        <v>393.8275832249808</v>
      </c>
      <c r="CC21" s="44"/>
      <c r="CD21" s="158">
        <v>1957</v>
      </c>
      <c r="CE21" s="181">
        <f t="shared" si="50"/>
        <v>39.691833590138678</v>
      </c>
      <c r="CF21" s="186">
        <f>(+CE21-CA21)*100</f>
        <v>145.23365909960617</v>
      </c>
      <c r="CG21" s="59"/>
      <c r="CH21" s="158">
        <v>2003</v>
      </c>
      <c r="CI21" s="181">
        <f t="shared" si="51"/>
        <v>39.614109134760326</v>
      </c>
      <c r="CJ21" s="186">
        <f>(+CI21-CE21)*100</f>
        <v>-7.772445537835182</v>
      </c>
      <c r="CK21" s="59"/>
      <c r="CL21" s="158">
        <v>2135</v>
      </c>
      <c r="CM21" s="181">
        <f t="shared" si="52"/>
        <v>36.946249261665685</v>
      </c>
      <c r="CN21" s="186">
        <f>(+CM21-CI21)*100</f>
        <v>-266.78598730946419</v>
      </c>
      <c r="CO21" s="59"/>
      <c r="CP21" s="158">
        <v>2148</v>
      </c>
      <c r="CQ21" s="181">
        <f t="shared" si="53"/>
        <v>39.916083916083913</v>
      </c>
      <c r="CR21" s="186">
        <f>(+CQ21-CM21)*100</f>
        <v>296.98346544182289</v>
      </c>
      <c r="CS21" s="187"/>
      <c r="CT21" s="159">
        <v>2301</v>
      </c>
      <c r="CU21" s="181">
        <f t="shared" si="54"/>
        <v>40.511892450879003</v>
      </c>
      <c r="CV21" s="186">
        <f>(+CU21-CQ21)*100</f>
        <v>59.580853479508988</v>
      </c>
      <c r="CW21" s="187"/>
      <c r="CX21" s="159">
        <v>2412</v>
      </c>
      <c r="CY21" s="181">
        <f t="shared" si="55"/>
        <v>39.412207987942729</v>
      </c>
      <c r="CZ21" s="186">
        <f>(+CY21-CU21)*100</f>
        <v>-109.96844629362741</v>
      </c>
      <c r="DA21" s="187"/>
      <c r="DB21" s="159">
        <f>2440-12</f>
        <v>2428</v>
      </c>
      <c r="DC21" s="181">
        <f t="shared" si="56"/>
        <v>37.711646998460751</v>
      </c>
      <c r="DD21" s="186">
        <f>(+DC21-CY21)*100</f>
        <v>-170.05609894819784</v>
      </c>
      <c r="DE21" s="187"/>
      <c r="DF21" s="159">
        <f>2414-15</f>
        <v>2399</v>
      </c>
      <c r="DG21" s="181">
        <f>((DF11-DF21)/DF11)*100</f>
        <v>37.704492339652042</v>
      </c>
      <c r="DH21" s="186">
        <f>(+DG21-DC21)*100</f>
        <v>-0.71546588087088026</v>
      </c>
      <c r="DI21" s="186"/>
      <c r="DJ21" s="1469">
        <v>2320</v>
      </c>
      <c r="DK21" s="181">
        <f t="shared" si="57"/>
        <v>38.931297709923662</v>
      </c>
      <c r="DL21" s="186">
        <f>(+DK21-DG21)*100</f>
        <v>122.68053702716202</v>
      </c>
      <c r="DM21" s="186"/>
      <c r="DN21" s="1708">
        <f t="shared" si="58"/>
        <v>2401.325094269549</v>
      </c>
      <c r="DO21" s="432">
        <v>38.5</v>
      </c>
      <c r="DP21" s="186">
        <f>(+DO21-DK21)*100</f>
        <v>-43.12977099236619</v>
      </c>
      <c r="DQ21" s="155"/>
      <c r="DR21" s="1575">
        <f t="shared" ref="DR21:DR24" si="59">DL21+DH21</f>
        <v>121.96507114629114</v>
      </c>
      <c r="DS21" s="1576">
        <f t="shared" ref="DS21:DS24" si="60">DL21+DH21+DD21</f>
        <v>-48.091027801906705</v>
      </c>
      <c r="DT21" s="155"/>
      <c r="DU21" s="155"/>
      <c r="DV21" s="155"/>
      <c r="DW21" s="189"/>
      <c r="DX21" s="155"/>
      <c r="DY21" s="155"/>
      <c r="DZ21" s="188"/>
      <c r="EA21" s="44"/>
      <c r="EB21" s="155"/>
      <c r="EC21" s="155"/>
      <c r="ED21" s="155"/>
      <c r="EE21" s="188"/>
    </row>
    <row r="22" spans="1:148" outlineLevel="1">
      <c r="A22" s="44" t="str">
        <f>$A$12</f>
        <v>3Q</v>
      </c>
      <c r="B22" s="44" t="str">
        <f>$B$12</f>
        <v>Oct</v>
      </c>
      <c r="C22" s="57"/>
      <c r="D22" s="156"/>
      <c r="E22" s="57"/>
      <c r="F22" s="156">
        <v>305.40699999999998</v>
      </c>
      <c r="G22" s="181">
        <f t="shared" si="31"/>
        <v>39.124359664334548</v>
      </c>
      <c r="H22" s="57"/>
      <c r="I22" s="57"/>
      <c r="J22" s="156">
        <v>424.32100000000003</v>
      </c>
      <c r="K22" s="181">
        <f t="shared" si="32"/>
        <v>39.559890150587137</v>
      </c>
      <c r="L22" s="57"/>
      <c r="M22" s="57"/>
      <c r="N22" s="156">
        <v>535.36099999999999</v>
      </c>
      <c r="O22" s="181">
        <f t="shared" si="33"/>
        <v>35.282064548573416</v>
      </c>
      <c r="P22" s="57"/>
      <c r="Q22" s="57"/>
      <c r="R22" s="156">
        <v>558.83600000000001</v>
      </c>
      <c r="S22" s="181">
        <f t="shared" si="34"/>
        <v>37.815700190390992</v>
      </c>
      <c r="T22" s="57"/>
      <c r="U22" s="57"/>
      <c r="V22" s="156">
        <v>609.49800000000005</v>
      </c>
      <c r="W22" s="181">
        <f t="shared" si="35"/>
        <v>38.331515481420467</v>
      </c>
      <c r="X22" s="57"/>
      <c r="Y22" s="57"/>
      <c r="Z22" s="157">
        <v>697.87900000000002</v>
      </c>
      <c r="AA22" s="181">
        <f t="shared" si="36"/>
        <v>39.626136207327619</v>
      </c>
      <c r="AB22" s="57"/>
      <c r="AC22" s="57"/>
      <c r="AD22" s="157">
        <v>837.77499999999998</v>
      </c>
      <c r="AE22" s="181">
        <f t="shared" si="37"/>
        <v>39.423179821199774</v>
      </c>
      <c r="AF22" s="57"/>
      <c r="AG22" s="57"/>
      <c r="AH22" s="157">
        <v>1044.673</v>
      </c>
      <c r="AI22" s="181">
        <f t="shared" si="38"/>
        <v>40.843200133186933</v>
      </c>
      <c r="AJ22" s="57"/>
      <c r="AK22" s="57"/>
      <c r="AL22" s="157">
        <v>1376.0050000000001</v>
      </c>
      <c r="AM22" s="181">
        <f t="shared" si="39"/>
        <v>42.66521607968172</v>
      </c>
      <c r="AN22" s="57"/>
      <c r="AO22" s="57"/>
      <c r="AP22" s="157">
        <v>1741.098</v>
      </c>
      <c r="AQ22" s="181">
        <f t="shared" si="40"/>
        <v>42.828331121243743</v>
      </c>
      <c r="AR22" s="148">
        <f>+AQ22-AM22</f>
        <v>0.16311504156202261</v>
      </c>
      <c r="AS22" s="57"/>
      <c r="AT22" s="157">
        <v>2157.4609999999998</v>
      </c>
      <c r="AU22" s="181">
        <f t="shared" si="41"/>
        <v>36.81783997741509</v>
      </c>
      <c r="AV22" s="148">
        <f>+AU22-AQ22</f>
        <v>-6.0104911438286521</v>
      </c>
      <c r="AW22" s="57"/>
      <c r="AX22" s="157">
        <v>2382.7339999999999</v>
      </c>
      <c r="AY22" s="181">
        <f t="shared" si="42"/>
        <v>28.518830625915552</v>
      </c>
      <c r="AZ22" s="148">
        <f>+AY22-AU22</f>
        <v>-8.2990093514995387</v>
      </c>
      <c r="BA22" s="57"/>
      <c r="BB22" s="157">
        <v>2329.3470000000002</v>
      </c>
      <c r="BC22" s="181">
        <f t="shared" si="43"/>
        <v>36.093961079365563</v>
      </c>
      <c r="BD22" s="148">
        <f>+BC22-AY22</f>
        <v>7.5751304534500115</v>
      </c>
      <c r="BE22" s="57"/>
      <c r="BF22" s="157">
        <v>2402.4560000000001</v>
      </c>
      <c r="BG22" s="181">
        <f t="shared" si="44"/>
        <v>38.860340973407006</v>
      </c>
      <c r="BH22" s="148">
        <f>+BG22-BC22</f>
        <v>2.7663798940414424</v>
      </c>
      <c r="BI22" s="57"/>
      <c r="BJ22" s="157">
        <v>2414</v>
      </c>
      <c r="BK22" s="181">
        <f t="shared" si="45"/>
        <v>39.349019509314978</v>
      </c>
      <c r="BL22" s="148">
        <f>+BK22-BG22</f>
        <v>0.48867853590797239</v>
      </c>
      <c r="BM22" s="57"/>
      <c r="BN22" s="157">
        <f>2496.873</f>
        <v>2496.873</v>
      </c>
      <c r="BO22" s="181">
        <f t="shared" si="46"/>
        <v>35.312595695335588</v>
      </c>
      <c r="BP22" s="186">
        <f>(+BO22-BK22)*100</f>
        <v>-403.64238139793895</v>
      </c>
      <c r="BQ22" s="44"/>
      <c r="BR22" s="158">
        <v>2409</v>
      </c>
      <c r="BS22" s="181">
        <f t="shared" si="47"/>
        <v>37.444819527395481</v>
      </c>
      <c r="BT22" s="186">
        <f>(+BS22-BO22)*100</f>
        <v>213.22238320598927</v>
      </c>
      <c r="BU22" s="44">
        <v>90</v>
      </c>
      <c r="BV22" s="158">
        <v>2407</v>
      </c>
      <c r="BW22" s="181">
        <f t="shared" si="48"/>
        <v>37.545407368967304</v>
      </c>
      <c r="BX22" s="186">
        <f>(+BW22-BS22)*100</f>
        <v>10.058784157182288</v>
      </c>
      <c r="BY22" s="44"/>
      <c r="BZ22" s="158">
        <v>2183</v>
      </c>
      <c r="CA22" s="181">
        <f t="shared" si="49"/>
        <v>38.696995226060096</v>
      </c>
      <c r="CB22" s="186">
        <f>(+CA22-BW22)*100</f>
        <v>115.15878570927924</v>
      </c>
      <c r="CC22" s="44"/>
      <c r="CD22" s="158">
        <v>2065</v>
      </c>
      <c r="CE22" s="181">
        <f t="shared" si="50"/>
        <v>42.463081638339375</v>
      </c>
      <c r="CF22" s="186">
        <f>(+CE22-CA22)*100</f>
        <v>376.60864122792788</v>
      </c>
      <c r="CG22" s="59"/>
      <c r="CH22" s="158">
        <v>2149</v>
      </c>
      <c r="CI22" s="181">
        <f t="shared" si="51"/>
        <v>41.187739463601531</v>
      </c>
      <c r="CJ22" s="186">
        <f>(+CI22-CE22)*100</f>
        <v>-127.53421747378439</v>
      </c>
      <c r="CK22" s="59"/>
      <c r="CL22" s="158">
        <v>2271</v>
      </c>
      <c r="CM22" s="181">
        <f t="shared" si="52"/>
        <v>36.652719665271967</v>
      </c>
      <c r="CN22" s="186">
        <f>(+CM22-CI22)*100</f>
        <v>-453.50197983295641</v>
      </c>
      <c r="CO22" s="59"/>
      <c r="CP22" s="157">
        <v>2271</v>
      </c>
      <c r="CQ22" s="181">
        <f t="shared" si="53"/>
        <v>41.226708074534166</v>
      </c>
      <c r="CR22" s="186">
        <f>(+CQ22-CM22)*100</f>
        <v>457.39884092621992</v>
      </c>
      <c r="CS22" s="187"/>
      <c r="CT22" s="157">
        <v>2387</v>
      </c>
      <c r="CU22" s="181">
        <f t="shared" si="54"/>
        <v>39.964788732394368</v>
      </c>
      <c r="CV22" s="186">
        <f>(+CU22-CQ22)*100</f>
        <v>-126.19193421397981</v>
      </c>
      <c r="CW22" s="187"/>
      <c r="CX22" s="157">
        <v>2376</v>
      </c>
      <c r="CY22" s="181">
        <f t="shared" si="55"/>
        <v>40.181268882175225</v>
      </c>
      <c r="CZ22" s="186">
        <f>(+CY22-CU22)*100</f>
        <v>21.648014978085683</v>
      </c>
      <c r="DA22" s="187"/>
      <c r="DB22" s="159">
        <f>2417-6</f>
        <v>2411</v>
      </c>
      <c r="DC22" s="181">
        <f t="shared" si="56"/>
        <v>37.490277417682137</v>
      </c>
      <c r="DD22" s="186">
        <f>(+DC22-CY22)*100</f>
        <v>-269.09914644930882</v>
      </c>
      <c r="DE22" s="187"/>
      <c r="DF22" s="159">
        <f>2305+7</f>
        <v>2312</v>
      </c>
      <c r="DG22" s="181">
        <f t="shared" ref="DG22:DG23" si="61">((DF12-DF22)/DF12)*100</f>
        <v>39.125855713533433</v>
      </c>
      <c r="DH22" s="186">
        <f t="shared" ref="DH22" si="62">(+DG22-DC22)*100</f>
        <v>163.55782958512961</v>
      </c>
      <c r="DI22" s="186"/>
      <c r="DJ22" s="1469">
        <v>2313</v>
      </c>
      <c r="DK22" s="181">
        <f t="shared" si="57"/>
        <v>39.734236581552892</v>
      </c>
      <c r="DL22" s="186">
        <f t="shared" ref="DL22" si="63">(+DK22-DG22)*100</f>
        <v>60.838086801945934</v>
      </c>
      <c r="DM22" s="186"/>
      <c r="DN22" s="1708">
        <f t="shared" si="58"/>
        <v>2365.7499229857876</v>
      </c>
      <c r="DO22" s="432">
        <v>39.4</v>
      </c>
      <c r="DP22" s="186">
        <f t="shared" ref="DP22" si="64">(+DO22-DK22)*100</f>
        <v>-33.42365815528936</v>
      </c>
      <c r="DQ22" s="190"/>
      <c r="DR22" s="1575">
        <f t="shared" si="59"/>
        <v>224.39591638707554</v>
      </c>
      <c r="DS22" s="1576">
        <f t="shared" si="60"/>
        <v>-44.703230062233274</v>
      </c>
      <c r="DT22" s="190"/>
      <c r="DU22" s="190"/>
      <c r="DV22" s="155"/>
      <c r="DW22" s="189"/>
      <c r="DX22" s="155"/>
      <c r="DY22" s="155"/>
      <c r="DZ22" s="188"/>
      <c r="EA22" s="44"/>
      <c r="EB22" s="155"/>
      <c r="EC22" s="155"/>
      <c r="ED22" s="155"/>
      <c r="EE22" s="188"/>
    </row>
    <row r="23" spans="1:148" outlineLevel="1">
      <c r="A23" s="44" t="str">
        <f>$A$13</f>
        <v>4Q</v>
      </c>
      <c r="B23" s="44" t="str">
        <f>$B$13</f>
        <v>Jan</v>
      </c>
      <c r="C23" s="60"/>
      <c r="D23" s="163"/>
      <c r="E23" s="60"/>
      <c r="F23" s="163">
        <v>392.17399999999998</v>
      </c>
      <c r="G23" s="181">
        <f t="shared" si="31"/>
        <v>37.224639281861172</v>
      </c>
      <c r="H23" s="57"/>
      <c r="I23" s="57"/>
      <c r="J23" s="163">
        <v>493.911</v>
      </c>
      <c r="K23" s="181">
        <f t="shared" si="32"/>
        <v>38.528908442596936</v>
      </c>
      <c r="L23" s="57"/>
      <c r="M23" s="57"/>
      <c r="N23" s="163">
        <v>627.73800000000006</v>
      </c>
      <c r="O23" s="181">
        <f t="shared" si="33"/>
        <v>32.516455979247667</v>
      </c>
      <c r="P23" s="57"/>
      <c r="Q23" s="57"/>
      <c r="R23" s="163">
        <v>646.34699999999998</v>
      </c>
      <c r="S23" s="181">
        <f t="shared" si="34"/>
        <v>39.037095724512611</v>
      </c>
      <c r="T23" s="57"/>
      <c r="U23" s="57"/>
      <c r="V23" s="163">
        <v>771.55700000000002</v>
      </c>
      <c r="W23" s="181">
        <f t="shared" si="35"/>
        <v>36.224048246270222</v>
      </c>
      <c r="X23" s="57"/>
      <c r="Y23" s="57"/>
      <c r="Z23" s="164">
        <v>946.12400000000002</v>
      </c>
      <c r="AA23" s="181">
        <f t="shared" si="36"/>
        <v>37.841776151977307</v>
      </c>
      <c r="AB23" s="57"/>
      <c r="AC23" s="57"/>
      <c r="AD23" s="164">
        <v>1027.912</v>
      </c>
      <c r="AE23" s="181">
        <f t="shared" si="37"/>
        <v>38.370737743840138</v>
      </c>
      <c r="AF23" s="57"/>
      <c r="AG23" s="57"/>
      <c r="AH23" s="164">
        <v>1304.6559999999999</v>
      </c>
      <c r="AI23" s="181">
        <f t="shared" si="38"/>
        <v>39.752082564642741</v>
      </c>
      <c r="AJ23" s="57"/>
      <c r="AK23" s="57"/>
      <c r="AL23" s="164">
        <v>1776.0440000000001</v>
      </c>
      <c r="AM23" s="181">
        <f t="shared" si="39"/>
        <v>41.381436330463202</v>
      </c>
      <c r="AN23" s="57"/>
      <c r="AO23" s="57"/>
      <c r="AP23" s="164">
        <v>2256.4630000000002</v>
      </c>
      <c r="AQ23" s="181">
        <f t="shared" si="40"/>
        <v>41.526336643310493</v>
      </c>
      <c r="AR23" s="148">
        <f>+AQ23-AM23</f>
        <v>0.14490031284729099</v>
      </c>
      <c r="AS23" s="57"/>
      <c r="AT23" s="164">
        <v>3003.0120000000002</v>
      </c>
      <c r="AU23" s="181">
        <f t="shared" si="41"/>
        <v>34.418993476430231</v>
      </c>
      <c r="AV23" s="148">
        <f>+AU23-AQ23</f>
        <v>-7.1073431668802627</v>
      </c>
      <c r="AW23" s="57"/>
      <c r="AX23" s="164">
        <v>3063.0360000000001</v>
      </c>
      <c r="AY23" s="181">
        <f t="shared" si="42"/>
        <v>25.102277103646419</v>
      </c>
      <c r="AZ23" s="148">
        <f>+AY23-AU23</f>
        <v>-9.3167163727838123</v>
      </c>
      <c r="BA23" s="57"/>
      <c r="BB23" s="164">
        <v>3022.6750000000002</v>
      </c>
      <c r="BC23" s="181">
        <f t="shared" si="43"/>
        <v>35.004678962130512</v>
      </c>
      <c r="BD23" s="148">
        <f>+BC23-AY23</f>
        <v>9.9024018584840938</v>
      </c>
      <c r="BE23" s="57"/>
      <c r="BF23" s="164">
        <v>3048.2640000000001</v>
      </c>
      <c r="BG23" s="181">
        <f>((BF13-BF23)/BF13)*100</f>
        <v>37.615650730292103</v>
      </c>
      <c r="BH23" s="148">
        <f>+BG23-BC23</f>
        <v>2.6109717681615905</v>
      </c>
      <c r="BI23" s="191"/>
      <c r="BJ23" s="164">
        <v>3096</v>
      </c>
      <c r="BK23" s="181">
        <f t="shared" si="45"/>
        <v>36.80210055447175</v>
      </c>
      <c r="BL23" s="148">
        <f>+BK23-BG23</f>
        <v>-0.81355017582035316</v>
      </c>
      <c r="BM23" s="57"/>
      <c r="BN23" s="164">
        <v>3179.9859999999999</v>
      </c>
      <c r="BO23" s="181">
        <f t="shared" si="46"/>
        <v>34.037270765542324</v>
      </c>
      <c r="BP23" s="186">
        <f>(+BO23-BK23)*100</f>
        <v>-276.48297889294258</v>
      </c>
      <c r="BQ23" s="44"/>
      <c r="BR23" s="192">
        <v>3314</v>
      </c>
      <c r="BS23" s="181">
        <f t="shared" si="47"/>
        <v>32.628583045334416</v>
      </c>
      <c r="BT23" s="186">
        <f>(+BS23-BO23)*100</f>
        <v>-140.8687720207908</v>
      </c>
      <c r="BU23" s="44">
        <v>150</v>
      </c>
      <c r="BV23" s="192">
        <v>3049</v>
      </c>
      <c r="BW23" s="181">
        <f t="shared" si="48"/>
        <v>34.780748663101605</v>
      </c>
      <c r="BX23" s="186">
        <f>(+BW23-BS23)*100</f>
        <v>215.21656177671886</v>
      </c>
      <c r="BY23" s="44"/>
      <c r="BZ23" s="192">
        <v>2693</v>
      </c>
      <c r="CA23" s="181">
        <f t="shared" si="49"/>
        <v>34.027437530622244</v>
      </c>
      <c r="CB23" s="186">
        <f>(+CA23-BW23)*100</f>
        <v>-75.331113247936088</v>
      </c>
      <c r="CC23" s="193"/>
      <c r="CD23" s="192">
        <v>2563</v>
      </c>
      <c r="CE23" s="181">
        <f t="shared" si="50"/>
        <v>39.494806421152028</v>
      </c>
      <c r="CF23" s="186">
        <f>(+CE23-CA23)*100</f>
        <v>546.73688905297831</v>
      </c>
      <c r="CG23" s="194"/>
      <c r="CH23" s="192">
        <v>2695</v>
      </c>
      <c r="CI23" s="181">
        <f t="shared" si="51"/>
        <v>38.244729605866176</v>
      </c>
      <c r="CJ23" s="186">
        <f>(+CI23-CE23)*100</f>
        <v>-125.00768152858512</v>
      </c>
      <c r="CK23" s="194"/>
      <c r="CL23" s="192">
        <v>2878</v>
      </c>
      <c r="CM23" s="181">
        <f t="shared" si="52"/>
        <v>32.804109269203828</v>
      </c>
      <c r="CN23" s="186">
        <f>(+CM23-CI23)*100</f>
        <v>-544.06203366623481</v>
      </c>
      <c r="CO23" s="194"/>
      <c r="CP23" s="192">
        <v>2949</v>
      </c>
      <c r="CQ23" s="181">
        <f t="shared" si="53"/>
        <v>37.587301587301589</v>
      </c>
      <c r="CR23" s="186">
        <f>(+CQ23-CM23)*100</f>
        <v>478.31923180977611</v>
      </c>
      <c r="CS23" s="187"/>
      <c r="CT23" s="164">
        <v>2982</v>
      </c>
      <c r="CU23" s="181">
        <f t="shared" si="54"/>
        <v>34.819672131147541</v>
      </c>
      <c r="CV23" s="186">
        <f>(+CU23-CQ23)*100</f>
        <v>-276.76294561540476</v>
      </c>
      <c r="CW23" s="187"/>
      <c r="CX23" s="164">
        <v>3050</v>
      </c>
      <c r="CY23" s="181">
        <f t="shared" si="55"/>
        <v>35.216652506372128</v>
      </c>
      <c r="CZ23" s="186">
        <f>(+CY23-CU23)*100</f>
        <v>39.698037522458662</v>
      </c>
      <c r="DA23" s="187"/>
      <c r="DB23" s="164">
        <f>2945-6</f>
        <v>2939</v>
      </c>
      <c r="DC23" s="181">
        <f t="shared" si="56"/>
        <v>32.97605473204105</v>
      </c>
      <c r="DD23" s="186">
        <f>(+DC23-CY23)*100</f>
        <v>-224.05977743310785</v>
      </c>
      <c r="DE23" s="187"/>
      <c r="DF23" s="164">
        <v>2928</v>
      </c>
      <c r="DG23" s="181">
        <f t="shared" si="61"/>
        <v>33.890268683675771</v>
      </c>
      <c r="DH23" s="186">
        <f>(+DG23-DC23)*100</f>
        <v>91.421395163472141</v>
      </c>
      <c r="DI23" s="186"/>
      <c r="DJ23" s="1428">
        <v>3019</v>
      </c>
      <c r="DK23" s="181">
        <f t="shared" si="57"/>
        <v>36.81456676433654</v>
      </c>
      <c r="DL23" s="186">
        <f>(+DK23-DG23)*100</f>
        <v>292.42980806607693</v>
      </c>
      <c r="DM23" s="186"/>
      <c r="DN23" s="166">
        <f>DN13*(1-DO23/100)</f>
        <v>2977.380498605798</v>
      </c>
      <c r="DO23" s="432">
        <v>36.4</v>
      </c>
      <c r="DP23" s="186">
        <f>(+DO23-DK23)*100</f>
        <v>-41.456676433654138</v>
      </c>
      <c r="DQ23" s="155"/>
      <c r="DR23" s="1577">
        <f t="shared" si="59"/>
        <v>383.85120322954907</v>
      </c>
      <c r="DS23" s="1578">
        <f t="shared" si="60"/>
        <v>159.79142579644122</v>
      </c>
      <c r="DT23" s="155"/>
      <c r="DU23" s="155"/>
      <c r="DV23" s="155"/>
      <c r="DW23" s="189"/>
      <c r="DX23" s="155"/>
      <c r="DY23" s="155"/>
      <c r="DZ23" s="188"/>
      <c r="EA23" s="44"/>
      <c r="EB23" s="155"/>
      <c r="EC23" s="155"/>
      <c r="ED23" s="155"/>
      <c r="EE23" s="188"/>
      <c r="ER23" s="1005">
        <f>5/DF13</f>
        <v>1.1289230074508919E-3</v>
      </c>
    </row>
    <row r="24" spans="1:148" outlineLevel="1">
      <c r="A24" s="44"/>
      <c r="B24" s="44" t="str">
        <f>$B$14</f>
        <v>Year</v>
      </c>
      <c r="C24" s="57"/>
      <c r="D24" s="167"/>
      <c r="E24" s="57"/>
      <c r="F24" s="167">
        <f>SUM(F20:F23)</f>
        <v>1241.2429999999999</v>
      </c>
      <c r="G24" s="181">
        <f t="shared" si="31"/>
        <v>35.812605363588425</v>
      </c>
      <c r="H24" s="57"/>
      <c r="I24" s="57"/>
      <c r="J24" s="167">
        <f>SUM(J20:J23)</f>
        <v>1568.921</v>
      </c>
      <c r="K24" s="181">
        <f t="shared" si="32"/>
        <v>37.713868751074379</v>
      </c>
      <c r="L24" s="57"/>
      <c r="M24" s="57"/>
      <c r="N24" s="167">
        <f>SUM(N20:N23)</f>
        <v>1955.5530000000001</v>
      </c>
      <c r="O24" s="181">
        <f t="shared" si="33"/>
        <v>33.943147720467003</v>
      </c>
      <c r="P24" s="57"/>
      <c r="Q24" s="57"/>
      <c r="R24" s="167">
        <f>SUM(R20:R23)</f>
        <v>2121.7889999999998</v>
      </c>
      <c r="S24" s="181">
        <f t="shared" si="34"/>
        <v>35.61906362846625</v>
      </c>
      <c r="T24" s="57"/>
      <c r="U24" s="57"/>
      <c r="V24" s="167">
        <f>SUM(V20:V23)</f>
        <v>2350.9960000000001</v>
      </c>
      <c r="W24" s="181">
        <f t="shared" si="35"/>
        <v>36.851090804579165</v>
      </c>
      <c r="X24" s="57"/>
      <c r="Y24" s="57"/>
      <c r="Z24" s="167">
        <f>SUM(Z20:Z23)</f>
        <v>2821.4549999999999</v>
      </c>
      <c r="AA24" s="181">
        <f t="shared" si="36"/>
        <v>35.806766982469505</v>
      </c>
      <c r="AB24" s="57"/>
      <c r="AC24" s="57"/>
      <c r="AD24" s="167">
        <f>SUM(AD20:AD23)</f>
        <v>3285.1660000000002</v>
      </c>
      <c r="AE24" s="181">
        <f t="shared" si="37"/>
        <v>37.832529486424235</v>
      </c>
      <c r="AF24" s="57"/>
      <c r="AG24" s="57"/>
      <c r="AH24" s="167">
        <f>SUM(AH20:AH23)</f>
        <v>4021.5410000000002</v>
      </c>
      <c r="AI24" s="181">
        <f t="shared" si="38"/>
        <v>38.204530699580893</v>
      </c>
      <c r="AJ24" s="57"/>
      <c r="AK24" s="57"/>
      <c r="AL24" s="167">
        <f>SUM(AL20:AL23)</f>
        <v>5318.2179999999998</v>
      </c>
      <c r="AM24" s="181">
        <f t="shared" si="39"/>
        <v>41.264119281741976</v>
      </c>
      <c r="AN24" s="57"/>
      <c r="AO24" s="57"/>
      <c r="AP24" s="167">
        <f>SUM(AP20:AP23)</f>
        <v>6775.2610000000004</v>
      </c>
      <c r="AQ24" s="181">
        <f t="shared" si="40"/>
        <v>41.770268623385292</v>
      </c>
      <c r="AR24" s="148">
        <f>+AQ24-AM24</f>
        <v>0.50614934164331515</v>
      </c>
      <c r="AS24" s="196"/>
      <c r="AT24" s="167">
        <f>SUM(AT20:AT23)</f>
        <v>8599.4420000000009</v>
      </c>
      <c r="AU24" s="181">
        <f t="shared" si="41"/>
        <v>37.10851532823439</v>
      </c>
      <c r="AV24" s="148">
        <f>+AU24-AQ24</f>
        <v>-4.661753295150902</v>
      </c>
      <c r="AW24" s="196"/>
      <c r="AX24" s="167">
        <f>SUM(AX20:AX23)</f>
        <v>9704.389000000001</v>
      </c>
      <c r="AY24" s="181">
        <f t="shared" si="42"/>
        <v>29.921447142098994</v>
      </c>
      <c r="AZ24" s="148">
        <f>+AY24-AU24</f>
        <v>-7.1870681861353951</v>
      </c>
      <c r="BA24" s="196"/>
      <c r="BB24" s="167">
        <f>SUM(BB20:BB23)</f>
        <v>9541.5580000000009</v>
      </c>
      <c r="BC24" s="181">
        <f t="shared" si="43"/>
        <v>33.989968251868632</v>
      </c>
      <c r="BD24" s="148">
        <f>+BC24-AY24</f>
        <v>4.0685211097696374</v>
      </c>
      <c r="BE24" s="196"/>
      <c r="BF24" s="167">
        <f>SUM(BF20:BF23)</f>
        <v>9884.7890000000007</v>
      </c>
      <c r="BG24" s="181">
        <f t="shared" si="44"/>
        <v>37.65030948435674</v>
      </c>
      <c r="BH24" s="57"/>
      <c r="BI24" s="57"/>
      <c r="BJ24" s="167">
        <f>SUM(BJ20:BJ23)</f>
        <v>9886.3539999999994</v>
      </c>
      <c r="BK24" s="181">
        <f t="shared" si="45"/>
        <v>39.225977155170646</v>
      </c>
      <c r="BL24" s="148">
        <f>+BK24-BG24</f>
        <v>1.5756676708139068</v>
      </c>
      <c r="BM24" s="57"/>
      <c r="BN24" s="167">
        <f>SUM(BN20:BN23)</f>
        <v>10153.833999999999</v>
      </c>
      <c r="BO24" s="181">
        <f t="shared" si="46"/>
        <v>36.631135253610665</v>
      </c>
      <c r="BP24" s="186">
        <f>(+BO24-BK24)*100</f>
        <v>-259.48419015599814</v>
      </c>
      <c r="BQ24" s="44"/>
      <c r="BR24" s="66">
        <f>SUM(BR20:BR23)</f>
        <v>10266</v>
      </c>
      <c r="BS24" s="183">
        <f t="shared" si="47"/>
        <v>35.52722476920178</v>
      </c>
      <c r="BT24" s="186">
        <f>(+BS24-BO24)*100</f>
        <v>-110.39104844088854</v>
      </c>
      <c r="BU24" s="44">
        <f>AVERAGE(BU20:BU23)</f>
        <v>77.5</v>
      </c>
      <c r="BV24" s="66">
        <f>SUM(BV20:BV23)</f>
        <v>10071</v>
      </c>
      <c r="BW24" s="183">
        <f t="shared" si="48"/>
        <v>36.109877561377914</v>
      </c>
      <c r="BX24" s="186">
        <f>(+BW24-BS24)*100</f>
        <v>58.265279217613397</v>
      </c>
      <c r="BY24" s="44"/>
      <c r="BZ24" s="66">
        <f>SUM(BZ20:BZ23)</f>
        <v>9079</v>
      </c>
      <c r="CA24" s="183">
        <f t="shared" si="49"/>
        <v>37.498278948093073</v>
      </c>
      <c r="CB24" s="186">
        <f>(+CA24-BW24)*100</f>
        <v>138.84013867151594</v>
      </c>
      <c r="CC24" s="44"/>
      <c r="CD24" s="66">
        <f>SUM(CD20:CD23)</f>
        <v>8473</v>
      </c>
      <c r="CE24" s="183">
        <f t="shared" si="50"/>
        <v>40.31837712192717</v>
      </c>
      <c r="CF24" s="186">
        <f>(+CE24-CA24)*100</f>
        <v>282.00981738340971</v>
      </c>
      <c r="CG24" s="59"/>
      <c r="CH24" s="66">
        <f>SUM(CH20:CH23)</f>
        <v>8775</v>
      </c>
      <c r="CI24" s="183">
        <f t="shared" si="51"/>
        <v>40.159574468085104</v>
      </c>
      <c r="CJ24" s="186">
        <f>(+CI24-CE24)*100</f>
        <v>-15.880265384206638</v>
      </c>
      <c r="CK24" s="59"/>
      <c r="CL24" s="66">
        <f>SUM(CL20:CL23)</f>
        <v>9275</v>
      </c>
      <c r="CM24" s="183">
        <f t="shared" si="52"/>
        <v>36.249914083442157</v>
      </c>
      <c r="CN24" s="186">
        <f>(+CM24-CI24)*100</f>
        <v>-390.96603846429474</v>
      </c>
      <c r="CO24" s="59"/>
      <c r="CP24" s="66">
        <f>SUM(CP20:CP23)</f>
        <v>9480</v>
      </c>
      <c r="CQ24" s="183">
        <f t="shared" si="53"/>
        <v>39.42879049262028</v>
      </c>
      <c r="CR24" s="186">
        <f>(+CQ24-CM24)*100</f>
        <v>317.88764091781229</v>
      </c>
      <c r="CS24" s="44"/>
      <c r="CT24" s="66">
        <f>SUM(CT20:CT23)</f>
        <v>9855</v>
      </c>
      <c r="CU24" s="183">
        <f t="shared" si="54"/>
        <v>38.970770374040129</v>
      </c>
      <c r="CV24" s="186">
        <f>(+CU24-CQ24)*100</f>
        <v>-45.802011858015135</v>
      </c>
      <c r="CW24" s="44"/>
      <c r="CX24" s="66">
        <f>SUM(CX20:CX23)</f>
        <v>10146</v>
      </c>
      <c r="CY24" s="183">
        <f t="shared" si="55"/>
        <v>38.265895953757223</v>
      </c>
      <c r="CZ24" s="186">
        <f>(+CY24-CU24)*100</f>
        <v>-70.487442028290559</v>
      </c>
      <c r="DA24" s="44"/>
      <c r="DB24" s="66">
        <f>SUM(DB20:DB23)</f>
        <v>10044</v>
      </c>
      <c r="DC24" s="183">
        <f t="shared" si="56"/>
        <v>36.418307273532953</v>
      </c>
      <c r="DD24" s="186">
        <f>(+DC24-CY24)*100</f>
        <v>-184.75886802242698</v>
      </c>
      <c r="DE24" s="44"/>
      <c r="DF24" s="66">
        <f>SUM(DF20:DF23)</f>
        <v>9868</v>
      </c>
      <c r="DG24" s="183">
        <f>((DF14-DF24)/DF14)*100</f>
        <v>36.401134312967258</v>
      </c>
      <c r="DH24" s="186">
        <f>(+DG24-DC24)*100</f>
        <v>-1.717296056569495</v>
      </c>
      <c r="DI24" s="186"/>
      <c r="DJ24" s="66">
        <f>SUM(DJ20:DJ23)</f>
        <v>9789</v>
      </c>
      <c r="DK24" s="183">
        <f t="shared" si="57"/>
        <v>38.25922421948912</v>
      </c>
      <c r="DL24" s="186">
        <f>(+DK24-DG24)*100</f>
        <v>185.80899065218617</v>
      </c>
      <c r="DM24" s="186"/>
      <c r="DN24" s="167">
        <f>SUM(DN20:DN23)</f>
        <v>9942.8848606534903</v>
      </c>
      <c r="DO24" s="181">
        <f>((DN14-DN24)/DN14)*100</f>
        <v>37.885597527483689</v>
      </c>
      <c r="DP24" s="186">
        <f>(+DO24-DK24)*100</f>
        <v>-37.362669200543053</v>
      </c>
      <c r="DQ24" s="44"/>
      <c r="DR24" s="1358">
        <f t="shared" si="59"/>
        <v>184.09169459561667</v>
      </c>
      <c r="DS24" s="1359">
        <f t="shared" si="60"/>
        <v>-0.667173426810308</v>
      </c>
      <c r="DT24" s="142"/>
      <c r="DU24" s="44"/>
      <c r="DV24" s="142"/>
      <c r="DW24" s="44"/>
      <c r="DX24" s="187"/>
      <c r="DY24" s="187"/>
      <c r="DZ24" s="44"/>
      <c r="EA24" s="140"/>
      <c r="EB24" s="44"/>
      <c r="EC24" s="44"/>
      <c r="ED24" s="44"/>
    </row>
    <row r="25" spans="1:148" ht="13.5" hidden="1" customHeight="1" outlineLevel="2">
      <c r="A25" s="44" t="str">
        <f>$A$15</f>
        <v>6 Mos</v>
      </c>
      <c r="B25" s="44"/>
      <c r="C25" s="57"/>
      <c r="D25" s="169"/>
      <c r="E25" s="57"/>
      <c r="F25" s="169">
        <f>SUM(F20:F21)</f>
        <v>543.66200000000003</v>
      </c>
      <c r="G25" s="181">
        <f t="shared" si="31"/>
        <v>32.662095411734974</v>
      </c>
      <c r="H25" s="57"/>
      <c r="I25" s="57"/>
      <c r="J25" s="169">
        <f>SUM(J20:J21)</f>
        <v>650.68899999999996</v>
      </c>
      <c r="K25" s="181">
        <f t="shared" si="32"/>
        <v>35.788706042101694</v>
      </c>
      <c r="L25" s="57"/>
      <c r="M25" s="57"/>
      <c r="N25" s="169">
        <f>SUM(N20:N21)</f>
        <v>792.45399999999995</v>
      </c>
      <c r="O25" s="181">
        <f t="shared" si="33"/>
        <v>34.125644858010709</v>
      </c>
      <c r="P25" s="57"/>
      <c r="Q25" s="57"/>
      <c r="R25" s="169">
        <f>SUM(R20:R21)</f>
        <v>916.60599999999999</v>
      </c>
      <c r="S25" s="181">
        <f t="shared" si="34"/>
        <v>31.431388449189534</v>
      </c>
      <c r="T25" s="57"/>
      <c r="U25" s="57"/>
      <c r="V25" s="169">
        <f>SUM(V20:V21)</f>
        <v>969.94100000000003</v>
      </c>
      <c r="W25" s="181">
        <f t="shared" si="35"/>
        <v>36.38901076271592</v>
      </c>
      <c r="X25" s="57"/>
      <c r="Y25" s="57"/>
      <c r="Z25" s="169">
        <f>SUM(Z20:Z21)</f>
        <v>1177.452</v>
      </c>
      <c r="AA25" s="181">
        <f t="shared" si="36"/>
        <v>31.431945688393093</v>
      </c>
      <c r="AB25" s="57"/>
      <c r="AC25" s="57"/>
      <c r="AD25" s="169">
        <f>SUM(AD20:AD21)</f>
        <v>1419.4789999999998</v>
      </c>
      <c r="AE25" s="181">
        <f t="shared" si="37"/>
        <v>36.445668637723323</v>
      </c>
      <c r="AF25" s="57"/>
      <c r="AG25" s="57"/>
      <c r="AH25" s="169">
        <f>SUM(AH20:AH21)</f>
        <v>1672.212</v>
      </c>
      <c r="AI25" s="181">
        <f t="shared" si="38"/>
        <v>35.095192646192942</v>
      </c>
      <c r="AJ25" s="57"/>
      <c r="AK25" s="57"/>
      <c r="AL25" s="169">
        <f>SUM(AL20:AL21)</f>
        <v>2166.1689999999999</v>
      </c>
      <c r="AM25" s="181">
        <f t="shared" si="39"/>
        <v>40.238371255740503</v>
      </c>
      <c r="AN25" s="57"/>
      <c r="AO25" s="57"/>
      <c r="AP25" s="169">
        <f>SUM(AP20:AP21)</f>
        <v>2777.7</v>
      </c>
      <c r="AQ25" s="181">
        <f t="shared" si="40"/>
        <v>41.28816021228166</v>
      </c>
      <c r="AR25" s="57"/>
      <c r="AS25" s="57"/>
      <c r="AT25" s="169">
        <f>SUM(AT20:AT21)</f>
        <v>3438.9690000000001</v>
      </c>
      <c r="AU25" s="181">
        <f t="shared" si="41"/>
        <v>39.451615788428406</v>
      </c>
      <c r="AV25" s="57"/>
      <c r="AW25" s="57"/>
      <c r="AX25" s="169">
        <f>SUM(AX20:AX21)</f>
        <v>4258.6190000000006</v>
      </c>
      <c r="AY25" s="181">
        <f t="shared" si="42"/>
        <v>33.716702659584804</v>
      </c>
      <c r="AZ25" s="57"/>
      <c r="BA25" s="57"/>
      <c r="BB25" s="169">
        <f>SUM(BB20:BB21)</f>
        <v>4189.5360000000001</v>
      </c>
      <c r="BC25" s="181">
        <f t="shared" si="43"/>
        <v>31.97865484338827</v>
      </c>
      <c r="BD25" s="57"/>
      <c r="BE25" s="57"/>
      <c r="BF25" s="169">
        <f>SUM(BF19:BF21)</f>
        <v>4434.0689999999995</v>
      </c>
      <c r="BG25" s="181">
        <f t="shared" si="44"/>
        <v>36.998793703387442</v>
      </c>
      <c r="BH25" s="57"/>
      <c r="BI25" s="57"/>
      <c r="BJ25" s="169">
        <f>SUM(BJ20:BJ21)</f>
        <v>4376.3540000000003</v>
      </c>
      <c r="BK25" s="181">
        <f t="shared" si="45"/>
        <v>40.766860927345924</v>
      </c>
      <c r="BL25" s="181">
        <f>BK25-BG25</f>
        <v>3.7680672239584823</v>
      </c>
      <c r="BM25" s="57"/>
      <c r="BN25" s="169">
        <f>SUM(BN20:BN21)</f>
        <v>4476.9750000000004</v>
      </c>
      <c r="BO25" s="181">
        <f t="shared" si="46"/>
        <v>39.027313382973396</v>
      </c>
      <c r="BP25" s="57"/>
      <c r="BQ25" s="44"/>
      <c r="BR25" s="58">
        <f>SUM(BR20:BR21)</f>
        <v>4543</v>
      </c>
      <c r="BS25" s="183">
        <f t="shared" si="47"/>
        <v>36.488186774779813</v>
      </c>
      <c r="BT25" s="44"/>
      <c r="BU25" s="44"/>
      <c r="BV25" s="58">
        <f>SUM(BV20:BV21)</f>
        <v>4615</v>
      </c>
      <c r="BW25" s="183">
        <f t="shared" si="48"/>
        <v>36.204036494332321</v>
      </c>
      <c r="BX25" s="44">
        <v>36.1</v>
      </c>
      <c r="BY25" s="44"/>
      <c r="BZ25" s="58">
        <f>SUM(BZ20:BZ21)</f>
        <v>4203</v>
      </c>
      <c r="CA25" s="183">
        <f t="shared" si="49"/>
        <v>38.93651024262676</v>
      </c>
      <c r="CB25" s="44">
        <v>36.1</v>
      </c>
      <c r="CC25" s="44"/>
      <c r="CD25" s="58">
        <f>SUM(CD20:CD21)</f>
        <v>3845</v>
      </c>
      <c r="CE25" s="183">
        <f t="shared" si="50"/>
        <v>39.657878217200249</v>
      </c>
      <c r="CF25" s="44">
        <v>36.1</v>
      </c>
      <c r="CG25" s="59"/>
      <c r="CH25" s="58">
        <f>SUM(CH20:CH21)</f>
        <v>3931</v>
      </c>
      <c r="CI25" s="183">
        <f t="shared" si="51"/>
        <v>40.851640084261206</v>
      </c>
      <c r="CJ25" s="44">
        <v>36.1</v>
      </c>
      <c r="CK25" s="59"/>
      <c r="CL25" s="58">
        <f>SUM(CL20:CL21)</f>
        <v>4126</v>
      </c>
      <c r="CM25" s="183">
        <f t="shared" si="52"/>
        <v>38.242778027241428</v>
      </c>
      <c r="CN25" s="44">
        <v>36.1</v>
      </c>
      <c r="CO25" s="59"/>
      <c r="CP25" s="58">
        <f>SUM(CP20:CP21)</f>
        <v>4260</v>
      </c>
      <c r="CQ25" s="183">
        <f t="shared" si="53"/>
        <v>39.677145284621915</v>
      </c>
      <c r="CR25" s="44">
        <v>36.1</v>
      </c>
      <c r="CS25" s="44"/>
      <c r="CT25" s="58">
        <f>SUM(CT20:CT21)</f>
        <v>4486</v>
      </c>
      <c r="CU25" s="183">
        <f t="shared" si="54"/>
        <v>40.950375148084774</v>
      </c>
      <c r="CV25" s="44">
        <v>36.1</v>
      </c>
      <c r="CW25" s="44"/>
      <c r="CX25" s="58">
        <f>SUM(CX20:CX21)</f>
        <v>4720</v>
      </c>
      <c r="CY25" s="183">
        <f t="shared" si="55"/>
        <v>39.136041263700839</v>
      </c>
      <c r="CZ25" s="44">
        <v>36.1</v>
      </c>
      <c r="DA25" s="44"/>
      <c r="DB25" s="58">
        <f>SUM(DB20:DB21)</f>
        <v>4694</v>
      </c>
      <c r="DC25" s="183">
        <f t="shared" si="56"/>
        <v>37.868960953011246</v>
      </c>
      <c r="DD25" s="44">
        <v>36.1</v>
      </c>
      <c r="DE25" s="44"/>
      <c r="DF25" s="58">
        <f>SUM(DF20:DF21)</f>
        <v>4628</v>
      </c>
      <c r="DG25" s="183">
        <f>((DF15-DF25)/DF15)*100</f>
        <v>36.507065441075589</v>
      </c>
      <c r="DH25" s="44">
        <v>36.1</v>
      </c>
      <c r="DI25" s="44"/>
      <c r="DJ25" s="58">
        <f>SUM(DJ20:DJ21)</f>
        <v>4457</v>
      </c>
      <c r="DK25" s="183">
        <f t="shared" si="57"/>
        <v>38.430722475480039</v>
      </c>
      <c r="DL25" s="44"/>
      <c r="DM25" s="44"/>
      <c r="DN25" s="1570">
        <f>SUM(DN20:DN21)</f>
        <v>4599.7544390619041</v>
      </c>
      <c r="DO25" s="1571">
        <f>((DN15-DN25)/DN15)*100</f>
        <v>38.026078044578554</v>
      </c>
      <c r="DP25" s="1569"/>
      <c r="DQ25" s="44"/>
      <c r="DR25" s="1362"/>
      <c r="DS25" s="1361"/>
      <c r="DT25" s="44"/>
      <c r="DU25" s="44"/>
      <c r="DV25" s="44"/>
      <c r="DW25" s="44"/>
      <c r="DX25" s="44"/>
      <c r="DY25" s="44"/>
      <c r="DZ25" s="44"/>
      <c r="EA25" s="44"/>
      <c r="EB25" s="44"/>
      <c r="EC25" s="44"/>
      <c r="ED25" s="44"/>
    </row>
    <row r="26" spans="1:148" ht="10.5" hidden="1" customHeight="1" outlineLevel="2">
      <c r="A26" s="44" t="str">
        <f>$A$16</f>
        <v>9 Mos</v>
      </c>
      <c r="B26" s="44"/>
      <c r="C26" s="57"/>
      <c r="D26" s="169"/>
      <c r="E26" s="57"/>
      <c r="F26" s="169">
        <f>SUM(F20:F22)</f>
        <v>849.06899999999996</v>
      </c>
      <c r="G26" s="181">
        <f t="shared" si="31"/>
        <v>35.138733772632762</v>
      </c>
      <c r="H26" s="57"/>
      <c r="I26" s="57"/>
      <c r="J26" s="169">
        <f>SUM(J20:J22)</f>
        <v>1075.01</v>
      </c>
      <c r="K26" s="181">
        <f t="shared" si="32"/>
        <v>37.332109912044245</v>
      </c>
      <c r="L26" s="57"/>
      <c r="M26" s="57"/>
      <c r="N26" s="169">
        <f>SUM(N20:N22)</f>
        <v>1327.8150000000001</v>
      </c>
      <c r="O26" s="181">
        <f t="shared" si="33"/>
        <v>34.596837749975371</v>
      </c>
      <c r="P26" s="57"/>
      <c r="Q26" s="57"/>
      <c r="R26" s="169">
        <f>SUM(R20:R22)</f>
        <v>1475.442</v>
      </c>
      <c r="S26" s="181">
        <f t="shared" si="34"/>
        <v>33.997957457316183</v>
      </c>
      <c r="T26" s="57"/>
      <c r="U26" s="57"/>
      <c r="V26" s="169">
        <f>SUM(V20:V22)</f>
        <v>1579.4390000000001</v>
      </c>
      <c r="W26" s="181">
        <f t="shared" si="35"/>
        <v>37.152940118504802</v>
      </c>
      <c r="X26" s="57"/>
      <c r="Y26" s="57"/>
      <c r="Z26" s="169">
        <f>SUM(Z20:Z22)</f>
        <v>1875.3310000000001</v>
      </c>
      <c r="AA26" s="181">
        <f t="shared" si="36"/>
        <v>34.728663607750569</v>
      </c>
      <c r="AB26" s="57"/>
      <c r="AC26" s="57"/>
      <c r="AD26" s="169">
        <f>SUM(AD20:AD22)</f>
        <v>2257.2539999999999</v>
      </c>
      <c r="AE26" s="181">
        <f t="shared" si="37"/>
        <v>37.584311838705261</v>
      </c>
      <c r="AF26" s="57"/>
      <c r="AG26" s="57"/>
      <c r="AH26" s="169">
        <f>SUM(AH20:AH22)</f>
        <v>2716.8850000000002</v>
      </c>
      <c r="AI26" s="181">
        <f t="shared" si="38"/>
        <v>37.432784029646648</v>
      </c>
      <c r="AJ26" s="57"/>
      <c r="AK26" s="57"/>
      <c r="AL26" s="169">
        <f>SUM(AL20:AL22)</f>
        <v>3542.174</v>
      </c>
      <c r="AM26" s="181">
        <f t="shared" si="39"/>
        <v>41.205119650501345</v>
      </c>
      <c r="AN26" s="57"/>
      <c r="AO26" s="57"/>
      <c r="AP26" s="169">
        <f>SUM(AP20:AP22)</f>
        <v>4518.7979999999998</v>
      </c>
      <c r="AQ26" s="181">
        <f t="shared" si="40"/>
        <v>41.891315828965354</v>
      </c>
      <c r="AR26" s="57"/>
      <c r="AS26" s="57"/>
      <c r="AT26" s="169">
        <f>SUM(AT20:AT22)</f>
        <v>5596.43</v>
      </c>
      <c r="AU26" s="181">
        <f t="shared" si="41"/>
        <v>38.46271078420807</v>
      </c>
      <c r="AV26" s="57"/>
      <c r="AW26" s="57"/>
      <c r="AX26" s="169">
        <f>SUM(AX20:AX22)</f>
        <v>6641.353000000001</v>
      </c>
      <c r="AY26" s="181">
        <f t="shared" si="42"/>
        <v>31.941133285401218</v>
      </c>
      <c r="AZ26" s="57"/>
      <c r="BA26" s="57"/>
      <c r="BB26" s="169">
        <f>SUM(BB20:BB22)</f>
        <v>6518.8829999999998</v>
      </c>
      <c r="BC26" s="181">
        <f t="shared" si="43"/>
        <v>33.508637453393249</v>
      </c>
      <c r="BD26" s="57"/>
      <c r="BE26" s="57"/>
      <c r="BF26" s="169">
        <f>SUM(BF20:BF22)</f>
        <v>6836.5249999999996</v>
      </c>
      <c r="BG26" s="181">
        <f t="shared" si="44"/>
        <v>37.665750689809173</v>
      </c>
      <c r="BH26" s="148">
        <f>+BG26-BC26</f>
        <v>4.157113236415924</v>
      </c>
      <c r="BI26" s="57"/>
      <c r="BJ26" s="169">
        <f>SUM(BJ20:BJ22)</f>
        <v>6790.3540000000003</v>
      </c>
      <c r="BK26" s="181">
        <f t="shared" si="45"/>
        <v>40.27047006360732</v>
      </c>
      <c r="BL26" s="57"/>
      <c r="BM26" s="57"/>
      <c r="BN26" s="169">
        <f>SUM(BN20:BN22)</f>
        <v>6973.848</v>
      </c>
      <c r="BO26" s="181">
        <f t="shared" si="46"/>
        <v>37.747378999521267</v>
      </c>
      <c r="BP26" s="57"/>
      <c r="BQ26" s="44"/>
      <c r="BR26" s="58">
        <f>SUM(BR20:BR22)</f>
        <v>6952</v>
      </c>
      <c r="BS26" s="183">
        <f t="shared" si="47"/>
        <v>36.822973464194838</v>
      </c>
      <c r="BT26" s="44"/>
      <c r="BU26" s="44"/>
      <c r="BV26" s="58">
        <f>SUM(BV20:BV22)</f>
        <v>7022</v>
      </c>
      <c r="BW26" s="183">
        <f t="shared" si="48"/>
        <v>36.670274170274169</v>
      </c>
      <c r="BX26" s="44"/>
      <c r="BY26" s="44"/>
      <c r="BZ26" s="58">
        <f>SUM(BZ20:BZ22)</f>
        <v>6386</v>
      </c>
      <c r="CA26" s="183">
        <f t="shared" si="49"/>
        <v>38.854844887016469</v>
      </c>
      <c r="CB26" s="44"/>
      <c r="CC26" s="44"/>
      <c r="CD26" s="58">
        <f>SUM(CD20:CD22)</f>
        <v>5910</v>
      </c>
      <c r="CE26" s="183">
        <f t="shared" si="50"/>
        <v>40.668607569521129</v>
      </c>
      <c r="CF26" s="44"/>
      <c r="CG26" s="59"/>
      <c r="CH26" s="58">
        <f>SUM(CH20:CH22)</f>
        <v>6080</v>
      </c>
      <c r="CI26" s="183">
        <f t="shared" si="51"/>
        <v>40.970873786407772</v>
      </c>
      <c r="CJ26" s="44"/>
      <c r="CK26" s="59"/>
      <c r="CL26" s="58">
        <f>SUM(CL20:CL22)</f>
        <v>6397</v>
      </c>
      <c r="CM26" s="183">
        <f t="shared" si="52"/>
        <v>37.687512176115334</v>
      </c>
      <c r="CN26" s="44"/>
      <c r="CO26" s="59"/>
      <c r="CP26" s="58">
        <f>SUM(CP20:CP22)</f>
        <v>6531</v>
      </c>
      <c r="CQ26" s="183">
        <f t="shared" si="53"/>
        <v>40.225151015925313</v>
      </c>
      <c r="CR26" s="44"/>
      <c r="CS26" s="44"/>
      <c r="CT26" s="58">
        <f>SUM(CT20:CT22)</f>
        <v>6873</v>
      </c>
      <c r="CU26" s="183">
        <f t="shared" si="54"/>
        <v>40.611768772142057</v>
      </c>
      <c r="CV26" s="44"/>
      <c r="CW26" s="44"/>
      <c r="CX26" s="58">
        <f>SUM(CX20:CX22)</f>
        <v>7096</v>
      </c>
      <c r="CY26" s="183">
        <f t="shared" si="55"/>
        <v>39.490065660441715</v>
      </c>
      <c r="CZ26" s="44"/>
      <c r="DA26" s="44"/>
      <c r="DB26" s="58">
        <f>SUM(DB20:DB22)</f>
        <v>7105</v>
      </c>
      <c r="DC26" s="183">
        <f t="shared" si="56"/>
        <v>37.740974412898701</v>
      </c>
      <c r="DD26" s="44"/>
      <c r="DE26" s="44"/>
      <c r="DF26" s="58">
        <f>SUM(DF20:DF22)</f>
        <v>6940</v>
      </c>
      <c r="DG26" s="183">
        <f>((DF16-DF26)/DF16)*100</f>
        <v>37.404167042482186</v>
      </c>
      <c r="DH26" s="44"/>
      <c r="DI26" s="44"/>
      <c r="DJ26" s="58">
        <f>SUM(DJ20:DJ22)</f>
        <v>6770</v>
      </c>
      <c r="DK26" s="183">
        <f t="shared" si="57"/>
        <v>38.882368872438384</v>
      </c>
      <c r="DL26" s="44"/>
      <c r="DM26" s="44"/>
      <c r="DN26" s="1570">
        <f>SUM(DN20:DN22)</f>
        <v>6965.5043620476918</v>
      </c>
      <c r="DO26" s="1571">
        <f>((DN16-DN26)/DN16)*100</f>
        <v>38.499647096792359</v>
      </c>
      <c r="DP26" s="1569"/>
      <c r="DQ26" s="44"/>
      <c r="DR26" s="1362"/>
      <c r="DS26" s="1361"/>
      <c r="DT26" s="44"/>
      <c r="DU26" s="44"/>
      <c r="DV26" s="44"/>
      <c r="DW26" s="44"/>
      <c r="DX26" s="44"/>
      <c r="DY26" s="44"/>
      <c r="DZ26" s="44"/>
      <c r="EA26" s="44"/>
      <c r="EB26" s="44"/>
      <c r="EC26" s="44"/>
      <c r="ED26" s="44"/>
    </row>
    <row r="27" spans="1:148" ht="12" customHeight="1" outlineLevel="1" collapsed="1">
      <c r="A27" s="44"/>
      <c r="B27" s="44"/>
      <c r="C27" s="57"/>
      <c r="D27" s="57"/>
      <c r="E27" s="57"/>
      <c r="F27" s="57"/>
      <c r="G27" s="57"/>
      <c r="H27" s="57"/>
      <c r="I27" s="57"/>
      <c r="J27" s="57"/>
      <c r="K27" s="57"/>
      <c r="L27" s="57"/>
      <c r="M27" s="57"/>
      <c r="N27" s="57"/>
      <c r="O27" s="57"/>
      <c r="P27" s="57"/>
      <c r="Q27" s="57"/>
      <c r="R27" s="57"/>
      <c r="S27" s="57"/>
      <c r="T27" s="57"/>
      <c r="U27" s="57"/>
      <c r="V27" s="57"/>
      <c r="W27" s="57"/>
      <c r="X27" s="57"/>
      <c r="Y27" s="57"/>
      <c r="Z27" s="57"/>
      <c r="AA27" s="57"/>
      <c r="AB27" s="57"/>
      <c r="AC27" s="57"/>
      <c r="AD27" s="57"/>
      <c r="AE27" s="57"/>
      <c r="AF27" s="57"/>
      <c r="AG27" s="57"/>
      <c r="AH27" s="57"/>
      <c r="AI27" s="57"/>
      <c r="AJ27" s="57"/>
      <c r="AK27" s="57"/>
      <c r="AL27" s="57"/>
      <c r="AM27" s="57"/>
      <c r="AN27" s="57"/>
      <c r="AO27" s="57"/>
      <c r="AP27" s="197"/>
      <c r="AQ27" s="57"/>
      <c r="AR27" s="57"/>
      <c r="AS27" s="57"/>
      <c r="AT27" s="57"/>
      <c r="AU27" s="57"/>
      <c r="AV27" s="57"/>
      <c r="AW27" s="57"/>
      <c r="AX27" s="57"/>
      <c r="AY27" s="57"/>
      <c r="AZ27" s="57"/>
      <c r="BA27" s="57"/>
      <c r="BB27" s="198"/>
      <c r="BC27" s="57"/>
      <c r="BD27" s="57"/>
      <c r="BE27" s="57"/>
      <c r="BF27" s="57"/>
      <c r="BG27" s="57"/>
      <c r="BH27" s="57"/>
      <c r="BI27" s="57"/>
      <c r="BJ27" s="57"/>
      <c r="BK27" s="57"/>
      <c r="BL27" s="57"/>
      <c r="BM27" s="57"/>
      <c r="BN27" s="199"/>
      <c r="BO27" s="57"/>
      <c r="BP27" s="57"/>
      <c r="BQ27" s="44"/>
      <c r="BR27" s="54"/>
      <c r="BS27" s="44"/>
      <c r="BT27" s="44"/>
      <c r="BU27" s="44"/>
      <c r="BV27" s="54"/>
      <c r="BW27" s="44"/>
      <c r="BX27" s="44"/>
      <c r="BY27" s="44"/>
      <c r="BZ27" s="44"/>
      <c r="CA27" s="44"/>
      <c r="CB27" s="44">
        <f>-60*0.8+2*0.2</f>
        <v>-47.6</v>
      </c>
      <c r="CC27" s="44"/>
      <c r="CD27" s="200"/>
      <c r="CE27" s="44">
        <f>100-200</f>
        <v>-100</v>
      </c>
      <c r="CF27" s="44"/>
      <c r="CG27" s="59"/>
      <c r="CH27" s="66"/>
      <c r="CI27" s="195"/>
      <c r="CJ27" s="44"/>
      <c r="CK27" s="59"/>
      <c r="CL27" s="44"/>
      <c r="CM27" s="44"/>
      <c r="CN27" s="187">
        <f>CN22+CN23</f>
        <v>-997.56401349919122</v>
      </c>
      <c r="CO27" s="59"/>
      <c r="CP27" s="44"/>
      <c r="CQ27" s="44"/>
      <c r="CR27" s="187"/>
      <c r="CS27" s="44"/>
      <c r="CT27" s="66"/>
      <c r="CU27" s="183"/>
      <c r="CV27" s="44"/>
      <c r="CW27" s="44"/>
      <c r="CX27" s="174">
        <f>CX23+40</f>
        <v>3090</v>
      </c>
      <c r="CY27" s="181">
        <f>((CX13-CX27)/CX13)*100</f>
        <v>34.367034834324556</v>
      </c>
      <c r="CZ27" s="44"/>
      <c r="DA27" s="44"/>
      <c r="DB27" s="44"/>
      <c r="DC27"/>
      <c r="DD27" s="44"/>
      <c r="DE27" s="44"/>
      <c r="DF27" s="44"/>
      <c r="DG27" s="44"/>
      <c r="DH27" s="44"/>
      <c r="DI27" s="44"/>
      <c r="DJ27" s="44"/>
      <c r="DK27" s="44"/>
      <c r="DL27" s="44"/>
      <c r="DM27" s="44"/>
      <c r="DN27" s="57"/>
      <c r="DO27" s="57"/>
      <c r="DP27" s="57"/>
      <c r="DQ27" s="44"/>
      <c r="DR27" s="1362"/>
      <c r="DS27" s="1361"/>
      <c r="DT27" s="44"/>
      <c r="DU27" s="44"/>
      <c r="DV27" s="44"/>
      <c r="DW27" s="44"/>
      <c r="DX27" s="187"/>
      <c r="DY27" s="187"/>
      <c r="DZ27" s="174"/>
      <c r="EA27" s="201"/>
      <c r="EB27" s="202"/>
      <c r="EC27" s="203"/>
      <c r="ED27" s="204"/>
    </row>
    <row r="28" spans="1:148" outlineLevel="1">
      <c r="A28" s="44"/>
      <c r="B28" s="44"/>
      <c r="C28" s="205"/>
      <c r="D28" s="206"/>
      <c r="E28" s="205" t="str">
        <f>AH28</f>
        <v>3.  Operating Expenses - Selling, General &amp; Administrative Expenses   (% of Sales)</v>
      </c>
      <c r="F28" s="206"/>
      <c r="G28" s="57"/>
      <c r="H28" s="57"/>
      <c r="I28" s="57"/>
      <c r="J28" s="206"/>
      <c r="K28" s="57"/>
      <c r="L28" s="57"/>
      <c r="M28" s="57"/>
      <c r="N28" s="206"/>
      <c r="O28" s="57"/>
      <c r="P28" s="57"/>
      <c r="Q28" s="57"/>
      <c r="R28" s="206"/>
      <c r="S28" s="57"/>
      <c r="T28" s="57"/>
      <c r="U28" s="57"/>
      <c r="V28" s="206"/>
      <c r="W28" s="57"/>
      <c r="X28" s="57"/>
      <c r="Y28" s="57"/>
      <c r="Z28" s="57"/>
      <c r="AA28" s="134"/>
      <c r="AB28" s="134"/>
      <c r="AC28" s="134"/>
      <c r="AD28" s="135"/>
      <c r="AE28" s="134"/>
      <c r="AF28" s="134"/>
      <c r="AG28" s="134"/>
      <c r="AH28" s="135" t="s">
        <v>88</v>
      </c>
      <c r="AI28" s="135"/>
      <c r="AJ28" s="135"/>
      <c r="AK28" s="135"/>
      <c r="AL28" s="44"/>
      <c r="AM28" s="135"/>
      <c r="AN28" s="135"/>
      <c r="AO28" s="135"/>
      <c r="AP28" s="44"/>
      <c r="AQ28" s="135"/>
      <c r="AR28" s="135"/>
      <c r="AS28" s="135"/>
      <c r="AT28" s="44"/>
      <c r="AU28" s="135"/>
      <c r="AV28" s="135"/>
      <c r="AW28" s="135"/>
      <c r="AX28" s="135"/>
      <c r="AY28" s="135"/>
      <c r="AZ28" s="135"/>
      <c r="BA28" s="135"/>
      <c r="BB28" s="135"/>
      <c r="BC28" s="135"/>
      <c r="BD28" s="135"/>
      <c r="BE28" s="134"/>
      <c r="BF28" s="135"/>
      <c r="BG28" s="134"/>
      <c r="BH28" s="134"/>
      <c r="BI28" s="134"/>
      <c r="BJ28" s="135" t="s">
        <v>88</v>
      </c>
      <c r="BK28" s="134"/>
      <c r="BL28" s="134"/>
      <c r="BM28" s="134"/>
      <c r="BN28" s="135"/>
      <c r="BO28" s="134"/>
      <c r="BP28" s="134"/>
      <c r="BQ28" s="136"/>
      <c r="BR28" s="137"/>
      <c r="BS28" s="136"/>
      <c r="BT28" s="136"/>
      <c r="BU28" s="136"/>
      <c r="BV28" s="135" t="s">
        <v>88</v>
      </c>
      <c r="BW28" s="136"/>
      <c r="BX28" s="136"/>
      <c r="BY28" s="136"/>
      <c r="BZ28" s="207"/>
      <c r="CA28" s="136"/>
      <c r="CB28" s="207"/>
      <c r="CC28" s="136"/>
      <c r="CD28" s="207"/>
      <c r="CE28" s="136"/>
      <c r="CF28" s="207"/>
      <c r="CG28" s="138"/>
      <c r="CH28" s="139" t="str">
        <f>+BV28</f>
        <v>3.  Operating Expenses - Selling, General &amp; Administrative Expenses   (% of Sales)</v>
      </c>
      <c r="CI28" s="136"/>
      <c r="CJ28" s="207"/>
      <c r="CK28" s="138"/>
      <c r="CL28" s="207"/>
      <c r="CM28" s="136"/>
      <c r="CN28" s="207"/>
      <c r="CO28" s="138"/>
      <c r="CP28" s="207"/>
      <c r="CQ28" s="136"/>
      <c r="CR28" s="136"/>
      <c r="CS28" s="44"/>
      <c r="CT28" s="44"/>
      <c r="CU28" s="44"/>
      <c r="CV28" s="44"/>
      <c r="CW28" s="44"/>
      <c r="CX28" s="44"/>
      <c r="CY28" s="44"/>
      <c r="CZ28" s="44"/>
      <c r="DA28" s="44"/>
      <c r="DB28" s="44"/>
      <c r="DC28" s="44"/>
      <c r="DD28" s="44"/>
      <c r="DE28" s="44"/>
      <c r="DF28" s="174"/>
      <c r="DG28" s="44"/>
      <c r="DH28" s="44"/>
      <c r="DI28" s="44"/>
      <c r="DJ28" s="174"/>
      <c r="DK28" s="44"/>
      <c r="DL28" s="44"/>
      <c r="DM28" s="44"/>
      <c r="DN28" s="198"/>
      <c r="DO28" s="57"/>
      <c r="DP28" s="57"/>
      <c r="DQ28" s="44"/>
      <c r="DR28" s="1363"/>
      <c r="DS28" s="1361"/>
      <c r="DT28" s="44"/>
      <c r="DU28" s="44"/>
      <c r="DV28" s="44"/>
      <c r="DW28" s="44"/>
      <c r="DX28" s="44"/>
      <c r="DY28" s="44"/>
      <c r="DZ28" s="44"/>
      <c r="EA28" s="117"/>
      <c r="EB28" s="44"/>
      <c r="EC28" s="44"/>
      <c r="ED28" s="44"/>
    </row>
    <row r="29" spans="1:148" outlineLevel="1">
      <c r="A29" s="44"/>
      <c r="B29" s="44"/>
      <c r="C29" s="57"/>
      <c r="D29" s="57"/>
      <c r="E29" s="57"/>
      <c r="F29" s="57"/>
      <c r="G29" s="57"/>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7"/>
      <c r="AZ29" s="57"/>
      <c r="BA29" s="57"/>
      <c r="BB29" s="57"/>
      <c r="BC29" s="181"/>
      <c r="BD29" s="57"/>
      <c r="BE29" s="57"/>
      <c r="BF29" s="57"/>
      <c r="BG29" s="57"/>
      <c r="BH29" s="57"/>
      <c r="BI29" s="208" t="s">
        <v>296</v>
      </c>
      <c r="BJ29" s="57"/>
      <c r="BK29" s="57"/>
      <c r="BL29" s="209"/>
      <c r="BM29" s="209"/>
      <c r="BN29" s="209"/>
      <c r="BO29" s="209"/>
      <c r="BP29" s="209"/>
      <c r="BQ29" s="172"/>
      <c r="BR29" s="172"/>
      <c r="BS29" s="172"/>
      <c r="BT29" s="209"/>
      <c r="BU29" s="172"/>
      <c r="BV29" s="172"/>
      <c r="BW29" s="172"/>
      <c r="BX29" s="209"/>
      <c r="BY29" s="172"/>
      <c r="BZ29" s="172"/>
      <c r="CA29" s="172"/>
      <c r="CB29" s="209"/>
      <c r="CC29" s="172"/>
      <c r="CD29" s="172"/>
      <c r="CE29" s="209"/>
      <c r="CF29" s="209"/>
      <c r="CG29" s="210"/>
      <c r="CH29" s="172"/>
      <c r="CI29" s="172"/>
      <c r="CJ29" s="209"/>
      <c r="CK29" s="210"/>
      <c r="CL29" s="172"/>
      <c r="CM29" s="172"/>
      <c r="CN29" s="209"/>
      <c r="CO29" s="210"/>
      <c r="CP29" s="172"/>
      <c r="CQ29" s="172"/>
      <c r="CR29" s="209"/>
      <c r="CS29" s="44"/>
      <c r="CT29" s="44"/>
      <c r="CU29" s="211"/>
      <c r="CV29" s="44"/>
      <c r="CW29" s="44"/>
      <c r="CX29" s="142"/>
      <c r="CY29" s="44"/>
      <c r="CZ29" s="44"/>
      <c r="DA29" s="44"/>
      <c r="DB29" s="142"/>
      <c r="DC29" s="44"/>
      <c r="DD29" s="44"/>
      <c r="DE29" s="44"/>
      <c r="DF29" s="142"/>
      <c r="DG29" s="44"/>
      <c r="DH29" s="44"/>
      <c r="DI29" s="44"/>
      <c r="DJ29" s="142"/>
      <c r="DK29" s="44"/>
      <c r="DL29" s="44"/>
      <c r="DM29" s="44"/>
      <c r="DN29" s="230"/>
      <c r="DO29" s="57"/>
      <c r="DP29" s="57"/>
      <c r="DQ29" s="44"/>
      <c r="DR29" s="1364"/>
      <c r="DS29" s="1361"/>
      <c r="DT29" s="44"/>
      <c r="DU29" s="44"/>
      <c r="DV29" s="44"/>
      <c r="DW29" s="44"/>
      <c r="DX29" s="65"/>
      <c r="DY29" s="65"/>
      <c r="DZ29" s="65"/>
      <c r="EA29" s="65"/>
      <c r="EB29" s="44"/>
      <c r="EC29" s="44"/>
      <c r="EF29" s="44"/>
      <c r="EG29" s="44"/>
      <c r="EH29" s="65"/>
      <c r="EI29" s="65"/>
      <c r="EJ29" s="44"/>
      <c r="EK29" s="44"/>
      <c r="EM29" s="44"/>
      <c r="EN29" s="65"/>
      <c r="EO29" s="65"/>
      <c r="EP29" s="44"/>
      <c r="EQ29" s="44"/>
    </row>
    <row r="30" spans="1:148" outlineLevel="1">
      <c r="A30" s="44" t="str">
        <f>$A$10</f>
        <v>1Q</v>
      </c>
      <c r="B30" s="44" t="str">
        <f>$B$10</f>
        <v>Apr</v>
      </c>
      <c r="C30" s="57"/>
      <c r="D30" s="147"/>
      <c r="E30" s="57"/>
      <c r="F30" s="147">
        <v>96.936999999999998</v>
      </c>
      <c r="G30" s="181">
        <f t="shared" ref="G30:G36" si="65">F30/F10*100</f>
        <v>24.091627564816285</v>
      </c>
      <c r="H30" s="191"/>
      <c r="I30" s="57"/>
      <c r="J30" s="147">
        <v>115.464</v>
      </c>
      <c r="K30" s="181">
        <f t="shared" ref="K30:K36" si="66">J30/J10*100</f>
        <v>23.549663471344072</v>
      </c>
      <c r="L30" s="191"/>
      <c r="M30" s="57"/>
      <c r="N30" s="147">
        <v>135.58000000000001</v>
      </c>
      <c r="O30" s="181">
        <f t="shared" ref="O30:O36" si="67">N30/N10*100</f>
        <v>23.023991957395936</v>
      </c>
      <c r="P30" s="191"/>
      <c r="Q30" s="57"/>
      <c r="R30" s="147">
        <v>151.91300000000001</v>
      </c>
      <c r="S30" s="181">
        <f t="shared" ref="S30:S36" si="68">R30/R10*100</f>
        <v>23.604369309176793</v>
      </c>
      <c r="T30" s="191"/>
      <c r="U30" s="57"/>
      <c r="V30" s="147">
        <v>185.72399999999999</v>
      </c>
      <c r="W30" s="181">
        <f t="shared" ref="W30:W36" si="69">V30/V10*100</f>
        <v>24.708183112270014</v>
      </c>
      <c r="X30" s="191"/>
      <c r="Y30" s="57"/>
      <c r="Z30" s="147">
        <v>202.57499999999999</v>
      </c>
      <c r="AA30" s="181">
        <f t="shared" ref="AA30:AA36" si="70">Z30/Z10*100</f>
        <v>23.869195746846898</v>
      </c>
      <c r="AB30" s="191">
        <f t="shared" ref="AB30:AB36" si="71">IF(V30&lt;0,"       NM",(Z30/V30-1)*100)</f>
        <v>9.073140789558698</v>
      </c>
      <c r="AC30" s="57"/>
      <c r="AD30" s="147">
        <v>282.62700000000001</v>
      </c>
      <c r="AE30" s="181">
        <f t="shared" ref="AE30:AE36" si="72">AD30/AD10*100</f>
        <v>25.38974840857599</v>
      </c>
      <c r="AF30" s="191">
        <f t="shared" ref="AF30:AF36" si="73">IF(Z30&lt;0,"       NM",(AD30/Z30-1)*100)</f>
        <v>39.517215845982975</v>
      </c>
      <c r="AG30" s="57"/>
      <c r="AH30" s="147">
        <v>311.911</v>
      </c>
      <c r="AI30" s="181">
        <f t="shared" ref="AI30:AI36" si="74">AH30/AH10*100</f>
        <v>25.334189959924824</v>
      </c>
      <c r="AJ30" s="191">
        <f t="shared" ref="AJ30:AJ36" si="75">(AH30/AD30-1)*100</f>
        <v>10.3613596719351</v>
      </c>
      <c r="AK30" s="57"/>
      <c r="AL30" s="147">
        <v>472.14400000000001</v>
      </c>
      <c r="AM30" s="181">
        <f t="shared" ref="AM30:AM36" si="76">AL30/AL10*100</f>
        <v>27.454829645894197</v>
      </c>
      <c r="AN30" s="191">
        <f t="shared" ref="AN30:AN36" si="77">(AL30/AH30-1)*100</f>
        <v>51.37138478604475</v>
      </c>
      <c r="AO30" s="212"/>
      <c r="AP30" s="147">
        <v>615.149</v>
      </c>
      <c r="AQ30" s="181">
        <f t="shared" ref="AQ30:AQ36" si="78">AP30/AP10*100</f>
        <v>27.007060525943764</v>
      </c>
      <c r="AR30" s="191">
        <f t="shared" ref="AR30:AR36" si="79">(AP30/AL30-1)*100</f>
        <v>30.288428953878466</v>
      </c>
      <c r="AS30" s="57"/>
      <c r="AT30" s="147">
        <v>750.303</v>
      </c>
      <c r="AU30" s="181">
        <f t="shared" ref="AU30:AU36" si="80">AT30/AT10*100</f>
        <v>27.463607114228093</v>
      </c>
      <c r="AV30" s="191">
        <f t="shared" ref="AV30:AV36" si="81">(AT30/AP30-1)*100</f>
        <v>21.970937122550804</v>
      </c>
      <c r="AW30" s="57"/>
      <c r="AX30" s="147">
        <v>920.41200000000003</v>
      </c>
      <c r="AY30" s="181">
        <f t="shared" ref="AY30:AY36" si="82">AX30/AX10*100</f>
        <v>28.946904948208235</v>
      </c>
      <c r="AZ30" s="191">
        <f t="shared" ref="AZ30:AZ36" si="83">(AX30/AT30-1)*100</f>
        <v>22.672040495639756</v>
      </c>
      <c r="BA30" s="57"/>
      <c r="BB30" s="147">
        <v>766.41700000000003</v>
      </c>
      <c r="BC30" s="181">
        <f t="shared" ref="BC30:BC36" si="84">BB30/BB10*100</f>
        <v>26.511913492272143</v>
      </c>
      <c r="BD30" s="191">
        <f t="shared" ref="BD30:BD36" si="85">(BB30/AX30-1)*100</f>
        <v>-16.731094336014742</v>
      </c>
      <c r="BE30" s="57"/>
      <c r="BF30" s="147">
        <v>888.7</v>
      </c>
      <c r="BG30" s="181">
        <f t="shared" ref="BG30:BG36" si="86">BF30/BF10*100</f>
        <v>26.506433037031158</v>
      </c>
      <c r="BH30" s="191">
        <f t="shared" ref="BH30:BH36" si="87">(BF30/BB30-1)*100</f>
        <v>15.955152351787616</v>
      </c>
      <c r="BI30" s="208" t="s">
        <v>291</v>
      </c>
      <c r="BJ30" s="147">
        <f>1028.6</f>
        <v>1028.5999999999999</v>
      </c>
      <c r="BK30" s="181">
        <f t="shared" ref="BK30:BK36" si="88">BJ30/BJ10*100</f>
        <v>28.045856037997964</v>
      </c>
      <c r="BL30" s="191">
        <f t="shared" ref="BL30:BL36" si="89">(BJ30/BF30-1)*100</f>
        <v>15.742095195228977</v>
      </c>
      <c r="BM30" s="57">
        <f>+(BJ30-30)/BJ10</f>
        <v>0.27227874625262261</v>
      </c>
      <c r="BN30" s="147">
        <v>1015.771</v>
      </c>
      <c r="BO30" s="181">
        <f t="shared" ref="BO30:BO36" si="90">BN30/BN10*100</f>
        <v>28.011277632557547</v>
      </c>
      <c r="BP30" s="191">
        <f t="shared" ref="BP30:BP36" si="91">(BN30/BJ30-1)*100</f>
        <v>-1.2472292436321197</v>
      </c>
      <c r="BQ30" s="44"/>
      <c r="BR30" s="141">
        <v>1002</v>
      </c>
      <c r="BS30" s="181">
        <f t="shared" ref="BS30:BS36" si="92">BR30/BR10*100</f>
        <v>29.13637685373655</v>
      </c>
      <c r="BT30" s="55">
        <f t="shared" ref="BT30:BT36" si="93">(BR30/BN30-1)*100</f>
        <v>-1.3557189563395688</v>
      </c>
      <c r="BU30" s="213">
        <f>BV30-BR30</f>
        <v>49</v>
      </c>
      <c r="BV30" s="141">
        <v>1051</v>
      </c>
      <c r="BW30" s="181">
        <f t="shared" ref="BW30:BW36" si="94">BV30/BV10*100</f>
        <v>29.61397576782192</v>
      </c>
      <c r="BX30" s="55">
        <f t="shared" ref="BX30:BX36" si="95">(BV30/BR30-1)*100</f>
        <v>4.8902195608782506</v>
      </c>
      <c r="BY30" s="213">
        <f>BZ30-BV30</f>
        <v>-92</v>
      </c>
      <c r="BZ30" s="141">
        <v>959</v>
      </c>
      <c r="CA30" s="181">
        <f t="shared" ref="CA30:CA36" si="96">BZ30/BZ10*100</f>
        <v>28.339243498817968</v>
      </c>
      <c r="CB30" s="55">
        <f t="shared" ref="CB30:CB36" si="97">(BZ30/BV30-1)*100</f>
        <v>-8.7535680304471892</v>
      </c>
      <c r="CC30" s="213">
        <f>CD30-BZ30</f>
        <v>-73</v>
      </c>
      <c r="CD30" s="141">
        <v>886</v>
      </c>
      <c r="CE30" s="183">
        <f>(CD30/CD10)*100</f>
        <v>28.33386632555165</v>
      </c>
      <c r="CF30" s="55">
        <f t="shared" ref="CF30:CF36" si="98">(CD30/BZ30-1)*100</f>
        <v>-7.6120959332638183</v>
      </c>
      <c r="CG30" s="213">
        <f>CH30-CD30</f>
        <v>41</v>
      </c>
      <c r="CH30" s="141">
        <v>927</v>
      </c>
      <c r="CI30" s="183">
        <f>(CH30/CH10)*100</f>
        <v>27.846200060078104</v>
      </c>
      <c r="CJ30" s="55">
        <f t="shared" ref="CJ30:CJ36" si="99">(CH30/CD30-1)*100</f>
        <v>4.6275395033860134</v>
      </c>
      <c r="CK30" s="214"/>
      <c r="CL30" s="141">
        <v>918</v>
      </c>
      <c r="CM30" s="183">
        <f>(CL30/CL10)*100</f>
        <v>27.860394537177541</v>
      </c>
      <c r="CN30" s="55">
        <f t="shared" ref="CN30:CN36" si="100">(CL30/CH30-1)*100</f>
        <v>-0.97087378640776656</v>
      </c>
      <c r="CO30" s="214"/>
      <c r="CP30" s="141">
        <v>980</v>
      </c>
      <c r="CQ30" s="183">
        <f>(CP30/CP10)*100</f>
        <v>28.10438772583883</v>
      </c>
      <c r="CR30" s="55">
        <f t="shared" ref="CR30:CR36" si="101">(CP30/CL30-1)*100</f>
        <v>6.7538126361655682</v>
      </c>
      <c r="CS30" s="44"/>
      <c r="CT30" s="141">
        <v>1014</v>
      </c>
      <c r="CU30" s="183">
        <f>(CT30/CT10)*100</f>
        <v>27.192276749798872</v>
      </c>
      <c r="CV30" s="55">
        <f t="shared" ref="CV30:CV36" si="102">(CT30/CP30-1)*100</f>
        <v>3.469387755102038</v>
      </c>
      <c r="CW30" s="44"/>
      <c r="CX30" s="141">
        <v>1023</v>
      </c>
      <c r="CY30" s="183">
        <f>(CX30/CX10)*100</f>
        <v>27.106518282988873</v>
      </c>
      <c r="CZ30" s="55">
        <f t="shared" ref="CZ30:CZ36" si="103">(CX30/CT30-1)*100</f>
        <v>0.88757396449703485</v>
      </c>
      <c r="DA30" s="44"/>
      <c r="DB30" s="141">
        <f>996-2</f>
        <v>994</v>
      </c>
      <c r="DC30" s="183">
        <f>(DB30/DB10)*100</f>
        <v>27.180749248017499</v>
      </c>
      <c r="DD30" s="55">
        <f t="shared" ref="DD30:DD36" si="104">(DB30/CX30-1)*100</f>
        <v>-2.8347996089931549</v>
      </c>
      <c r="DE30" s="44"/>
      <c r="DF30" s="141">
        <v>987</v>
      </c>
      <c r="DG30" s="183">
        <f>(DF30/DF10)*100</f>
        <v>28.708551483420592</v>
      </c>
      <c r="DH30" s="55">
        <f t="shared" ref="DH30:DH36" si="105">(DF30/DB30-1)*100</f>
        <v>-0.70422535211267512</v>
      </c>
      <c r="DI30" s="55"/>
      <c r="DJ30" s="1469">
        <v>1049</v>
      </c>
      <c r="DK30" s="181">
        <f>(DJ30/DJ10)*100</f>
        <v>30.494186046511629</v>
      </c>
      <c r="DL30" s="55">
        <f t="shared" ref="DL30:DL33" si="106">(DJ30/DF30-1)*100</f>
        <v>6.2816616008105397</v>
      </c>
      <c r="DM30" s="55"/>
      <c r="DN30" s="1708">
        <f t="shared" ref="DN30:DN32" si="107">DN10*DO30/100</f>
        <v>1055.2460855003303</v>
      </c>
      <c r="DO30" s="2024">
        <v>30</v>
      </c>
      <c r="DP30" s="191">
        <f t="shared" ref="DP30" si="108">(DN30/DJ30-1)*100</f>
        <v>0.59543236418782008</v>
      </c>
      <c r="DQ30" s="142"/>
      <c r="DR30" s="1575">
        <f>DL30+DH30</f>
        <v>5.5774362486978646</v>
      </c>
      <c r="DS30" s="1576">
        <f>DL30+DH30+DD30</f>
        <v>2.7426366397047097</v>
      </c>
      <c r="DT30" s="44"/>
      <c r="DU30" s="1478">
        <f>DJ30-DF30</f>
        <v>62</v>
      </c>
      <c r="DV30" s="117"/>
      <c r="DW30" s="142"/>
      <c r="DX30" s="142"/>
      <c r="DY30" s="117"/>
      <c r="DZ30" s="142"/>
      <c r="EA30" s="215"/>
      <c r="EB30" s="142"/>
      <c r="EC30" s="142"/>
      <c r="ED30" s="44"/>
      <c r="EF30" s="9"/>
      <c r="EG30" s="142"/>
      <c r="EH30" s="142"/>
      <c r="EI30" s="215"/>
      <c r="EJ30" s="142"/>
      <c r="EK30" s="142"/>
      <c r="EL30" s="9"/>
      <c r="EM30" s="142"/>
      <c r="EN30" s="142"/>
      <c r="EO30" s="215"/>
      <c r="EP30" s="142"/>
      <c r="EQ30" s="142"/>
    </row>
    <row r="31" spans="1:148" outlineLevel="1">
      <c r="A31" s="44" t="str">
        <f>$A$11</f>
        <v>2Q</v>
      </c>
      <c r="B31" s="44" t="str">
        <f>$B$11</f>
        <v>Jul</v>
      </c>
      <c r="C31" s="57"/>
      <c r="D31" s="156"/>
      <c r="E31" s="57"/>
      <c r="F31" s="156">
        <v>99.956999999999994</v>
      </c>
      <c r="G31" s="181">
        <f t="shared" si="65"/>
        <v>24.680984503550651</v>
      </c>
      <c r="H31" s="191"/>
      <c r="I31" s="57"/>
      <c r="J31" s="156">
        <v>123.732</v>
      </c>
      <c r="K31" s="181">
        <f t="shared" si="66"/>
        <v>23.655593282554829</v>
      </c>
      <c r="L31" s="191"/>
      <c r="M31" s="57"/>
      <c r="N31" s="156">
        <v>139.92500000000001</v>
      </c>
      <c r="O31" s="181">
        <f t="shared" si="67"/>
        <v>22.784857534594554</v>
      </c>
      <c r="P31" s="191"/>
      <c r="Q31" s="57"/>
      <c r="R31" s="156">
        <v>153.32</v>
      </c>
      <c r="S31" s="181">
        <f t="shared" si="68"/>
        <v>22.117970201618022</v>
      </c>
      <c r="T31" s="191"/>
      <c r="U31" s="57"/>
      <c r="V31" s="156">
        <v>192.36199999999999</v>
      </c>
      <c r="W31" s="181">
        <f t="shared" si="69"/>
        <v>24.880906340581351</v>
      </c>
      <c r="X31" s="191"/>
      <c r="Y31" s="57"/>
      <c r="Z31" s="156">
        <v>210.04300000000001</v>
      </c>
      <c r="AA31" s="181">
        <f t="shared" si="70"/>
        <v>24.184181256721253</v>
      </c>
      <c r="AB31" s="191">
        <f t="shared" si="71"/>
        <v>9.191524313533872</v>
      </c>
      <c r="AC31" s="57"/>
      <c r="AD31" s="156">
        <v>295.38099999999997</v>
      </c>
      <c r="AE31" s="181">
        <f t="shared" si="72"/>
        <v>26.365417486733879</v>
      </c>
      <c r="AF31" s="191">
        <f t="shared" si="73"/>
        <v>40.628823621829802</v>
      </c>
      <c r="AG31" s="57"/>
      <c r="AH31" s="156">
        <v>352.46199999999999</v>
      </c>
      <c r="AI31" s="181">
        <f t="shared" si="74"/>
        <v>26.201048006238381</v>
      </c>
      <c r="AJ31" s="191">
        <f t="shared" si="75"/>
        <v>19.32453339923692</v>
      </c>
      <c r="AK31" s="57"/>
      <c r="AL31" s="156">
        <v>550.12800000000004</v>
      </c>
      <c r="AM31" s="181">
        <f t="shared" si="76"/>
        <v>28.878565016771919</v>
      </c>
      <c r="AN31" s="191">
        <f t="shared" si="77"/>
        <v>56.081506658873877</v>
      </c>
      <c r="AO31" s="57"/>
      <c r="AP31" s="156">
        <v>693.29700000000003</v>
      </c>
      <c r="AQ31" s="181">
        <f t="shared" si="78"/>
        <v>28.259323314063</v>
      </c>
      <c r="AR31" s="191">
        <f t="shared" si="79"/>
        <v>26.02467062210976</v>
      </c>
      <c r="AS31" s="57"/>
      <c r="AT31" s="156">
        <v>809.29399999999998</v>
      </c>
      <c r="AU31" s="181">
        <f t="shared" si="80"/>
        <v>27.454970190459456</v>
      </c>
      <c r="AV31" s="191">
        <f t="shared" si="81"/>
        <v>16.731213318390225</v>
      </c>
      <c r="AW31" s="57"/>
      <c r="AX31" s="156">
        <v>872.77200000000005</v>
      </c>
      <c r="AY31" s="181">
        <f t="shared" si="82"/>
        <v>26.894086346714968</v>
      </c>
      <c r="AZ31" s="191">
        <f t="shared" si="83"/>
        <v>7.8436266671938926</v>
      </c>
      <c r="BA31" s="57"/>
      <c r="BB31" s="156">
        <v>922.08</v>
      </c>
      <c r="BC31" s="181">
        <f t="shared" si="84"/>
        <v>28.212754669157658</v>
      </c>
      <c r="BD31" s="191">
        <f t="shared" si="85"/>
        <v>5.6495854587452321</v>
      </c>
      <c r="BE31" s="57"/>
      <c r="BF31" s="156">
        <v>929.95</v>
      </c>
      <c r="BG31" s="181">
        <f t="shared" si="86"/>
        <v>25.234044781712424</v>
      </c>
      <c r="BH31" s="191">
        <f t="shared" si="87"/>
        <v>0.85350511886170821</v>
      </c>
      <c r="BI31" s="208" t="s">
        <v>295</v>
      </c>
      <c r="BJ31" s="156">
        <f>1081.6</f>
        <v>1081.5999999999999</v>
      </c>
      <c r="BK31" s="181">
        <f t="shared" si="88"/>
        <v>29.06910335415418</v>
      </c>
      <c r="BL31" s="191">
        <f t="shared" si="89"/>
        <v>16.307328350986605</v>
      </c>
      <c r="BM31" s="57">
        <f>+(BJ31-65)/BJ11</f>
        <v>0.27322162046813186</v>
      </c>
      <c r="BN31" s="156">
        <f>956.601</f>
        <v>956.601</v>
      </c>
      <c r="BO31" s="181">
        <f t="shared" si="90"/>
        <v>25.740696790192825</v>
      </c>
      <c r="BP31" s="191">
        <f t="shared" si="91"/>
        <v>-11.556860207100584</v>
      </c>
      <c r="BQ31" s="44"/>
      <c r="BR31" s="216">
        <v>1031</v>
      </c>
      <c r="BS31" s="181">
        <f t="shared" si="92"/>
        <v>27.759827679052236</v>
      </c>
      <c r="BT31" s="55">
        <f t="shared" si="93"/>
        <v>7.7774328063633602</v>
      </c>
      <c r="BU31" s="217">
        <f>BV31-BR31</f>
        <v>-21</v>
      </c>
      <c r="BV31" s="216">
        <f>1039-20-9</f>
        <v>1010</v>
      </c>
      <c r="BW31" s="181">
        <f t="shared" si="94"/>
        <v>27.408412483039346</v>
      </c>
      <c r="BX31" s="55">
        <f t="shared" si="95"/>
        <v>-2.0368574199805978</v>
      </c>
      <c r="BY31" s="217">
        <f>BZ31-BV31</f>
        <v>-45</v>
      </c>
      <c r="BZ31" s="216">
        <v>965</v>
      </c>
      <c r="CA31" s="181">
        <f t="shared" si="96"/>
        <v>27.579308373821092</v>
      </c>
      <c r="CB31" s="55">
        <f t="shared" si="97"/>
        <v>-4.4554455445544594</v>
      </c>
      <c r="CC31" s="217">
        <f>CD31-BZ31</f>
        <v>-52</v>
      </c>
      <c r="CD31" s="216">
        <v>913</v>
      </c>
      <c r="CE31" s="183">
        <f>(CD31/CD11)*100</f>
        <v>28.135593220338983</v>
      </c>
      <c r="CF31" s="55">
        <f t="shared" si="98"/>
        <v>-5.3886010362694243</v>
      </c>
      <c r="CG31" s="217">
        <f>CH31-CD31</f>
        <v>4</v>
      </c>
      <c r="CH31" s="216">
        <v>917</v>
      </c>
      <c r="CI31" s="183">
        <f>(CH31/CH11)*100</f>
        <v>27.645462767561046</v>
      </c>
      <c r="CJ31" s="55">
        <f t="shared" si="99"/>
        <v>0.43811610076669449</v>
      </c>
      <c r="CK31" s="214"/>
      <c r="CL31" s="216">
        <v>917</v>
      </c>
      <c r="CM31" s="183">
        <f>(CL31/CL11)*100</f>
        <v>27.082102776137035</v>
      </c>
      <c r="CN31" s="55">
        <f t="shared" si="100"/>
        <v>0</v>
      </c>
      <c r="CO31" s="214"/>
      <c r="CP31" s="216">
        <v>1002</v>
      </c>
      <c r="CQ31" s="183">
        <f>(CP31/CP11)*100</f>
        <v>28.027972027972027</v>
      </c>
      <c r="CR31" s="55">
        <f t="shared" si="101"/>
        <v>9.2693565976008649</v>
      </c>
      <c r="CS31" s="44"/>
      <c r="CT31" s="159">
        <v>1046</v>
      </c>
      <c r="CU31" s="183">
        <f>(CT31/CT11)*100</f>
        <v>27.042399172699071</v>
      </c>
      <c r="CV31" s="55">
        <f t="shared" si="102"/>
        <v>4.3912175648702645</v>
      </c>
      <c r="CW31" s="44"/>
      <c r="CX31" s="159">
        <f>1080-39</f>
        <v>1041</v>
      </c>
      <c r="CY31" s="183">
        <f>(CX31/CX11)*100</f>
        <v>26.14920874152223</v>
      </c>
      <c r="CZ31" s="55">
        <f t="shared" si="103"/>
        <v>-0.47801147227533036</v>
      </c>
      <c r="DA31" s="44"/>
      <c r="DB31" s="159">
        <f>1089-71</f>
        <v>1018</v>
      </c>
      <c r="DC31" s="183">
        <f>(DB31/DB11)*100</f>
        <v>26.115956900974858</v>
      </c>
      <c r="DD31" s="55">
        <f>(DB31/CX31-1)*100</f>
        <v>-2.2094140249759864</v>
      </c>
      <c r="DE31" s="44"/>
      <c r="DF31" s="159">
        <f>1158-135</f>
        <v>1023</v>
      </c>
      <c r="DG31" s="181">
        <f>(DF31/DF11)*100</f>
        <v>26.564528693845759</v>
      </c>
      <c r="DH31" s="55">
        <f t="shared" si="105"/>
        <v>0.49115913555992652</v>
      </c>
      <c r="DI31" s="55"/>
      <c r="DJ31" s="1469">
        <f>1028+64</f>
        <v>1092</v>
      </c>
      <c r="DK31" s="181">
        <f>(DJ31/DJ11)*100</f>
        <v>28.744406422742831</v>
      </c>
      <c r="DL31" s="55">
        <f>(DJ31/DF31-1)*100</f>
        <v>6.7448680351906098</v>
      </c>
      <c r="DM31" s="55"/>
      <c r="DN31" s="1708">
        <f t="shared" si="107"/>
        <v>1132.3321582734459</v>
      </c>
      <c r="DO31" s="2024">
        <v>29</v>
      </c>
      <c r="DP31" s="191">
        <f>(DN31/DJ31-1)*100</f>
        <v>3.6934210873118989</v>
      </c>
      <c r="DQ31" s="142"/>
      <c r="DR31" s="1575">
        <f t="shared" ref="DR31:DR34" si="109">DL31+DH31</f>
        <v>7.2360271707505364</v>
      </c>
      <c r="DS31" s="1576">
        <f t="shared" ref="DS31:DS34" si="110">DL31+DH31+DD31</f>
        <v>5.02661314577455</v>
      </c>
      <c r="DT31" s="50"/>
      <c r="DU31" s="1478">
        <f t="shared" ref="DU31" si="111">DJ31-DF31</f>
        <v>69</v>
      </c>
      <c r="DV31" s="54"/>
      <c r="DW31" s="142"/>
      <c r="DX31" s="142"/>
      <c r="DY31" s="117"/>
      <c r="DZ31" s="142"/>
      <c r="EA31" s="215"/>
      <c r="EB31" s="142"/>
      <c r="EC31" s="142"/>
      <c r="ED31" s="44"/>
      <c r="EF31" s="9"/>
      <c r="EG31" s="142"/>
      <c r="EH31" s="142"/>
      <c r="EI31" s="215"/>
      <c r="EJ31" s="142"/>
      <c r="EK31" s="142"/>
      <c r="EL31" s="9"/>
      <c r="EM31" s="142"/>
      <c r="EN31" s="142"/>
      <c r="EO31" s="215"/>
      <c r="EP31" s="142"/>
      <c r="EQ31" s="142"/>
    </row>
    <row r="32" spans="1:148" outlineLevel="1">
      <c r="A32" s="44" t="str">
        <f>$A$12</f>
        <v>3Q</v>
      </c>
      <c r="B32" s="44" t="str">
        <f>$B$12</f>
        <v>Oct</v>
      </c>
      <c r="C32" s="57"/>
      <c r="D32" s="156"/>
      <c r="E32" s="57"/>
      <c r="F32" s="156">
        <v>117.298</v>
      </c>
      <c r="G32" s="181">
        <f t="shared" si="65"/>
        <v>23.380573661025732</v>
      </c>
      <c r="H32" s="191"/>
      <c r="I32" s="57"/>
      <c r="J32" s="156">
        <v>162.108</v>
      </c>
      <c r="K32" s="181">
        <f t="shared" si="66"/>
        <v>23.090597277694531</v>
      </c>
      <c r="L32" s="191"/>
      <c r="M32" s="57"/>
      <c r="N32" s="156">
        <v>190.22200000000001</v>
      </c>
      <c r="O32" s="181">
        <f t="shared" si="67"/>
        <v>22.995278172002198</v>
      </c>
      <c r="P32" s="191"/>
      <c r="Q32" s="57"/>
      <c r="R32" s="156">
        <v>209.084</v>
      </c>
      <c r="S32" s="181">
        <f t="shared" si="68"/>
        <v>23.265756217194834</v>
      </c>
      <c r="T32" s="191"/>
      <c r="U32" s="57"/>
      <c r="V32" s="156">
        <v>227.72800000000001</v>
      </c>
      <c r="W32" s="181">
        <f t="shared" si="69"/>
        <v>23.041323585060294</v>
      </c>
      <c r="X32" s="191"/>
      <c r="Y32" s="57"/>
      <c r="Z32" s="156">
        <v>266.93900000000002</v>
      </c>
      <c r="AA32" s="181">
        <f t="shared" si="70"/>
        <v>23.093027339914478</v>
      </c>
      <c r="AB32" s="191">
        <f t="shared" si="71"/>
        <v>17.218348204876001</v>
      </c>
      <c r="AC32" s="57"/>
      <c r="AD32" s="156">
        <v>328.43400000000003</v>
      </c>
      <c r="AE32" s="181">
        <f t="shared" si="72"/>
        <v>23.74800794796225</v>
      </c>
      <c r="AF32" s="191">
        <f t="shared" si="73"/>
        <v>23.037098363296483</v>
      </c>
      <c r="AG32" s="57"/>
      <c r="AH32" s="156">
        <v>453.97699999999998</v>
      </c>
      <c r="AI32" s="181">
        <f t="shared" si="74"/>
        <v>25.707399859225035</v>
      </c>
      <c r="AJ32" s="191">
        <f t="shared" si="75"/>
        <v>38.224727038004566</v>
      </c>
      <c r="AK32" s="57"/>
      <c r="AL32" s="156">
        <v>636.745</v>
      </c>
      <c r="AM32" s="181">
        <f t="shared" si="76"/>
        <v>26.531616518357897</v>
      </c>
      <c r="AN32" s="191">
        <f t="shared" si="77"/>
        <v>40.25930829094866</v>
      </c>
      <c r="AO32" s="57"/>
      <c r="AP32" s="156">
        <v>797.64200000000005</v>
      </c>
      <c r="AQ32" s="181">
        <f t="shared" si="78"/>
        <v>26.19181936214326</v>
      </c>
      <c r="AR32" s="191">
        <f t="shared" si="79"/>
        <v>25.268671132085842</v>
      </c>
      <c r="AS32" s="57"/>
      <c r="AT32" s="156">
        <v>943.26199999999994</v>
      </c>
      <c r="AU32" s="181">
        <f t="shared" si="80"/>
        <v>27.623827558052493</v>
      </c>
      <c r="AV32" s="191">
        <f t="shared" si="81"/>
        <v>18.256310475125414</v>
      </c>
      <c r="AW32" s="57"/>
      <c r="AX32" s="156">
        <v>946.88199999999995</v>
      </c>
      <c r="AY32" s="181">
        <f t="shared" si="82"/>
        <v>28.406121967148589</v>
      </c>
      <c r="AZ32" s="191">
        <f t="shared" si="83"/>
        <v>0.38377460345058179</v>
      </c>
      <c r="BA32" s="57"/>
      <c r="BB32" s="156">
        <v>1009.393</v>
      </c>
      <c r="BC32" s="181">
        <f t="shared" si="84"/>
        <v>27.692872012721143</v>
      </c>
      <c r="BD32" s="191">
        <f t="shared" si="85"/>
        <v>6.6017729769918709</v>
      </c>
      <c r="BE32" s="181"/>
      <c r="BF32" s="156">
        <v>1053.78</v>
      </c>
      <c r="BG32" s="181">
        <f t="shared" si="86"/>
        <v>26.817452593946843</v>
      </c>
      <c r="BH32" s="191">
        <f t="shared" si="87"/>
        <v>4.3973952662639704</v>
      </c>
      <c r="BI32" s="208" t="s">
        <v>292</v>
      </c>
      <c r="BJ32" s="156">
        <f>1109</f>
        <v>1109</v>
      </c>
      <c r="BK32" s="181">
        <f t="shared" si="88"/>
        <v>27.863271484743034</v>
      </c>
      <c r="BL32" s="191">
        <f t="shared" si="89"/>
        <v>5.2401829603902161</v>
      </c>
      <c r="BM32" s="57">
        <f>+(BJ32-10)/BJ12</f>
        <v>0.27612024672436969</v>
      </c>
      <c r="BN32" s="156">
        <f>1023.079</f>
        <v>1023.079</v>
      </c>
      <c r="BO32" s="181">
        <f t="shared" si="90"/>
        <v>26.505282771134841</v>
      </c>
      <c r="BP32" s="191">
        <f t="shared" si="91"/>
        <v>-7.7476104598737656</v>
      </c>
      <c r="BQ32" s="44"/>
      <c r="BR32" s="216">
        <v>1161</v>
      </c>
      <c r="BS32" s="181">
        <f t="shared" si="92"/>
        <v>30.148013502986238</v>
      </c>
      <c r="BT32" s="55">
        <f t="shared" si="93"/>
        <v>13.480972632611966</v>
      </c>
      <c r="BU32" s="217">
        <f>BV32-BR32</f>
        <v>-82</v>
      </c>
      <c r="BV32" s="216">
        <f>1079</f>
        <v>1079</v>
      </c>
      <c r="BW32" s="181">
        <f t="shared" si="94"/>
        <v>27.996886351842242</v>
      </c>
      <c r="BX32" s="55">
        <f t="shared" si="95"/>
        <v>-7.0628768303186877</v>
      </c>
      <c r="BY32" s="217">
        <f>BZ32-BV32</f>
        <v>-95</v>
      </c>
      <c r="BZ32" s="216">
        <v>984</v>
      </c>
      <c r="CA32" s="181">
        <f t="shared" si="96"/>
        <v>27.63268744734625</v>
      </c>
      <c r="CB32" s="55">
        <f t="shared" si="97"/>
        <v>-8.8044485634847121</v>
      </c>
      <c r="CC32" s="217">
        <f>CD32-BZ32</f>
        <v>40</v>
      </c>
      <c r="CD32" s="216">
        <v>1024</v>
      </c>
      <c r="CE32" s="183">
        <f>(CD32/CD12)*100</f>
        <v>28.531624407913071</v>
      </c>
      <c r="CF32" s="55">
        <f t="shared" si="98"/>
        <v>4.0650406504065151</v>
      </c>
      <c r="CG32" s="217">
        <f>CH32-CD32</f>
        <v>-23</v>
      </c>
      <c r="CH32" s="216">
        <v>1001</v>
      </c>
      <c r="CI32" s="183">
        <f>(CH32/CH12)*100</f>
        <v>27.39463601532567</v>
      </c>
      <c r="CJ32" s="55">
        <f t="shared" si="99"/>
        <v>-2.24609375</v>
      </c>
      <c r="CK32" s="214"/>
      <c r="CL32" s="216">
        <v>968</v>
      </c>
      <c r="CM32" s="183">
        <f>(CL32/CL12)*100</f>
        <v>27.001394700139471</v>
      </c>
      <c r="CN32" s="55">
        <f t="shared" si="100"/>
        <v>-3.2967032967032961</v>
      </c>
      <c r="CO32" s="214"/>
      <c r="CP32" s="156">
        <v>1073</v>
      </c>
      <c r="CQ32" s="183">
        <f>(CP32/CP12)*100</f>
        <v>27.769151138716357</v>
      </c>
      <c r="CR32" s="55">
        <f t="shared" si="101"/>
        <v>10.847107438016534</v>
      </c>
      <c r="CS32" s="44"/>
      <c r="CT32" s="157">
        <v>1013</v>
      </c>
      <c r="CU32" s="183">
        <f>(CT32/CT12)*100</f>
        <v>25.477867203219319</v>
      </c>
      <c r="CV32" s="55">
        <f t="shared" si="102"/>
        <v>-5.5917986952469745</v>
      </c>
      <c r="CW32" s="44"/>
      <c r="CX32" s="157">
        <v>1042</v>
      </c>
      <c r="CY32" s="181">
        <f>(CX32/CX12)*100</f>
        <v>26.233635448136962</v>
      </c>
      <c r="CZ32" s="55">
        <f t="shared" si="103"/>
        <v>2.8627838104639647</v>
      </c>
      <c r="DA32" s="44"/>
      <c r="DB32" s="157">
        <f>1026-7</f>
        <v>1019</v>
      </c>
      <c r="DC32" s="183">
        <f>(DB32/DB12)*100</f>
        <v>26.419497018408087</v>
      </c>
      <c r="DD32" s="55">
        <f t="shared" si="104"/>
        <v>-2.2072936660268661</v>
      </c>
      <c r="DE32" s="44"/>
      <c r="DF32" s="157">
        <f>1104-36</f>
        <v>1068</v>
      </c>
      <c r="DG32" s="183">
        <f t="shared" ref="DG32:DG33" si="112">(DF32/DF12)*100</f>
        <v>28.120063191153239</v>
      </c>
      <c r="DH32" s="55">
        <f t="shared" ref="DH32" si="113">(DF32/DB32-1)*100</f>
        <v>4.8086359175662396</v>
      </c>
      <c r="DI32" s="55"/>
      <c r="DJ32" s="1469">
        <v>1147</v>
      </c>
      <c r="DK32" s="181">
        <f>(DJ32/DJ12)*100</f>
        <v>29.885356956748304</v>
      </c>
      <c r="DL32" s="55">
        <f t="shared" si="106"/>
        <v>7.3970037453183535</v>
      </c>
      <c r="DM32" s="55"/>
      <c r="DN32" s="1708">
        <f t="shared" si="107"/>
        <v>1171.1633282107857</v>
      </c>
      <c r="DO32" s="2024">
        <v>30</v>
      </c>
      <c r="DP32" s="191">
        <f t="shared" ref="DP32:DP33" si="114">(DN32/DJ32-1)*100</f>
        <v>2.1066545955349403</v>
      </c>
      <c r="DQ32" s="50"/>
      <c r="DR32" s="1575">
        <f t="shared" si="109"/>
        <v>12.205639662884593</v>
      </c>
      <c r="DS32" s="1576">
        <f t="shared" si="110"/>
        <v>9.9983459968577275</v>
      </c>
      <c r="DT32" s="50"/>
      <c r="DU32" s="1478">
        <f>DJ32-DF32</f>
        <v>79</v>
      </c>
      <c r="DV32" s="54"/>
      <c r="DW32" s="142"/>
      <c r="DX32" s="142"/>
      <c r="DY32" s="117"/>
      <c r="DZ32" s="142"/>
      <c r="EA32" s="215"/>
      <c r="EB32" s="142"/>
      <c r="EC32" s="142"/>
      <c r="ED32" s="44"/>
      <c r="EF32" s="9"/>
      <c r="EG32" s="142"/>
      <c r="EH32" s="142"/>
      <c r="EI32" s="215"/>
      <c r="EJ32" s="142"/>
      <c r="EK32" s="142"/>
      <c r="EL32" s="9"/>
      <c r="EM32" s="142"/>
      <c r="EN32" s="142"/>
      <c r="EO32" s="215"/>
      <c r="EP32" s="142"/>
      <c r="EQ32" s="142"/>
    </row>
    <row r="33" spans="1:151" outlineLevel="1">
      <c r="A33" s="44"/>
      <c r="B33" s="44" t="str">
        <f>$B$13</f>
        <v>Jan</v>
      </c>
      <c r="C33" s="60"/>
      <c r="D33" s="163"/>
      <c r="E33" s="60"/>
      <c r="F33" s="163">
        <v>139.988</v>
      </c>
      <c r="G33" s="181">
        <f t="shared" si="65"/>
        <v>22.407903624949178</v>
      </c>
      <c r="H33" s="191"/>
      <c r="I33" s="57"/>
      <c r="J33" s="163">
        <v>174.38200000000001</v>
      </c>
      <c r="K33" s="181">
        <f t="shared" si="66"/>
        <v>21.703205411426474</v>
      </c>
      <c r="L33" s="191"/>
      <c r="M33" s="57"/>
      <c r="N33" s="163">
        <v>195.52500000000001</v>
      </c>
      <c r="O33" s="181">
        <f t="shared" si="67"/>
        <v>21.019469818073144</v>
      </c>
      <c r="P33" s="191"/>
      <c r="Q33" s="57"/>
      <c r="R33" s="163">
        <v>233.876</v>
      </c>
      <c r="S33" s="181">
        <f t="shared" si="68"/>
        <v>22.058987200890375</v>
      </c>
      <c r="T33" s="191"/>
      <c r="U33" s="57"/>
      <c r="V33" s="163">
        <v>247.71</v>
      </c>
      <c r="W33" s="181">
        <f t="shared" si="69"/>
        <v>20.475403643433218</v>
      </c>
      <c r="X33" s="191"/>
      <c r="Y33" s="57"/>
      <c r="Z33" s="163">
        <v>324.839</v>
      </c>
      <c r="AA33" s="181">
        <f t="shared" si="70"/>
        <v>21.341193412880173</v>
      </c>
      <c r="AB33" s="191">
        <f t="shared" si="71"/>
        <v>31.136813208994376</v>
      </c>
      <c r="AC33" s="57"/>
      <c r="AD33" s="163">
        <v>363.69600000000003</v>
      </c>
      <c r="AE33" s="181">
        <f t="shared" si="72"/>
        <v>21.805676133284091</v>
      </c>
      <c r="AF33" s="191">
        <f t="shared" si="73"/>
        <v>11.961925753988911</v>
      </c>
      <c r="AG33" s="57"/>
      <c r="AH33" s="163">
        <v>516.66700000000003</v>
      </c>
      <c r="AI33" s="181">
        <f t="shared" si="74"/>
        <v>23.859247769200259</v>
      </c>
      <c r="AJ33" s="191">
        <f t="shared" si="75"/>
        <v>42.060127139149174</v>
      </c>
      <c r="AK33" s="57"/>
      <c r="AL33" s="163">
        <v>744.34799999999996</v>
      </c>
      <c r="AM33" s="181">
        <f t="shared" si="76"/>
        <v>24.567302741538143</v>
      </c>
      <c r="AN33" s="191">
        <f t="shared" si="77"/>
        <v>44.067261892089093</v>
      </c>
      <c r="AO33" s="57"/>
      <c r="AP33" s="163">
        <v>937.34400000000005</v>
      </c>
      <c r="AQ33" s="181">
        <f t="shared" si="78"/>
        <v>24.29019997465625</v>
      </c>
      <c r="AR33" s="191">
        <f t="shared" si="79"/>
        <v>25.928194876589995</v>
      </c>
      <c r="AS33" s="57"/>
      <c r="AT33" s="163">
        <v>1126.3979999999999</v>
      </c>
      <c r="AU33" s="181">
        <f t="shared" si="80"/>
        <v>24.598741059355049</v>
      </c>
      <c r="AV33" s="191">
        <f t="shared" si="81"/>
        <v>20.169116140925823</v>
      </c>
      <c r="AW33" s="57"/>
      <c r="AX33" s="163">
        <v>1065.902</v>
      </c>
      <c r="AY33" s="181">
        <f t="shared" si="82"/>
        <v>26.063563285142283</v>
      </c>
      <c r="AZ33" s="191">
        <f t="shared" si="83"/>
        <v>-5.3707481724931894</v>
      </c>
      <c r="BA33" s="57"/>
      <c r="BB33" s="163">
        <v>1202.6320000000001</v>
      </c>
      <c r="BC33" s="181">
        <f t="shared" si="84"/>
        <v>25.859694783731317</v>
      </c>
      <c r="BD33" s="191">
        <f t="shared" si="85"/>
        <v>12.827633309628839</v>
      </c>
      <c r="BE33" s="57"/>
      <c r="BF33" s="163">
        <v>1217.0999999999999</v>
      </c>
      <c r="BG33" s="181">
        <f t="shared" si="86"/>
        <v>24.908600927006809</v>
      </c>
      <c r="BH33" s="191">
        <f t="shared" si="87"/>
        <v>1.2030280251980496</v>
      </c>
      <c r="BI33" s="208" t="s">
        <v>293</v>
      </c>
      <c r="BJ33" s="163">
        <v>1188</v>
      </c>
      <c r="BK33" s="181">
        <f t="shared" si="88"/>
        <v>24.25035676398177</v>
      </c>
      <c r="BL33" s="191">
        <f>(BJ33/BF33-1)*100</f>
        <v>-2.3909292580724606</v>
      </c>
      <c r="BM33" s="179">
        <f>+(BJ33)/BJ13</f>
        <v>0.2425035676398177</v>
      </c>
      <c r="BN33" s="163">
        <v>1129.826</v>
      </c>
      <c r="BO33" s="181">
        <f t="shared" si="90"/>
        <v>23.436080070808607</v>
      </c>
      <c r="BP33" s="191">
        <f t="shared" si="91"/>
        <v>-4.8968013468013494</v>
      </c>
      <c r="BQ33" s="44"/>
      <c r="BR33" s="218">
        <v>1238</v>
      </c>
      <c r="BS33" s="181">
        <f t="shared" si="92"/>
        <v>25.16771701565359</v>
      </c>
      <c r="BT33" s="55">
        <f t="shared" si="93"/>
        <v>9.5743946412987455</v>
      </c>
      <c r="BU33" s="219">
        <f>BV33-BR33</f>
        <v>-30</v>
      </c>
      <c r="BV33" s="218">
        <v>1208</v>
      </c>
      <c r="BW33" s="181">
        <f t="shared" si="94"/>
        <v>25.839572192513373</v>
      </c>
      <c r="BX33" s="55">
        <f t="shared" si="95"/>
        <v>-2.4232633279482996</v>
      </c>
      <c r="BY33" s="219">
        <f>BZ33-BV33</f>
        <v>-217</v>
      </c>
      <c r="BZ33" s="218">
        <v>991</v>
      </c>
      <c r="CA33" s="181">
        <f t="shared" si="96"/>
        <v>24.277315041646254</v>
      </c>
      <c r="CB33" s="55">
        <f t="shared" si="97"/>
        <v>-17.963576158940398</v>
      </c>
      <c r="CC33" s="219">
        <f>CD33-BZ33</f>
        <v>95</v>
      </c>
      <c r="CD33" s="218">
        <v>1086</v>
      </c>
      <c r="CE33" s="183">
        <f>(CD33/CD13)*100</f>
        <v>25.63739376770538</v>
      </c>
      <c r="CF33" s="55">
        <f t="shared" si="98"/>
        <v>9.586276488395562</v>
      </c>
      <c r="CG33" s="219">
        <f>CH33-CD33</f>
        <v>-10</v>
      </c>
      <c r="CH33" s="218">
        <v>1076</v>
      </c>
      <c r="CI33" s="183">
        <f>(CH33/CH13)*100</f>
        <v>24.656278643446381</v>
      </c>
      <c r="CJ33" s="55">
        <f t="shared" si="99"/>
        <v>-0.92081031307550409</v>
      </c>
      <c r="CK33" s="214"/>
      <c r="CL33" s="218">
        <v>1033</v>
      </c>
      <c r="CM33" s="183">
        <f>(CL33/CL13)*100</f>
        <v>24.118608452019615</v>
      </c>
      <c r="CN33" s="55">
        <f t="shared" si="100"/>
        <v>-3.9962825278810454</v>
      </c>
      <c r="CO33" s="214"/>
      <c r="CP33" s="218">
        <v>1174</v>
      </c>
      <c r="CQ33" s="183">
        <f>(CP33/CP13)*100</f>
        <v>24.846560846560848</v>
      </c>
      <c r="CR33" s="55">
        <f t="shared" si="101"/>
        <v>13.649564375605028</v>
      </c>
      <c r="CS33" s="44"/>
      <c r="CT33" s="218">
        <v>1071</v>
      </c>
      <c r="CU33" s="181">
        <f>(CT33/CT13)*100</f>
        <v>23.409836065573771</v>
      </c>
      <c r="CV33" s="55">
        <f t="shared" si="102"/>
        <v>-8.7734241908006823</v>
      </c>
      <c r="CW33" s="44"/>
      <c r="CX33" s="218">
        <v>1139</v>
      </c>
      <c r="CY33" s="181">
        <f>(CX33/CX13)*100</f>
        <v>24.192863211554798</v>
      </c>
      <c r="CZ33" s="55">
        <f t="shared" si="103"/>
        <v>6.3492063492063489</v>
      </c>
      <c r="DA33" s="44"/>
      <c r="DB33" s="218">
        <f>1085-19</f>
        <v>1066</v>
      </c>
      <c r="DC33" s="181">
        <f>(DB33/DB13)*100</f>
        <v>24.310148232611176</v>
      </c>
      <c r="DD33" s="55">
        <f t="shared" si="104"/>
        <v>-6.4091308165057033</v>
      </c>
      <c r="DE33" s="44"/>
      <c r="DF33" s="218">
        <f>1200-26-71+73</f>
        <v>1176</v>
      </c>
      <c r="DG33" s="183">
        <f t="shared" si="112"/>
        <v>26.552269135244977</v>
      </c>
      <c r="DH33" s="55">
        <f t="shared" si="105"/>
        <v>10.31894934333959</v>
      </c>
      <c r="DI33" s="55"/>
      <c r="DJ33" s="1428">
        <v>1363</v>
      </c>
      <c r="DK33" s="181">
        <f>(DJ33/DJ13)*100</f>
        <v>28.52658015906237</v>
      </c>
      <c r="DL33" s="55">
        <f t="shared" si="106"/>
        <v>15.901360544217692</v>
      </c>
      <c r="DM33" s="55"/>
      <c r="DN33" s="166">
        <f>DN13*DO33/100</f>
        <v>1324.8406935620139</v>
      </c>
      <c r="DO33" s="432">
        <v>28.3</v>
      </c>
      <c r="DP33" s="191">
        <f t="shared" si="114"/>
        <v>-2.7996556447531962</v>
      </c>
      <c r="DQ33" s="50"/>
      <c r="DR33" s="1577">
        <f t="shared" si="109"/>
        <v>26.220309887557281</v>
      </c>
      <c r="DS33" s="1578">
        <f t="shared" si="110"/>
        <v>19.811179071051576</v>
      </c>
      <c r="DT33" s="50"/>
      <c r="DU33" s="1478">
        <f>DJ33-DF33</f>
        <v>187</v>
      </c>
      <c r="DV33" s="54"/>
      <c r="DW33" s="220"/>
      <c r="DX33" s="220"/>
      <c r="DY33" s="117"/>
      <c r="DZ33" s="142"/>
      <c r="EA33" s="215"/>
      <c r="EB33" s="142"/>
      <c r="EC33" s="142"/>
      <c r="ED33" s="44"/>
      <c r="EF33" s="9"/>
      <c r="EG33" s="220"/>
      <c r="EH33" s="142"/>
      <c r="EI33" s="215"/>
      <c r="EJ33" s="142"/>
      <c r="EK33" s="142"/>
      <c r="EL33" s="9"/>
      <c r="EM33" s="220"/>
      <c r="EN33" s="142"/>
      <c r="EO33" s="215"/>
      <c r="EP33" s="142"/>
      <c r="EQ33" s="142"/>
    </row>
    <row r="34" spans="1:151" outlineLevel="1">
      <c r="A34" s="44"/>
      <c r="B34" s="44" t="str">
        <f>$B$14</f>
        <v>Year</v>
      </c>
      <c r="C34" s="57"/>
      <c r="D34" s="167"/>
      <c r="E34" s="57"/>
      <c r="F34" s="167">
        <f>SUM(F30:F33)</f>
        <v>454.18</v>
      </c>
      <c r="G34" s="181">
        <f t="shared" si="65"/>
        <v>23.486642741159798</v>
      </c>
      <c r="H34" s="191"/>
      <c r="I34" s="57"/>
      <c r="J34" s="167">
        <f>SUM(J30:J33)</f>
        <v>575.68599999999992</v>
      </c>
      <c r="K34" s="181">
        <f t="shared" si="66"/>
        <v>22.854722292689683</v>
      </c>
      <c r="L34" s="191"/>
      <c r="M34" s="57"/>
      <c r="N34" s="167">
        <f>SUM(N30:N33)</f>
        <v>661.25199999999995</v>
      </c>
      <c r="O34" s="181">
        <f t="shared" si="67"/>
        <v>22.336508232477335</v>
      </c>
      <c r="P34" s="191"/>
      <c r="Q34" s="57"/>
      <c r="R34" s="167">
        <f>SUM(R30:R33)</f>
        <v>748.19299999999998</v>
      </c>
      <c r="S34" s="181">
        <f t="shared" si="68"/>
        <v>22.702241328721637</v>
      </c>
      <c r="T34" s="191"/>
      <c r="U34" s="57"/>
      <c r="V34" s="167">
        <f>SUM(V30:V33)</f>
        <v>853.52400000000011</v>
      </c>
      <c r="W34" s="181">
        <f t="shared" si="69"/>
        <v>22.926074553981536</v>
      </c>
      <c r="X34" s="191"/>
      <c r="Y34" s="57"/>
      <c r="Z34" s="167">
        <f>SUM(Z30:Z33)</f>
        <v>1004.396</v>
      </c>
      <c r="AA34" s="181">
        <f t="shared" si="70"/>
        <v>22.851835832886067</v>
      </c>
      <c r="AB34" s="191">
        <f t="shared" si="71"/>
        <v>17.676362937656087</v>
      </c>
      <c r="AC34" s="57"/>
      <c r="AD34" s="167">
        <f>SUM(AD30:AD33)</f>
        <v>1270.1379999999999</v>
      </c>
      <c r="AE34" s="181">
        <f t="shared" si="72"/>
        <v>24.035700680931214</v>
      </c>
      <c r="AF34" s="191">
        <f t="shared" si="73"/>
        <v>26.457891110677465</v>
      </c>
      <c r="AG34" s="57"/>
      <c r="AH34" s="167">
        <f>SUM(AH30:AH33)</f>
        <v>1635.0169999999998</v>
      </c>
      <c r="AI34" s="181">
        <f t="shared" si="74"/>
        <v>25.123862427154997</v>
      </c>
      <c r="AJ34" s="191">
        <f t="shared" si="75"/>
        <v>28.727508349486431</v>
      </c>
      <c r="AK34" s="57"/>
      <c r="AL34" s="167">
        <f>SUM(AL30:AL33)</f>
        <v>2403.3649999999998</v>
      </c>
      <c r="AM34" s="181">
        <f t="shared" si="76"/>
        <v>26.543432398302624</v>
      </c>
      <c r="AN34" s="191">
        <f t="shared" si="77"/>
        <v>46.993272852820489</v>
      </c>
      <c r="AO34" s="57"/>
      <c r="AP34" s="167">
        <f>SUM(AP30:AP33)</f>
        <v>3043.4319999999998</v>
      </c>
      <c r="AQ34" s="181">
        <f t="shared" si="78"/>
        <v>26.156664344442703</v>
      </c>
      <c r="AR34" s="191">
        <f t="shared" si="79"/>
        <v>26.6321178847158</v>
      </c>
      <c r="AS34" s="57"/>
      <c r="AT34" s="167">
        <f>SUM(AT30:AT33)</f>
        <v>3629.2569999999996</v>
      </c>
      <c r="AU34" s="181">
        <f t="shared" si="80"/>
        <v>26.542345536535738</v>
      </c>
      <c r="AV34" s="191">
        <f t="shared" si="81"/>
        <v>19.248828296475807</v>
      </c>
      <c r="AW34" s="57"/>
      <c r="AX34" s="167">
        <f>SUM(AX30:AX33)</f>
        <v>3805.9680000000003</v>
      </c>
      <c r="AY34" s="181">
        <f t="shared" si="82"/>
        <v>27.484134206025722</v>
      </c>
      <c r="AZ34" s="191">
        <f t="shared" si="83"/>
        <v>4.869068241791652</v>
      </c>
      <c r="BA34" s="57"/>
      <c r="BB34" s="167">
        <f>SUM(BB30:BB33)</f>
        <v>3900.5220000000004</v>
      </c>
      <c r="BC34" s="181">
        <f t="shared" si="84"/>
        <v>26.984438081735167</v>
      </c>
      <c r="BD34" s="191">
        <f t="shared" si="85"/>
        <v>2.4843614029335104</v>
      </c>
      <c r="BE34" s="57"/>
      <c r="BF34" s="167">
        <f>SUM(BF30:BF33)</f>
        <v>4089.53</v>
      </c>
      <c r="BG34" s="181">
        <f t="shared" si="86"/>
        <v>25.795283020653102</v>
      </c>
      <c r="BH34" s="191">
        <f t="shared" si="87"/>
        <v>4.8457103946599966</v>
      </c>
      <c r="BI34" s="208" t="s">
        <v>294</v>
      </c>
      <c r="BJ34" s="167">
        <f>SUM(BJ30:BJ33)</f>
        <v>4407.2</v>
      </c>
      <c r="BK34" s="181">
        <f t="shared" si="88"/>
        <v>27.092219586890366</v>
      </c>
      <c r="BL34" s="191">
        <f t="shared" si="89"/>
        <v>7.7678853071135201</v>
      </c>
      <c r="BM34" s="57"/>
      <c r="BN34" s="167">
        <f>SUM(BN30:BN33)</f>
        <v>4125.277</v>
      </c>
      <c r="BO34" s="181">
        <f t="shared" si="90"/>
        <v>25.745360841470404</v>
      </c>
      <c r="BP34" s="191">
        <f t="shared" si="91"/>
        <v>-6.3968732982392362</v>
      </c>
      <c r="BQ34" s="44"/>
      <c r="BR34" s="66">
        <f>SUM(BR30:BR33)</f>
        <v>4432</v>
      </c>
      <c r="BS34" s="183">
        <f t="shared" si="92"/>
        <v>27.833950888651636</v>
      </c>
      <c r="BT34" s="55">
        <f t="shared" si="93"/>
        <v>7.4352098053051874</v>
      </c>
      <c r="BU34" s="44"/>
      <c r="BV34" s="66">
        <f>SUM(BV30:BV33)</f>
        <v>4348</v>
      </c>
      <c r="BW34" s="183">
        <f t="shared" si="94"/>
        <v>27.583581805493878</v>
      </c>
      <c r="BX34" s="55">
        <f t="shared" si="95"/>
        <v>-1.8953068592057809</v>
      </c>
      <c r="BY34" s="221">
        <f>SUM(BY30:BY33)</f>
        <v>-449</v>
      </c>
      <c r="BZ34" s="66">
        <f>SUM(BZ30:BZ33)</f>
        <v>3899</v>
      </c>
      <c r="CA34" s="183">
        <f t="shared" si="96"/>
        <v>26.841525540410299</v>
      </c>
      <c r="CB34" s="55">
        <f t="shared" si="97"/>
        <v>-10.326586936522542</v>
      </c>
      <c r="CC34" s="44"/>
      <c r="CD34" s="66">
        <f>SUM(CD30:CD33)</f>
        <v>3909</v>
      </c>
      <c r="CE34" s="183">
        <f>CD34/CD14*100</f>
        <v>27.533986053391562</v>
      </c>
      <c r="CF34" s="55">
        <f t="shared" si="98"/>
        <v>0.25647601949216892</v>
      </c>
      <c r="CG34" s="59"/>
      <c r="CH34" s="66">
        <f>SUM(CH30:CH33)</f>
        <v>3921</v>
      </c>
      <c r="CI34" s="183">
        <f>CH34/CH14*100</f>
        <v>26.738952536824879</v>
      </c>
      <c r="CJ34" s="55">
        <f t="shared" si="99"/>
        <v>0.30698388334613469</v>
      </c>
      <c r="CK34" s="59"/>
      <c r="CL34" s="66">
        <f>SUM(CL30:CL33)</f>
        <v>3836</v>
      </c>
      <c r="CM34" s="183">
        <f>CL34/CL14*100</f>
        <v>26.366073269640527</v>
      </c>
      <c r="CN34" s="55">
        <f t="shared" si="100"/>
        <v>-2.1678143330782995</v>
      </c>
      <c r="CO34" s="59"/>
      <c r="CP34" s="66">
        <f>SUM(CP30:CP33)</f>
        <v>4229</v>
      </c>
      <c r="CQ34" s="183">
        <f>CP34/CP14*100</f>
        <v>27.020637658935531</v>
      </c>
      <c r="CR34" s="55">
        <f t="shared" si="101"/>
        <v>10.245046923879041</v>
      </c>
      <c r="CS34" s="44"/>
      <c r="CT34" s="66">
        <f>SUM(CT30:CT33)</f>
        <v>4144</v>
      </c>
      <c r="CU34" s="183">
        <f>CT34/CT14*100</f>
        <v>25.662620757988609</v>
      </c>
      <c r="CV34" s="55">
        <f t="shared" si="102"/>
        <v>-2.0099314258690049</v>
      </c>
      <c r="CW34" s="44"/>
      <c r="CX34" s="66">
        <f>SUM(CX30:CX33)</f>
        <v>4245</v>
      </c>
      <c r="CY34" s="183">
        <f>CX34/CX14*100</f>
        <v>25.829023425616064</v>
      </c>
      <c r="CZ34" s="55">
        <f t="shared" si="103"/>
        <v>2.437258687258681</v>
      </c>
      <c r="DA34" s="44"/>
      <c r="DB34" s="66">
        <f>SUM(DB30:DB33)</f>
        <v>4097</v>
      </c>
      <c r="DC34" s="183">
        <f>DB34/DB14*100</f>
        <v>25.935304171678165</v>
      </c>
      <c r="DD34" s="55">
        <f t="shared" si="104"/>
        <v>-3.4864546525323892</v>
      </c>
      <c r="DE34" s="44"/>
      <c r="DF34" s="66">
        <f>SUM(DF30:DF33)</f>
        <v>4254</v>
      </c>
      <c r="DG34" s="183">
        <f>DF34/DF14*100</f>
        <v>27.416860015467904</v>
      </c>
      <c r="DH34" s="55">
        <f>(DF34/DB34-1)*100</f>
        <v>3.8320722479863401</v>
      </c>
      <c r="DI34" s="55"/>
      <c r="DJ34" s="66">
        <f>SUM(DJ30:DJ33)</f>
        <v>4651</v>
      </c>
      <c r="DK34" s="183">
        <f>DJ34/DJ14*100</f>
        <v>29.334594765058341</v>
      </c>
      <c r="DL34" s="55">
        <f>(DJ34/DF34-1)*100</f>
        <v>9.3323930418429679</v>
      </c>
      <c r="DM34" s="55"/>
      <c r="DN34" s="167">
        <f>SUM(DN30:DN33)</f>
        <v>4683.5822655465763</v>
      </c>
      <c r="DO34" s="181">
        <f>DN34/DN14*100</f>
        <v>29.258904023573233</v>
      </c>
      <c r="DP34" s="191">
        <f>(DN34/DJ34-1)*100</f>
        <v>0.70054322826438309</v>
      </c>
      <c r="DQ34" s="54"/>
      <c r="DR34" s="1358">
        <f t="shared" si="109"/>
        <v>13.164465289829309</v>
      </c>
      <c r="DS34" s="1359">
        <f t="shared" si="110"/>
        <v>9.6780106372969197</v>
      </c>
      <c r="DT34" s="44"/>
      <c r="DU34" s="44"/>
      <c r="DV34" s="44"/>
      <c r="DW34" s="142"/>
      <c r="DX34" s="142"/>
      <c r="DY34" s="142"/>
      <c r="DZ34" s="119"/>
      <c r="EA34" s="222"/>
      <c r="EB34" s="401"/>
      <c r="EC34" s="401"/>
      <c r="ED34" s="44"/>
      <c r="EG34" s="142"/>
      <c r="EJ34" s="401"/>
      <c r="EK34" s="401"/>
      <c r="EM34" s="142"/>
      <c r="EP34" s="401"/>
      <c r="EQ34" s="401"/>
    </row>
    <row r="35" spans="1:151" hidden="1" outlineLevel="2">
      <c r="A35" s="44" t="str">
        <f>$A$15</f>
        <v>6 Mos</v>
      </c>
      <c r="B35" s="44"/>
      <c r="C35" s="57"/>
      <c r="D35" s="169"/>
      <c r="E35" s="57"/>
      <c r="F35" s="169">
        <f>SUM(F30:F31)</f>
        <v>196.89400000000001</v>
      </c>
      <c r="G35" s="181">
        <f t="shared" si="65"/>
        <v>24.387265223616609</v>
      </c>
      <c r="H35" s="191"/>
      <c r="I35" s="57"/>
      <c r="J35" s="169">
        <f>SUM(J30:J31)</f>
        <v>239.196</v>
      </c>
      <c r="K35" s="181">
        <f t="shared" si="66"/>
        <v>23.604340429227243</v>
      </c>
      <c r="L35" s="191"/>
      <c r="M35" s="57"/>
      <c r="N35" s="169">
        <f>SUM(N30:N31)</f>
        <v>275.505</v>
      </c>
      <c r="O35" s="181">
        <f t="shared" si="67"/>
        <v>22.901915080741293</v>
      </c>
      <c r="P35" s="191"/>
      <c r="Q35" s="57"/>
      <c r="R35" s="169">
        <f>SUM(R30:R31)</f>
        <v>305.233</v>
      </c>
      <c r="S35" s="181">
        <f t="shared" si="68"/>
        <v>22.833587178666221</v>
      </c>
      <c r="T35" s="191"/>
      <c r="U35" s="57"/>
      <c r="V35" s="169">
        <f>SUM(V30:V31)</f>
        <v>378.08600000000001</v>
      </c>
      <c r="W35" s="181">
        <f t="shared" si="69"/>
        <v>24.795760233630489</v>
      </c>
      <c r="X35" s="191"/>
      <c r="Y35" s="57"/>
      <c r="Z35" s="169">
        <f>SUM(Z30:Z31)</f>
        <v>412.61799999999999</v>
      </c>
      <c r="AA35" s="181">
        <f t="shared" si="70"/>
        <v>24.028506838449989</v>
      </c>
      <c r="AB35" s="191">
        <f t="shared" si="71"/>
        <v>9.1333717725596841</v>
      </c>
      <c r="AC35" s="57"/>
      <c r="AD35" s="169">
        <f>SUM(AD30:AD31)</f>
        <v>578.00800000000004</v>
      </c>
      <c r="AE35" s="181">
        <f t="shared" si="72"/>
        <v>25.879151408401835</v>
      </c>
      <c r="AF35" s="191">
        <f t="shared" si="73"/>
        <v>40.083079264598268</v>
      </c>
      <c r="AG35" s="57"/>
      <c r="AH35" s="169">
        <f>SUM(AH30:AH31)</f>
        <v>664.37300000000005</v>
      </c>
      <c r="AI35" s="181">
        <f t="shared" si="74"/>
        <v>25.786803094386872</v>
      </c>
      <c r="AJ35" s="191">
        <f t="shared" si="75"/>
        <v>14.941834715090451</v>
      </c>
      <c r="AK35" s="57"/>
      <c r="AL35" s="169">
        <f>SUM(AL30:AL31)</f>
        <v>1022.272</v>
      </c>
      <c r="AM35" s="181">
        <f t="shared" si="76"/>
        <v>28.203080987518359</v>
      </c>
      <c r="AN35" s="191">
        <f t="shared" si="77"/>
        <v>53.87019039003691</v>
      </c>
      <c r="AO35" s="57"/>
      <c r="AP35" s="169">
        <f>SUM(AP30:AP31)</f>
        <v>1308.4459999999999</v>
      </c>
      <c r="AQ35" s="181">
        <f t="shared" si="78"/>
        <v>27.656432272340751</v>
      </c>
      <c r="AR35" s="191">
        <f t="shared" si="79"/>
        <v>27.993919426532266</v>
      </c>
      <c r="AS35" s="57"/>
      <c r="AT35" s="169">
        <f>SUM(AT30:AT31)</f>
        <v>1559.597</v>
      </c>
      <c r="AU35" s="181">
        <f t="shared" si="80"/>
        <v>27.459124630438485</v>
      </c>
      <c r="AV35" s="191">
        <f t="shared" si="81"/>
        <v>19.194601840656777</v>
      </c>
      <c r="AW35" s="57"/>
      <c r="AX35" s="169">
        <f>SUM(AX30:AX31)</f>
        <v>1793.1840000000002</v>
      </c>
      <c r="AY35" s="181">
        <f t="shared" si="82"/>
        <v>27.910021595750894</v>
      </c>
      <c r="AZ35" s="191">
        <f t="shared" si="83"/>
        <v>14.977394801349341</v>
      </c>
      <c r="BA35" s="57"/>
      <c r="BB35" s="169">
        <f>SUM(BB30:BB31)</f>
        <v>1688.4970000000001</v>
      </c>
      <c r="BC35" s="181">
        <f t="shared" si="84"/>
        <v>27.414452873278432</v>
      </c>
      <c r="BD35" s="191">
        <f t="shared" si="85"/>
        <v>-5.8380511983154086</v>
      </c>
      <c r="BE35" s="57"/>
      <c r="BF35" s="169">
        <f>SUM(BF30:BF31)</f>
        <v>1818.65</v>
      </c>
      <c r="BG35" s="181">
        <f t="shared" si="86"/>
        <v>25.840180617697751</v>
      </c>
      <c r="BH35" s="191">
        <f t="shared" si="87"/>
        <v>7.7082162420187839</v>
      </c>
      <c r="BI35" s="208"/>
      <c r="BJ35" s="169">
        <f>SUM(BJ30:BJ31)</f>
        <v>2110.1999999999998</v>
      </c>
      <c r="BK35" s="181">
        <f t="shared" si="88"/>
        <v>28.56116531503498</v>
      </c>
      <c r="BL35" s="191">
        <f t="shared" si="89"/>
        <v>16.031121986088557</v>
      </c>
      <c r="BM35" s="57"/>
      <c r="BN35" s="169">
        <f>SUM(BN30:BN31)</f>
        <v>1972.3719999999998</v>
      </c>
      <c r="BO35" s="181">
        <f t="shared" si="90"/>
        <v>26.862070895682461</v>
      </c>
      <c r="BP35" s="191">
        <f t="shared" si="91"/>
        <v>-6.5315136006065755</v>
      </c>
      <c r="BQ35" s="44"/>
      <c r="BR35" s="58">
        <f>SUM(BR30:BR31)</f>
        <v>2033</v>
      </c>
      <c r="BS35" s="183">
        <f t="shared" si="92"/>
        <v>28.421641269397458</v>
      </c>
      <c r="BT35" s="55">
        <f t="shared" si="93"/>
        <v>3.0738623342858373</v>
      </c>
      <c r="BU35" s="44"/>
      <c r="BV35" s="58">
        <f>SUM(BV30:BV31)</f>
        <v>2061</v>
      </c>
      <c r="BW35" s="183">
        <f t="shared" si="94"/>
        <v>28.490461708598286</v>
      </c>
      <c r="BX35" s="55">
        <f t="shared" si="95"/>
        <v>1.37727496310871</v>
      </c>
      <c r="BY35" s="44"/>
      <c r="BZ35" s="58">
        <f>SUM(BZ30:BZ31)</f>
        <v>1924</v>
      </c>
      <c r="CA35" s="183">
        <f t="shared" si="96"/>
        <v>27.952927502542497</v>
      </c>
      <c r="CB35" s="55">
        <f t="shared" si="97"/>
        <v>-6.647258612324114</v>
      </c>
      <c r="CC35" s="44"/>
      <c r="CD35" s="58">
        <f>SUM(CD30:CD31)</f>
        <v>1799</v>
      </c>
      <c r="CE35" s="183">
        <f>CD35/CD15*100</f>
        <v>28.232893910860014</v>
      </c>
      <c r="CF35" s="55">
        <f t="shared" si="98"/>
        <v>-6.4968814968815014</v>
      </c>
      <c r="CG35" s="59"/>
      <c r="CH35" s="58">
        <f>SUM(CH30:CH31)</f>
        <v>1844</v>
      </c>
      <c r="CI35" s="183">
        <f>CH35/CH15*100</f>
        <v>27.746012639181462</v>
      </c>
      <c r="CJ35" s="55">
        <f t="shared" si="99"/>
        <v>2.501389660922726</v>
      </c>
      <c r="CK35" s="59"/>
      <c r="CL35" s="58">
        <f>SUM(CL30:CL31)</f>
        <v>1835</v>
      </c>
      <c r="CM35" s="183">
        <f>CL35/CL15*100</f>
        <v>27.465948211345609</v>
      </c>
      <c r="CN35" s="55">
        <f t="shared" si="100"/>
        <v>-0.48806941431670525</v>
      </c>
      <c r="CO35" s="59"/>
      <c r="CP35" s="58">
        <f>SUM(CP30:CP31)</f>
        <v>1982</v>
      </c>
      <c r="CQ35" s="183">
        <f>CP35/CP15*100</f>
        <v>28.065703766638343</v>
      </c>
      <c r="CR35" s="55">
        <f t="shared" si="101"/>
        <v>8.0108991825613032</v>
      </c>
      <c r="CS35" s="44"/>
      <c r="CT35" s="58">
        <f>SUM(CT30:CT31)</f>
        <v>2060</v>
      </c>
      <c r="CU35" s="183">
        <f>CT35/CT15*100</f>
        <v>27.115966829011452</v>
      </c>
      <c r="CV35" s="55">
        <f t="shared" si="102"/>
        <v>3.9354187689202735</v>
      </c>
      <c r="CW35" s="44"/>
      <c r="CX35" s="58">
        <f>SUM(CX30:CX31)</f>
        <v>2064</v>
      </c>
      <c r="CY35" s="183">
        <f>CX35/CX15*100</f>
        <v>26.615087040618956</v>
      </c>
      <c r="CZ35" s="55">
        <f t="shared" si="103"/>
        <v>0.19417475728156219</v>
      </c>
      <c r="DA35" s="44"/>
      <c r="DB35" s="58">
        <f>SUM(DB30:DB31)</f>
        <v>2012</v>
      </c>
      <c r="DC35" s="183">
        <f>DB35/DB15*100</f>
        <v>26.631369953673062</v>
      </c>
      <c r="DD35" s="55">
        <f t="shared" si="104"/>
        <v>-2.5193798449612448</v>
      </c>
      <c r="DE35" s="44"/>
      <c r="DF35" s="58">
        <f>SUM(DF30:DF31)</f>
        <v>2010</v>
      </c>
      <c r="DG35" s="183">
        <f>DF35/DF15*100</f>
        <v>27.575799149403213</v>
      </c>
      <c r="DH35" s="55">
        <f t="shared" si="105"/>
        <v>-9.9403578528822756E-2</v>
      </c>
      <c r="DI35" s="55"/>
      <c r="DJ35" s="58">
        <f>SUM(DJ30:DJ31)</f>
        <v>2141</v>
      </c>
      <c r="DK35" s="183">
        <f>DJ35/DJ15*100</f>
        <v>29.575908274623568</v>
      </c>
      <c r="DL35" s="55">
        <f t="shared" ref="DL35:DL36" si="115">(DJ35/DF35-1)*100</f>
        <v>6.5174129353233745</v>
      </c>
      <c r="DM35" s="55"/>
      <c r="DN35" s="169">
        <f>SUM(DN30:DN31)</f>
        <v>2187.5782437737762</v>
      </c>
      <c r="DO35" s="181">
        <f>DN35/DN15*100</f>
        <v>29.473921955421446</v>
      </c>
      <c r="DP35" s="191">
        <f t="shared" ref="DP35:DP36" si="116">(DN35/DJ35-1)*100</f>
        <v>2.1755368413720833</v>
      </c>
      <c r="DQ35" s="44"/>
      <c r="DR35" s="1363"/>
      <c r="DS35" s="1361"/>
      <c r="DT35" s="44"/>
      <c r="DU35" s="44"/>
      <c r="DV35" s="44"/>
      <c r="DW35" s="44"/>
      <c r="DX35" s="44"/>
      <c r="DY35" s="44"/>
      <c r="DZ35" s="44"/>
      <c r="EA35" s="44"/>
      <c r="EB35" s="44"/>
      <c r="EC35" s="44"/>
      <c r="ED35" s="44"/>
    </row>
    <row r="36" spans="1:151" hidden="1" outlineLevel="2">
      <c r="A36" s="44" t="str">
        <f>$A$16</f>
        <v>9 Mos</v>
      </c>
      <c r="B36" s="44"/>
      <c r="C36" s="57"/>
      <c r="D36" s="169"/>
      <c r="E36" s="57"/>
      <c r="F36" s="169">
        <f>SUM(F30:F32)</f>
        <v>314.19200000000001</v>
      </c>
      <c r="G36" s="181">
        <f t="shared" si="65"/>
        <v>24.001454485452854</v>
      </c>
      <c r="H36" s="191"/>
      <c r="I36" s="57"/>
      <c r="J36" s="169">
        <f>SUM(J30:J32)</f>
        <v>401.30399999999997</v>
      </c>
      <c r="K36" s="181">
        <f t="shared" si="66"/>
        <v>23.39408467256769</v>
      </c>
      <c r="L36" s="191"/>
      <c r="M36" s="57"/>
      <c r="N36" s="169">
        <f>SUM(N30:N32)</f>
        <v>465.72699999999998</v>
      </c>
      <c r="O36" s="181">
        <f t="shared" si="67"/>
        <v>22.939956654516795</v>
      </c>
      <c r="P36" s="191"/>
      <c r="Q36" s="57"/>
      <c r="R36" s="169">
        <f>SUM(R30:R32)</f>
        <v>514.31700000000001</v>
      </c>
      <c r="S36" s="181">
        <f t="shared" si="68"/>
        <v>23.007324255664074</v>
      </c>
      <c r="T36" s="191"/>
      <c r="U36" s="57"/>
      <c r="V36" s="169">
        <f>SUM(V30:V32)</f>
        <v>605.81400000000008</v>
      </c>
      <c r="W36" s="181">
        <f t="shared" si="69"/>
        <v>24.10579245861862</v>
      </c>
      <c r="X36" s="191"/>
      <c r="Y36" s="57"/>
      <c r="Z36" s="169">
        <f>SUM(Z30:Z32)</f>
        <v>679.55700000000002</v>
      </c>
      <c r="AA36" s="181">
        <f t="shared" si="70"/>
        <v>23.652141165857039</v>
      </c>
      <c r="AB36" s="191">
        <f t="shared" si="71"/>
        <v>12.172548009785178</v>
      </c>
      <c r="AC36" s="57"/>
      <c r="AD36" s="169">
        <f>SUM(AD30:AD32)</f>
        <v>906.44200000000001</v>
      </c>
      <c r="AE36" s="181">
        <f t="shared" si="72"/>
        <v>25.064171426122321</v>
      </c>
      <c r="AF36" s="191">
        <f t="shared" si="73"/>
        <v>33.387191950049797</v>
      </c>
      <c r="AG36" s="57"/>
      <c r="AH36" s="169">
        <f>SUM(AH30:AH32)</f>
        <v>1118.3499999999999</v>
      </c>
      <c r="AI36" s="181">
        <f t="shared" si="74"/>
        <v>25.754511501386574</v>
      </c>
      <c r="AJ36" s="191">
        <f t="shared" si="75"/>
        <v>23.377998812941136</v>
      </c>
      <c r="AK36" s="57"/>
      <c r="AL36" s="169">
        <f>SUM(AL30:AL32)</f>
        <v>1659.0170000000001</v>
      </c>
      <c r="AM36" s="181">
        <f t="shared" si="76"/>
        <v>27.537242951019401</v>
      </c>
      <c r="AN36" s="191">
        <f t="shared" si="77"/>
        <v>48.345061921580921</v>
      </c>
      <c r="AO36" s="57"/>
      <c r="AP36" s="169">
        <f>SUM(AP30:AP32)</f>
        <v>2106.0879999999997</v>
      </c>
      <c r="AQ36" s="181">
        <f t="shared" si="78"/>
        <v>27.08286637915791</v>
      </c>
      <c r="AR36" s="191">
        <f t="shared" si="79"/>
        <v>26.947945681087027</v>
      </c>
      <c r="AS36" s="57"/>
      <c r="AT36" s="169">
        <f>SUM(AT30:AT32)</f>
        <v>2502.8589999999999</v>
      </c>
      <c r="AU36" s="181">
        <f t="shared" si="80"/>
        <v>27.520965713740324</v>
      </c>
      <c r="AV36" s="191">
        <f t="shared" si="81"/>
        <v>18.839241285264443</v>
      </c>
      <c r="AW36" s="57"/>
      <c r="AX36" s="169">
        <f>SUM(AX30:AX32)</f>
        <v>2740.0660000000003</v>
      </c>
      <c r="AY36" s="181">
        <f t="shared" si="82"/>
        <v>28.079487219427097</v>
      </c>
      <c r="AZ36" s="191">
        <f t="shared" si="83"/>
        <v>9.4774415977887827</v>
      </c>
      <c r="BA36" s="57"/>
      <c r="BB36" s="169">
        <f>SUM(BB30:BB32)</f>
        <v>2697.8900000000003</v>
      </c>
      <c r="BC36" s="181">
        <f t="shared" si="84"/>
        <v>27.517963138909675</v>
      </c>
      <c r="BD36" s="191">
        <f t="shared" si="85"/>
        <v>-1.5392329965774554</v>
      </c>
      <c r="BE36" s="57"/>
      <c r="BF36" s="169">
        <f>SUM(BF30:BF32)</f>
        <v>2872.4300000000003</v>
      </c>
      <c r="BG36" s="181">
        <f t="shared" si="86"/>
        <v>26.190318582331152</v>
      </c>
      <c r="BH36" s="191">
        <f t="shared" si="87"/>
        <v>6.4695002390757095</v>
      </c>
      <c r="BI36" s="208"/>
      <c r="BJ36" s="169">
        <f>SUM(BJ30:BJ32)</f>
        <v>3219.2</v>
      </c>
      <c r="BK36" s="181">
        <f t="shared" si="88"/>
        <v>28.316830429052054</v>
      </c>
      <c r="BL36" s="191">
        <f t="shared" si="89"/>
        <v>12.072356854649179</v>
      </c>
      <c r="BM36" s="57"/>
      <c r="BN36" s="169">
        <f>SUM(BN30:BN32)</f>
        <v>2995.451</v>
      </c>
      <c r="BO36" s="181">
        <f t="shared" si="90"/>
        <v>26.739136819228786</v>
      </c>
      <c r="BP36" s="191">
        <f t="shared" si="91"/>
        <v>-6.9504535288270279</v>
      </c>
      <c r="BQ36" s="44"/>
      <c r="BR36" s="58">
        <f>SUM(BR30:BR32)</f>
        <v>3194</v>
      </c>
      <c r="BS36" s="183">
        <f t="shared" si="92"/>
        <v>29.025808796801162</v>
      </c>
      <c r="BT36" s="55">
        <f t="shared" si="93"/>
        <v>6.6283507892467508</v>
      </c>
      <c r="BU36" s="44"/>
      <c r="BV36" s="58">
        <f>SUM(BV30:BV32)</f>
        <v>3140</v>
      </c>
      <c r="BW36" s="183">
        <f t="shared" si="94"/>
        <v>28.31890331890332</v>
      </c>
      <c r="BX36" s="55">
        <f t="shared" si="95"/>
        <v>-1.6906700062617408</v>
      </c>
      <c r="BY36" s="44"/>
      <c r="BZ36" s="58">
        <f>SUM(BZ30:BZ32)</f>
        <v>2908</v>
      </c>
      <c r="CA36" s="183">
        <f t="shared" si="96"/>
        <v>27.843738031405589</v>
      </c>
      <c r="CB36" s="55">
        <f t="shared" si="97"/>
        <v>-7.3885350318471321</v>
      </c>
      <c r="CC36" s="44"/>
      <c r="CD36" s="58">
        <f>SUM(CD30:CD32)</f>
        <v>2823</v>
      </c>
      <c r="CE36" s="183">
        <f>CD36/CD16*100</f>
        <v>28.340528059431787</v>
      </c>
      <c r="CF36" s="55">
        <f t="shared" si="98"/>
        <v>-2.9229711141678161</v>
      </c>
      <c r="CG36" s="59"/>
      <c r="CH36" s="58">
        <f>SUM(CH30:CH32)</f>
        <v>2845</v>
      </c>
      <c r="CI36" s="183">
        <f>CH36/CH16*100</f>
        <v>27.621359223300974</v>
      </c>
      <c r="CJ36" s="55">
        <f t="shared" si="99"/>
        <v>0.77931278781437907</v>
      </c>
      <c r="CK36" s="59"/>
      <c r="CL36" s="58">
        <f>SUM(CL30:CL32)</f>
        <v>2803</v>
      </c>
      <c r="CM36" s="183">
        <f>CL36/CL16*100</f>
        <v>27.303721020845511</v>
      </c>
      <c r="CN36" s="55">
        <f t="shared" si="100"/>
        <v>-1.4762741652021072</v>
      </c>
      <c r="CO36" s="59"/>
      <c r="CP36" s="58">
        <f>SUM(CP30:CP32)</f>
        <v>3055</v>
      </c>
      <c r="CQ36" s="183">
        <f>CP36/CP16*100</f>
        <v>27.960827384221126</v>
      </c>
      <c r="CR36" s="55">
        <f t="shared" si="101"/>
        <v>8.9903674634320474</v>
      </c>
      <c r="CS36" s="44"/>
      <c r="CT36" s="58">
        <f>SUM(CT30:CT32)</f>
        <v>3073</v>
      </c>
      <c r="CU36" s="183">
        <f>CT36/CT16*100</f>
        <v>26.553184135487772</v>
      </c>
      <c r="CV36" s="55">
        <f t="shared" si="102"/>
        <v>0.58919803600654408</v>
      </c>
      <c r="CW36" s="44"/>
      <c r="CX36" s="58">
        <f>SUM(CX30:CX32)</f>
        <v>3106</v>
      </c>
      <c r="CY36" s="183">
        <f>CX36/CX16*100</f>
        <v>26.485887268696175</v>
      </c>
      <c r="CZ36" s="55">
        <f t="shared" si="103"/>
        <v>1.0738691832085978</v>
      </c>
      <c r="DA36" s="44"/>
      <c r="DB36" s="58">
        <f>SUM(DB30:DB32)</f>
        <v>3031</v>
      </c>
      <c r="DC36" s="183">
        <f>DB36/DB16*100</f>
        <v>26.559761654398876</v>
      </c>
      <c r="DD36" s="55">
        <f t="shared" si="104"/>
        <v>-2.4146812620734037</v>
      </c>
      <c r="DE36" s="44"/>
      <c r="DF36" s="58">
        <f>SUM(DF30:DF32)</f>
        <v>3078</v>
      </c>
      <c r="DG36" s="183">
        <f>DF36/DF16*100</f>
        <v>27.762244069631098</v>
      </c>
      <c r="DH36" s="55">
        <f t="shared" si="105"/>
        <v>1.5506433520290352</v>
      </c>
      <c r="DI36" s="55"/>
      <c r="DJ36" s="58">
        <f>SUM(DJ30:DJ32)</f>
        <v>3288</v>
      </c>
      <c r="DK36" s="183">
        <f>DJ36/DJ16*100</f>
        <v>29.683127200505556</v>
      </c>
      <c r="DL36" s="55">
        <f t="shared" si="115"/>
        <v>6.8226120857699746</v>
      </c>
      <c r="DM36" s="55"/>
      <c r="DN36" s="169">
        <f>SUM(DN30:DN32)</f>
        <v>3358.7415719845621</v>
      </c>
      <c r="DO36" s="181">
        <f>DN36/DN16*100</f>
        <v>29.655252692570301</v>
      </c>
      <c r="DP36" s="191">
        <f t="shared" si="116"/>
        <v>2.1515076637640629</v>
      </c>
      <c r="DQ36" s="44"/>
      <c r="DR36" s="1365"/>
      <c r="DS36" s="1366"/>
      <c r="DT36" s="44"/>
      <c r="DU36" s="44"/>
      <c r="DV36" s="44"/>
      <c r="DW36" s="44"/>
      <c r="DX36" s="44"/>
      <c r="DY36" s="44"/>
      <c r="DZ36" s="44"/>
      <c r="EA36" s="44"/>
      <c r="EB36" s="44"/>
      <c r="EC36" s="44"/>
      <c r="ED36" s="44"/>
    </row>
    <row r="37" spans="1:151" hidden="1" outlineLevel="3" collapsed="1">
      <c r="A37" s="44"/>
      <c r="B37" s="44"/>
      <c r="C37" s="57"/>
      <c r="D37" s="169"/>
      <c r="E37" s="57"/>
      <c r="F37" s="169"/>
      <c r="G37" s="181"/>
      <c r="H37" s="191"/>
      <c r="I37" s="57"/>
      <c r="J37" s="169"/>
      <c r="K37" s="181"/>
      <c r="L37" s="191"/>
      <c r="M37" s="57"/>
      <c r="N37" s="169"/>
      <c r="O37" s="181"/>
      <c r="P37" s="191"/>
      <c r="Q37" s="57"/>
      <c r="R37" s="169"/>
      <c r="S37" s="181"/>
      <c r="T37" s="191"/>
      <c r="U37" s="57"/>
      <c r="V37" s="169"/>
      <c r="W37" s="181"/>
      <c r="X37" s="191"/>
      <c r="Y37" s="57"/>
      <c r="Z37" s="169"/>
      <c r="AA37" s="181"/>
      <c r="AB37" s="191"/>
      <c r="AC37" s="57"/>
      <c r="AD37" s="169"/>
      <c r="AE37" s="181"/>
      <c r="AF37" s="191"/>
      <c r="AG37" s="57"/>
      <c r="AH37" s="169"/>
      <c r="AI37" s="181"/>
      <c r="AJ37" s="191"/>
      <c r="AK37" s="57"/>
      <c r="AL37" s="169"/>
      <c r="AM37" s="181"/>
      <c r="AN37" s="191"/>
      <c r="AO37" s="57"/>
      <c r="AP37" s="169"/>
      <c r="AQ37" s="181"/>
      <c r="AR37" s="191"/>
      <c r="AS37" s="57"/>
      <c r="AT37" s="169"/>
      <c r="AU37" s="181"/>
      <c r="AV37" s="191"/>
      <c r="AW37" s="57"/>
      <c r="AX37" s="169"/>
      <c r="AY37" s="181"/>
      <c r="AZ37" s="191"/>
      <c r="BA37" s="57"/>
      <c r="BB37" s="169"/>
      <c r="BC37" s="181"/>
      <c r="BD37" s="191"/>
      <c r="BE37" s="57"/>
      <c r="BF37" s="169"/>
      <c r="BG37" s="181"/>
      <c r="BH37" s="191"/>
      <c r="BI37" s="208"/>
      <c r="BJ37" s="169"/>
      <c r="BK37" s="181"/>
      <c r="BL37" s="191"/>
      <c r="BM37" s="57"/>
      <c r="BN37" s="169"/>
      <c r="BO37" s="181"/>
      <c r="BP37" s="191"/>
      <c r="BQ37" s="44"/>
      <c r="BR37" s="117"/>
      <c r="BS37" s="183"/>
      <c r="BT37" s="55"/>
      <c r="BU37" s="44"/>
      <c r="BV37" s="223"/>
      <c r="BW37" s="201"/>
      <c r="BX37" s="55"/>
      <c r="BY37" s="44"/>
      <c r="BZ37" s="58"/>
      <c r="CA37" s="183"/>
      <c r="CB37" s="55"/>
      <c r="CC37" s="44"/>
      <c r="CD37" s="58"/>
      <c r="CE37" s="183"/>
      <c r="CF37" s="55"/>
      <c r="CG37" s="59"/>
      <c r="CH37" s="58"/>
      <c r="CI37" s="183"/>
      <c r="CJ37" s="55"/>
      <c r="CK37" s="59"/>
      <c r="CL37" s="58"/>
      <c r="CM37" s="183"/>
      <c r="CN37" s="55"/>
      <c r="CO37" s="59"/>
      <c r="CP37" s="58"/>
      <c r="CQ37" s="183"/>
      <c r="CR37" s="55"/>
      <c r="CS37" s="44"/>
      <c r="CT37" s="44"/>
      <c r="CU37" s="44"/>
      <c r="CV37" s="44"/>
      <c r="CW37" s="44"/>
      <c r="CX37" s="44"/>
      <c r="CY37" s="44"/>
      <c r="CZ37" s="44"/>
      <c r="DA37" s="44"/>
      <c r="DB37" s="44"/>
      <c r="DC37" s="44"/>
      <c r="DD37" s="44"/>
      <c r="DE37" s="44"/>
      <c r="DF37" s="44"/>
      <c r="DG37" s="44"/>
      <c r="DH37" s="44"/>
      <c r="DI37" s="44"/>
      <c r="DJ37" s="44"/>
      <c r="DK37" s="44"/>
      <c r="DL37" s="44"/>
      <c r="DM37" s="44"/>
      <c r="DN37" s="57"/>
      <c r="DO37" s="57"/>
      <c r="DP37" s="57"/>
      <c r="DQ37" s="44"/>
      <c r="DR37" s="44"/>
      <c r="DS37" s="44"/>
      <c r="DT37" s="44"/>
      <c r="DU37" s="44"/>
      <c r="DV37" s="44"/>
      <c r="DW37" s="44"/>
      <c r="DX37" s="44"/>
      <c r="DY37" s="44"/>
      <c r="DZ37" s="44"/>
      <c r="EA37" s="44"/>
      <c r="EB37" s="44"/>
      <c r="EC37" s="44"/>
      <c r="ED37" s="44"/>
    </row>
    <row r="38" spans="1:151" hidden="1" outlineLevel="3">
      <c r="A38" s="44"/>
      <c r="B38" s="44"/>
      <c r="C38" s="205"/>
      <c r="D38" s="206"/>
      <c r="E38" s="205" t="str">
        <f>AH38</f>
        <v>3.  Operating Expenses - Selling, General &amp; Administrative Expenses   (% of Sales)</v>
      </c>
      <c r="F38" s="206"/>
      <c r="G38" s="57"/>
      <c r="H38" s="57"/>
      <c r="I38" s="57"/>
      <c r="J38" s="206"/>
      <c r="K38" s="57"/>
      <c r="L38" s="57"/>
      <c r="M38" s="57"/>
      <c r="N38" s="206"/>
      <c r="O38" s="57"/>
      <c r="P38" s="57"/>
      <c r="Q38" s="57"/>
      <c r="R38" s="206"/>
      <c r="S38" s="57"/>
      <c r="T38" s="57"/>
      <c r="U38" s="57"/>
      <c r="V38" s="206"/>
      <c r="W38" s="57"/>
      <c r="X38" s="57"/>
      <c r="Y38" s="57"/>
      <c r="Z38" s="57"/>
      <c r="AA38" s="134"/>
      <c r="AB38" s="134"/>
      <c r="AC38" s="134"/>
      <c r="AD38" s="135"/>
      <c r="AE38" s="134"/>
      <c r="AF38" s="134"/>
      <c r="AG38" s="134"/>
      <c r="AH38" s="135" t="s">
        <v>88</v>
      </c>
      <c r="AI38" s="135"/>
      <c r="AJ38" s="135"/>
      <c r="AK38" s="135"/>
      <c r="AL38" s="44"/>
      <c r="AM38" s="135"/>
      <c r="AN38" s="135"/>
      <c r="AO38" s="135"/>
      <c r="AP38" s="44"/>
      <c r="AQ38" s="135"/>
      <c r="AR38" s="135"/>
      <c r="AS38" s="135"/>
      <c r="AT38" s="135" t="s">
        <v>190</v>
      </c>
      <c r="AU38" s="135"/>
      <c r="AV38" s="135"/>
      <c r="AW38" s="135"/>
      <c r="AX38" s="135"/>
      <c r="AY38" s="135"/>
      <c r="AZ38" s="135"/>
      <c r="BA38" s="135"/>
      <c r="BB38" s="135"/>
      <c r="BC38" s="135"/>
      <c r="BD38" s="135"/>
      <c r="BE38" s="134"/>
      <c r="BF38" s="135"/>
      <c r="BG38" s="134"/>
      <c r="BH38" s="134"/>
      <c r="BI38" s="134"/>
      <c r="BJ38" s="135"/>
      <c r="BK38" s="134"/>
      <c r="BL38" s="134"/>
      <c r="BM38" s="134"/>
      <c r="BN38" s="135"/>
      <c r="BO38" s="134"/>
      <c r="BP38" s="134"/>
      <c r="BQ38" s="136"/>
      <c r="BR38" s="137"/>
      <c r="BS38" s="136"/>
      <c r="BT38" s="136"/>
      <c r="BU38" s="44"/>
      <c r="BV38" s="224"/>
      <c r="BW38" s="136"/>
      <c r="BX38" s="55"/>
      <c r="BY38" s="44"/>
      <c r="BZ38" s="224"/>
      <c r="CA38" s="136"/>
      <c r="CB38" s="55"/>
      <c r="CC38" s="44"/>
      <c r="CD38" s="224"/>
      <c r="CE38" s="136"/>
      <c r="CF38" s="55"/>
      <c r="CG38" s="59"/>
      <c r="CH38" s="224"/>
      <c r="CI38" s="136"/>
      <c r="CJ38" s="55"/>
      <c r="CK38" s="59"/>
      <c r="CL38" s="224"/>
      <c r="CM38" s="136"/>
      <c r="CN38" s="55"/>
      <c r="CO38" s="59"/>
      <c r="CP38" s="224"/>
      <c r="CQ38" s="136"/>
      <c r="CR38" s="55"/>
      <c r="CS38" s="44"/>
      <c r="CT38" s="44"/>
      <c r="CU38" s="44"/>
      <c r="CV38" s="44"/>
      <c r="CW38" s="44"/>
      <c r="CX38" s="44"/>
      <c r="CY38" s="44"/>
      <c r="CZ38" s="44"/>
      <c r="DA38" s="44"/>
      <c r="DB38" s="44"/>
      <c r="DC38" s="44"/>
      <c r="DD38" s="44"/>
      <c r="DE38" s="44"/>
      <c r="DF38" s="44"/>
      <c r="DG38" s="44"/>
      <c r="DH38" s="44"/>
      <c r="DI38" s="44"/>
      <c r="DJ38" s="44"/>
      <c r="DK38" s="44"/>
      <c r="DL38" s="44"/>
      <c r="DM38" s="44"/>
      <c r="DN38" s="57"/>
      <c r="DO38" s="57"/>
      <c r="DP38" s="57"/>
      <c r="DQ38" s="44"/>
      <c r="DR38" s="44"/>
      <c r="DS38" s="44"/>
      <c r="DT38" s="44"/>
      <c r="DU38" s="44"/>
      <c r="DV38" s="44"/>
      <c r="DW38" s="44"/>
      <c r="DX38" s="44"/>
      <c r="DY38" s="44"/>
      <c r="DZ38" s="44"/>
      <c r="EA38" s="44"/>
      <c r="EB38" s="44"/>
      <c r="EC38" s="44"/>
      <c r="ED38" s="44"/>
    </row>
    <row r="39" spans="1:151" hidden="1" outlineLevel="3">
      <c r="A39" s="44"/>
      <c r="B39" s="44"/>
      <c r="C39" s="57"/>
      <c r="D39" s="57"/>
      <c r="E39" s="57"/>
      <c r="F39" s="57"/>
      <c r="G39" s="57"/>
      <c r="H39" s="57"/>
      <c r="I39" s="57"/>
      <c r="J39" s="57"/>
      <c r="K39" s="57"/>
      <c r="L39" s="57"/>
      <c r="M39" s="57"/>
      <c r="N39" s="57"/>
      <c r="O39" s="57"/>
      <c r="P39" s="57"/>
      <c r="Q39" s="57"/>
      <c r="R39" s="57"/>
      <c r="S39" s="57"/>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181"/>
      <c r="BD39" s="57"/>
      <c r="BE39" s="57"/>
      <c r="BF39" s="57"/>
      <c r="BG39" s="57"/>
      <c r="BH39" s="57"/>
      <c r="BI39" s="208" t="s">
        <v>296</v>
      </c>
      <c r="BJ39" s="57"/>
      <c r="BK39" s="57"/>
      <c r="BL39" s="57"/>
      <c r="BM39" s="57"/>
      <c r="BN39" s="225"/>
      <c r="BO39" s="57"/>
      <c r="BP39" s="57"/>
      <c r="BQ39" s="44"/>
      <c r="BR39" s="44"/>
      <c r="BS39" s="44"/>
      <c r="BT39" s="44"/>
      <c r="BU39" s="44"/>
      <c r="BV39" s="44"/>
      <c r="BW39" s="44"/>
      <c r="BX39" s="44"/>
      <c r="BY39" s="44"/>
      <c r="BZ39" s="44"/>
      <c r="CA39" s="44"/>
      <c r="CB39" s="44"/>
      <c r="CC39" s="44"/>
      <c r="CD39" s="44"/>
      <c r="CE39" s="44"/>
      <c r="CF39" s="44"/>
      <c r="CG39" s="59"/>
      <c r="CH39" s="44"/>
      <c r="CI39" s="44"/>
      <c r="CJ39" s="44"/>
      <c r="CK39" s="59"/>
      <c r="CL39" s="44"/>
      <c r="CM39" s="44"/>
      <c r="CN39" s="44"/>
      <c r="CO39" s="59"/>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57"/>
      <c r="DO39" s="57"/>
      <c r="DP39" s="57"/>
      <c r="DQ39" s="44"/>
      <c r="DR39" s="44"/>
      <c r="DS39" s="44"/>
      <c r="DT39" s="44"/>
      <c r="DU39" s="44"/>
      <c r="DV39" s="44"/>
      <c r="DW39" s="44"/>
      <c r="DX39" s="44"/>
      <c r="DY39" s="44"/>
      <c r="DZ39" s="119"/>
      <c r="EA39" s="44"/>
      <c r="EB39" s="44"/>
      <c r="EC39" s="44"/>
      <c r="ED39" s="44"/>
    </row>
    <row r="40" spans="1:151" hidden="1" outlineLevel="3">
      <c r="A40" s="44" t="str">
        <f>$A$10</f>
        <v>1Q</v>
      </c>
      <c r="B40" s="44" t="str">
        <f>$B$10</f>
        <v>Apr</v>
      </c>
      <c r="C40" s="57"/>
      <c r="D40" s="147"/>
      <c r="E40" s="57"/>
      <c r="F40" s="147">
        <v>96.936999999999998</v>
      </c>
      <c r="G40" s="181">
        <f t="shared" ref="G40:G46" si="117">F40/F20*100</f>
        <v>35.930139032517523</v>
      </c>
      <c r="H40" s="191"/>
      <c r="I40" s="57"/>
      <c r="J40" s="147">
        <v>115.464</v>
      </c>
      <c r="K40" s="181">
        <f t="shared" ref="K40:K46" si="118">J40/J20*100</f>
        <v>37.604788858998326</v>
      </c>
      <c r="L40" s="191"/>
      <c r="M40" s="57"/>
      <c r="N40" s="147">
        <v>135.58000000000001</v>
      </c>
      <c r="O40" s="181">
        <f t="shared" ref="O40:O46" si="119">N40/N20*100</f>
        <v>35.653520778602633</v>
      </c>
      <c r="P40" s="191"/>
      <c r="Q40" s="57"/>
      <c r="R40" s="147">
        <v>151.91300000000001</v>
      </c>
      <c r="S40" s="181">
        <f t="shared" ref="S40:S46" si="120">R40/R20*100</f>
        <v>35.83225617752786</v>
      </c>
      <c r="T40" s="191"/>
      <c r="U40" s="57"/>
      <c r="V40" s="147">
        <v>185.72399999999999</v>
      </c>
      <c r="W40" s="181">
        <f t="shared" ref="W40:W46" si="121">V40/V20*100</f>
        <v>40.192431295405413</v>
      </c>
      <c r="X40" s="191"/>
      <c r="Y40" s="57"/>
      <c r="Z40" s="147">
        <v>202.57499999999999</v>
      </c>
      <c r="AA40" s="181">
        <f t="shared" ref="AA40:AA46" si="122">Z40/Z20*100</f>
        <v>35.656389107441768</v>
      </c>
      <c r="AB40" s="191">
        <f t="shared" ref="AB40:AB46" si="123">IF(V40&lt;0,"       NM",(Z40/V40-1)*100)</f>
        <v>9.073140789558698</v>
      </c>
      <c r="AC40" s="57"/>
      <c r="AD40" s="147">
        <v>282.62700000000001</v>
      </c>
      <c r="AE40" s="181">
        <f t="shared" ref="AE40:AE46" si="124">AD40/AD20*100</f>
        <v>40.414892308748293</v>
      </c>
      <c r="AF40" s="191">
        <f t="shared" ref="AF40:AF46" si="125">IF(Z40&lt;0,"       NM",(AD40/Z40-1)*100)</f>
        <v>39.517215845982975</v>
      </c>
      <c r="AG40" s="57"/>
      <c r="AH40" s="147">
        <v>311.911</v>
      </c>
      <c r="AI40" s="181">
        <f t="shared" ref="AI40:AI46" si="126">AH40/AH20*100</f>
        <v>39.52613397606973</v>
      </c>
      <c r="AJ40" s="191">
        <f t="shared" ref="AJ40:AJ46" si="127">(AH40/AD40-1)*100</f>
        <v>10.3613596719351</v>
      </c>
      <c r="AK40" s="57"/>
      <c r="AL40" s="147">
        <v>472.14400000000001</v>
      </c>
      <c r="AM40" s="181">
        <f t="shared" ref="AM40:AM46" si="128">AL40/AL20*100</f>
        <v>45.794584696082659</v>
      </c>
      <c r="AN40" s="191">
        <f t="shared" ref="AN40:AN46" si="129">(AL40/AH40-1)*100</f>
        <v>51.37138478604475</v>
      </c>
      <c r="AO40" s="212"/>
      <c r="AP40" s="147">
        <v>615.149</v>
      </c>
      <c r="AQ40" s="181">
        <f t="shared" ref="AQ40:AQ46" si="130">AP40/AP20*100</f>
        <v>46.107761092226916</v>
      </c>
      <c r="AR40" s="191">
        <f t="shared" ref="AR40:AR46" si="131">(AP40/AL40-1)*100</f>
        <v>30.288428953878466</v>
      </c>
      <c r="AS40" s="57"/>
      <c r="AT40" s="226"/>
      <c r="AU40" s="227"/>
      <c r="AV40" s="228"/>
      <c r="AW40" s="60"/>
      <c r="AX40" s="226"/>
      <c r="AY40" s="227"/>
      <c r="AZ40" s="228"/>
      <c r="BA40" s="60"/>
      <c r="BB40" s="226"/>
      <c r="BC40" s="227"/>
      <c r="BD40" s="228"/>
      <c r="BE40" s="60"/>
      <c r="BF40" s="226"/>
      <c r="BG40" s="227"/>
      <c r="BH40" s="228"/>
      <c r="BI40" s="229"/>
      <c r="BJ40" s="230">
        <f>+'yrP&amp;L'!P$27/4</f>
        <v>31.335515555041528</v>
      </c>
      <c r="BK40" s="181">
        <f>BJ40/BJ10*100</f>
        <v>0.85439564275047697</v>
      </c>
      <c r="BL40" s="191"/>
      <c r="BM40" s="57">
        <f>+(BJ40-30)/BJ20</f>
        <v>6.3974801026149043E-4</v>
      </c>
      <c r="BN40" s="230">
        <f>+'yrP&amp;L'!Q$27/4</f>
        <v>32.216547938113749</v>
      </c>
      <c r="BO40" s="181">
        <f>BN40/BN10*100</f>
        <v>0.88841546830644258</v>
      </c>
      <c r="BP40" s="191">
        <f t="shared" ref="BP40:BP46" si="132">(BN40/BJ40-1)*100</f>
        <v>2.811609662284531</v>
      </c>
      <c r="BQ40" s="44"/>
      <c r="BR40" s="231">
        <f>16-3</f>
        <v>13</v>
      </c>
      <c r="BS40" s="181">
        <f>BR40/BR10*100</f>
        <v>0.37801686536783946</v>
      </c>
      <c r="BT40" s="55">
        <f t="shared" ref="BT40:BT46" si="133">(BR40/BN40-1)*100</f>
        <v>-59.648066499948108</v>
      </c>
      <c r="BU40" s="44"/>
      <c r="BV40" s="231">
        <f>16-3</f>
        <v>13</v>
      </c>
      <c r="BW40" s="181">
        <f>BV40/BV10*100</f>
        <v>0.36630036630036628</v>
      </c>
      <c r="BX40" s="55">
        <f t="shared" ref="BX40:BX46" si="134">(BV40/BR40-1)*100</f>
        <v>0</v>
      </c>
      <c r="BY40" s="44"/>
      <c r="BZ40" s="231">
        <f>16-3</f>
        <v>13</v>
      </c>
      <c r="CA40" s="181">
        <f>BZ40/BZ10*100</f>
        <v>0.38416075650118203</v>
      </c>
      <c r="CB40" s="55">
        <f t="shared" ref="CB40:CB46" si="135">(BZ40/BV40-1)*100</f>
        <v>0</v>
      </c>
      <c r="CC40" s="44"/>
      <c r="CD40" s="231">
        <f>16-3</f>
        <v>13</v>
      </c>
      <c r="CE40" s="181">
        <f>CD40/CD10*100</f>
        <v>0.4157339302846178</v>
      </c>
      <c r="CF40" s="55">
        <f t="shared" ref="CF40:CF46" si="136">(CD40/BZ40-1)*100</f>
        <v>0</v>
      </c>
      <c r="CG40" s="59"/>
      <c r="CH40" s="231">
        <f>16-3</f>
        <v>13</v>
      </c>
      <c r="CI40" s="181">
        <f t="shared" ref="CI40:CI46" si="137">CH40/CH10*100</f>
        <v>0.39050765995794534</v>
      </c>
      <c r="CJ40" s="55">
        <f t="shared" ref="CJ40:CJ46" si="138">(CH40/CD40-1)*100</f>
        <v>0</v>
      </c>
      <c r="CK40" s="59"/>
      <c r="CL40" s="231">
        <f>16-3</f>
        <v>13</v>
      </c>
      <c r="CM40" s="181">
        <f t="shared" ref="CM40:CM46" si="139">CL40/CL10*100</f>
        <v>0.39453717754172984</v>
      </c>
      <c r="CN40" s="55">
        <f t="shared" ref="CN40:CN46" si="140">(CL40/CH40-1)*100</f>
        <v>0</v>
      </c>
      <c r="CO40" s="59"/>
      <c r="CP40" s="231">
        <f>16-3</f>
        <v>13</v>
      </c>
      <c r="CQ40" s="181">
        <f t="shared" ref="CQ40:CQ46" si="141">CP40/CP10*100</f>
        <v>0.37281330656724981</v>
      </c>
      <c r="CR40" s="55">
        <f t="shared" ref="CR40:CR46" si="142">(CP40/CL40-1)*100</f>
        <v>0</v>
      </c>
      <c r="CS40" s="44"/>
      <c r="CT40" s="231">
        <f>16-3</f>
        <v>13</v>
      </c>
      <c r="CU40" s="181">
        <f t="shared" ref="CU40:CU46" si="143">CT40/CT10*100</f>
        <v>0.34861893268972916</v>
      </c>
      <c r="CV40" s="55">
        <f t="shared" ref="CV40:CV46" si="144">(CT40/CP40-1)*100</f>
        <v>0</v>
      </c>
      <c r="CW40" s="44"/>
      <c r="CX40" s="231">
        <f>16-3</f>
        <v>13</v>
      </c>
      <c r="CY40" s="181">
        <f t="shared" ref="CY40:CY46" si="145">CX40/CX10*100</f>
        <v>0.34446210916799153</v>
      </c>
      <c r="CZ40" s="55">
        <f t="shared" ref="CZ40:CZ46" si="146">(CX40/CT40-1)*100</f>
        <v>0</v>
      </c>
      <c r="DA40" s="44"/>
      <c r="DB40" s="231">
        <f>16-3</f>
        <v>13</v>
      </c>
      <c r="DC40" s="181">
        <f t="shared" ref="DC40:DC46" si="147">DB40/DB10*100</f>
        <v>0.35548263604047031</v>
      </c>
      <c r="DD40" s="55">
        <f t="shared" ref="DD40:DD46" si="148">(DB40/CX40-1)*100</f>
        <v>0</v>
      </c>
      <c r="DE40" s="44"/>
      <c r="DF40" s="231">
        <f>16-3</f>
        <v>13</v>
      </c>
      <c r="DG40" s="181">
        <f t="shared" ref="DG40:DG46" si="149">DF40/DF10*100</f>
        <v>0.37812681791739383</v>
      </c>
      <c r="DH40" s="55">
        <f t="shared" ref="DH40:DH46" si="150">(DF40/DB40-1)*100</f>
        <v>0</v>
      </c>
      <c r="DI40" s="55"/>
      <c r="DJ40" s="231">
        <f>16-3</f>
        <v>13</v>
      </c>
      <c r="DK40" s="181">
        <f t="shared" ref="DK40:DK46" si="151">DJ40/DJ10*100</f>
        <v>0.37790697674418605</v>
      </c>
      <c r="DL40" s="55">
        <f t="shared" ref="DL40:DL46" si="152">(DJ40/DF40-1)*100</f>
        <v>0</v>
      </c>
      <c r="DM40" s="55"/>
      <c r="DN40" s="231">
        <f>16-3</f>
        <v>13</v>
      </c>
      <c r="DO40" s="181">
        <f t="shared" ref="DO40:DO46" si="153">DN40/DN10*100</f>
        <v>0.36958203907014431</v>
      </c>
      <c r="DP40" s="191">
        <f t="shared" ref="DP40:DP46" si="154">(DN40/DJ40-1)*100</f>
        <v>0</v>
      </c>
      <c r="DQ40" s="44"/>
      <c r="DR40" s="44"/>
      <c r="DS40" s="44"/>
      <c r="DT40" s="44"/>
      <c r="DU40" s="44"/>
      <c r="DV40" s="44"/>
      <c r="DW40" s="44"/>
      <c r="DX40" s="44"/>
      <c r="DY40" s="44"/>
      <c r="DZ40" s="73"/>
      <c r="EA40" s="54"/>
      <c r="EB40" s="44"/>
      <c r="EC40" s="44"/>
      <c r="ED40" s="44"/>
    </row>
    <row r="41" spans="1:151" hidden="1" outlineLevel="3">
      <c r="A41" s="44" t="str">
        <f>$A$11</f>
        <v>2Q</v>
      </c>
      <c r="B41" s="44" t="str">
        <f>$B$11</f>
        <v>Jul</v>
      </c>
      <c r="C41" s="57"/>
      <c r="D41" s="156"/>
      <c r="E41" s="57"/>
      <c r="F41" s="156">
        <v>99.956999999999994</v>
      </c>
      <c r="G41" s="181">
        <f t="shared" si="117"/>
        <v>36.498106759070936</v>
      </c>
      <c r="H41" s="191"/>
      <c r="I41" s="57"/>
      <c r="J41" s="156">
        <v>123.732</v>
      </c>
      <c r="K41" s="181">
        <f t="shared" si="118"/>
        <v>36.005971313252417</v>
      </c>
      <c r="L41" s="191"/>
      <c r="M41" s="57"/>
      <c r="N41" s="156">
        <v>139.92500000000001</v>
      </c>
      <c r="O41" s="181">
        <f t="shared" si="119"/>
        <v>33.947300106991314</v>
      </c>
      <c r="P41" s="191"/>
      <c r="Q41" s="57"/>
      <c r="R41" s="156">
        <v>153.32</v>
      </c>
      <c r="S41" s="181">
        <f t="shared" si="120"/>
        <v>31.121485841875575</v>
      </c>
      <c r="T41" s="191"/>
      <c r="U41" s="57"/>
      <c r="V41" s="156">
        <v>192.36199999999999</v>
      </c>
      <c r="W41" s="181">
        <f t="shared" si="121"/>
        <v>37.877421463649</v>
      </c>
      <c r="X41" s="191"/>
      <c r="Y41" s="57"/>
      <c r="Z41" s="156">
        <v>210.04300000000001</v>
      </c>
      <c r="AA41" s="181">
        <f t="shared" si="122"/>
        <v>34.471649590281636</v>
      </c>
      <c r="AB41" s="191">
        <f t="shared" si="123"/>
        <v>9.191524313533872</v>
      </c>
      <c r="AC41" s="57"/>
      <c r="AD41" s="156">
        <v>295.38099999999997</v>
      </c>
      <c r="AE41" s="181">
        <f t="shared" si="124"/>
        <v>41.01573944859858</v>
      </c>
      <c r="AF41" s="191">
        <f t="shared" si="125"/>
        <v>40.628823621829802</v>
      </c>
      <c r="AG41" s="57"/>
      <c r="AH41" s="156">
        <v>352.46199999999999</v>
      </c>
      <c r="AI41" s="181">
        <f t="shared" si="126"/>
        <v>39.912534000086062</v>
      </c>
      <c r="AJ41" s="191">
        <f t="shared" si="127"/>
        <v>19.32453339923692</v>
      </c>
      <c r="AK41" s="57"/>
      <c r="AL41" s="156">
        <v>550.12800000000004</v>
      </c>
      <c r="AM41" s="181">
        <f t="shared" si="128"/>
        <v>48.462382120660877</v>
      </c>
      <c r="AN41" s="191">
        <f t="shared" si="129"/>
        <v>56.081506658873877</v>
      </c>
      <c r="AO41" s="57"/>
      <c r="AP41" s="156">
        <v>693.29700000000003</v>
      </c>
      <c r="AQ41" s="181">
        <f t="shared" si="130"/>
        <v>48.027390902257984</v>
      </c>
      <c r="AR41" s="191">
        <f t="shared" si="131"/>
        <v>26.02467062210976</v>
      </c>
      <c r="AS41" s="57"/>
      <c r="AT41" s="232"/>
      <c r="AU41" s="227"/>
      <c r="AV41" s="228"/>
      <c r="AW41" s="60"/>
      <c r="AX41" s="232"/>
      <c r="AY41" s="227"/>
      <c r="AZ41" s="228"/>
      <c r="BA41" s="60"/>
      <c r="BB41" s="232"/>
      <c r="BC41" s="227"/>
      <c r="BD41" s="228"/>
      <c r="BE41" s="60"/>
      <c r="BF41" s="232"/>
      <c r="BG41" s="227"/>
      <c r="BH41" s="228"/>
      <c r="BI41" s="229"/>
      <c r="BJ41" s="225">
        <f>+'yrP&amp;L'!P$27/4</f>
        <v>31.335515555041528</v>
      </c>
      <c r="BK41" s="181">
        <f t="shared" ref="BK41:BK46" si="155">BJ41/BJ11*100</f>
        <v>0.84217394630659059</v>
      </c>
      <c r="BL41" s="191"/>
      <c r="BM41" s="57">
        <f>+(BJ41-65)/BJ21</f>
        <v>-1.4708426353394075E-2</v>
      </c>
      <c r="BN41" s="225">
        <f>+'yrP&amp;L'!Q$27/4</f>
        <v>32.216547938113749</v>
      </c>
      <c r="BO41" s="181">
        <f t="shared" ref="BO41:BO46" si="156">BN41/BN11*100</f>
        <v>0.86689893916240701</v>
      </c>
      <c r="BP41" s="191">
        <f t="shared" si="132"/>
        <v>2.811609662284531</v>
      </c>
      <c r="BQ41" s="44"/>
      <c r="BR41" s="233">
        <v>11.3</v>
      </c>
      <c r="BS41" s="181">
        <f t="shared" ref="BS41:BS46" si="157">BR41/BR11*100</f>
        <v>0.30425417339795369</v>
      </c>
      <c r="BT41" s="55">
        <f t="shared" si="133"/>
        <v>-64.924857803801046</v>
      </c>
      <c r="BU41" s="44"/>
      <c r="BV41" s="233">
        <v>11.3</v>
      </c>
      <c r="BW41" s="181">
        <f t="shared" ref="BW41:BW46" si="158">BV41/BV11*100</f>
        <v>0.30664857530529177</v>
      </c>
      <c r="BX41" s="55">
        <f t="shared" si="134"/>
        <v>0</v>
      </c>
      <c r="BY41" s="44"/>
      <c r="BZ41" s="233">
        <v>11.3</v>
      </c>
      <c r="CA41" s="181">
        <f t="shared" ref="CA41:CA46" si="159">BZ41/BZ11*100</f>
        <v>0.32294941411831951</v>
      </c>
      <c r="CB41" s="55">
        <f t="shared" si="135"/>
        <v>0</v>
      </c>
      <c r="CC41" s="44"/>
      <c r="CD41" s="233">
        <v>11.3</v>
      </c>
      <c r="CE41" s="181">
        <f t="shared" ref="CE41:CE46" si="160">CD41/CD11*100</f>
        <v>0.34822804314329742</v>
      </c>
      <c r="CF41" s="55">
        <f t="shared" si="136"/>
        <v>0</v>
      </c>
      <c r="CG41" s="59"/>
      <c r="CH41" s="233">
        <v>11.3</v>
      </c>
      <c r="CI41" s="181">
        <f t="shared" si="137"/>
        <v>0.34066927946940007</v>
      </c>
      <c r="CJ41" s="55">
        <f t="shared" si="138"/>
        <v>0</v>
      </c>
      <c r="CK41" s="59"/>
      <c r="CL41" s="233">
        <v>11.3</v>
      </c>
      <c r="CM41" s="181">
        <f t="shared" si="139"/>
        <v>0.33372711163614888</v>
      </c>
      <c r="CN41" s="55">
        <f t="shared" si="140"/>
        <v>0</v>
      </c>
      <c r="CO41" s="59"/>
      <c r="CP41" s="233">
        <v>11.3</v>
      </c>
      <c r="CQ41" s="181">
        <f t="shared" si="141"/>
        <v>0.31608391608391612</v>
      </c>
      <c r="CR41" s="55">
        <f t="shared" si="142"/>
        <v>0</v>
      </c>
      <c r="CS41" s="44"/>
      <c r="CT41" s="233">
        <v>11.3</v>
      </c>
      <c r="CU41" s="181">
        <f t="shared" si="143"/>
        <v>0.2921406411582213</v>
      </c>
      <c r="CV41" s="55">
        <f t="shared" si="144"/>
        <v>0</v>
      </c>
      <c r="CW41" s="44"/>
      <c r="CX41" s="233">
        <v>11.3</v>
      </c>
      <c r="CY41" s="181">
        <f t="shared" si="145"/>
        <v>0.28384827932680229</v>
      </c>
      <c r="CZ41" s="55">
        <f t="shared" si="146"/>
        <v>0</v>
      </c>
      <c r="DA41" s="44"/>
      <c r="DB41" s="233">
        <v>11.3</v>
      </c>
      <c r="DC41" s="181">
        <f t="shared" si="147"/>
        <v>0.28989225243714728</v>
      </c>
      <c r="DD41" s="55">
        <f t="shared" si="148"/>
        <v>0</v>
      </c>
      <c r="DE41" s="44"/>
      <c r="DF41" s="233">
        <v>11.3</v>
      </c>
      <c r="DG41" s="181">
        <f t="shared" si="149"/>
        <v>0.29343027784990916</v>
      </c>
      <c r="DH41" s="55">
        <f t="shared" si="150"/>
        <v>0</v>
      </c>
      <c r="DI41" s="55"/>
      <c r="DJ41" s="233">
        <v>11.3</v>
      </c>
      <c r="DK41" s="181">
        <f t="shared" si="151"/>
        <v>0.29744669649907873</v>
      </c>
      <c r="DL41" s="55">
        <f t="shared" si="152"/>
        <v>0</v>
      </c>
      <c r="DM41" s="55"/>
      <c r="DN41" s="233">
        <v>11.3</v>
      </c>
      <c r="DO41" s="181">
        <f t="shared" si="153"/>
        <v>0.28940271421741603</v>
      </c>
      <c r="DP41" s="191">
        <f t="shared" si="154"/>
        <v>0</v>
      </c>
      <c r="DQ41" s="44"/>
      <c r="DR41" s="44"/>
      <c r="DS41" s="44"/>
      <c r="DT41" s="44"/>
      <c r="DU41" s="44"/>
      <c r="DV41" s="44"/>
      <c r="DW41" s="44"/>
      <c r="DX41" s="44"/>
      <c r="DY41" s="44"/>
      <c r="DZ41" s="73"/>
      <c r="EA41" s="54"/>
      <c r="EB41" s="44"/>
      <c r="EC41" s="44"/>
      <c r="ED41" s="44"/>
    </row>
    <row r="42" spans="1:151" hidden="1" outlineLevel="3">
      <c r="A42" s="44" t="str">
        <f>$A$12</f>
        <v>3Q</v>
      </c>
      <c r="B42" s="44" t="str">
        <f>$B$12</f>
        <v>Oct</v>
      </c>
      <c r="C42" s="57"/>
      <c r="D42" s="156"/>
      <c r="E42" s="57"/>
      <c r="F42" s="156">
        <v>117.298</v>
      </c>
      <c r="G42" s="181">
        <f t="shared" si="117"/>
        <v>38.407109201819218</v>
      </c>
      <c r="H42" s="191"/>
      <c r="I42" s="57"/>
      <c r="J42" s="156">
        <v>162.108</v>
      </c>
      <c r="K42" s="181">
        <f t="shared" si="118"/>
        <v>38.204095484314934</v>
      </c>
      <c r="L42" s="191"/>
      <c r="M42" s="57"/>
      <c r="N42" s="156">
        <v>190.22200000000001</v>
      </c>
      <c r="O42" s="181">
        <f t="shared" si="119"/>
        <v>35.531538531943866</v>
      </c>
      <c r="P42" s="191"/>
      <c r="Q42" s="57"/>
      <c r="R42" s="156">
        <v>209.084</v>
      </c>
      <c r="S42" s="181">
        <f t="shared" si="120"/>
        <v>37.414196651611562</v>
      </c>
      <c r="T42" s="191"/>
      <c r="U42" s="57"/>
      <c r="V42" s="156">
        <v>227.72800000000001</v>
      </c>
      <c r="W42" s="181">
        <f t="shared" si="121"/>
        <v>37.363207098300563</v>
      </c>
      <c r="X42" s="191"/>
      <c r="Y42" s="57"/>
      <c r="Z42" s="156">
        <v>266.93900000000002</v>
      </c>
      <c r="AA42" s="181">
        <f t="shared" si="122"/>
        <v>38.250040479796645</v>
      </c>
      <c r="AB42" s="191">
        <f t="shared" si="123"/>
        <v>17.218348204876001</v>
      </c>
      <c r="AC42" s="57"/>
      <c r="AD42" s="156">
        <v>328.43400000000003</v>
      </c>
      <c r="AE42" s="181">
        <f t="shared" si="124"/>
        <v>39.203127331324048</v>
      </c>
      <c r="AF42" s="191">
        <f t="shared" si="125"/>
        <v>23.037098363296483</v>
      </c>
      <c r="AG42" s="57"/>
      <c r="AH42" s="156">
        <v>453.97699999999998</v>
      </c>
      <c r="AI42" s="181">
        <f t="shared" si="126"/>
        <v>43.456373429771801</v>
      </c>
      <c r="AJ42" s="191">
        <f t="shared" si="127"/>
        <v>38.224727038004566</v>
      </c>
      <c r="AK42" s="57"/>
      <c r="AL42" s="156">
        <v>636.745</v>
      </c>
      <c r="AM42" s="181">
        <f t="shared" si="128"/>
        <v>46.274904524329486</v>
      </c>
      <c r="AN42" s="191">
        <f t="shared" si="129"/>
        <v>40.25930829094866</v>
      </c>
      <c r="AO42" s="57"/>
      <c r="AP42" s="156">
        <v>797.64200000000005</v>
      </c>
      <c r="AQ42" s="181">
        <f t="shared" si="130"/>
        <v>45.81258493203714</v>
      </c>
      <c r="AR42" s="191">
        <f t="shared" si="131"/>
        <v>25.268671132085842</v>
      </c>
      <c r="AS42" s="57"/>
      <c r="AT42" s="232"/>
      <c r="AU42" s="227"/>
      <c r="AV42" s="228"/>
      <c r="AW42" s="60"/>
      <c r="AX42" s="232"/>
      <c r="AY42" s="227"/>
      <c r="AZ42" s="228"/>
      <c r="BA42" s="60"/>
      <c r="BB42" s="232"/>
      <c r="BC42" s="227"/>
      <c r="BD42" s="228"/>
      <c r="BE42" s="227"/>
      <c r="BF42" s="232"/>
      <c r="BG42" s="227"/>
      <c r="BH42" s="228"/>
      <c r="BI42" s="229"/>
      <c r="BJ42" s="225">
        <f>+'yrP&amp;L'!P$27/4</f>
        <v>31.335515555041528</v>
      </c>
      <c r="BK42" s="181">
        <f t="shared" si="155"/>
        <v>0.78729483951714196</v>
      </c>
      <c r="BL42" s="191"/>
      <c r="BM42" s="57">
        <f>+(BJ42-10)/BJ22</f>
        <v>8.8382417377968221E-3</v>
      </c>
      <c r="BN42" s="225">
        <f>+'yrP&amp;L'!Q$27/4</f>
        <v>32.216547938113749</v>
      </c>
      <c r="BO42" s="181">
        <f t="shared" si="156"/>
        <v>0.834645919825865</v>
      </c>
      <c r="BP42" s="191">
        <f t="shared" si="132"/>
        <v>2.811609662284531</v>
      </c>
      <c r="BQ42" s="44"/>
      <c r="BR42" s="233">
        <v>11.3</v>
      </c>
      <c r="BS42" s="181">
        <f t="shared" si="157"/>
        <v>0.29343027784990916</v>
      </c>
      <c r="BT42" s="55">
        <f t="shared" si="133"/>
        <v>-64.924857803801046</v>
      </c>
      <c r="BU42" s="44"/>
      <c r="BV42" s="233">
        <v>11.3</v>
      </c>
      <c r="BW42" s="181">
        <f t="shared" si="158"/>
        <v>0.29320186818889465</v>
      </c>
      <c r="BX42" s="55">
        <f t="shared" si="134"/>
        <v>0</v>
      </c>
      <c r="BY42" s="44"/>
      <c r="BZ42" s="233">
        <v>11.3</v>
      </c>
      <c r="CA42" s="181">
        <f t="shared" si="159"/>
        <v>0.31732659365346816</v>
      </c>
      <c r="CB42" s="55">
        <f t="shared" si="135"/>
        <v>0</v>
      </c>
      <c r="CC42" s="44"/>
      <c r="CD42" s="233">
        <v>11.3</v>
      </c>
      <c r="CE42" s="181">
        <f t="shared" si="160"/>
        <v>0.31485093340763448</v>
      </c>
      <c r="CF42" s="55">
        <f t="shared" si="136"/>
        <v>0</v>
      </c>
      <c r="CG42" s="59"/>
      <c r="CH42" s="233">
        <v>11.3</v>
      </c>
      <c r="CI42" s="181">
        <f t="shared" si="137"/>
        <v>0.30925013683634373</v>
      </c>
      <c r="CJ42" s="55">
        <f t="shared" si="138"/>
        <v>0</v>
      </c>
      <c r="CK42" s="59"/>
      <c r="CL42" s="233">
        <v>11.3</v>
      </c>
      <c r="CM42" s="181">
        <f t="shared" si="139"/>
        <v>0.3152022315202232</v>
      </c>
      <c r="CN42" s="55">
        <f t="shared" si="140"/>
        <v>0</v>
      </c>
      <c r="CO42" s="59"/>
      <c r="CP42" s="233">
        <v>11.3</v>
      </c>
      <c r="CQ42" s="181">
        <f t="shared" si="141"/>
        <v>0.29244306418219462</v>
      </c>
      <c r="CR42" s="55">
        <f t="shared" si="142"/>
        <v>0</v>
      </c>
      <c r="CS42" s="44"/>
      <c r="CT42" s="233">
        <v>11.3</v>
      </c>
      <c r="CU42" s="181">
        <f t="shared" si="143"/>
        <v>0.28420523138832998</v>
      </c>
      <c r="CV42" s="55">
        <f t="shared" si="144"/>
        <v>0</v>
      </c>
      <c r="CW42" s="44"/>
      <c r="CX42" s="233">
        <v>11.3</v>
      </c>
      <c r="CY42" s="181">
        <f t="shared" si="145"/>
        <v>0.28449144008056398</v>
      </c>
      <c r="CZ42" s="55">
        <f t="shared" si="146"/>
        <v>0</v>
      </c>
      <c r="DA42" s="44"/>
      <c r="DB42" s="233">
        <v>11.3</v>
      </c>
      <c r="DC42" s="181">
        <f t="shared" si="147"/>
        <v>0.29297381384495724</v>
      </c>
      <c r="DD42" s="55">
        <f t="shared" si="148"/>
        <v>0</v>
      </c>
      <c r="DE42" s="44"/>
      <c r="DF42" s="233">
        <v>11.3</v>
      </c>
      <c r="DG42" s="181">
        <f t="shared" si="149"/>
        <v>0.2975250131648236</v>
      </c>
      <c r="DH42" s="55">
        <f t="shared" si="150"/>
        <v>0</v>
      </c>
      <c r="DI42" s="55"/>
      <c r="DJ42" s="233">
        <v>11.3</v>
      </c>
      <c r="DK42" s="181">
        <f t="shared" si="151"/>
        <v>0.29442417926003128</v>
      </c>
      <c r="DL42" s="55">
        <f t="shared" si="152"/>
        <v>0</v>
      </c>
      <c r="DM42" s="55"/>
      <c r="DN42" s="233">
        <v>11.3</v>
      </c>
      <c r="DO42" s="181">
        <f t="shared" si="153"/>
        <v>0.28945578454706095</v>
      </c>
      <c r="DP42" s="191">
        <f t="shared" si="154"/>
        <v>0</v>
      </c>
      <c r="DQ42" s="44"/>
      <c r="DR42" s="44"/>
      <c r="DS42" s="44"/>
      <c r="DT42" s="44"/>
      <c r="DU42" s="44"/>
      <c r="DV42" s="44"/>
      <c r="DW42" s="44"/>
      <c r="DX42" s="44"/>
      <c r="DY42" s="44"/>
      <c r="DZ42" s="73"/>
      <c r="EA42" s="54"/>
      <c r="EB42" s="44"/>
      <c r="EC42" s="44"/>
      <c r="ED42" s="44"/>
    </row>
    <row r="43" spans="1:151" hidden="1" outlineLevel="3">
      <c r="A43" s="44" t="str">
        <f>$A$13</f>
        <v>4Q</v>
      </c>
      <c r="B43" s="44" t="str">
        <f>$B$13</f>
        <v>Jan</v>
      </c>
      <c r="C43" s="60"/>
      <c r="D43" s="163"/>
      <c r="E43" s="60"/>
      <c r="F43" s="163">
        <v>139.988</v>
      </c>
      <c r="G43" s="181">
        <f t="shared" si="117"/>
        <v>35.695380111889115</v>
      </c>
      <c r="H43" s="191"/>
      <c r="I43" s="57"/>
      <c r="J43" s="163">
        <v>174.38200000000001</v>
      </c>
      <c r="K43" s="181">
        <f t="shared" si="118"/>
        <v>35.306360862584555</v>
      </c>
      <c r="L43" s="191"/>
      <c r="M43" s="57"/>
      <c r="N43" s="163">
        <v>195.52500000000001</v>
      </c>
      <c r="O43" s="181">
        <f t="shared" si="119"/>
        <v>31.147548818137498</v>
      </c>
      <c r="P43" s="191"/>
      <c r="Q43" s="57"/>
      <c r="R43" s="163">
        <v>233.876</v>
      </c>
      <c r="S43" s="181">
        <f t="shared" si="120"/>
        <v>36.184278723348292</v>
      </c>
      <c r="T43" s="191"/>
      <c r="U43" s="57"/>
      <c r="V43" s="163">
        <v>247.71</v>
      </c>
      <c r="W43" s="181">
        <f t="shared" si="121"/>
        <v>32.105210632526173</v>
      </c>
      <c r="X43" s="191"/>
      <c r="Y43" s="57"/>
      <c r="Z43" s="163">
        <v>324.839</v>
      </c>
      <c r="AA43" s="181">
        <f t="shared" si="122"/>
        <v>34.333660281316192</v>
      </c>
      <c r="AB43" s="191">
        <f t="shared" si="123"/>
        <v>31.136813208994376</v>
      </c>
      <c r="AC43" s="57"/>
      <c r="AD43" s="163">
        <v>363.69600000000003</v>
      </c>
      <c r="AE43" s="181">
        <f t="shared" si="124"/>
        <v>35.382017137653811</v>
      </c>
      <c r="AF43" s="191">
        <f t="shared" si="125"/>
        <v>11.961925753988911</v>
      </c>
      <c r="AG43" s="57"/>
      <c r="AH43" s="163">
        <v>516.66700000000003</v>
      </c>
      <c r="AI43" s="181">
        <f t="shared" si="126"/>
        <v>39.601780086091665</v>
      </c>
      <c r="AJ43" s="191">
        <f t="shared" si="127"/>
        <v>42.060127139149174</v>
      </c>
      <c r="AK43" s="57"/>
      <c r="AL43" s="163">
        <v>744.34799999999996</v>
      </c>
      <c r="AM43" s="181">
        <f t="shared" si="128"/>
        <v>41.910448164572493</v>
      </c>
      <c r="AN43" s="191">
        <f t="shared" si="129"/>
        <v>44.067261892089093</v>
      </c>
      <c r="AO43" s="57"/>
      <c r="AP43" s="163">
        <v>937.34400000000005</v>
      </c>
      <c r="AQ43" s="181">
        <f t="shared" si="130"/>
        <v>41.540410811079113</v>
      </c>
      <c r="AR43" s="191">
        <f t="shared" si="131"/>
        <v>25.928194876589995</v>
      </c>
      <c r="AS43" s="57"/>
      <c r="AT43" s="232"/>
      <c r="AU43" s="227"/>
      <c r="AV43" s="228"/>
      <c r="AW43" s="60"/>
      <c r="AX43" s="232"/>
      <c r="AY43" s="227"/>
      <c r="AZ43" s="228"/>
      <c r="BA43" s="60"/>
      <c r="BB43" s="232"/>
      <c r="BC43" s="227"/>
      <c r="BD43" s="228"/>
      <c r="BE43" s="60"/>
      <c r="BF43" s="232"/>
      <c r="BG43" s="227"/>
      <c r="BH43" s="228"/>
      <c r="BI43" s="229"/>
      <c r="BJ43" s="234">
        <f>+'yrP&amp;L'!P$27/4</f>
        <v>31.335515555041528</v>
      </c>
      <c r="BK43" s="181">
        <f t="shared" si="155"/>
        <v>0.63964430268775874</v>
      </c>
      <c r="BL43" s="191"/>
      <c r="BM43" s="179">
        <f>+(BJ43)/BJ23</f>
        <v>1.0121290553953981E-2</v>
      </c>
      <c r="BN43" s="234">
        <f>+'yrP&amp;L'!Q$27/4</f>
        <v>32.216547938113749</v>
      </c>
      <c r="BO43" s="181">
        <f t="shared" si="156"/>
        <v>0.66827068688689917</v>
      </c>
      <c r="BP43" s="191">
        <f t="shared" si="132"/>
        <v>2.811609662284531</v>
      </c>
      <c r="BQ43" s="44"/>
      <c r="BR43" s="235">
        <v>11.3</v>
      </c>
      <c r="BS43" s="181">
        <f t="shared" si="157"/>
        <v>0.22972148810733889</v>
      </c>
      <c r="BT43" s="55">
        <f t="shared" si="133"/>
        <v>-64.924857803801046</v>
      </c>
      <c r="BU43" s="44"/>
      <c r="BV43" s="235">
        <v>11.3</v>
      </c>
      <c r="BW43" s="181">
        <f t="shared" si="158"/>
        <v>0.24171122994652408</v>
      </c>
      <c r="BX43" s="55">
        <f t="shared" si="134"/>
        <v>0</v>
      </c>
      <c r="BY43" s="44"/>
      <c r="BZ43" s="235">
        <v>11.3</v>
      </c>
      <c r="CA43" s="181">
        <f t="shared" si="159"/>
        <v>0.27682508574228321</v>
      </c>
      <c r="CB43" s="55">
        <f t="shared" si="135"/>
        <v>0</v>
      </c>
      <c r="CC43" s="44"/>
      <c r="CD43" s="235">
        <v>11.3</v>
      </c>
      <c r="CE43" s="181">
        <f t="shared" si="160"/>
        <v>0.26676109537299342</v>
      </c>
      <c r="CF43" s="55">
        <f t="shared" si="136"/>
        <v>0</v>
      </c>
      <c r="CG43" s="59"/>
      <c r="CH43" s="235">
        <v>11.3</v>
      </c>
      <c r="CI43" s="181">
        <f t="shared" si="137"/>
        <v>0.25893675527039417</v>
      </c>
      <c r="CJ43" s="55">
        <f t="shared" si="138"/>
        <v>0</v>
      </c>
      <c r="CK43" s="59"/>
      <c r="CL43" s="235">
        <v>11.3</v>
      </c>
      <c r="CM43" s="181">
        <f t="shared" si="139"/>
        <v>0.26383376138220876</v>
      </c>
      <c r="CN43" s="55">
        <f t="shared" si="140"/>
        <v>0</v>
      </c>
      <c r="CO43" s="59"/>
      <c r="CP43" s="235">
        <v>11.3</v>
      </c>
      <c r="CQ43" s="181">
        <f t="shared" si="141"/>
        <v>0.23915343915343915</v>
      </c>
      <c r="CR43" s="55">
        <f t="shared" si="142"/>
        <v>0</v>
      </c>
      <c r="CS43" s="44"/>
      <c r="CT43" s="235">
        <v>11.3</v>
      </c>
      <c r="CU43" s="181">
        <f t="shared" si="143"/>
        <v>0.2469945355191257</v>
      </c>
      <c r="CV43" s="55">
        <f t="shared" si="144"/>
        <v>0</v>
      </c>
      <c r="CW43" s="44"/>
      <c r="CX43" s="235">
        <v>11.3</v>
      </c>
      <c r="CY43" s="181">
        <f t="shared" si="145"/>
        <v>0.24001699235344098</v>
      </c>
      <c r="CZ43" s="55">
        <f t="shared" si="146"/>
        <v>0</v>
      </c>
      <c r="DA43" s="44"/>
      <c r="DB43" s="235">
        <v>11.3</v>
      </c>
      <c r="DC43" s="181">
        <f t="shared" si="147"/>
        <v>0.25769669327251998</v>
      </c>
      <c r="DD43" s="55">
        <f t="shared" si="148"/>
        <v>0</v>
      </c>
      <c r="DE43" s="44"/>
      <c r="DF43" s="235">
        <v>11.3</v>
      </c>
      <c r="DG43" s="181">
        <f t="shared" si="149"/>
        <v>0.25513659968390157</v>
      </c>
      <c r="DH43" s="55">
        <f t="shared" si="150"/>
        <v>0</v>
      </c>
      <c r="DI43" s="55"/>
      <c r="DJ43" s="235">
        <v>11.3</v>
      </c>
      <c r="DK43" s="181">
        <f t="shared" si="151"/>
        <v>0.23650062787777315</v>
      </c>
      <c r="DL43" s="55">
        <f t="shared" si="152"/>
        <v>0</v>
      </c>
      <c r="DM43" s="55"/>
      <c r="DN43" s="235">
        <v>11.3</v>
      </c>
      <c r="DO43" s="181">
        <f t="shared" si="153"/>
        <v>0.2413799648169028</v>
      </c>
      <c r="DP43" s="191">
        <f t="shared" si="154"/>
        <v>0</v>
      </c>
      <c r="DQ43" s="44"/>
      <c r="DR43" s="44"/>
      <c r="DS43" s="44"/>
      <c r="DT43" s="44"/>
      <c r="DU43" s="44"/>
      <c r="DV43" s="44"/>
      <c r="DW43" s="44"/>
      <c r="DX43" s="44"/>
      <c r="DY43" s="44"/>
      <c r="DZ43" s="73"/>
      <c r="EA43" s="54"/>
      <c r="EB43" s="44"/>
      <c r="EC43" s="44"/>
      <c r="ED43" s="44"/>
    </row>
    <row r="44" spans="1:151" hidden="1" outlineLevel="3">
      <c r="A44" s="44"/>
      <c r="B44" s="44" t="str">
        <f>$B$14</f>
        <v>Year</v>
      </c>
      <c r="C44" s="57"/>
      <c r="D44" s="167"/>
      <c r="E44" s="57"/>
      <c r="F44" s="167">
        <f>SUM(F40:F43)</f>
        <v>454.18</v>
      </c>
      <c r="G44" s="181">
        <f t="shared" si="117"/>
        <v>36.590740088765862</v>
      </c>
      <c r="H44" s="191"/>
      <c r="I44" s="57"/>
      <c r="J44" s="167">
        <f>SUM(J40:J43)</f>
        <v>575.68599999999992</v>
      </c>
      <c r="K44" s="181">
        <f t="shared" si="118"/>
        <v>36.693115842034111</v>
      </c>
      <c r="L44" s="191"/>
      <c r="M44" s="57"/>
      <c r="N44" s="167">
        <f>SUM(N40:N43)</f>
        <v>661.25199999999995</v>
      </c>
      <c r="O44" s="181">
        <f t="shared" si="119"/>
        <v>33.814066916110171</v>
      </c>
      <c r="P44" s="191"/>
      <c r="Q44" s="57"/>
      <c r="R44" s="167">
        <f>SUM(R40:R43)</f>
        <v>748.19299999999998</v>
      </c>
      <c r="S44" s="181">
        <f t="shared" si="120"/>
        <v>35.2623658620155</v>
      </c>
      <c r="T44" s="191"/>
      <c r="U44" s="57"/>
      <c r="V44" s="167">
        <f>SUM(V40:V43)</f>
        <v>853.52400000000011</v>
      </c>
      <c r="W44" s="181">
        <f t="shared" si="121"/>
        <v>36.304783164241883</v>
      </c>
      <c r="X44" s="191"/>
      <c r="Y44" s="57"/>
      <c r="Z44" s="167">
        <f>SUM(Z40:Z43)</f>
        <v>1004.396</v>
      </c>
      <c r="AA44" s="181">
        <f t="shared" si="122"/>
        <v>35.598512115202965</v>
      </c>
      <c r="AB44" s="191">
        <f t="shared" si="123"/>
        <v>17.676362937656087</v>
      </c>
      <c r="AC44" s="57"/>
      <c r="AD44" s="167">
        <f>SUM(AD40:AD43)</f>
        <v>1270.1379999999999</v>
      </c>
      <c r="AE44" s="181">
        <f t="shared" si="124"/>
        <v>38.662825561935072</v>
      </c>
      <c r="AF44" s="191">
        <f t="shared" si="125"/>
        <v>26.457891110677465</v>
      </c>
      <c r="AG44" s="57"/>
      <c r="AH44" s="167">
        <f>SUM(AH40:AH43)</f>
        <v>1635.0169999999998</v>
      </c>
      <c r="AI44" s="181">
        <f t="shared" si="126"/>
        <v>40.656479692734692</v>
      </c>
      <c r="AJ44" s="191">
        <f t="shared" si="127"/>
        <v>28.727508349486431</v>
      </c>
      <c r="AK44" s="57"/>
      <c r="AL44" s="167">
        <f>SUM(AL40:AL43)</f>
        <v>2403.3649999999998</v>
      </c>
      <c r="AM44" s="181">
        <f t="shared" si="128"/>
        <v>45.191171178014891</v>
      </c>
      <c r="AN44" s="191">
        <f t="shared" si="129"/>
        <v>46.993272852820489</v>
      </c>
      <c r="AO44" s="57"/>
      <c r="AP44" s="167">
        <f>SUM(AP40:AP43)</f>
        <v>3043.4319999999998</v>
      </c>
      <c r="AQ44" s="181">
        <f t="shared" si="130"/>
        <v>44.91977504630448</v>
      </c>
      <c r="AR44" s="191">
        <f t="shared" si="131"/>
        <v>26.6321178847158</v>
      </c>
      <c r="AS44" s="57"/>
      <c r="AT44" s="236"/>
      <c r="AU44" s="227"/>
      <c r="AV44" s="228"/>
      <c r="AW44" s="60"/>
      <c r="AX44" s="236"/>
      <c r="AY44" s="227"/>
      <c r="AZ44" s="228"/>
      <c r="BA44" s="60"/>
      <c r="BB44" s="236"/>
      <c r="BC44" s="227"/>
      <c r="BD44" s="228"/>
      <c r="BE44" s="60"/>
      <c r="BF44" s="236"/>
      <c r="BG44" s="227"/>
      <c r="BH44" s="228"/>
      <c r="BI44" s="229"/>
      <c r="BJ44" s="167">
        <f>SUM(BJ40:BJ43)</f>
        <v>125.34206222016611</v>
      </c>
      <c r="BK44" s="181">
        <f t="shared" si="155"/>
        <v>0.77051068096351782</v>
      </c>
      <c r="BL44" s="191"/>
      <c r="BM44" s="57"/>
      <c r="BN44" s="167">
        <f>SUM(BN40:BN43)</f>
        <v>128.86619175245499</v>
      </c>
      <c r="BO44" s="181">
        <f t="shared" si="156"/>
        <v>0.80423850493750382</v>
      </c>
      <c r="BP44" s="191">
        <f t="shared" si="132"/>
        <v>2.811609662284531</v>
      </c>
      <c r="BQ44" s="44"/>
      <c r="BR44" s="167">
        <f>SUM(BR40:BR43)</f>
        <v>46.900000000000006</v>
      </c>
      <c r="BS44" s="181">
        <f t="shared" si="157"/>
        <v>0.29454248571249136</v>
      </c>
      <c r="BT44" s="55">
        <f t="shared" si="133"/>
        <v>-63.605659977837803</v>
      </c>
      <c r="BU44" s="44"/>
      <c r="BV44" s="167">
        <f>SUM(BV40:BV43)</f>
        <v>46.900000000000006</v>
      </c>
      <c r="BW44" s="181">
        <f t="shared" si="158"/>
        <v>0.29753219564803657</v>
      </c>
      <c r="BX44" s="55">
        <f t="shared" si="134"/>
        <v>0</v>
      </c>
      <c r="BY44" s="44"/>
      <c r="BZ44" s="167">
        <f>SUM(BZ40:BZ43)</f>
        <v>46.900000000000006</v>
      </c>
      <c r="CA44" s="181">
        <f t="shared" si="159"/>
        <v>0.32286933773922621</v>
      </c>
      <c r="CB44" s="55">
        <f t="shared" si="135"/>
        <v>0</v>
      </c>
      <c r="CC44" s="44"/>
      <c r="CD44" s="167">
        <f>SUM(CD40:CD43)</f>
        <v>46.900000000000006</v>
      </c>
      <c r="CE44" s="181">
        <f t="shared" si="160"/>
        <v>0.33035148270761433</v>
      </c>
      <c r="CF44" s="55">
        <f t="shared" si="136"/>
        <v>0</v>
      </c>
      <c r="CG44" s="59"/>
      <c r="CH44" s="167">
        <f>SUM(CH40:CH43)</f>
        <v>46.900000000000006</v>
      </c>
      <c r="CI44" s="181">
        <f t="shared" si="137"/>
        <v>0.31983087834151669</v>
      </c>
      <c r="CJ44" s="55">
        <f t="shared" si="138"/>
        <v>0</v>
      </c>
      <c r="CK44" s="59"/>
      <c r="CL44" s="167">
        <f>SUM(CL40:CL43)</f>
        <v>46.900000000000006</v>
      </c>
      <c r="CM44" s="181">
        <f t="shared" si="139"/>
        <v>0.32235892501202834</v>
      </c>
      <c r="CN44" s="55">
        <f t="shared" si="140"/>
        <v>0</v>
      </c>
      <c r="CO44" s="59"/>
      <c r="CP44" s="167">
        <f>SUM(CP40:CP43)</f>
        <v>46.900000000000006</v>
      </c>
      <c r="CQ44" s="181">
        <f t="shared" si="141"/>
        <v>0.29966136349115075</v>
      </c>
      <c r="CR44" s="55">
        <f t="shared" si="142"/>
        <v>0</v>
      </c>
      <c r="CS44" s="44"/>
      <c r="CT44" s="167">
        <f>SUM(CT40:CT43)</f>
        <v>46.900000000000006</v>
      </c>
      <c r="CU44" s="181">
        <f t="shared" si="143"/>
        <v>0.29043844438939809</v>
      </c>
      <c r="CV44" s="55">
        <f t="shared" si="144"/>
        <v>0</v>
      </c>
      <c r="CW44" s="44"/>
      <c r="CX44" s="167">
        <f>SUM(CX40:CX43)</f>
        <v>46.900000000000006</v>
      </c>
      <c r="CY44" s="181">
        <f t="shared" si="145"/>
        <v>0.28536659567995137</v>
      </c>
      <c r="CZ44" s="55">
        <f t="shared" si="146"/>
        <v>0</v>
      </c>
      <c r="DA44" s="44"/>
      <c r="DB44" s="167">
        <f>SUM(DB40:DB43)</f>
        <v>46.900000000000006</v>
      </c>
      <c r="DC44" s="181">
        <f t="shared" si="147"/>
        <v>0.29689181490156363</v>
      </c>
      <c r="DD44" s="55">
        <f t="shared" si="148"/>
        <v>0</v>
      </c>
      <c r="DE44" s="44"/>
      <c r="DF44" s="167">
        <f>SUM(DF40:DF43)</f>
        <v>46.900000000000006</v>
      </c>
      <c r="DG44" s="181">
        <f t="shared" si="149"/>
        <v>0.30226862593451925</v>
      </c>
      <c r="DH44" s="55">
        <f t="shared" si="150"/>
        <v>0</v>
      </c>
      <c r="DI44" s="55"/>
      <c r="DJ44" s="167">
        <f>SUM(DJ40:DJ43)</f>
        <v>46.900000000000006</v>
      </c>
      <c r="DK44" s="181">
        <f t="shared" si="151"/>
        <v>0.29580573951434885</v>
      </c>
      <c r="DL44" s="55">
        <f t="shared" si="152"/>
        <v>0</v>
      </c>
      <c r="DM44" s="55"/>
      <c r="DN44" s="167">
        <f>SUM(DN40:DN43)</f>
        <v>46.900000000000006</v>
      </c>
      <c r="DO44" s="181">
        <f t="shared" si="153"/>
        <v>0.2929899638573859</v>
      </c>
      <c r="DP44" s="191">
        <f t="shared" si="154"/>
        <v>0</v>
      </c>
      <c r="DQ44" s="44"/>
      <c r="DR44" s="44"/>
      <c r="DS44" s="44"/>
      <c r="DT44" s="44"/>
      <c r="DU44" s="44"/>
      <c r="DV44" s="44"/>
      <c r="DW44" s="44"/>
      <c r="DX44" s="44"/>
      <c r="DY44" s="44"/>
      <c r="DZ44" s="119"/>
      <c r="EA44" s="54"/>
      <c r="EB44" s="44"/>
      <c r="EC44" s="44"/>
      <c r="ED44" s="44"/>
    </row>
    <row r="45" spans="1:151" hidden="1" outlineLevel="2" collapsed="1">
      <c r="A45" s="44" t="str">
        <f>$A$15</f>
        <v>6 Mos</v>
      </c>
      <c r="B45" s="44"/>
      <c r="C45" s="57"/>
      <c r="D45" s="169"/>
      <c r="E45" s="57"/>
      <c r="F45" s="169">
        <f>SUM(F40:F41)</f>
        <v>196.89400000000001</v>
      </c>
      <c r="G45" s="181">
        <f t="shared" si="117"/>
        <v>36.216252009520623</v>
      </c>
      <c r="H45" s="191"/>
      <c r="I45" s="57"/>
      <c r="J45" s="169">
        <f>SUM(J40:J41)</f>
        <v>239.196</v>
      </c>
      <c r="K45" s="181">
        <f t="shared" si="118"/>
        <v>36.760418571698615</v>
      </c>
      <c r="L45" s="191"/>
      <c r="M45" s="57"/>
      <c r="N45" s="169">
        <f>SUM(N40:N41)</f>
        <v>275.505</v>
      </c>
      <c r="O45" s="181">
        <f t="shared" si="119"/>
        <v>34.766055821536646</v>
      </c>
      <c r="P45" s="191"/>
      <c r="Q45" s="57"/>
      <c r="R45" s="169">
        <f>SUM(R40:R41)</f>
        <v>305.233</v>
      </c>
      <c r="S45" s="181">
        <f t="shared" si="120"/>
        <v>33.300349332210352</v>
      </c>
      <c r="T45" s="191"/>
      <c r="U45" s="57"/>
      <c r="V45" s="169">
        <f>SUM(V40:V41)</f>
        <v>378.08600000000001</v>
      </c>
      <c r="W45" s="181">
        <f t="shared" si="121"/>
        <v>38.980309111585136</v>
      </c>
      <c r="X45" s="191"/>
      <c r="Y45" s="57"/>
      <c r="Z45" s="169">
        <f>SUM(Z40:Z41)</f>
        <v>412.61799999999999</v>
      </c>
      <c r="AA45" s="181">
        <f t="shared" si="122"/>
        <v>35.043296881741256</v>
      </c>
      <c r="AB45" s="191">
        <f t="shared" si="123"/>
        <v>9.1333717725596841</v>
      </c>
      <c r="AC45" s="57"/>
      <c r="AD45" s="169">
        <f>SUM(AD40:AD41)</f>
        <v>578.00800000000004</v>
      </c>
      <c r="AE45" s="181">
        <f t="shared" si="124"/>
        <v>40.719728858264205</v>
      </c>
      <c r="AF45" s="191">
        <f t="shared" si="125"/>
        <v>40.083079264598268</v>
      </c>
      <c r="AG45" s="57"/>
      <c r="AH45" s="169">
        <f>SUM(AH40:AH41)</f>
        <v>664.37300000000005</v>
      </c>
      <c r="AI45" s="181">
        <f t="shared" si="126"/>
        <v>39.73018971278762</v>
      </c>
      <c r="AJ45" s="191">
        <f t="shared" si="127"/>
        <v>14.941834715090451</v>
      </c>
      <c r="AK45" s="57"/>
      <c r="AL45" s="169">
        <f>SUM(AL40:AL41)</f>
        <v>1022.272</v>
      </c>
      <c r="AM45" s="181">
        <f t="shared" si="128"/>
        <v>47.192624398188698</v>
      </c>
      <c r="AN45" s="191">
        <f t="shared" si="129"/>
        <v>53.87019039003691</v>
      </c>
      <c r="AO45" s="57"/>
      <c r="AP45" s="169">
        <f>SUM(AP40:AP41)</f>
        <v>1308.4459999999999</v>
      </c>
      <c r="AQ45" s="181">
        <f t="shared" si="130"/>
        <v>47.105374950498614</v>
      </c>
      <c r="AR45" s="191">
        <f t="shared" si="131"/>
        <v>27.993919426532266</v>
      </c>
      <c r="AS45" s="57"/>
      <c r="AT45" s="237"/>
      <c r="AU45" s="227"/>
      <c r="AV45" s="228"/>
      <c r="AW45" s="60"/>
      <c r="AX45" s="237"/>
      <c r="AY45" s="227"/>
      <c r="AZ45" s="228"/>
      <c r="BA45" s="60"/>
      <c r="BB45" s="237"/>
      <c r="BC45" s="227"/>
      <c r="BD45" s="228"/>
      <c r="BE45" s="60"/>
      <c r="BF45" s="237"/>
      <c r="BG45" s="227"/>
      <c r="BH45" s="228"/>
      <c r="BI45" s="229"/>
      <c r="BJ45" s="169">
        <f>SUM(BJ40:BJ41)</f>
        <v>62.671031110083057</v>
      </c>
      <c r="BK45" s="181">
        <f t="shared" si="155"/>
        <v>0.84824077338583204</v>
      </c>
      <c r="BL45" s="191"/>
      <c r="BM45" s="57"/>
      <c r="BN45" s="169">
        <f>SUM(BN40:BN41)</f>
        <v>64.433095876227497</v>
      </c>
      <c r="BO45" s="181">
        <f t="shared" si="156"/>
        <v>0.87752532963129082</v>
      </c>
      <c r="BP45" s="191">
        <f t="shared" si="132"/>
        <v>2.811609662284531</v>
      </c>
      <c r="BQ45" s="44"/>
      <c r="BR45" s="58">
        <f>SUM(BR40:BR41)</f>
        <v>24.3</v>
      </c>
      <c r="BS45" s="181">
        <f t="shared" si="157"/>
        <v>0.33971760100657067</v>
      </c>
      <c r="BT45" s="55">
        <f t="shared" si="133"/>
        <v>-62.286462151874566</v>
      </c>
      <c r="BU45" s="44"/>
      <c r="BV45" s="58">
        <f>SUM(BV40:BV41)</f>
        <v>24.3</v>
      </c>
      <c r="BW45" s="181">
        <f t="shared" si="158"/>
        <v>0.33591374066906277</v>
      </c>
      <c r="BX45" s="55">
        <f t="shared" si="134"/>
        <v>0</v>
      </c>
      <c r="BY45" s="44"/>
      <c r="BZ45" s="58">
        <f>SUM(BZ40:BZ41)</f>
        <v>24.3</v>
      </c>
      <c r="CA45" s="181">
        <f t="shared" si="159"/>
        <v>0.35304373093128</v>
      </c>
      <c r="CB45" s="55">
        <f t="shared" si="135"/>
        <v>0</v>
      </c>
      <c r="CC45" s="44"/>
      <c r="CD45" s="58">
        <f>SUM(CD40:CD41)</f>
        <v>24.3</v>
      </c>
      <c r="CE45" s="181">
        <f t="shared" si="160"/>
        <v>0.38135593220338987</v>
      </c>
      <c r="CF45" s="55">
        <f t="shared" si="136"/>
        <v>0</v>
      </c>
      <c r="CG45" s="59"/>
      <c r="CH45" s="58">
        <f>SUM(CH40:CH41)</f>
        <v>24.3</v>
      </c>
      <c r="CI45" s="181">
        <f t="shared" si="137"/>
        <v>0.36563346373758654</v>
      </c>
      <c r="CJ45" s="55">
        <f t="shared" si="138"/>
        <v>0</v>
      </c>
      <c r="CK45" s="59"/>
      <c r="CL45" s="58">
        <f>SUM(CL40:CL41)</f>
        <v>24.3</v>
      </c>
      <c r="CM45" s="181">
        <f t="shared" si="139"/>
        <v>0.3637180062864841</v>
      </c>
      <c r="CN45" s="55">
        <f t="shared" si="140"/>
        <v>0</v>
      </c>
      <c r="CO45" s="59"/>
      <c r="CP45" s="58">
        <f>SUM(CP40:CP41)</f>
        <v>24.3</v>
      </c>
      <c r="CQ45" s="181">
        <f t="shared" si="141"/>
        <v>0.34409515717926931</v>
      </c>
      <c r="CR45" s="55">
        <f t="shared" si="142"/>
        <v>0</v>
      </c>
      <c r="CS45" s="44"/>
      <c r="CT45" s="58">
        <f>SUM(CT40:CT41)</f>
        <v>24.3</v>
      </c>
      <c r="CU45" s="181">
        <f t="shared" si="143"/>
        <v>0.31986310385678557</v>
      </c>
      <c r="CV45" s="55">
        <f t="shared" si="144"/>
        <v>0</v>
      </c>
      <c r="CW45" s="44"/>
      <c r="CX45" s="58">
        <f>SUM(CX40:CX41)</f>
        <v>24.3</v>
      </c>
      <c r="CY45" s="181">
        <f t="shared" si="145"/>
        <v>0.31334622823984526</v>
      </c>
      <c r="CZ45" s="55">
        <f t="shared" si="146"/>
        <v>0</v>
      </c>
      <c r="DA45" s="44"/>
      <c r="DB45" s="58">
        <f>SUM(DB40:DB41)</f>
        <v>24.3</v>
      </c>
      <c r="DC45" s="181">
        <f t="shared" si="147"/>
        <v>0.32164129715420253</v>
      </c>
      <c r="DD45" s="55">
        <f t="shared" si="148"/>
        <v>0</v>
      </c>
      <c r="DE45" s="44"/>
      <c r="DF45" s="58">
        <f>SUM(DF40:DF41)</f>
        <v>24.3</v>
      </c>
      <c r="DG45" s="181">
        <f t="shared" si="149"/>
        <v>0.33337906434353132</v>
      </c>
      <c r="DH45" s="55">
        <f t="shared" si="150"/>
        <v>0</v>
      </c>
      <c r="DI45" s="55"/>
      <c r="DJ45" s="58">
        <f>SUM(DJ40:DJ41)</f>
        <v>24.3</v>
      </c>
      <c r="DK45" s="181">
        <f t="shared" si="151"/>
        <v>0.33568172399502694</v>
      </c>
      <c r="DL45" s="55">
        <f t="shared" si="152"/>
        <v>0</v>
      </c>
      <c r="DM45" s="55"/>
      <c r="DN45" s="169">
        <f>SUM(DN40:DN41)</f>
        <v>24.3</v>
      </c>
      <c r="DO45" s="181">
        <f t="shared" si="153"/>
        <v>0.32740145663599279</v>
      </c>
      <c r="DP45" s="191">
        <f t="shared" si="154"/>
        <v>0</v>
      </c>
      <c r="DQ45" s="44"/>
      <c r="DR45" s="44"/>
      <c r="DS45" s="44"/>
      <c r="DT45" s="44"/>
      <c r="DU45" s="44"/>
      <c r="DV45" s="44"/>
      <c r="DW45" s="44"/>
      <c r="DX45" s="44"/>
      <c r="DY45" s="44"/>
      <c r="DZ45" s="44"/>
      <c r="EA45" s="44"/>
      <c r="EB45" s="44"/>
      <c r="EC45" s="44"/>
      <c r="ED45" s="44"/>
    </row>
    <row r="46" spans="1:151" hidden="1" outlineLevel="2">
      <c r="A46" s="44" t="str">
        <f>$A$16</f>
        <v>9 Mos</v>
      </c>
      <c r="B46" s="44"/>
      <c r="C46" s="57"/>
      <c r="D46" s="169"/>
      <c r="E46" s="57"/>
      <c r="F46" s="169">
        <f>SUM(F40:F42)</f>
        <v>314.19200000000001</v>
      </c>
      <c r="G46" s="181">
        <f t="shared" si="117"/>
        <v>37.004295292844283</v>
      </c>
      <c r="H46" s="191"/>
      <c r="I46" s="57"/>
      <c r="J46" s="169">
        <f>SUM(J40:J42)</f>
        <v>401.30399999999997</v>
      </c>
      <c r="K46" s="181">
        <f t="shared" si="118"/>
        <v>37.330257392954479</v>
      </c>
      <c r="L46" s="191"/>
      <c r="M46" s="57"/>
      <c r="N46" s="169">
        <f>SUM(N40:N42)</f>
        <v>465.72699999999998</v>
      </c>
      <c r="O46" s="181">
        <f t="shared" si="119"/>
        <v>35.074690374788652</v>
      </c>
      <c r="P46" s="191"/>
      <c r="Q46" s="57"/>
      <c r="R46" s="169">
        <f>SUM(R40:R42)</f>
        <v>514.31700000000001</v>
      </c>
      <c r="S46" s="181">
        <f t="shared" si="120"/>
        <v>34.858503417958822</v>
      </c>
      <c r="T46" s="191"/>
      <c r="U46" s="57"/>
      <c r="V46" s="169">
        <f>SUM(V40:V42)</f>
        <v>605.81400000000008</v>
      </c>
      <c r="W46" s="181">
        <f t="shared" si="121"/>
        <v>38.356277133843101</v>
      </c>
      <c r="X46" s="191"/>
      <c r="Y46" s="57"/>
      <c r="Z46" s="169">
        <f>SUM(Z40:Z42)</f>
        <v>679.55700000000002</v>
      </c>
      <c r="AA46" s="181">
        <f t="shared" si="122"/>
        <v>36.236643024618054</v>
      </c>
      <c r="AB46" s="191">
        <f t="shared" si="123"/>
        <v>12.172548009785178</v>
      </c>
      <c r="AC46" s="57"/>
      <c r="AD46" s="169">
        <f>SUM(AD40:AD42)</f>
        <v>906.44200000000001</v>
      </c>
      <c r="AE46" s="181">
        <f t="shared" si="124"/>
        <v>40.156845441408009</v>
      </c>
      <c r="AF46" s="191">
        <f t="shared" si="125"/>
        <v>33.387191950049797</v>
      </c>
      <c r="AG46" s="57"/>
      <c r="AH46" s="169">
        <f>SUM(AH40:AH42)</f>
        <v>1118.3499999999999</v>
      </c>
      <c r="AI46" s="181">
        <f t="shared" si="126"/>
        <v>41.162949480747244</v>
      </c>
      <c r="AJ46" s="191">
        <f t="shared" si="127"/>
        <v>23.377998812941136</v>
      </c>
      <c r="AK46" s="57"/>
      <c r="AL46" s="169">
        <f>SUM(AL40:AL42)</f>
        <v>1659.0170000000001</v>
      </c>
      <c r="AM46" s="181">
        <f t="shared" si="128"/>
        <v>46.836123804194827</v>
      </c>
      <c r="AN46" s="191">
        <f t="shared" si="129"/>
        <v>48.345061921580921</v>
      </c>
      <c r="AO46" s="57"/>
      <c r="AP46" s="169">
        <f>SUM(AP40:AP42)</f>
        <v>2106.0879999999997</v>
      </c>
      <c r="AQ46" s="181">
        <f t="shared" si="130"/>
        <v>46.607261488563992</v>
      </c>
      <c r="AR46" s="191">
        <f t="shared" si="131"/>
        <v>26.947945681087027</v>
      </c>
      <c r="AS46" s="57"/>
      <c r="AT46" s="237"/>
      <c r="AU46" s="227"/>
      <c r="AV46" s="228"/>
      <c r="AW46" s="60"/>
      <c r="AX46" s="237"/>
      <c r="AY46" s="227"/>
      <c r="AZ46" s="228"/>
      <c r="BA46" s="60"/>
      <c r="BB46" s="237"/>
      <c r="BC46" s="227"/>
      <c r="BD46" s="228"/>
      <c r="BE46" s="60"/>
      <c r="BF46" s="237"/>
      <c r="BG46" s="227"/>
      <c r="BH46" s="228"/>
      <c r="BI46" s="229"/>
      <c r="BJ46" s="169">
        <f>SUM(BJ40:BJ42)</f>
        <v>94.006546665124588</v>
      </c>
      <c r="BK46" s="181">
        <f t="shared" si="155"/>
        <v>0.82690340492578962</v>
      </c>
      <c r="BL46" s="191"/>
      <c r="BM46" s="57"/>
      <c r="BN46" s="169">
        <f>SUM(BN40:BN42)</f>
        <v>96.649643814341246</v>
      </c>
      <c r="BO46" s="181">
        <f t="shared" si="156"/>
        <v>0.86275090111018327</v>
      </c>
      <c r="BP46" s="191">
        <f t="shared" si="132"/>
        <v>2.811609662284531</v>
      </c>
      <c r="BQ46" s="44"/>
      <c r="BR46" s="58">
        <f>SUM(BR40:BR42)</f>
        <v>35.6</v>
      </c>
      <c r="BS46" s="181">
        <f t="shared" si="157"/>
        <v>0.32351872046528535</v>
      </c>
      <c r="BT46" s="55">
        <f t="shared" si="133"/>
        <v>-63.165927369183393</v>
      </c>
      <c r="BU46" s="44"/>
      <c r="BV46" s="58">
        <f>SUM(BV40:BV42)</f>
        <v>35.6</v>
      </c>
      <c r="BW46" s="181">
        <f t="shared" si="158"/>
        <v>0.32106782106782106</v>
      </c>
      <c r="BX46" s="55">
        <f t="shared" si="134"/>
        <v>0</v>
      </c>
      <c r="BY46" s="44"/>
      <c r="BZ46" s="58">
        <f>SUM(BZ40:BZ42)</f>
        <v>35.6</v>
      </c>
      <c r="CA46" s="181">
        <f t="shared" si="159"/>
        <v>0.34086556874760632</v>
      </c>
      <c r="CB46" s="55">
        <f t="shared" si="135"/>
        <v>0</v>
      </c>
      <c r="CC46" s="44"/>
      <c r="CD46" s="58">
        <f>SUM(CD40:CD42)</f>
        <v>35.6</v>
      </c>
      <c r="CE46" s="181">
        <f t="shared" si="160"/>
        <v>0.35739383596024499</v>
      </c>
      <c r="CF46" s="55">
        <f t="shared" si="136"/>
        <v>0</v>
      </c>
      <c r="CG46" s="59"/>
      <c r="CH46" s="58">
        <f>SUM(CH40:CH42)</f>
        <v>35.6</v>
      </c>
      <c r="CI46" s="181">
        <f t="shared" si="137"/>
        <v>0.34563106796116505</v>
      </c>
      <c r="CJ46" s="55">
        <f t="shared" si="138"/>
        <v>0</v>
      </c>
      <c r="CK46" s="59"/>
      <c r="CL46" s="58">
        <f>SUM(CL40:CL42)</f>
        <v>35.6</v>
      </c>
      <c r="CM46" s="181">
        <f t="shared" si="139"/>
        <v>0.3467757646600429</v>
      </c>
      <c r="CN46" s="55">
        <f t="shared" si="140"/>
        <v>0</v>
      </c>
      <c r="CO46" s="59"/>
      <c r="CP46" s="58">
        <f>SUM(CP40:CP42)</f>
        <v>35.6</v>
      </c>
      <c r="CQ46" s="181">
        <f t="shared" si="141"/>
        <v>0.32582829946915615</v>
      </c>
      <c r="CR46" s="55">
        <f t="shared" si="142"/>
        <v>0</v>
      </c>
      <c r="CS46" s="44"/>
      <c r="CT46" s="58">
        <f>SUM(CT40:CT42)</f>
        <v>35.6</v>
      </c>
      <c r="CU46" s="181">
        <f t="shared" si="143"/>
        <v>0.30761254644431008</v>
      </c>
      <c r="CV46" s="55">
        <f t="shared" si="144"/>
        <v>0</v>
      </c>
      <c r="CW46" s="44"/>
      <c r="CX46" s="58">
        <f>SUM(CX40:CX42)</f>
        <v>35.6</v>
      </c>
      <c r="CY46" s="181">
        <f t="shared" si="145"/>
        <v>0.30357295130894518</v>
      </c>
      <c r="CZ46" s="55">
        <f t="shared" si="146"/>
        <v>0</v>
      </c>
      <c r="DA46" s="44"/>
      <c r="DB46" s="58">
        <f>SUM(DB40:DB42)</f>
        <v>35.6</v>
      </c>
      <c r="DC46" s="181">
        <f t="shared" si="147"/>
        <v>0.3119523308797757</v>
      </c>
      <c r="DD46" s="55">
        <f t="shared" si="148"/>
        <v>0</v>
      </c>
      <c r="DE46" s="44"/>
      <c r="DF46" s="58">
        <f>SUM(DF40:DF42)</f>
        <v>35.6</v>
      </c>
      <c r="DG46" s="181">
        <f t="shared" si="149"/>
        <v>0.32109678001262743</v>
      </c>
      <c r="DH46" s="55">
        <f t="shared" si="150"/>
        <v>0</v>
      </c>
      <c r="DI46" s="55"/>
      <c r="DJ46" s="58">
        <f>SUM(DJ40:DJ42)</f>
        <v>35.6</v>
      </c>
      <c r="DK46" s="181">
        <f t="shared" si="151"/>
        <v>0.3213866570371039</v>
      </c>
      <c r="DL46" s="55">
        <f t="shared" si="152"/>
        <v>0</v>
      </c>
      <c r="DM46" s="55"/>
      <c r="DN46" s="169">
        <f>SUM(DN40:DN42)</f>
        <v>35.6</v>
      </c>
      <c r="DO46" s="181">
        <f t="shared" si="153"/>
        <v>0.31432218681585278</v>
      </c>
      <c r="DP46" s="191">
        <f t="shared" si="154"/>
        <v>0</v>
      </c>
      <c r="DQ46" s="44"/>
      <c r="DR46" s="44"/>
      <c r="DS46" s="44"/>
      <c r="DT46" s="44"/>
      <c r="DU46" s="44"/>
      <c r="DV46" s="44"/>
      <c r="DW46" s="44"/>
      <c r="DX46" s="44"/>
      <c r="DY46" s="44"/>
      <c r="DZ46" s="44"/>
      <c r="EA46" s="44"/>
      <c r="EB46" s="44"/>
      <c r="EC46" s="44"/>
      <c r="ED46" s="44"/>
    </row>
    <row r="47" spans="1:151" ht="12" customHeight="1" outlineLevel="1" collapsed="1">
      <c r="A47" s="44"/>
      <c r="B47" s="44"/>
      <c r="C47" s="57"/>
      <c r="D47" s="57"/>
      <c r="E47" s="57"/>
      <c r="F47" s="57"/>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J47" s="57"/>
      <c r="BK47" s="57"/>
      <c r="BL47" s="185"/>
      <c r="BM47" s="57"/>
      <c r="BN47" s="230"/>
      <c r="BO47" s="57"/>
      <c r="BP47" s="57"/>
      <c r="BQ47" s="44"/>
      <c r="BR47" s="142"/>
      <c r="BS47" s="44"/>
      <c r="BT47" s="44"/>
      <c r="BU47" s="44"/>
      <c r="BV47" s="142"/>
      <c r="BW47" s="44"/>
      <c r="BX47" s="44"/>
      <c r="BY47" s="44"/>
      <c r="BZ47" s="142"/>
      <c r="CA47" s="238"/>
      <c r="CB47" s="44"/>
      <c r="CC47" s="44"/>
      <c r="CD47" s="142"/>
      <c r="CE47" s="67"/>
      <c r="CF47" s="44"/>
      <c r="CG47" s="59"/>
      <c r="CH47" s="142"/>
      <c r="CI47" s="67"/>
      <c r="CJ47" s="119"/>
      <c r="CK47" s="59"/>
      <c r="CL47" s="142"/>
      <c r="CM47" s="67"/>
      <c r="CN47" s="44"/>
      <c r="CO47" s="59"/>
      <c r="CP47" s="142"/>
      <c r="CQ47" s="67"/>
      <c r="CR47" s="44"/>
      <c r="CS47" s="44"/>
      <c r="CT47" s="44"/>
      <c r="CU47" s="44"/>
      <c r="CV47" s="44"/>
      <c r="CW47" s="44"/>
      <c r="CX47" s="174"/>
      <c r="CY47" s="44"/>
      <c r="CZ47" s="44"/>
      <c r="DA47" s="44"/>
      <c r="DB47" s="174"/>
      <c r="DC47" s="44"/>
      <c r="DD47" s="44"/>
      <c r="DE47" s="44"/>
      <c r="DF47" s="174"/>
      <c r="DG47" s="44"/>
      <c r="DH47" s="44"/>
      <c r="DI47" s="44"/>
      <c r="DJ47" s="174"/>
      <c r="DK47" s="44"/>
      <c r="DL47" s="44"/>
      <c r="DM47" s="44"/>
      <c r="DN47" s="198"/>
      <c r="DO47" s="57"/>
      <c r="DP47" s="57"/>
      <c r="DQ47" s="44"/>
      <c r="DR47" s="44"/>
      <c r="DS47" s="44"/>
      <c r="DT47" s="44"/>
      <c r="DU47" s="44"/>
      <c r="DV47" s="44"/>
      <c r="DW47" s="44"/>
      <c r="DX47" s="44"/>
      <c r="DY47" s="44"/>
      <c r="DZ47" s="44"/>
      <c r="EA47" s="44"/>
      <c r="EB47" s="44"/>
      <c r="EC47" s="44"/>
      <c r="ED47" s="44"/>
      <c r="EG47" s="239"/>
    </row>
    <row r="48" spans="1:151" hidden="1" outlineLevel="2">
      <c r="A48" s="44"/>
      <c r="B48" s="44"/>
      <c r="C48" s="205"/>
      <c r="D48" s="206"/>
      <c r="E48" s="205" t="str">
        <f>Z48</f>
        <v xml:space="preserve">    Depreciation and Amortization   (% of Sales)</v>
      </c>
      <c r="F48" s="206"/>
      <c r="G48" s="57"/>
      <c r="H48" s="57"/>
      <c r="I48" s="57"/>
      <c r="J48" s="206"/>
      <c r="K48" s="57"/>
      <c r="L48" s="57"/>
      <c r="M48" s="57"/>
      <c r="N48" s="206"/>
      <c r="O48" s="57"/>
      <c r="P48" s="57"/>
      <c r="Q48" s="57"/>
      <c r="R48" s="206"/>
      <c r="S48" s="57"/>
      <c r="T48" s="57"/>
      <c r="U48" s="57"/>
      <c r="V48" s="206"/>
      <c r="W48" s="57"/>
      <c r="X48" s="57"/>
      <c r="Y48" s="57"/>
      <c r="Z48" s="135" t="s">
        <v>116</v>
      </c>
      <c r="AA48" s="134"/>
      <c r="AB48" s="134"/>
      <c r="AC48" s="134"/>
      <c r="AD48" s="135"/>
      <c r="AE48" s="134"/>
      <c r="AF48" s="134"/>
      <c r="AG48" s="134"/>
      <c r="AH48" s="135" t="str">
        <f>+Z48</f>
        <v xml:space="preserve">    Depreciation and Amortization   (% of Sales)</v>
      </c>
      <c r="AI48" s="134"/>
      <c r="AJ48" s="134"/>
      <c r="AK48" s="134"/>
      <c r="AL48" s="135"/>
      <c r="AM48" s="134"/>
      <c r="AN48" s="134"/>
      <c r="AO48" s="134"/>
      <c r="AP48" s="240"/>
      <c r="AQ48" s="134"/>
      <c r="AR48" s="134"/>
      <c r="AS48" s="134"/>
      <c r="AT48" s="44"/>
      <c r="AU48" s="135"/>
      <c r="AV48" s="135"/>
      <c r="AW48" s="135"/>
      <c r="AX48" s="135"/>
      <c r="AY48" s="135"/>
      <c r="AZ48" s="136"/>
      <c r="BA48" s="135"/>
      <c r="BB48" s="135"/>
      <c r="BC48" s="135"/>
      <c r="BD48" s="135"/>
      <c r="BE48" s="134"/>
      <c r="BF48" s="135"/>
      <c r="BG48" s="134"/>
      <c r="BH48" s="134"/>
      <c r="BI48" s="134"/>
      <c r="BJ48" s="135" t="s">
        <v>191</v>
      </c>
      <c r="BK48" s="134"/>
      <c r="BL48" s="134"/>
      <c r="BM48" s="134"/>
      <c r="BN48" s="135"/>
      <c r="BO48" s="134"/>
      <c r="BP48" s="134"/>
      <c r="BQ48" s="136"/>
      <c r="BR48" s="137"/>
      <c r="BS48" s="136"/>
      <c r="BT48" s="136"/>
      <c r="BU48" s="136"/>
      <c r="BV48" s="135" t="s">
        <v>191</v>
      </c>
      <c r="BW48" s="136"/>
      <c r="BX48" s="136"/>
      <c r="BY48" s="136"/>
      <c r="BZ48" s="137"/>
      <c r="CA48" s="136"/>
      <c r="CB48" s="136"/>
      <c r="CC48" s="136"/>
      <c r="CD48" s="137"/>
      <c r="CE48" s="136"/>
      <c r="CF48" s="136"/>
      <c r="CG48" s="138"/>
      <c r="CH48" s="139" t="str">
        <f>+BV48</f>
        <v xml:space="preserve"> Depreciation &amp; Amortization Expenses   (% of Sales)</v>
      </c>
      <c r="CI48" s="136"/>
      <c r="CJ48" s="136"/>
      <c r="CK48" s="138"/>
      <c r="CL48" s="137"/>
      <c r="CM48" s="136"/>
      <c r="CN48" s="136"/>
      <c r="CO48" s="138"/>
      <c r="CP48" s="137"/>
      <c r="CQ48" s="136"/>
      <c r="CR48" s="136"/>
      <c r="CS48" s="44"/>
      <c r="CT48" s="174"/>
      <c r="CU48" s="44"/>
      <c r="CV48" s="44"/>
      <c r="CW48" s="44"/>
      <c r="CX48" s="50"/>
      <c r="CY48" s="44"/>
      <c r="CZ48" s="44"/>
      <c r="DA48" s="44"/>
      <c r="DB48" s="50"/>
      <c r="DC48" s="44"/>
      <c r="DD48" s="44"/>
      <c r="DE48" s="44"/>
      <c r="DF48" s="50"/>
      <c r="DG48" s="44"/>
      <c r="DH48" s="44"/>
      <c r="DI48" s="44"/>
      <c r="DJ48" s="50"/>
      <c r="DK48" s="44"/>
      <c r="DL48" s="44"/>
      <c r="DM48" s="44"/>
      <c r="DN48" s="179"/>
      <c r="DO48" s="57"/>
      <c r="DP48" s="57"/>
      <c r="DQ48" s="44"/>
      <c r="DR48" s="44"/>
      <c r="DS48" s="44"/>
      <c r="DT48" s="44"/>
      <c r="DU48" s="44"/>
      <c r="DV48" s="44"/>
      <c r="DW48" s="44"/>
      <c r="DX48" s="44"/>
      <c r="DY48" s="44"/>
      <c r="DZ48" s="44"/>
      <c r="EA48" s="44"/>
      <c r="EB48" s="44"/>
      <c r="EC48" s="44"/>
      <c r="ED48" s="44"/>
      <c r="ER48" s="2132" t="s">
        <v>713</v>
      </c>
      <c r="ES48" s="2132"/>
      <c r="ET48" s="2132"/>
      <c r="EU48" s="2132"/>
    </row>
    <row r="49" spans="1:151" hidden="1" outlineLevel="2">
      <c r="A49" s="44"/>
      <c r="B49" s="44"/>
      <c r="C49" s="57"/>
      <c r="D49" s="57"/>
      <c r="E49" s="57"/>
      <c r="F49" s="57"/>
      <c r="G49" s="57"/>
      <c r="H49" s="57"/>
      <c r="I49" s="57"/>
      <c r="J49" s="57"/>
      <c r="K49" s="57"/>
      <c r="L49" s="57"/>
      <c r="M49" s="57"/>
      <c r="N49" s="57"/>
      <c r="O49" s="57"/>
      <c r="P49" s="57"/>
      <c r="Q49" s="57"/>
      <c r="R49" s="57"/>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57"/>
      <c r="AS49" s="57"/>
      <c r="AT49" s="57"/>
      <c r="AU49" s="57"/>
      <c r="AV49" s="57"/>
      <c r="AW49" s="57"/>
      <c r="AX49" s="57"/>
      <c r="AY49" s="57"/>
      <c r="AZ49" s="57"/>
      <c r="BA49" s="57"/>
      <c r="BB49" s="57"/>
      <c r="BC49" s="57"/>
      <c r="BD49" s="57"/>
      <c r="BE49" s="57"/>
      <c r="BF49" s="57"/>
      <c r="BG49" s="57"/>
      <c r="BH49" s="57"/>
      <c r="BI49" s="57"/>
      <c r="BJ49" s="57"/>
      <c r="BK49" s="57"/>
      <c r="BL49" s="57"/>
      <c r="BM49" s="57"/>
      <c r="BN49" s="57"/>
      <c r="BO49" s="57"/>
      <c r="BP49" s="57"/>
      <c r="BQ49" s="44"/>
      <c r="BR49" s="44"/>
      <c r="BS49" s="44"/>
      <c r="BT49" s="44"/>
      <c r="BU49" s="44"/>
      <c r="BV49" s="142"/>
      <c r="BW49" s="44"/>
      <c r="BX49" s="44"/>
      <c r="BY49" s="44"/>
      <c r="BZ49" s="142"/>
      <c r="CA49" s="44"/>
      <c r="CB49" s="44"/>
      <c r="CC49" s="44"/>
      <c r="CD49" s="142"/>
      <c r="CE49" s="44"/>
      <c r="CF49" s="44"/>
      <c r="CG49" s="59"/>
      <c r="CH49" s="142"/>
      <c r="CI49" s="44"/>
      <c r="CJ49" s="44"/>
      <c r="CK49" s="59"/>
      <c r="CL49" s="142"/>
      <c r="CM49" s="44"/>
      <c r="CN49" s="44"/>
      <c r="CO49" s="59"/>
      <c r="CP49" s="142"/>
      <c r="CQ49" s="44"/>
      <c r="CR49" s="44"/>
      <c r="CS49" s="44"/>
      <c r="CT49" s="44"/>
      <c r="CU49" s="44"/>
      <c r="CV49" s="44"/>
      <c r="CW49" s="44"/>
      <c r="CX49" s="44"/>
      <c r="CY49" s="44"/>
      <c r="CZ49" s="44"/>
      <c r="DA49" s="44"/>
      <c r="DB49" s="142"/>
      <c r="DC49" s="44"/>
      <c r="DD49" s="44"/>
      <c r="DE49" s="44"/>
      <c r="DF49" s="44"/>
      <c r="DG49" s="44"/>
      <c r="DH49" s="44"/>
      <c r="DI49" s="44"/>
      <c r="DJ49" s="44"/>
      <c r="DK49" s="44"/>
      <c r="DL49" s="44"/>
      <c r="DM49" s="44"/>
      <c r="DN49" s="57"/>
      <c r="DO49" s="57"/>
      <c r="DP49" s="57"/>
      <c r="DQ49" s="44"/>
      <c r="DR49" s="44"/>
      <c r="DS49" s="44"/>
      <c r="DT49" s="44"/>
      <c r="DU49" s="44"/>
      <c r="DV49" s="44"/>
      <c r="DW49" s="44"/>
      <c r="DX49" s="44"/>
      <c r="DY49" s="44"/>
      <c r="DZ49" s="44"/>
      <c r="EA49" s="44"/>
      <c r="EB49" s="44"/>
      <c r="EC49" s="44"/>
      <c r="ED49" s="44"/>
      <c r="ER49" t="s">
        <v>643</v>
      </c>
      <c r="ES49" t="s">
        <v>561</v>
      </c>
      <c r="ET49" t="s">
        <v>562</v>
      </c>
      <c r="EU49" t="s">
        <v>593</v>
      </c>
    </row>
    <row r="50" spans="1:151" hidden="1" outlineLevel="2">
      <c r="A50" s="44" t="str">
        <f>$A$10</f>
        <v>1Q</v>
      </c>
      <c r="B50" s="44" t="str">
        <f>$B$10</f>
        <v>Apr</v>
      </c>
      <c r="C50" s="57"/>
      <c r="D50" s="147"/>
      <c r="E50" s="57"/>
      <c r="F50" s="147"/>
      <c r="G50" s="181">
        <f t="shared" ref="G50:G56" si="161">F50/F20*100</f>
        <v>0</v>
      </c>
      <c r="H50" s="191"/>
      <c r="I50" s="57"/>
      <c r="J50" s="147"/>
      <c r="K50" s="181">
        <f t="shared" ref="K50:K56" si="162">J50/J20*100</f>
        <v>0</v>
      </c>
      <c r="L50" s="191"/>
      <c r="M50" s="57"/>
      <c r="N50" s="147"/>
      <c r="O50" s="181">
        <f t="shared" ref="O50:O56" si="163">N50/N20*100</f>
        <v>0</v>
      </c>
      <c r="P50" s="191"/>
      <c r="Q50" s="57"/>
      <c r="R50" s="147">
        <v>32.012999999999998</v>
      </c>
      <c r="S50" s="181">
        <f t="shared" ref="S50:S56" si="164">R50/R20*100</f>
        <v>7.5510194454141466</v>
      </c>
      <c r="T50" s="191"/>
      <c r="U50" s="57"/>
      <c r="V50" s="147">
        <v>39.020000000000003</v>
      </c>
      <c r="W50" s="181">
        <f t="shared" ref="W50:W56" si="165">V50/V20*100</f>
        <v>8.4442972860089132</v>
      </c>
      <c r="X50" s="191"/>
      <c r="Y50" s="57"/>
      <c r="Z50" s="147">
        <v>45.429000000000002</v>
      </c>
      <c r="AA50" s="181">
        <f t="shared" ref="AA50:AA56" si="166">Z50/Z20*100</f>
        <v>7.9962191818436255</v>
      </c>
      <c r="AB50" s="191">
        <f t="shared" ref="AB50:AB56" si="167">IF(V50&lt;0,"       NM",(Z50/V50-1)*100)</f>
        <v>16.424910302409025</v>
      </c>
      <c r="AC50" s="57"/>
      <c r="AD50" s="147">
        <v>52.616</v>
      </c>
      <c r="AE50" s="181">
        <f t="shared" ref="AE50:AE56" si="168">AD50/AD20*100</f>
        <v>7.523944894568106</v>
      </c>
      <c r="AF50" s="191">
        <f t="shared" ref="AF50:AF56" si="169">IF(Z50&lt;0,"       NM",(AD50/Z50-1)*100)</f>
        <v>15.820291003543986</v>
      </c>
      <c r="AG50" s="57"/>
      <c r="AH50" s="147">
        <v>56.658999999999999</v>
      </c>
      <c r="AI50" s="181">
        <f t="shared" ref="AI50:AI56" si="170">AH50/AH10*100</f>
        <v>4.6019854026930131</v>
      </c>
      <c r="AJ50" s="191">
        <f t="shared" ref="AJ50:AJ56" si="171">(AH50/AD50-1)*100</f>
        <v>7.6839744564391133</v>
      </c>
      <c r="AK50" s="57"/>
      <c r="AL50" s="147">
        <v>74.801000000000002</v>
      </c>
      <c r="AM50" s="181">
        <f t="shared" ref="AM50:AM56" si="172">AL50/AL10*100</f>
        <v>4.3496236579148135</v>
      </c>
      <c r="AN50" s="191">
        <f t="shared" ref="AN50:AN56" si="173">(AL50/AH50-1)*100</f>
        <v>32.019626184719115</v>
      </c>
      <c r="AO50" s="212"/>
      <c r="AP50" s="147">
        <v>94.998000000000005</v>
      </c>
      <c r="AQ50" s="181">
        <f t="shared" ref="AQ50:AQ56" si="174">AP50/AP10*100</f>
        <v>4.1707240617209917</v>
      </c>
      <c r="AR50" s="191">
        <f t="shared" ref="AR50:AR56" si="175">(AP50/AL50-1)*100</f>
        <v>27.000975922781791</v>
      </c>
      <c r="AS50" s="57"/>
      <c r="AT50" s="147">
        <v>132.01599999999999</v>
      </c>
      <c r="AU50" s="181">
        <f t="shared" ref="AU50:AU56" si="176">AT50/AT10*100</f>
        <v>4.832228522066333</v>
      </c>
      <c r="AV50" s="191">
        <f t="shared" ref="AV50:AV56" si="177">(AT50/AP50-1)*100</f>
        <v>38.96713615023473</v>
      </c>
      <c r="AW50" s="57"/>
      <c r="AX50" s="147">
        <v>196.148</v>
      </c>
      <c r="AY50" s="181">
        <f t="shared" ref="AY50:AY56" si="178">AX50/AX10*100</f>
        <v>6.1688434220557191</v>
      </c>
      <c r="AZ50" s="191">
        <f t="shared" ref="AZ50:AZ56" si="179">(AX50/AT50-1)*100</f>
        <v>48.578960126045345</v>
      </c>
      <c r="BA50" s="57"/>
      <c r="BB50" s="147">
        <v>187.88399999999999</v>
      </c>
      <c r="BC50" s="181">
        <f>BB50/BB10*100</f>
        <v>6.4992874043530584</v>
      </c>
      <c r="BD50" s="191">
        <f t="shared" ref="BD50:BD56" si="180">(BB50/AX50-1)*100</f>
        <v>-4.2131451760915262</v>
      </c>
      <c r="BE50" s="57"/>
      <c r="BF50" s="147">
        <v>173.65199999999999</v>
      </c>
      <c r="BG50" s="181">
        <f t="shared" ref="BG50:BG56" si="181">BF50/BF10*100</f>
        <v>5.1793576119573919</v>
      </c>
      <c r="BH50" s="191">
        <f t="shared" ref="BH50:BH56" si="182">(BF50/BB50-1)*100</f>
        <v>-7.5748866321773018</v>
      </c>
      <c r="BI50" s="57"/>
      <c r="BJ50" s="147">
        <v>155.292</v>
      </c>
      <c r="BK50" s="181">
        <f>BJ50/BJ10*100</f>
        <v>4.234198984885067</v>
      </c>
      <c r="BL50" s="191">
        <f t="shared" ref="BL50:BL56" si="183">(BJ50/BF50-1)*100</f>
        <v>-10.572869877686397</v>
      </c>
      <c r="BM50" s="57"/>
      <c r="BN50" s="147">
        <v>145.56</v>
      </c>
      <c r="BO50" s="181">
        <f t="shared" ref="BO50:BO56" si="184">BN50/BN10*100</f>
        <v>4.0140165176945155</v>
      </c>
      <c r="BP50" s="191">
        <f t="shared" ref="BP50:BP56" si="185">(BN50/BJ50-1)*100</f>
        <v>-6.266903639595089</v>
      </c>
      <c r="BQ50" s="44"/>
      <c r="BR50" s="147">
        <v>135.33600000000001</v>
      </c>
      <c r="BS50" s="181">
        <f>BR50/BR10*100</f>
        <v>3.9353300378016867</v>
      </c>
      <c r="BT50" s="191">
        <f t="shared" ref="BT50:BT56" si="186">(BR50/BN50-1)*100</f>
        <v>-7.0239076669414651</v>
      </c>
      <c r="BU50" s="57"/>
      <c r="BV50" s="147">
        <v>134</v>
      </c>
      <c r="BW50" s="181">
        <f>(BV50/BV10)*100</f>
        <v>3.7757114680191606</v>
      </c>
      <c r="BX50" s="191">
        <f t="shared" ref="BX50:BX56" si="187">(BV50/BR50-1)*100</f>
        <v>-0.98717266654845259</v>
      </c>
      <c r="BY50" s="44"/>
      <c r="BZ50" s="147">
        <v>139</v>
      </c>
      <c r="CA50" s="181">
        <f>(BZ50/BZ10)*100</f>
        <v>4.1075650118203306</v>
      </c>
      <c r="CB50" s="191">
        <f t="shared" ref="CB50:CB56" si="188">(BZ50/BV50-1)*100</f>
        <v>3.7313432835820892</v>
      </c>
      <c r="CC50" s="44"/>
      <c r="CD50" s="147">
        <v>143</v>
      </c>
      <c r="CE50" s="181">
        <f>(CD50/CD10)*100</f>
        <v>4.5730732331307964</v>
      </c>
      <c r="CF50" s="191">
        <f t="shared" ref="CF50:CF56" si="189">(CD50/BZ50-1)*100</f>
        <v>2.877697841726623</v>
      </c>
      <c r="CG50" s="59"/>
      <c r="CH50" s="147">
        <v>147</v>
      </c>
      <c r="CI50" s="181">
        <f>(CH50/CH10)*100</f>
        <v>4.4157404626013816</v>
      </c>
      <c r="CJ50" s="191">
        <f t="shared" ref="CJ50:CJ56" si="190">(CH50/CD50-1)*100</f>
        <v>2.7972027972027913</v>
      </c>
      <c r="CK50" s="59"/>
      <c r="CL50" s="147">
        <f>151-22</f>
        <v>129</v>
      </c>
      <c r="CM50" s="181">
        <f>(CL50/CL10)*100</f>
        <v>3.9150227617602429</v>
      </c>
      <c r="CN50" s="191">
        <f t="shared" ref="CN50:CN56" si="191">(CL50/CH50-1)*100</f>
        <v>-12.244897959183676</v>
      </c>
      <c r="CO50" s="59"/>
      <c r="CP50" s="147">
        <v>123</v>
      </c>
      <c r="CQ50" s="181">
        <f>(CP50/CP10)*100</f>
        <v>3.5273874390593631</v>
      </c>
      <c r="CR50" s="191">
        <f t="shared" ref="CR50:CR56" si="192">(CP50/CL50-1)*100</f>
        <v>-4.651162790697672</v>
      </c>
      <c r="CS50" s="44"/>
      <c r="CT50" s="147">
        <v>134</v>
      </c>
      <c r="CU50" s="181">
        <f>(CT50/CT10)*100</f>
        <v>3.5934566908018239</v>
      </c>
      <c r="CV50" s="191">
        <f>(CT50/CP50-1)*100</f>
        <v>8.9430894308943021</v>
      </c>
      <c r="CW50" s="44"/>
      <c r="CX50" s="147">
        <v>130</v>
      </c>
      <c r="CY50" s="181">
        <f>(CX50/CX10)*100</f>
        <v>3.4446210916799154</v>
      </c>
      <c r="CZ50" s="191">
        <f>(CX50/CT50-1)*100</f>
        <v>-2.9850746268656692</v>
      </c>
      <c r="DA50" s="44"/>
      <c r="DB50" s="147">
        <v>133</v>
      </c>
      <c r="DC50" s="181">
        <f>(DB50/DB10)*100</f>
        <v>3.6368608148755808</v>
      </c>
      <c r="DD50" s="191">
        <f>(DB50/CX50-1)*100</f>
        <v>2.3076923076922995</v>
      </c>
      <c r="DE50" s="44"/>
      <c r="DF50" s="147">
        <v>132</v>
      </c>
      <c r="DG50" s="181">
        <f>(DF50/DF10)*100</f>
        <v>3.8394415357766145</v>
      </c>
      <c r="DH50" s="191">
        <f>(DF50/DB50-1)*100</f>
        <v>-0.75187969924812581</v>
      </c>
      <c r="DI50" s="191"/>
      <c r="DJ50" s="147">
        <v>130</v>
      </c>
      <c r="DK50" s="181">
        <f>(DJ50/DJ10)*100</f>
        <v>3.7790697674418601</v>
      </c>
      <c r="DL50" s="191">
        <f>(DJ50/DF50-1)*100</f>
        <v>-1.5151515151515138</v>
      </c>
      <c r="DM50" s="191"/>
      <c r="DN50" s="147">
        <v>130</v>
      </c>
      <c r="DO50" s="181">
        <f>(DN50/DN10)*100</f>
        <v>3.6958203907014431</v>
      </c>
      <c r="DP50" s="191">
        <f>(DN50/DJ50-1)*100</f>
        <v>0</v>
      </c>
      <c r="DQ50" s="44"/>
      <c r="DR50" s="44"/>
      <c r="DS50" s="44"/>
      <c r="DT50" s="44"/>
      <c r="DU50" s="44"/>
      <c r="DV50" s="44"/>
      <c r="DW50" s="44"/>
      <c r="DX50" s="44"/>
      <c r="DY50" s="44"/>
      <c r="DZ50" s="44"/>
      <c r="EA50" s="44"/>
      <c r="EB50" s="44"/>
      <c r="EC50" s="44"/>
      <c r="ED50" s="44"/>
      <c r="ER50" s="10" t="s">
        <v>654</v>
      </c>
      <c r="ES50" s="18">
        <v>9</v>
      </c>
      <c r="ET50" s="18">
        <v>2</v>
      </c>
      <c r="EU50" s="10">
        <f>SUM(ES50:ET50)</f>
        <v>11</v>
      </c>
    </row>
    <row r="51" spans="1:151" hidden="1" outlineLevel="2">
      <c r="A51" s="44" t="str">
        <f>$A$11</f>
        <v>2Q</v>
      </c>
      <c r="B51" s="44" t="str">
        <f>$B$11</f>
        <v>Jul</v>
      </c>
      <c r="C51" s="57"/>
      <c r="D51" s="156"/>
      <c r="E51" s="57"/>
      <c r="F51" s="156"/>
      <c r="G51" s="181">
        <f t="shared" si="161"/>
        <v>0</v>
      </c>
      <c r="H51" s="191"/>
      <c r="I51" s="57"/>
      <c r="J51" s="156"/>
      <c r="K51" s="181">
        <f t="shared" si="162"/>
        <v>0</v>
      </c>
      <c r="L51" s="191"/>
      <c r="M51" s="57"/>
      <c r="N51" s="156"/>
      <c r="O51" s="181">
        <f t="shared" si="163"/>
        <v>0</v>
      </c>
      <c r="P51" s="191"/>
      <c r="Q51" s="57"/>
      <c r="R51" s="225">
        <f>+R55-R50</f>
        <v>34.170000000000009</v>
      </c>
      <c r="S51" s="181">
        <f t="shared" si="164"/>
        <v>6.9359585912919952</v>
      </c>
      <c r="T51" s="191"/>
      <c r="U51" s="57"/>
      <c r="V51" s="225">
        <f>+V55-V50</f>
        <v>41.910000000000004</v>
      </c>
      <c r="W51" s="181">
        <f t="shared" si="165"/>
        <v>8.2523717446352709</v>
      </c>
      <c r="X51" s="191"/>
      <c r="Y51" s="57"/>
      <c r="Z51" s="225">
        <f>+Z55-Z50</f>
        <v>50.084999999999994</v>
      </c>
      <c r="AA51" s="181">
        <f t="shared" si="166"/>
        <v>8.2198053242871971</v>
      </c>
      <c r="AB51" s="191">
        <f t="shared" si="167"/>
        <v>19.506084466714356</v>
      </c>
      <c r="AC51" s="57"/>
      <c r="AD51" s="225">
        <f>+AD55-AD50</f>
        <v>53.370000000000005</v>
      </c>
      <c r="AE51" s="181">
        <f t="shared" si="168"/>
        <v>7.4108016912790831</v>
      </c>
      <c r="AF51" s="191">
        <f t="shared" si="169"/>
        <v>6.5588499550763846</v>
      </c>
      <c r="AG51" s="57"/>
      <c r="AH51" s="225">
        <f>+AH55-AH50</f>
        <v>69.881</v>
      </c>
      <c r="AI51" s="181">
        <f t="shared" si="170"/>
        <v>5.1947598201336431</v>
      </c>
      <c r="AJ51" s="191">
        <f t="shared" si="171"/>
        <v>30.936855911560791</v>
      </c>
      <c r="AK51" s="57"/>
      <c r="AL51" s="225">
        <f>+AL55-AL50</f>
        <v>77.722999999999999</v>
      </c>
      <c r="AM51" s="181">
        <f t="shared" si="172"/>
        <v>4.0800117587153597</v>
      </c>
      <c r="AN51" s="191">
        <f t="shared" si="173"/>
        <v>11.221934431390501</v>
      </c>
      <c r="AO51" s="57"/>
      <c r="AP51" s="225">
        <f>+AP55-AP50</f>
        <v>100.87499999999999</v>
      </c>
      <c r="AQ51" s="181">
        <f t="shared" si="174"/>
        <v>4.1117432201583224</v>
      </c>
      <c r="AR51" s="191">
        <f t="shared" si="175"/>
        <v>29.787836290415946</v>
      </c>
      <c r="AS51" s="57"/>
      <c r="AT51" s="225">
        <f>+AT55-AT50</f>
        <v>138.41999999999999</v>
      </c>
      <c r="AU51" s="181">
        <f t="shared" si="176"/>
        <v>4.6958422696367421</v>
      </c>
      <c r="AV51" s="191">
        <f t="shared" si="177"/>
        <v>37.219330855018583</v>
      </c>
      <c r="AW51" s="57"/>
      <c r="AX51" s="225">
        <f>+AX55-AX50</f>
        <v>186.23499999999999</v>
      </c>
      <c r="AY51" s="181">
        <f t="shared" si="178"/>
        <v>5.7387498347569146</v>
      </c>
      <c r="AZ51" s="191">
        <f t="shared" si="179"/>
        <v>34.543418581129906</v>
      </c>
      <c r="BA51" s="57"/>
      <c r="BB51" s="225">
        <f>+BB55-BB50</f>
        <v>162.965</v>
      </c>
      <c r="BC51" s="181">
        <f>BB51/BB11*100</f>
        <v>4.9862176434357943</v>
      </c>
      <c r="BD51" s="191">
        <f t="shared" si="180"/>
        <v>-12.494966037533217</v>
      </c>
      <c r="BE51" s="57"/>
      <c r="BF51" s="156">
        <v>175.18100000000001</v>
      </c>
      <c r="BG51" s="181">
        <f t="shared" si="181"/>
        <v>4.7535084670199081</v>
      </c>
      <c r="BH51" s="191">
        <f t="shared" si="182"/>
        <v>7.4960881170803573</v>
      </c>
      <c r="BI51" s="57"/>
      <c r="BJ51" s="156">
        <v>149.059</v>
      </c>
      <c r="BK51" s="181">
        <f>BJ51/BJ11*100</f>
        <v>4.0061126820144866</v>
      </c>
      <c r="BL51" s="191">
        <f t="shared" si="183"/>
        <v>-14.911434459216476</v>
      </c>
      <c r="BM51" s="57"/>
      <c r="BN51" s="156">
        <v>127.27500000000001</v>
      </c>
      <c r="BO51" s="181">
        <f t="shared" si="184"/>
        <v>3.4247791754052024</v>
      </c>
      <c r="BP51" s="191">
        <f t="shared" si="185"/>
        <v>-14.614347338973154</v>
      </c>
      <c r="BQ51" s="44"/>
      <c r="BR51" s="156">
        <v>139.517</v>
      </c>
      <c r="BS51" s="181">
        <f>BR51/BR11*100</f>
        <v>3.7565158858373722</v>
      </c>
      <c r="BT51" s="191">
        <f t="shared" si="186"/>
        <v>9.6185425260263191</v>
      </c>
      <c r="BU51" s="57"/>
      <c r="BV51" s="241">
        <f>267-BV50</f>
        <v>133</v>
      </c>
      <c r="BW51" s="181">
        <f>(BV51/BV11)*100</f>
        <v>3.6092265943012207</v>
      </c>
      <c r="BX51" s="191">
        <f t="shared" si="187"/>
        <v>-4.6711153479504279</v>
      </c>
      <c r="BY51" s="44"/>
      <c r="BZ51" s="241">
        <f>281-BZ50</f>
        <v>142</v>
      </c>
      <c r="CA51" s="181">
        <f>(BZ51/BZ11)*100</f>
        <v>4.0583023721063167</v>
      </c>
      <c r="CB51" s="191">
        <f t="shared" si="188"/>
        <v>6.7669172932330879</v>
      </c>
      <c r="CC51" s="44"/>
      <c r="CD51" s="241">
        <f>284-CD50</f>
        <v>141</v>
      </c>
      <c r="CE51" s="181">
        <f>(CD51/CD11)*100</f>
        <v>4.3451463790446843</v>
      </c>
      <c r="CF51" s="191">
        <f t="shared" si="189"/>
        <v>-0.70422535211267512</v>
      </c>
      <c r="CG51" s="59"/>
      <c r="CH51" s="241">
        <f>289-CH50</f>
        <v>142</v>
      </c>
      <c r="CI51" s="181">
        <f>(CH51/CH11)*100</f>
        <v>4.280976786252638</v>
      </c>
      <c r="CJ51" s="191">
        <f t="shared" si="190"/>
        <v>0.70921985815601829</v>
      </c>
      <c r="CK51" s="59"/>
      <c r="CL51" s="241">
        <f>255-CL50</f>
        <v>126</v>
      </c>
      <c r="CM51" s="181">
        <f>(CL51/CL11)*100</f>
        <v>3.7212049616066154</v>
      </c>
      <c r="CN51" s="191">
        <f t="shared" si="191"/>
        <v>-11.267605633802813</v>
      </c>
      <c r="CO51" s="59"/>
      <c r="CP51" s="241">
        <f>+CP50-3</f>
        <v>120</v>
      </c>
      <c r="CQ51" s="181">
        <f>(CP51/CP11)*100</f>
        <v>3.3566433566433567</v>
      </c>
      <c r="CR51" s="191">
        <f t="shared" si="192"/>
        <v>-4.7619047619047672</v>
      </c>
      <c r="CS51" s="44"/>
      <c r="CT51" s="241">
        <f>267-CT50</f>
        <v>133</v>
      </c>
      <c r="CU51" s="181">
        <f>(CT51/CT11)*100</f>
        <v>3.4384694932781796</v>
      </c>
      <c r="CV51" s="191">
        <f t="shared" ref="CV51:CV56" si="193">(CT51/CP51-1)*100</f>
        <v>10.833333333333339</v>
      </c>
      <c r="CW51" s="44"/>
      <c r="CX51" s="241">
        <f>240-CX50</f>
        <v>110</v>
      </c>
      <c r="CY51" s="181">
        <f>(CX51/CX11)*100</f>
        <v>2.7631248430042703</v>
      </c>
      <c r="CZ51" s="191">
        <f t="shared" ref="CZ51:CZ56" si="194">(CX51/CT51-1)*100</f>
        <v>-17.29323308270677</v>
      </c>
      <c r="DA51" s="44"/>
      <c r="DB51" s="241">
        <v>130</v>
      </c>
      <c r="DC51" s="181">
        <f>(DB51/DB11)*100</f>
        <v>3.3350436121087732</v>
      </c>
      <c r="DD51" s="191">
        <f t="shared" ref="DD51:DD56" si="195">(DB51/CX51-1)*100</f>
        <v>18.181818181818187</v>
      </c>
      <c r="DE51" s="44"/>
      <c r="DF51" s="241">
        <v>140</v>
      </c>
      <c r="DG51" s="181">
        <f>(DF51/DF11)*100</f>
        <v>3.6354193715917944</v>
      </c>
      <c r="DH51" s="191">
        <f t="shared" ref="DH51:DH56" si="196">(DF51/DB51-1)*100</f>
        <v>7.6923076923076872</v>
      </c>
      <c r="DI51" s="191"/>
      <c r="DJ51" s="241">
        <v>135</v>
      </c>
      <c r="DK51" s="181">
        <f>(DJ51/DJ11)*100</f>
        <v>3.5535667280863388</v>
      </c>
      <c r="DL51" s="191">
        <f t="shared" ref="DL51:DL56" si="197">(DJ51/DF51-1)*100</f>
        <v>-3.5714285714285698</v>
      </c>
      <c r="DM51" s="191"/>
      <c r="DN51" s="162">
        <v>135</v>
      </c>
      <c r="DO51" s="181">
        <f>(DN51/DN11)*100</f>
        <v>3.4574660548098377</v>
      </c>
      <c r="DP51" s="191">
        <f t="shared" ref="DP51:DP56" si="198">(DN51/DJ51-1)*100</f>
        <v>0</v>
      </c>
      <c r="DQ51" s="44"/>
      <c r="DR51" s="44"/>
      <c r="DS51" s="44"/>
      <c r="DT51" s="44"/>
      <c r="DU51" s="44"/>
      <c r="DV51" s="44"/>
      <c r="DW51" s="44"/>
      <c r="DX51" s="44"/>
      <c r="DY51" s="44"/>
      <c r="DZ51" s="44"/>
      <c r="EA51" s="44"/>
      <c r="EB51" s="44"/>
      <c r="EC51" s="44"/>
      <c r="ED51" s="44"/>
      <c r="ER51" s="10" t="s">
        <v>655</v>
      </c>
      <c r="ES51" s="18">
        <v>12</v>
      </c>
      <c r="ET51" s="18">
        <v>71</v>
      </c>
      <c r="EU51" s="10">
        <f>SUM(ES51:ET51)</f>
        <v>83</v>
      </c>
    </row>
    <row r="52" spans="1:151" hidden="1" outlineLevel="2">
      <c r="A52" s="44" t="str">
        <f>$A$12</f>
        <v>3Q</v>
      </c>
      <c r="B52" s="44" t="str">
        <f>$B$12</f>
        <v>Oct</v>
      </c>
      <c r="C52" s="57"/>
      <c r="D52" s="156"/>
      <c r="E52" s="57"/>
      <c r="F52" s="156"/>
      <c r="G52" s="181">
        <f t="shared" si="161"/>
        <v>0</v>
      </c>
      <c r="H52" s="191"/>
      <c r="I52" s="57"/>
      <c r="J52" s="156"/>
      <c r="K52" s="181">
        <f t="shared" si="162"/>
        <v>0</v>
      </c>
      <c r="L52" s="191"/>
      <c r="M52" s="57"/>
      <c r="N52" s="156"/>
      <c r="O52" s="181">
        <f t="shared" si="163"/>
        <v>0</v>
      </c>
      <c r="P52" s="191"/>
      <c r="Q52" s="57"/>
      <c r="R52" s="225">
        <f>+R56-R55</f>
        <v>36.968999999999994</v>
      </c>
      <c r="S52" s="181">
        <f t="shared" si="164"/>
        <v>6.6153576362295912</v>
      </c>
      <c r="T52" s="191"/>
      <c r="U52" s="57"/>
      <c r="V52" s="225">
        <f>+V56-V55</f>
        <v>42.643999999999991</v>
      </c>
      <c r="W52" s="181">
        <f t="shared" si="165"/>
        <v>6.9965775113289927</v>
      </c>
      <c r="X52" s="191"/>
      <c r="Y52" s="57"/>
      <c r="Z52" s="225">
        <f>+Z56-Z55</f>
        <v>51.600000000000009</v>
      </c>
      <c r="AA52" s="181">
        <f t="shared" si="166"/>
        <v>7.3938318820311268</v>
      </c>
      <c r="AB52" s="191">
        <f t="shared" si="167"/>
        <v>21.001782196792096</v>
      </c>
      <c r="AC52" s="57"/>
      <c r="AD52" s="225">
        <f>+AD56-AD55</f>
        <v>50.713000000000008</v>
      </c>
      <c r="AE52" s="181">
        <f t="shared" si="168"/>
        <v>6.0532959326788234</v>
      </c>
      <c r="AF52" s="191">
        <f t="shared" si="169"/>
        <v>-1.7189922480620123</v>
      </c>
      <c r="AG52" s="57"/>
      <c r="AH52" s="225">
        <f>+AH56-AH55</f>
        <v>68.030999999999992</v>
      </c>
      <c r="AI52" s="181">
        <f t="shared" si="170"/>
        <v>3.8523980726401077</v>
      </c>
      <c r="AJ52" s="191">
        <f t="shared" si="171"/>
        <v>34.149034764261586</v>
      </c>
      <c r="AK52" s="57"/>
      <c r="AL52" s="225">
        <f>+AL56-AL55</f>
        <v>83.88900000000001</v>
      </c>
      <c r="AM52" s="181">
        <f t="shared" si="172"/>
        <v>3.4954507347659201</v>
      </c>
      <c r="AN52" s="191">
        <f t="shared" si="173"/>
        <v>23.309961635136943</v>
      </c>
      <c r="AO52" s="57"/>
      <c r="AP52" s="225">
        <f>+AP56-AP55</f>
        <v>106.62200000000001</v>
      </c>
      <c r="AQ52" s="181">
        <f t="shared" si="174"/>
        <v>3.5010996963931671</v>
      </c>
      <c r="AR52" s="191">
        <f t="shared" si="175"/>
        <v>27.098904504762245</v>
      </c>
      <c r="AS52" s="57"/>
      <c r="AT52" s="225">
        <f>+AT56-AT55</f>
        <v>152.90000000000003</v>
      </c>
      <c r="AU52" s="181">
        <f t="shared" si="176"/>
        <v>4.4777413206789074</v>
      </c>
      <c r="AV52" s="191">
        <f t="shared" si="177"/>
        <v>43.403800341392973</v>
      </c>
      <c r="AW52" s="57"/>
      <c r="AX52" s="225">
        <f>+AX56-AX55</f>
        <v>207.24299999999999</v>
      </c>
      <c r="AY52" s="181">
        <f t="shared" si="178"/>
        <v>6.21721601512942</v>
      </c>
      <c r="AZ52" s="191">
        <f t="shared" si="179"/>
        <v>35.541530412033985</v>
      </c>
      <c r="BA52" s="57"/>
      <c r="BB52" s="225">
        <f>+BB56-BB55</f>
        <v>230.74200000000002</v>
      </c>
      <c r="BC52" s="181">
        <f>BB52/BB12*100</f>
        <v>6.3304467872863217</v>
      </c>
      <c r="BD52" s="191">
        <f t="shared" si="180"/>
        <v>11.338863073782957</v>
      </c>
      <c r="BE52" s="57"/>
      <c r="BF52" s="156">
        <v>159.84399999999999</v>
      </c>
      <c r="BG52" s="181">
        <f t="shared" si="181"/>
        <v>4.0678404338921208</v>
      </c>
      <c r="BH52" s="191">
        <f t="shared" si="182"/>
        <v>-30.726092345563451</v>
      </c>
      <c r="BI52" s="57"/>
      <c r="BJ52" s="156">
        <v>153.06899999999999</v>
      </c>
      <c r="BK52" s="181">
        <f>BJ52/BJ12*100</f>
        <v>3.8458098312877649</v>
      </c>
      <c r="BL52" s="191">
        <f t="shared" si="183"/>
        <v>-4.2385075448562404</v>
      </c>
      <c r="BM52" s="57"/>
      <c r="BN52" s="156">
        <v>150.97999999999999</v>
      </c>
      <c r="BO52" s="181">
        <f t="shared" si="184"/>
        <v>3.9114942177348357</v>
      </c>
      <c r="BP52" s="191">
        <f t="shared" si="185"/>
        <v>-1.3647440043379144</v>
      </c>
      <c r="BQ52" s="44"/>
      <c r="BR52" s="156">
        <v>128.83500000000001</v>
      </c>
      <c r="BS52" s="181">
        <f>BR52/BR12*100</f>
        <v>3.3454946767073488</v>
      </c>
      <c r="BT52" s="191">
        <f t="shared" si="186"/>
        <v>-14.667505629884747</v>
      </c>
      <c r="BU52" s="57"/>
      <c r="BV52" s="241">
        <f>407-BV51-BV50</f>
        <v>140</v>
      </c>
      <c r="BW52" s="181">
        <f>(BV52/BV12)*100</f>
        <v>3.6325895173845359</v>
      </c>
      <c r="BX52" s="191">
        <f t="shared" si="187"/>
        <v>8.666123336049969</v>
      </c>
      <c r="BY52" s="44"/>
      <c r="BZ52" s="241">
        <f>422-BZ51-BZ50</f>
        <v>141</v>
      </c>
      <c r="CA52" s="181">
        <f>(BZ52/BZ12)*100</f>
        <v>3.9595619208087616</v>
      </c>
      <c r="CB52" s="191">
        <f t="shared" si="188"/>
        <v>0.71428571428571175</v>
      </c>
      <c r="CC52" s="44"/>
      <c r="CD52" s="241">
        <f>431-CD51-CD50</f>
        <v>147</v>
      </c>
      <c r="CE52" s="181">
        <f>(CD52/CD12)*100</f>
        <v>4.0958484257453334</v>
      </c>
      <c r="CF52" s="191">
        <f t="shared" si="189"/>
        <v>4.2553191489361764</v>
      </c>
      <c r="CG52" s="59"/>
      <c r="CH52" s="241">
        <f>429-CH51-CH50</f>
        <v>140</v>
      </c>
      <c r="CI52" s="181">
        <f>(CH52/CH12)*100</f>
        <v>3.8314176245210727</v>
      </c>
      <c r="CJ52" s="191">
        <f t="shared" si="190"/>
        <v>-4.7619047619047672</v>
      </c>
      <c r="CK52" s="59"/>
      <c r="CL52" s="241">
        <f>382-CL51-CL50</f>
        <v>127</v>
      </c>
      <c r="CM52" s="181">
        <f>(CL52/CL12)*100</f>
        <v>3.5425383542538351</v>
      </c>
      <c r="CN52" s="191">
        <f t="shared" si="191"/>
        <v>-9.2857142857142865</v>
      </c>
      <c r="CO52" s="59"/>
      <c r="CP52" s="241">
        <f>+CP51</f>
        <v>120</v>
      </c>
      <c r="CQ52" s="181">
        <f>(CP52/CP12)*100</f>
        <v>3.1055900621118013</v>
      </c>
      <c r="CR52" s="191">
        <f t="shared" si="192"/>
        <v>-5.5118110236220481</v>
      </c>
      <c r="CS52" s="44"/>
      <c r="CT52" s="241">
        <f>398-CT51-CT50</f>
        <v>131</v>
      </c>
      <c r="CU52" s="181">
        <f>(CT52/CT12)*100</f>
        <v>3.2947686116700203</v>
      </c>
      <c r="CV52" s="191">
        <f t="shared" si="193"/>
        <v>9.1666666666666572</v>
      </c>
      <c r="CW52" s="44"/>
      <c r="CX52" s="241">
        <f>412-CX51-CX50</f>
        <v>172</v>
      </c>
      <c r="CY52" s="181">
        <f>(CX52/CX12)*100</f>
        <v>4.3303121852970801</v>
      </c>
      <c r="CZ52" s="191">
        <f t="shared" si="194"/>
        <v>31.297709923664119</v>
      </c>
      <c r="DA52" s="44"/>
      <c r="DB52" s="241">
        <v>127</v>
      </c>
      <c r="DC52" s="181">
        <f>(DB52/DB12)*100</f>
        <v>3.2927145449831476</v>
      </c>
      <c r="DD52" s="191">
        <f t="shared" si="195"/>
        <v>-26.162790697674421</v>
      </c>
      <c r="DE52" s="44"/>
      <c r="DF52" s="241">
        <f>402-SUM(DF50:DF51)</f>
        <v>130</v>
      </c>
      <c r="DG52" s="181">
        <f>(DF52/DF12)*100</f>
        <v>3.4228541337546075</v>
      </c>
      <c r="DH52" s="191">
        <f t="shared" si="196"/>
        <v>2.3622047244094446</v>
      </c>
      <c r="DI52" s="191"/>
      <c r="DJ52" s="241">
        <v>135</v>
      </c>
      <c r="DK52" s="181">
        <f>(DJ52/DJ12)*100</f>
        <v>3.5174570088587807</v>
      </c>
      <c r="DL52" s="191">
        <f t="shared" si="197"/>
        <v>3.8461538461538547</v>
      </c>
      <c r="DM52" s="191"/>
      <c r="DN52" s="162">
        <v>135</v>
      </c>
      <c r="DO52" s="181">
        <f>(DN52/DN12)*100</f>
        <v>3.4581000808719669</v>
      </c>
      <c r="DP52" s="191">
        <f t="shared" si="198"/>
        <v>0</v>
      </c>
      <c r="DQ52" s="44"/>
      <c r="DR52" s="44"/>
      <c r="DS52" s="44"/>
      <c r="DT52" s="44"/>
      <c r="DU52" s="44"/>
      <c r="DV52" s="44"/>
      <c r="DW52" s="44"/>
      <c r="DX52" s="44"/>
      <c r="DY52" s="44"/>
      <c r="DZ52" s="44"/>
      <c r="EA52" s="44"/>
      <c r="EB52" s="44"/>
      <c r="EC52" s="44"/>
      <c r="ED52" s="44"/>
      <c r="ER52" s="10" t="s">
        <v>657</v>
      </c>
      <c r="ES52" s="18">
        <v>6</v>
      </c>
      <c r="ET52" s="18">
        <v>7</v>
      </c>
      <c r="EU52" s="10">
        <f>SUM(ES52:ET52)</f>
        <v>13</v>
      </c>
    </row>
    <row r="53" spans="1:151" hidden="1" outlineLevel="2">
      <c r="A53" s="44" t="str">
        <f>$A$13</f>
        <v>4Q</v>
      </c>
      <c r="B53" s="44" t="str">
        <f>$B$13</f>
        <v>Jan</v>
      </c>
      <c r="C53" s="60"/>
      <c r="D53" s="163"/>
      <c r="E53" s="60"/>
      <c r="F53" s="163"/>
      <c r="G53" s="181">
        <f t="shared" si="161"/>
        <v>0</v>
      </c>
      <c r="H53" s="191"/>
      <c r="I53" s="57"/>
      <c r="J53" s="163"/>
      <c r="K53" s="181">
        <f t="shared" si="162"/>
        <v>0</v>
      </c>
      <c r="L53" s="191"/>
      <c r="M53" s="57"/>
      <c r="N53" s="163"/>
      <c r="O53" s="181">
        <f t="shared" si="163"/>
        <v>0</v>
      </c>
      <c r="P53" s="191"/>
      <c r="Q53" s="57"/>
      <c r="R53" s="234">
        <f>+R54-R56</f>
        <v>38.606000000000009</v>
      </c>
      <c r="S53" s="181">
        <f t="shared" si="164"/>
        <v>5.9729526090474643</v>
      </c>
      <c r="T53" s="191"/>
      <c r="U53" s="57"/>
      <c r="V53" s="234">
        <f>+V54-V56</f>
        <v>44.646000000000001</v>
      </c>
      <c r="W53" s="181">
        <f t="shared" si="165"/>
        <v>5.7864811024979357</v>
      </c>
      <c r="X53" s="191"/>
      <c r="Y53" s="57"/>
      <c r="Z53" s="234">
        <f>+Z54-Z56</f>
        <v>50.325999999999993</v>
      </c>
      <c r="AA53" s="181">
        <f t="shared" si="166"/>
        <v>5.3191759219721719</v>
      </c>
      <c r="AB53" s="191">
        <f t="shared" si="167"/>
        <v>12.722304349773751</v>
      </c>
      <c r="AC53" s="57"/>
      <c r="AD53" s="234">
        <f>+AD54-AD56</f>
        <v>58.205999999999989</v>
      </c>
      <c r="AE53" s="181">
        <f t="shared" si="168"/>
        <v>5.6625469884581543</v>
      </c>
      <c r="AF53" s="191">
        <f t="shared" si="169"/>
        <v>15.657910424035283</v>
      </c>
      <c r="AG53" s="57"/>
      <c r="AH53" s="234">
        <f>+AH54-AH56</f>
        <v>75.135000000000019</v>
      </c>
      <c r="AI53" s="181">
        <f t="shared" si="170"/>
        <v>3.4696711443518975</v>
      </c>
      <c r="AJ53" s="191">
        <f t="shared" si="171"/>
        <v>29.084630450469074</v>
      </c>
      <c r="AK53" s="57"/>
      <c r="AL53" s="234">
        <f>+AL54-AL56</f>
        <v>90.033999999999992</v>
      </c>
      <c r="AM53" s="181">
        <f t="shared" si="172"/>
        <v>2.9715839030018825</v>
      </c>
      <c r="AN53" s="191">
        <f t="shared" si="173"/>
        <v>19.829639981366842</v>
      </c>
      <c r="AO53" s="57"/>
      <c r="AP53" s="234">
        <f>+AP54-AP56</f>
        <v>133.68900000000002</v>
      </c>
      <c r="AQ53" s="181">
        <f t="shared" si="174"/>
        <v>3.4643978565092639</v>
      </c>
      <c r="AR53" s="191">
        <f t="shared" si="175"/>
        <v>48.487238154475023</v>
      </c>
      <c r="AS53" s="57"/>
      <c r="AT53" s="234">
        <f>+AT54-AT56</f>
        <v>167.029</v>
      </c>
      <c r="AU53" s="181">
        <f t="shared" si="176"/>
        <v>3.6476477412096031</v>
      </c>
      <c r="AV53" s="191">
        <f t="shared" si="177"/>
        <v>24.93847661363311</v>
      </c>
      <c r="AW53" s="57"/>
      <c r="AX53" s="234">
        <f>+AX54-AX56</f>
        <v>220.86</v>
      </c>
      <c r="AY53" s="181">
        <f t="shared" si="178"/>
        <v>5.4004951554237861</v>
      </c>
      <c r="AZ53" s="191">
        <f t="shared" si="179"/>
        <v>32.228535164552284</v>
      </c>
      <c r="BA53" s="57"/>
      <c r="BB53" s="234">
        <f>+BB54-BB56</f>
        <v>111.32299999999998</v>
      </c>
      <c r="BC53" s="195">
        <v>4.5999999999999996</v>
      </c>
      <c r="BD53" s="191">
        <f t="shared" si="180"/>
        <v>-49.595671466087119</v>
      </c>
      <c r="BE53" s="57"/>
      <c r="BF53" s="163">
        <v>166.488</v>
      </c>
      <c r="BG53" s="181">
        <f t="shared" si="181"/>
        <v>3.4072657555956862</v>
      </c>
      <c r="BH53" s="191">
        <f t="shared" si="182"/>
        <v>49.554000521006472</v>
      </c>
      <c r="BI53" s="57"/>
      <c r="BJ53" s="163">
        <v>157.08099999999999</v>
      </c>
      <c r="BK53" s="195">
        <v>3.05</v>
      </c>
      <c r="BL53" s="191">
        <f t="shared" si="183"/>
        <v>-5.6502570755850297</v>
      </c>
      <c r="BM53" s="57"/>
      <c r="BN53" s="163">
        <v>201.447</v>
      </c>
      <c r="BO53" s="181">
        <f t="shared" si="184"/>
        <v>4.1786328355199656</v>
      </c>
      <c r="BP53" s="191">
        <f t="shared" si="185"/>
        <v>28.244026966978829</v>
      </c>
      <c r="BQ53" s="44"/>
      <c r="BR53" s="234">
        <f>BR54-SUM(BR50:BR52)</f>
        <v>126.31200000000001</v>
      </c>
      <c r="BS53" s="195">
        <v>3.2</v>
      </c>
      <c r="BT53" s="191">
        <f t="shared" si="186"/>
        <v>-37.297651491459284</v>
      </c>
      <c r="BU53" s="57"/>
      <c r="BV53" s="242">
        <f>547-SUM(BV50:BV52)</f>
        <v>140</v>
      </c>
      <c r="BW53" s="181">
        <f>(BV53/BV13)*100</f>
        <v>2.9946524064171123</v>
      </c>
      <c r="BX53" s="191">
        <f t="shared" si="187"/>
        <v>10.83665843308632</v>
      </c>
      <c r="BY53" s="44"/>
      <c r="BZ53" s="242">
        <f>BZ54-SUM(BZ50:BZ52)</f>
        <v>146</v>
      </c>
      <c r="CA53" s="181">
        <f>(BZ53/BZ13)*100</f>
        <v>3.5766780989710929</v>
      </c>
      <c r="CB53" s="191">
        <f t="shared" si="188"/>
        <v>4.2857142857142927</v>
      </c>
      <c r="CC53" s="44"/>
      <c r="CD53" s="242">
        <f>573-CD50-CD51-CD52</f>
        <v>142</v>
      </c>
      <c r="CE53" s="181">
        <f>(CD53/CD13)*100</f>
        <v>3.3522190745986782</v>
      </c>
      <c r="CF53" s="191">
        <f t="shared" si="189"/>
        <v>-2.7397260273972601</v>
      </c>
      <c r="CG53" s="59"/>
      <c r="CH53" s="242">
        <f>562-CH52-CH51-CH50</f>
        <v>133</v>
      </c>
      <c r="CI53" s="181">
        <f>(CH53/CH13)*100</f>
        <v>3.0476626947754353</v>
      </c>
      <c r="CJ53" s="191">
        <f t="shared" si="190"/>
        <v>-6.3380281690140876</v>
      </c>
      <c r="CK53" s="59"/>
      <c r="CL53" s="242">
        <f>506-CL52-CL51-CL50</f>
        <v>124</v>
      </c>
      <c r="CM53" s="181">
        <f>(CL53/CL13)*100</f>
        <v>2.8951669390614052</v>
      </c>
      <c r="CN53" s="191">
        <f t="shared" si="191"/>
        <v>-6.7669172932330879</v>
      </c>
      <c r="CO53" s="59"/>
      <c r="CP53" s="242">
        <f>+CP52</f>
        <v>120</v>
      </c>
      <c r="CQ53" s="181">
        <f>(CP53/CP13)*100</f>
        <v>2.5396825396825395</v>
      </c>
      <c r="CR53" s="191">
        <f t="shared" si="192"/>
        <v>-3.2258064516129004</v>
      </c>
      <c r="CS53" s="44"/>
      <c r="CT53" s="242">
        <f>470-SUM(CT50:CT52)</f>
        <v>72</v>
      </c>
      <c r="CU53" s="181">
        <f>(CT53/CT13)*100</f>
        <v>1.5737704918032787</v>
      </c>
      <c r="CV53" s="191">
        <f t="shared" si="193"/>
        <v>-40</v>
      </c>
      <c r="CW53" s="44"/>
      <c r="CX53" s="242">
        <f>500-SUM(CX50:CX52)</f>
        <v>88</v>
      </c>
      <c r="CY53" s="181">
        <f>(CX53/CX13)*100</f>
        <v>1.8691588785046727</v>
      </c>
      <c r="CZ53" s="191">
        <f t="shared" si="194"/>
        <v>22.222222222222232</v>
      </c>
      <c r="DA53" s="44"/>
      <c r="DB53" s="242">
        <v>137</v>
      </c>
      <c r="DC53" s="181">
        <f>(DB53/DB13)*100</f>
        <v>3.1242873432155074</v>
      </c>
      <c r="DD53" s="191">
        <f t="shared" si="195"/>
        <v>55.681818181818187</v>
      </c>
      <c r="DE53" s="44"/>
      <c r="DF53" s="242">
        <v>129</v>
      </c>
      <c r="DG53" s="181">
        <f>(DF53/DF13)*100</f>
        <v>2.912621359223301</v>
      </c>
      <c r="DH53" s="191">
        <f t="shared" si="196"/>
        <v>-5.8394160583941641</v>
      </c>
      <c r="DI53" s="191"/>
      <c r="DJ53" s="242">
        <v>135</v>
      </c>
      <c r="DK53" s="181">
        <f>(DJ53/DJ13)*100</f>
        <v>2.8254499790707408</v>
      </c>
      <c r="DL53" s="191">
        <f t="shared" si="197"/>
        <v>4.6511627906976827</v>
      </c>
      <c r="DM53" s="191"/>
      <c r="DN53" s="165">
        <v>135</v>
      </c>
      <c r="DO53" s="181">
        <f>(DN53/DN13)*100</f>
        <v>2.8837429425028209</v>
      </c>
      <c r="DP53" s="191">
        <f t="shared" si="198"/>
        <v>0</v>
      </c>
      <c r="DQ53" s="44"/>
      <c r="DR53" s="142"/>
      <c r="DS53" s="44"/>
      <c r="DT53" s="44"/>
      <c r="DU53" s="44"/>
      <c r="DV53" s="44"/>
      <c r="DW53" s="44"/>
      <c r="DX53" s="44"/>
      <c r="DY53" s="44"/>
      <c r="DZ53" s="44"/>
      <c r="EA53" s="44"/>
      <c r="EB53" s="44"/>
      <c r="EC53" s="44"/>
      <c r="ED53" s="44"/>
      <c r="ER53" s="21" t="s">
        <v>656</v>
      </c>
      <c r="ES53" s="33">
        <v>6</v>
      </c>
      <c r="ET53" s="33">
        <v>19</v>
      </c>
      <c r="EU53" s="21">
        <f>SUM(ES53:ET53)</f>
        <v>25</v>
      </c>
    </row>
    <row r="54" spans="1:151" hidden="1" outlineLevel="2">
      <c r="A54" s="44"/>
      <c r="B54" s="44" t="str">
        <f>$B$14</f>
        <v>Year</v>
      </c>
      <c r="C54" s="57"/>
      <c r="D54" s="167"/>
      <c r="E54" s="57"/>
      <c r="F54" s="167">
        <f>SUM(F50:F53)</f>
        <v>0</v>
      </c>
      <c r="G54" s="181">
        <f t="shared" si="161"/>
        <v>0</v>
      </c>
      <c r="H54" s="191"/>
      <c r="I54" s="57"/>
      <c r="J54" s="167">
        <v>82.132999999999996</v>
      </c>
      <c r="K54" s="181">
        <f t="shared" si="162"/>
        <v>5.2349990853586634</v>
      </c>
      <c r="L54" s="191"/>
      <c r="M54" s="57"/>
      <c r="N54" s="243">
        <v>114.011</v>
      </c>
      <c r="O54" s="181">
        <f t="shared" si="163"/>
        <v>5.8301155734464878</v>
      </c>
      <c r="P54" s="191"/>
      <c r="Q54" s="57"/>
      <c r="R54" s="243">
        <v>141.75800000000001</v>
      </c>
      <c r="S54" s="181">
        <f t="shared" si="164"/>
        <v>6.6810601808191121</v>
      </c>
      <c r="T54" s="191"/>
      <c r="U54" s="57"/>
      <c r="V54" s="243">
        <v>168.22</v>
      </c>
      <c r="W54" s="181">
        <f t="shared" si="165"/>
        <v>7.1552652577886136</v>
      </c>
      <c r="X54" s="191"/>
      <c r="Y54" s="57"/>
      <c r="Z54" s="243">
        <v>197.44</v>
      </c>
      <c r="AA54" s="181">
        <f t="shared" si="166"/>
        <v>6.9978078686351548</v>
      </c>
      <c r="AB54" s="191">
        <f t="shared" si="167"/>
        <v>17.370110569492336</v>
      </c>
      <c r="AC54" s="57"/>
      <c r="AD54" s="243">
        <v>214.905</v>
      </c>
      <c r="AE54" s="181">
        <f t="shared" si="168"/>
        <v>6.5416785635794357</v>
      </c>
      <c r="AF54" s="191">
        <f t="shared" si="169"/>
        <v>8.8457252836304789</v>
      </c>
      <c r="AG54" s="57"/>
      <c r="AH54" s="243">
        <v>269.70600000000002</v>
      </c>
      <c r="AI54" s="181">
        <f t="shared" si="170"/>
        <v>4.1443339364534229</v>
      </c>
      <c r="AJ54" s="191">
        <f t="shared" si="171"/>
        <v>25.500104697424455</v>
      </c>
      <c r="AK54" s="57"/>
      <c r="AL54" s="243">
        <v>326.447</v>
      </c>
      <c r="AM54" s="181">
        <f t="shared" si="172"/>
        <v>3.605371583645721</v>
      </c>
      <c r="AN54" s="191">
        <f t="shared" si="173"/>
        <v>21.038093331256992</v>
      </c>
      <c r="AO54" s="57"/>
      <c r="AP54" s="243">
        <v>436.18400000000003</v>
      </c>
      <c r="AQ54" s="181">
        <f t="shared" si="174"/>
        <v>3.7487673391146568</v>
      </c>
      <c r="AR54" s="191">
        <f t="shared" si="175"/>
        <v>33.615563935340198</v>
      </c>
      <c r="AS54" s="57"/>
      <c r="AT54" s="243">
        <v>590.36500000000001</v>
      </c>
      <c r="AU54" s="181">
        <f t="shared" si="176"/>
        <v>4.3175977404402399</v>
      </c>
      <c r="AV54" s="191">
        <f t="shared" si="177"/>
        <v>35.347697302056005</v>
      </c>
      <c r="AW54" s="57"/>
      <c r="AX54" s="243">
        <v>810.48599999999999</v>
      </c>
      <c r="AY54" s="181">
        <f t="shared" si="178"/>
        <v>5.8527833119208994</v>
      </c>
      <c r="AZ54" s="191">
        <f t="shared" si="179"/>
        <v>37.28557756642077</v>
      </c>
      <c r="BA54" s="57"/>
      <c r="BB54" s="243">
        <v>692.91399999999999</v>
      </c>
      <c r="BC54" s="181">
        <f>BB54/BB14*100</f>
        <v>4.793690416043658</v>
      </c>
      <c r="BD54" s="191">
        <f t="shared" si="180"/>
        <v>-14.506357913646873</v>
      </c>
      <c r="BE54" s="57"/>
      <c r="BF54" s="243">
        <v>675.16499999999996</v>
      </c>
      <c r="BG54" s="181">
        <f t="shared" si="181"/>
        <v>4.2586977624908613</v>
      </c>
      <c r="BH54" s="191">
        <f t="shared" si="182"/>
        <v>-2.5615011386694531</v>
      </c>
      <c r="BI54" s="57"/>
      <c r="BJ54" s="243">
        <v>614.50099999999998</v>
      </c>
      <c r="BK54" s="181">
        <f>BJ54/BJ14*100</f>
        <v>3.7774995526329</v>
      </c>
      <c r="BL54" s="191">
        <f t="shared" si="183"/>
        <v>-8.9850629105477928</v>
      </c>
      <c r="BM54" s="57"/>
      <c r="BN54" s="243">
        <v>625.26099999999997</v>
      </c>
      <c r="BO54" s="181">
        <f t="shared" si="184"/>
        <v>3.9021791906576517</v>
      </c>
      <c r="BP54" s="191">
        <f t="shared" si="185"/>
        <v>1.7510142375683602</v>
      </c>
      <c r="BQ54" s="44"/>
      <c r="BR54" s="243">
        <v>530</v>
      </c>
      <c r="BS54" s="181">
        <f>BR54/BR14*100</f>
        <v>3.3285184952584315</v>
      </c>
      <c r="BT54" s="191">
        <f t="shared" si="186"/>
        <v>-15.23539769792135</v>
      </c>
      <c r="BU54" s="57"/>
      <c r="BV54" s="243">
        <f>SUM(BV50:BV53)</f>
        <v>547</v>
      </c>
      <c r="BW54" s="181">
        <f>BV54/BV14*100</f>
        <v>3.4701516208843493</v>
      </c>
      <c r="BX54" s="191">
        <f t="shared" si="187"/>
        <v>3.2075471698113311</v>
      </c>
      <c r="BY54" s="44"/>
      <c r="BZ54" s="243">
        <v>568</v>
      </c>
      <c r="CA54" s="181">
        <f>BZ54/BZ14*100</f>
        <v>3.9102299325347651</v>
      </c>
      <c r="CB54" s="191">
        <f t="shared" si="188"/>
        <v>3.8391224862888373</v>
      </c>
      <c r="CC54" s="44"/>
      <c r="CD54" s="243">
        <f>SUM(CD50:CD53)</f>
        <v>573</v>
      </c>
      <c r="CE54" s="181">
        <f>CD54/CD14*100</f>
        <v>4.0360639571740506</v>
      </c>
      <c r="CF54" s="191">
        <f t="shared" si="189"/>
        <v>0.88028169014084945</v>
      </c>
      <c r="CG54" s="59"/>
      <c r="CH54" s="243">
        <f>SUM(CH50:CH53)</f>
        <v>562</v>
      </c>
      <c r="CI54" s="181">
        <f>CH54/CH14*100</f>
        <v>3.832515002727769</v>
      </c>
      <c r="CJ54" s="191">
        <f t="shared" si="190"/>
        <v>-1.919720767888311</v>
      </c>
      <c r="CK54" s="59"/>
      <c r="CL54" s="167">
        <f>SUM(CL50:CL53)</f>
        <v>506</v>
      </c>
      <c r="CM54" s="181">
        <f>CL54/CL14*100</f>
        <v>3.4779022613238024</v>
      </c>
      <c r="CN54" s="191">
        <f t="shared" si="191"/>
        <v>-9.964412811387902</v>
      </c>
      <c r="CO54" s="59"/>
      <c r="CP54" s="167">
        <f>SUM(CP50:CP53)</f>
        <v>483</v>
      </c>
      <c r="CQ54" s="181">
        <f>CP54/CP14*100</f>
        <v>3.0860647881924481</v>
      </c>
      <c r="CR54" s="191">
        <f t="shared" si="192"/>
        <v>-4.5454545454545414</v>
      </c>
      <c r="CS54" s="44"/>
      <c r="CT54" s="167">
        <f>SUM(CT50:CT53)</f>
        <v>470</v>
      </c>
      <c r="CU54" s="181">
        <f>CT54/CT14*100</f>
        <v>2.91057716125836</v>
      </c>
      <c r="CV54" s="191">
        <f t="shared" si="193"/>
        <v>-2.6915113871635588</v>
      </c>
      <c r="CW54" s="44"/>
      <c r="CX54" s="167">
        <f>SUM(CX50:CX53)</f>
        <v>500</v>
      </c>
      <c r="CY54" s="181">
        <f>CX54/CX14*100</f>
        <v>3.0422878004259206</v>
      </c>
      <c r="CZ54" s="191">
        <f t="shared" si="194"/>
        <v>6.3829787234042534</v>
      </c>
      <c r="DA54" s="44"/>
      <c r="DB54" s="167">
        <f>SUM(DB50:DB53)</f>
        <v>527</v>
      </c>
      <c r="DC54" s="181">
        <f>DB54/DB14*100</f>
        <v>3.3360764702158638</v>
      </c>
      <c r="DD54" s="191">
        <f t="shared" si="195"/>
        <v>5.4000000000000048</v>
      </c>
      <c r="DE54" s="44"/>
      <c r="DF54" s="167">
        <f>SUM(DF50:DF53)</f>
        <v>531</v>
      </c>
      <c r="DG54" s="181">
        <f>DF54/DF14*100</f>
        <v>3.4222737819025526</v>
      </c>
      <c r="DH54" s="191">
        <f t="shared" si="196"/>
        <v>0.75901328273244584</v>
      </c>
      <c r="DI54" s="191"/>
      <c r="DJ54" s="167">
        <f>SUM(DJ50:DJ53)</f>
        <v>535</v>
      </c>
      <c r="DK54" s="181">
        <f>DJ54/DJ14*100</f>
        <v>3.3743298643960897</v>
      </c>
      <c r="DL54" s="191">
        <f t="shared" si="197"/>
        <v>0.7532956685499137</v>
      </c>
      <c r="DM54" s="191"/>
      <c r="DN54" s="167">
        <f>SUM(DN50:DN53)</f>
        <v>535</v>
      </c>
      <c r="DO54" s="181">
        <f>DN54/DN14*100</f>
        <v>3.3422096090341453</v>
      </c>
      <c r="DP54" s="191">
        <f t="shared" si="198"/>
        <v>0</v>
      </c>
      <c r="DQ54" s="44"/>
      <c r="DR54" s="44"/>
      <c r="DS54" s="44"/>
      <c r="DT54" s="44"/>
      <c r="DU54" s="44"/>
      <c r="DV54" s="44"/>
      <c r="DW54" s="44"/>
      <c r="DX54" s="44"/>
      <c r="DY54" s="44"/>
      <c r="DZ54" s="44"/>
      <c r="EA54" s="44"/>
      <c r="EB54" s="44"/>
      <c r="EC54" s="44"/>
      <c r="ED54" s="44"/>
      <c r="ER54" s="35" t="s">
        <v>354</v>
      </c>
      <c r="ES54" s="18">
        <f>SUM(ES50:ES53)</f>
        <v>33</v>
      </c>
      <c r="ET54" s="18">
        <f>SUM(ET50:ET53)</f>
        <v>99</v>
      </c>
      <c r="EU54" s="10">
        <f>SUM(ES54:ET54)</f>
        <v>132</v>
      </c>
    </row>
    <row r="55" spans="1:151" hidden="1" outlineLevel="3">
      <c r="A55" s="44" t="str">
        <f>$A$15</f>
        <v>6 Mos</v>
      </c>
      <c r="B55" s="44"/>
      <c r="C55" s="57"/>
      <c r="D55" s="169"/>
      <c r="E55" s="57"/>
      <c r="F55" s="169">
        <f>SUM(F50:F51)</f>
        <v>0</v>
      </c>
      <c r="G55" s="181">
        <f t="shared" si="161"/>
        <v>0</v>
      </c>
      <c r="H55" s="191"/>
      <c r="I55" s="57"/>
      <c r="J55" s="169">
        <f>SUM(J50:J51)</f>
        <v>0</v>
      </c>
      <c r="K55" s="181">
        <f t="shared" si="162"/>
        <v>0</v>
      </c>
      <c r="L55" s="191"/>
      <c r="M55" s="57"/>
      <c r="N55" s="169">
        <f>SUM(N50:N51)</f>
        <v>0</v>
      </c>
      <c r="O55" s="181">
        <f t="shared" si="163"/>
        <v>0</v>
      </c>
      <c r="P55" s="191"/>
      <c r="Q55" s="57"/>
      <c r="R55" s="162">
        <v>66.183000000000007</v>
      </c>
      <c r="S55" s="181">
        <f t="shared" si="164"/>
        <v>7.2204414983100706</v>
      </c>
      <c r="T55" s="191"/>
      <c r="U55" s="57"/>
      <c r="V55" s="162">
        <v>80.930000000000007</v>
      </c>
      <c r="W55" s="181">
        <f t="shared" si="165"/>
        <v>8.343806478950782</v>
      </c>
      <c r="X55" s="191"/>
      <c r="Y55" s="57"/>
      <c r="Z55" s="162">
        <v>95.513999999999996</v>
      </c>
      <c r="AA55" s="181">
        <f t="shared" si="166"/>
        <v>8.1119230338051995</v>
      </c>
      <c r="AB55" s="191">
        <f t="shared" si="167"/>
        <v>18.020511553194108</v>
      </c>
      <c r="AC55" s="57"/>
      <c r="AD55" s="162">
        <v>105.986</v>
      </c>
      <c r="AE55" s="181">
        <f t="shared" si="168"/>
        <v>7.4665423017881931</v>
      </c>
      <c r="AF55" s="191">
        <f t="shared" si="169"/>
        <v>10.963837762003493</v>
      </c>
      <c r="AG55" s="57"/>
      <c r="AH55" s="162">
        <v>126.54</v>
      </c>
      <c r="AI55" s="181">
        <f t="shared" si="170"/>
        <v>4.911491080407715</v>
      </c>
      <c r="AJ55" s="191">
        <f t="shared" si="171"/>
        <v>19.393127394184127</v>
      </c>
      <c r="AK55" s="57"/>
      <c r="AL55" s="162">
        <v>152.524</v>
      </c>
      <c r="AM55" s="181">
        <f t="shared" si="172"/>
        <v>4.2079277575246605</v>
      </c>
      <c r="AN55" s="191">
        <f t="shared" si="173"/>
        <v>20.534218428955263</v>
      </c>
      <c r="AO55" s="57"/>
      <c r="AP55" s="162">
        <v>195.87299999999999</v>
      </c>
      <c r="AQ55" s="181">
        <f t="shared" si="174"/>
        <v>4.1401390339992634</v>
      </c>
      <c r="AR55" s="191">
        <f t="shared" si="175"/>
        <v>28.421100941491172</v>
      </c>
      <c r="AS55" s="57"/>
      <c r="AT55" s="162">
        <v>270.43599999999998</v>
      </c>
      <c r="AU55" s="181">
        <f t="shared" si="176"/>
        <v>4.7614453147558393</v>
      </c>
      <c r="AV55" s="191">
        <f t="shared" si="177"/>
        <v>38.067012809320325</v>
      </c>
      <c r="AW55" s="57"/>
      <c r="AX55" s="162">
        <v>382.38299999999998</v>
      </c>
      <c r="AY55" s="181">
        <f t="shared" si="178"/>
        <v>5.9516021712484681</v>
      </c>
      <c r="AZ55" s="191">
        <f t="shared" si="179"/>
        <v>41.395006581963933</v>
      </c>
      <c r="BA55" s="57"/>
      <c r="BB55" s="162">
        <v>350.84899999999999</v>
      </c>
      <c r="BC55" s="181">
        <f>BB55/BB15*100</f>
        <v>5.6963876015988566</v>
      </c>
      <c r="BD55" s="191">
        <f t="shared" si="180"/>
        <v>-8.2467055282269275</v>
      </c>
      <c r="BE55" s="57"/>
      <c r="BF55" s="162">
        <v>343.82900000000001</v>
      </c>
      <c r="BG55" s="181">
        <f t="shared" si="181"/>
        <v>4.8852739458402663</v>
      </c>
      <c r="BH55" s="191">
        <f t="shared" si="182"/>
        <v>-2.0008607691627933</v>
      </c>
      <c r="BI55" s="57"/>
      <c r="BJ55" s="162">
        <v>304</v>
      </c>
      <c r="BK55" s="181">
        <f>BJ55/BJ15*100</f>
        <v>4.1145835730123377</v>
      </c>
      <c r="BL55" s="191">
        <f t="shared" si="183"/>
        <v>-11.583955978117032</v>
      </c>
      <c r="BM55" s="57"/>
      <c r="BN55" s="162">
        <f>+BN50+BN51</f>
        <v>272.83500000000004</v>
      </c>
      <c r="BO55" s="181">
        <f t="shared" si="184"/>
        <v>3.7157864301579648</v>
      </c>
      <c r="BP55" s="191">
        <f t="shared" si="185"/>
        <v>-10.251644736842092</v>
      </c>
      <c r="BQ55" s="44"/>
      <c r="BR55" s="169">
        <f>+BR50+BR51</f>
        <v>274.85300000000001</v>
      </c>
      <c r="BS55" s="181">
        <f>BR55/BR15*100</f>
        <v>3.8424856703481058</v>
      </c>
      <c r="BT55" s="191">
        <f t="shared" si="186"/>
        <v>0.73964117506917226</v>
      </c>
      <c r="BU55" s="57"/>
      <c r="BV55" s="169">
        <f>+BV50+BV51</f>
        <v>267</v>
      </c>
      <c r="BW55" s="181">
        <f>BV55/BV15*100</f>
        <v>3.6909040641415536</v>
      </c>
      <c r="BX55" s="191">
        <f t="shared" si="187"/>
        <v>-2.8571636474770234</v>
      </c>
      <c r="BY55" s="44"/>
      <c r="BZ55" s="169">
        <f>+BZ50+BZ51</f>
        <v>281</v>
      </c>
      <c r="CA55" s="181">
        <f>BZ55/BZ15*100</f>
        <v>4.0825221560366121</v>
      </c>
      <c r="CB55" s="191">
        <f t="shared" si="188"/>
        <v>5.2434456928838857</v>
      </c>
      <c r="CC55" s="44"/>
      <c r="CD55" s="169">
        <f>+CD50+CD51</f>
        <v>284</v>
      </c>
      <c r="CE55" s="181">
        <f>CD55/CD15*100</f>
        <v>4.4569993722536099</v>
      </c>
      <c r="CF55" s="191">
        <f t="shared" si="189"/>
        <v>1.067615658362997</v>
      </c>
      <c r="CG55" s="59"/>
      <c r="CH55" s="169">
        <f>+CH50+CH51</f>
        <v>289</v>
      </c>
      <c r="CI55" s="181">
        <f>CH55/CH15*100</f>
        <v>4.3484802888955763</v>
      </c>
      <c r="CJ55" s="191">
        <f t="shared" si="190"/>
        <v>1.7605633802816989</v>
      </c>
      <c r="CK55" s="59"/>
      <c r="CL55" s="169">
        <f>+CL50+CL51</f>
        <v>255</v>
      </c>
      <c r="CM55" s="181">
        <f>CL55/CL15*100</f>
        <v>3.8167938931297711</v>
      </c>
      <c r="CN55" s="191">
        <f t="shared" si="191"/>
        <v>-11.764705882352944</v>
      </c>
      <c r="CO55" s="59"/>
      <c r="CP55" s="169">
        <f>+CP50+CP51</f>
        <v>243</v>
      </c>
      <c r="CQ55" s="181">
        <f>CP55/CP15*100</f>
        <v>3.4409515717926933</v>
      </c>
      <c r="CR55" s="191">
        <f t="shared" si="192"/>
        <v>-4.705882352941182</v>
      </c>
      <c r="CS55" s="44"/>
      <c r="CT55" s="169">
        <f>+CT50+CT51</f>
        <v>267</v>
      </c>
      <c r="CU55" s="181">
        <f>CT55/CT15*100</f>
        <v>3.5145452152165331</v>
      </c>
      <c r="CV55" s="191">
        <f t="shared" si="193"/>
        <v>9.8765432098765427</v>
      </c>
      <c r="CW55" s="44"/>
      <c r="CX55" s="169">
        <f>+CX50+CX51</f>
        <v>240</v>
      </c>
      <c r="CY55" s="181">
        <f>CX55/CX15*100</f>
        <v>3.0947775628626695</v>
      </c>
      <c r="CZ55" s="191">
        <f t="shared" si="194"/>
        <v>-10.1123595505618</v>
      </c>
      <c r="DA55" s="44"/>
      <c r="DB55" s="169">
        <f>+DB50+DB51</f>
        <v>263</v>
      </c>
      <c r="DC55" s="181">
        <f>DB55/DB15*100</f>
        <v>3.4811383189940441</v>
      </c>
      <c r="DD55" s="191">
        <f t="shared" si="195"/>
        <v>9.5833333333333428</v>
      </c>
      <c r="DE55" s="44"/>
      <c r="DF55" s="169">
        <f>+DF50+DF51</f>
        <v>272</v>
      </c>
      <c r="DG55" s="181">
        <f>DF55/DF15*100</f>
        <v>3.7316504321580464</v>
      </c>
      <c r="DH55" s="191">
        <f t="shared" si="196"/>
        <v>3.4220532319391594</v>
      </c>
      <c r="DI55" s="191"/>
      <c r="DJ55" s="169">
        <f>+DJ50+DJ51</f>
        <v>265</v>
      </c>
      <c r="DK55" s="181">
        <f>DJ55/DJ15*100</f>
        <v>3.6607266196988535</v>
      </c>
      <c r="DL55" s="191">
        <f t="shared" si="197"/>
        <v>-2.5735294117647078</v>
      </c>
      <c r="DM55" s="191"/>
      <c r="DN55" s="169">
        <f>+DN50+DN51</f>
        <v>265</v>
      </c>
      <c r="DO55" s="181">
        <f>DN55/DN15*100</f>
        <v>3.5704274077587685</v>
      </c>
      <c r="DP55" s="191">
        <f t="shared" si="198"/>
        <v>0</v>
      </c>
      <c r="DQ55" s="44"/>
      <c r="DR55" s="44"/>
      <c r="DS55" s="44"/>
      <c r="DT55" s="44"/>
      <c r="DU55" s="44"/>
      <c r="DV55" s="44"/>
      <c r="DW55" s="44"/>
      <c r="DX55" s="44"/>
      <c r="DY55" s="44"/>
      <c r="DZ55" s="44"/>
      <c r="EA55" s="44"/>
      <c r="EB55" s="44"/>
      <c r="EC55" s="44"/>
      <c r="ED55" s="44"/>
    </row>
    <row r="56" spans="1:151" hidden="1" outlineLevel="3">
      <c r="A56" s="44" t="str">
        <f>$A$16</f>
        <v>9 Mos</v>
      </c>
      <c r="B56" s="44"/>
      <c r="C56" s="57"/>
      <c r="D56" s="169"/>
      <c r="E56" s="57"/>
      <c r="F56" s="169">
        <f>SUM(F50:F52)</f>
        <v>0</v>
      </c>
      <c r="G56" s="181">
        <f t="shared" si="161"/>
        <v>0</v>
      </c>
      <c r="H56" s="191"/>
      <c r="I56" s="57"/>
      <c r="J56" s="169">
        <f>SUM(J50:J52)</f>
        <v>0</v>
      </c>
      <c r="K56" s="181">
        <f t="shared" si="162"/>
        <v>0</v>
      </c>
      <c r="L56" s="191"/>
      <c r="M56" s="57"/>
      <c r="N56" s="169">
        <f>SUM(N50:N52)</f>
        <v>0</v>
      </c>
      <c r="O56" s="181">
        <f t="shared" si="163"/>
        <v>0</v>
      </c>
      <c r="P56" s="191"/>
      <c r="Q56" s="57"/>
      <c r="R56" s="162">
        <v>103.152</v>
      </c>
      <c r="S56" s="181">
        <f t="shared" si="164"/>
        <v>6.9912609238451937</v>
      </c>
      <c r="T56" s="191"/>
      <c r="U56" s="57"/>
      <c r="V56" s="162">
        <v>123.574</v>
      </c>
      <c r="W56" s="181">
        <f t="shared" si="165"/>
        <v>7.8239172263063024</v>
      </c>
      <c r="X56" s="191"/>
      <c r="Y56" s="57"/>
      <c r="Z56" s="162">
        <v>147.114</v>
      </c>
      <c r="AA56" s="181">
        <f t="shared" si="166"/>
        <v>7.8446951498162196</v>
      </c>
      <c r="AB56" s="191">
        <f t="shared" si="167"/>
        <v>19.049314580737065</v>
      </c>
      <c r="AC56" s="57"/>
      <c r="AD56" s="162">
        <v>156.69900000000001</v>
      </c>
      <c r="AE56" s="181">
        <f t="shared" si="168"/>
        <v>6.9420189309665652</v>
      </c>
      <c r="AF56" s="191">
        <f t="shared" si="169"/>
        <v>6.5153554386394363</v>
      </c>
      <c r="AG56" s="57"/>
      <c r="AH56" s="162">
        <v>194.571</v>
      </c>
      <c r="AI56" s="181">
        <f t="shared" si="170"/>
        <v>4.4807806655664928</v>
      </c>
      <c r="AJ56" s="191">
        <f t="shared" si="171"/>
        <v>24.168629027626199</v>
      </c>
      <c r="AK56" s="57"/>
      <c r="AL56" s="162">
        <v>236.41300000000001</v>
      </c>
      <c r="AM56" s="181">
        <f t="shared" si="172"/>
        <v>3.9241082024954235</v>
      </c>
      <c r="AN56" s="191">
        <f t="shared" si="173"/>
        <v>21.504746339382553</v>
      </c>
      <c r="AO56" s="57"/>
      <c r="AP56" s="162">
        <v>302.495</v>
      </c>
      <c r="AQ56" s="181">
        <f t="shared" si="174"/>
        <v>3.8898809856774137</v>
      </c>
      <c r="AR56" s="191">
        <f t="shared" si="175"/>
        <v>27.951931577366729</v>
      </c>
      <c r="AS56" s="57"/>
      <c r="AT56" s="162">
        <v>423.33600000000001</v>
      </c>
      <c r="AU56" s="181">
        <f t="shared" si="176"/>
        <v>4.6549228467892014</v>
      </c>
      <c r="AV56" s="191">
        <f t="shared" si="177"/>
        <v>39.948098315674649</v>
      </c>
      <c r="AW56" s="57"/>
      <c r="AX56" s="162">
        <v>589.62599999999998</v>
      </c>
      <c r="AY56" s="181">
        <f t="shared" si="178"/>
        <v>6.0423346485967562</v>
      </c>
      <c r="AZ56" s="191">
        <f t="shared" si="179"/>
        <v>39.280854923748507</v>
      </c>
      <c r="BA56" s="57"/>
      <c r="BB56" s="162">
        <v>581.59100000000001</v>
      </c>
      <c r="BC56" s="181">
        <f>BB56/BB16*100</f>
        <v>5.9321172100870001</v>
      </c>
      <c r="BD56" s="191">
        <f t="shared" si="180"/>
        <v>-1.3627282378999461</v>
      </c>
      <c r="BE56" s="57"/>
      <c r="BF56" s="162">
        <v>500.16300000000001</v>
      </c>
      <c r="BG56" s="181">
        <f t="shared" si="181"/>
        <v>4.5603994921005881</v>
      </c>
      <c r="BH56" s="191">
        <f t="shared" si="182"/>
        <v>-14.000904415646042</v>
      </c>
      <c r="BI56" s="57"/>
      <c r="BJ56" s="162">
        <v>454</v>
      </c>
      <c r="BK56" s="181">
        <f>BJ56/BJ16*100</f>
        <v>3.9934893808367393</v>
      </c>
      <c r="BL56" s="191">
        <f t="shared" si="183"/>
        <v>-9.2295911532840336</v>
      </c>
      <c r="BM56" s="57"/>
      <c r="BN56" s="169">
        <f>SUM(BN50:BN52)</f>
        <v>423.81500000000005</v>
      </c>
      <c r="BO56" s="181">
        <f t="shared" si="184"/>
        <v>3.7832190448254535</v>
      </c>
      <c r="BP56" s="191">
        <f t="shared" si="185"/>
        <v>-6.6486784140969091</v>
      </c>
      <c r="BQ56" s="44"/>
      <c r="BR56" s="169">
        <f>SUM(BR50:BR52)</f>
        <v>403.68799999999999</v>
      </c>
      <c r="BS56" s="181">
        <f>BR56/BR16*100</f>
        <v>3.6685568884042166</v>
      </c>
      <c r="BT56" s="191">
        <f t="shared" si="186"/>
        <v>-4.749006052169003</v>
      </c>
      <c r="BU56" s="57"/>
      <c r="BV56" s="169">
        <f>SUM(BV50:BV52)</f>
        <v>407</v>
      </c>
      <c r="BW56" s="181">
        <f>BV56/BV16*100</f>
        <v>3.6706349206349209</v>
      </c>
      <c r="BX56" s="191">
        <f t="shared" si="187"/>
        <v>0.82043558391629023</v>
      </c>
      <c r="BY56" s="44"/>
      <c r="BZ56" s="169">
        <f>SUM(BZ50:BZ52)</f>
        <v>422</v>
      </c>
      <c r="CA56" s="181">
        <f>BZ56/BZ16*100</f>
        <v>4.0405974722328608</v>
      </c>
      <c r="CB56" s="191">
        <f t="shared" si="188"/>
        <v>3.6855036855036882</v>
      </c>
      <c r="CC56" s="44"/>
      <c r="CD56" s="169">
        <f>SUM(CD50:CD52)</f>
        <v>431</v>
      </c>
      <c r="CE56" s="181">
        <f>CD56/CD16*100</f>
        <v>4.3268748117658875</v>
      </c>
      <c r="CF56" s="191">
        <f t="shared" si="189"/>
        <v>2.1327014218009532</v>
      </c>
      <c r="CG56" s="59"/>
      <c r="CH56" s="169">
        <f>SUM(CH50:CH52)</f>
        <v>429</v>
      </c>
      <c r="CI56" s="181">
        <f>CH56/CH16*100</f>
        <v>4.1650485436893199</v>
      </c>
      <c r="CJ56" s="191">
        <f t="shared" si="190"/>
        <v>-0.46403712296984034</v>
      </c>
      <c r="CK56" s="59"/>
      <c r="CL56" s="169">
        <f>SUM(CL50:CL52)</f>
        <v>382</v>
      </c>
      <c r="CM56" s="181">
        <f>CL56/CL16*100</f>
        <v>3.7210208455094484</v>
      </c>
      <c r="CN56" s="191">
        <f t="shared" si="191"/>
        <v>-10.955710955710952</v>
      </c>
      <c r="CO56" s="59"/>
      <c r="CP56" s="169">
        <f>SUM(CP50:CP52)</f>
        <v>363</v>
      </c>
      <c r="CQ56" s="181">
        <f>CP56/CP16*100</f>
        <v>3.3223503569467328</v>
      </c>
      <c r="CR56" s="191">
        <f t="shared" si="192"/>
        <v>-4.9738219895287923</v>
      </c>
      <c r="CS56" s="44"/>
      <c r="CT56" s="169">
        <f>SUM(CT50:CT52)</f>
        <v>398</v>
      </c>
      <c r="CU56" s="181">
        <f>CT56/CT16*100</f>
        <v>3.4390391428324549</v>
      </c>
      <c r="CV56" s="191">
        <f t="shared" si="193"/>
        <v>9.6418732782369112</v>
      </c>
      <c r="CW56" s="44"/>
      <c r="CX56" s="169">
        <f>SUM(CX50:CX52)</f>
        <v>412</v>
      </c>
      <c r="CY56" s="181">
        <f>CX56/CX16*100</f>
        <v>3.5132599982945338</v>
      </c>
      <c r="CZ56" s="191">
        <f t="shared" si="194"/>
        <v>3.5175879396984966</v>
      </c>
      <c r="DA56" s="44"/>
      <c r="DB56" s="169">
        <f>SUM(DB50:DB52)</f>
        <v>390</v>
      </c>
      <c r="DC56" s="181">
        <f>DB56/DB16*100</f>
        <v>3.4174553101997898</v>
      </c>
      <c r="DD56" s="191">
        <f t="shared" si="195"/>
        <v>-5.3398058252427161</v>
      </c>
      <c r="DE56" s="44"/>
      <c r="DF56" s="169">
        <f>SUM(DF50:DF52)</f>
        <v>402</v>
      </c>
      <c r="DG56" s="181">
        <f>DF56/DF16*100</f>
        <v>3.6258681338504553</v>
      </c>
      <c r="DH56" s="191">
        <f t="shared" si="196"/>
        <v>3.076923076923066</v>
      </c>
      <c r="DI56" s="191"/>
      <c r="DJ56" s="169">
        <f>SUM(DJ50:DJ52)</f>
        <v>400</v>
      </c>
      <c r="DK56" s="181">
        <f>DJ56/DJ16*100</f>
        <v>3.6110860341247628</v>
      </c>
      <c r="DL56" s="191">
        <f t="shared" si="197"/>
        <v>-0.49751243781094301</v>
      </c>
      <c r="DM56" s="191"/>
      <c r="DN56" s="169">
        <f>SUM(DN50:DN52)</f>
        <v>400</v>
      </c>
      <c r="DO56" s="181">
        <f>DN56/DN16*100</f>
        <v>3.5317099642230656</v>
      </c>
      <c r="DP56" s="191">
        <f t="shared" si="198"/>
        <v>0</v>
      </c>
      <c r="DQ56" s="44"/>
      <c r="DR56" s="44"/>
      <c r="DS56" s="44"/>
      <c r="DT56" s="44"/>
      <c r="DU56" s="44"/>
      <c r="DV56" s="44"/>
      <c r="DW56" s="44"/>
      <c r="DX56" s="44"/>
      <c r="DY56" s="44"/>
      <c r="DZ56" s="44"/>
      <c r="EA56" s="44"/>
      <c r="EB56" s="44"/>
      <c r="EC56" s="44"/>
      <c r="ED56" s="44"/>
    </row>
    <row r="57" spans="1:151" hidden="1" outlineLevel="2" collapsed="1">
      <c r="A57" s="44"/>
      <c r="B57" s="44"/>
      <c r="C57" s="57"/>
      <c r="D57" s="57"/>
      <c r="E57" s="57"/>
      <c r="F57" s="57"/>
      <c r="G57" s="57"/>
      <c r="H57" s="57"/>
      <c r="I57" s="57"/>
      <c r="J57" s="57"/>
      <c r="K57" s="57"/>
      <c r="L57" s="57"/>
      <c r="M57" s="57"/>
      <c r="N57" s="57"/>
      <c r="O57" s="57"/>
      <c r="P57" s="57"/>
      <c r="Q57" s="57"/>
      <c r="R57" s="57"/>
      <c r="S57" s="57"/>
      <c r="T57" s="57"/>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c r="AU57" s="57"/>
      <c r="AV57" s="57"/>
      <c r="AW57" s="57"/>
      <c r="AX57" s="57"/>
      <c r="AY57" s="57"/>
      <c r="AZ57" s="57"/>
      <c r="BA57" s="57"/>
      <c r="BB57" s="57"/>
      <c r="BC57" s="57"/>
      <c r="BD57" s="57"/>
      <c r="BE57" s="57"/>
      <c r="BF57" s="57"/>
      <c r="BG57" s="57"/>
      <c r="BH57" s="57"/>
      <c r="BI57" s="57"/>
      <c r="BJ57" s="57"/>
      <c r="BK57" s="57"/>
      <c r="BL57" s="57"/>
      <c r="BM57" s="57"/>
      <c r="BN57" s="57"/>
      <c r="BO57" s="57"/>
      <c r="BP57" s="57"/>
      <c r="BQ57" s="44"/>
      <c r="BR57" s="44"/>
      <c r="BS57" s="44"/>
      <c r="BT57" s="44"/>
      <c r="BU57" s="44"/>
      <c r="BV57" s="142"/>
      <c r="BW57" s="44"/>
      <c r="BX57" s="44"/>
      <c r="BY57" s="44"/>
      <c r="BZ57" s="142"/>
      <c r="CA57" s="44"/>
      <c r="CB57" s="44"/>
      <c r="CC57" s="44"/>
      <c r="CD57" s="142"/>
      <c r="CE57" s="44"/>
      <c r="CF57" s="44"/>
      <c r="CG57" s="59"/>
      <c r="CH57" s="142"/>
      <c r="CI57" s="44"/>
      <c r="CJ57" s="44"/>
      <c r="CK57" s="59"/>
      <c r="CL57" s="142"/>
      <c r="CM57" s="44"/>
      <c r="CN57" s="44"/>
      <c r="CO57" s="59"/>
      <c r="CP57" s="142"/>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57"/>
      <c r="DO57" s="57"/>
      <c r="DP57" s="57"/>
      <c r="DQ57" s="44"/>
      <c r="DR57" s="44"/>
      <c r="DS57" s="44"/>
      <c r="DT57" s="44"/>
      <c r="DU57" s="44"/>
      <c r="DV57" s="44"/>
      <c r="DW57" s="44"/>
      <c r="DX57" s="44"/>
      <c r="DY57" s="44"/>
      <c r="DZ57" s="44"/>
      <c r="EA57" s="44"/>
      <c r="EB57" s="44"/>
      <c r="EC57" s="44"/>
      <c r="ED57" s="44"/>
    </row>
    <row r="58" spans="1:151" outlineLevel="1" collapsed="1">
      <c r="A58" s="44"/>
      <c r="B58" s="44"/>
      <c r="C58" s="205"/>
      <c r="D58" s="205"/>
      <c r="E58" s="205" t="str">
        <f>AH58</f>
        <v xml:space="preserve">4.  Operating Income (% Operating Margin) </v>
      </c>
      <c r="F58" s="205"/>
      <c r="G58" s="57"/>
      <c r="H58" s="57"/>
      <c r="I58" s="57"/>
      <c r="J58" s="205"/>
      <c r="K58" s="57"/>
      <c r="L58" s="57"/>
      <c r="M58" s="57"/>
      <c r="N58" s="205"/>
      <c r="O58" s="57"/>
      <c r="P58" s="57"/>
      <c r="Q58" s="57"/>
      <c r="R58" s="205"/>
      <c r="S58" s="57"/>
      <c r="T58" s="57"/>
      <c r="U58" s="57"/>
      <c r="V58" s="205"/>
      <c r="W58" s="57"/>
      <c r="X58" s="57"/>
      <c r="Y58" s="57"/>
      <c r="Z58" s="57"/>
      <c r="AA58" s="134"/>
      <c r="AB58" s="134"/>
      <c r="AC58" s="134"/>
      <c r="AD58" s="175"/>
      <c r="AE58" s="134"/>
      <c r="AF58" s="134"/>
      <c r="AG58" s="134"/>
      <c r="AH58" s="175" t="s">
        <v>89</v>
      </c>
      <c r="AI58" s="175"/>
      <c r="AJ58" s="175"/>
      <c r="AK58" s="175"/>
      <c r="AL58" s="44"/>
      <c r="AM58" s="175"/>
      <c r="AN58" s="175"/>
      <c r="AO58" s="175"/>
      <c r="AP58" s="44"/>
      <c r="AQ58" s="175"/>
      <c r="AR58" s="175"/>
      <c r="AS58" s="175"/>
      <c r="AT58" s="44"/>
      <c r="AU58" s="175"/>
      <c r="AV58" s="175"/>
      <c r="AW58" s="175"/>
      <c r="AX58" s="175"/>
      <c r="AY58" s="175"/>
      <c r="AZ58" s="136"/>
      <c r="BA58" s="175"/>
      <c r="BB58" s="175"/>
      <c r="BC58" s="175"/>
      <c r="BD58" s="175"/>
      <c r="BE58" s="134"/>
      <c r="BF58" s="175"/>
      <c r="BG58" s="134"/>
      <c r="BH58" s="134"/>
      <c r="BI58" s="134"/>
      <c r="BJ58" s="175" t="s">
        <v>89</v>
      </c>
      <c r="BK58" s="134"/>
      <c r="BL58" s="134"/>
      <c r="BM58" s="134"/>
      <c r="BN58" s="175"/>
      <c r="BO58" s="134"/>
      <c r="BP58" s="134"/>
      <c r="BQ58" s="136"/>
      <c r="BR58" s="137"/>
      <c r="BS58" s="136"/>
      <c r="BT58" s="136"/>
      <c r="BU58" s="136"/>
      <c r="BV58" s="175" t="s">
        <v>89</v>
      </c>
      <c r="BW58" s="136"/>
      <c r="BX58" s="136"/>
      <c r="BY58" s="136"/>
      <c r="BZ58" s="244"/>
      <c r="CA58" s="136"/>
      <c r="CB58" s="136"/>
      <c r="CC58" s="136"/>
      <c r="CD58" s="244"/>
      <c r="CE58" s="136"/>
      <c r="CF58" s="136"/>
      <c r="CG58" s="138"/>
      <c r="CH58" s="245" t="str">
        <f>+BV58</f>
        <v xml:space="preserve">4.  Operating Income (% Operating Margin) </v>
      </c>
      <c r="CI58" s="136"/>
      <c r="CJ58" s="136"/>
      <c r="CK58" s="138"/>
      <c r="CL58" s="244"/>
      <c r="CM58" s="136"/>
      <c r="CN58" s="136"/>
      <c r="CO58" s="138"/>
      <c r="CP58" s="244"/>
      <c r="CQ58" s="136"/>
      <c r="CR58" s="136"/>
      <c r="CS58" s="44"/>
      <c r="CT58" s="44"/>
      <c r="CU58" s="44"/>
      <c r="CV58" s="44"/>
      <c r="CW58" s="44"/>
      <c r="CX58" s="44"/>
      <c r="CY58" s="44"/>
      <c r="CZ58" s="44"/>
      <c r="DA58" s="44"/>
      <c r="DB58" s="44"/>
      <c r="DC58" s="44"/>
      <c r="DD58" s="44"/>
      <c r="DE58" s="44"/>
      <c r="DF58" s="119"/>
      <c r="DG58" s="44"/>
      <c r="DH58" s="44"/>
      <c r="DI58" s="44"/>
      <c r="DJ58" s="44"/>
      <c r="DK58" s="44"/>
      <c r="DL58" s="44"/>
      <c r="DM58" s="44"/>
      <c r="DN58" s="57"/>
      <c r="DO58" s="57"/>
      <c r="DP58" s="57"/>
      <c r="DQ58" s="44"/>
      <c r="DR58" s="44"/>
      <c r="DS58" s="44"/>
      <c r="DT58" s="44"/>
      <c r="DU58" s="44"/>
      <c r="DV58" s="44"/>
      <c r="DW58" s="44"/>
      <c r="DX58" s="44"/>
      <c r="DY58" s="44"/>
      <c r="DZ58" s="44"/>
      <c r="EA58" s="44"/>
      <c r="EB58" s="44"/>
      <c r="EC58" s="44"/>
      <c r="ED58" s="44"/>
    </row>
    <row r="59" spans="1:151" outlineLevel="1">
      <c r="A59" s="44"/>
      <c r="B59" s="44"/>
      <c r="C59" s="57"/>
      <c r="D59" s="57"/>
      <c r="E59" s="57"/>
      <c r="F59" s="57"/>
      <c r="G59" s="57"/>
      <c r="H59" s="57"/>
      <c r="I59" s="57"/>
      <c r="J59" s="57"/>
      <c r="K59" s="57"/>
      <c r="L59" s="57"/>
      <c r="M59" s="57"/>
      <c r="N59" s="57"/>
      <c r="O59" s="57"/>
      <c r="P59" s="57"/>
      <c r="Q59" s="57"/>
      <c r="R59" s="57"/>
      <c r="S59" s="57"/>
      <c r="T59" s="57"/>
      <c r="U59" s="57"/>
      <c r="V59" s="57"/>
      <c r="W59" s="57"/>
      <c r="X59" s="57"/>
      <c r="Y59" s="57"/>
      <c r="Z59" s="57"/>
      <c r="AA59" s="57"/>
      <c r="AB59" s="57"/>
      <c r="AC59" s="57"/>
      <c r="AD59" s="57"/>
      <c r="AE59" s="57"/>
      <c r="AF59" s="57"/>
      <c r="AG59" s="57"/>
      <c r="AH59" s="57"/>
      <c r="AI59" s="57"/>
      <c r="AJ59" s="57"/>
      <c r="AK59" s="57"/>
      <c r="AL59" s="57"/>
      <c r="AM59" s="57"/>
      <c r="AN59" s="57"/>
      <c r="AO59" s="57"/>
      <c r="AP59" s="57"/>
      <c r="AQ59" s="57"/>
      <c r="AR59" s="57"/>
      <c r="AS59" s="57"/>
      <c r="AT59" s="57"/>
      <c r="AU59" s="57"/>
      <c r="AV59" s="57"/>
      <c r="AW59" s="57"/>
      <c r="AX59" s="57"/>
      <c r="AY59" s="57"/>
      <c r="AZ59" s="57"/>
      <c r="BA59" s="57"/>
      <c r="BB59" s="57"/>
      <c r="BC59" s="181"/>
      <c r="BD59" s="57"/>
      <c r="BE59" s="57"/>
      <c r="BF59" s="57"/>
      <c r="BG59" s="57"/>
      <c r="BH59" s="57"/>
      <c r="BI59" s="208"/>
      <c r="BJ59" s="57"/>
      <c r="BK59" s="57"/>
      <c r="BL59" s="57"/>
      <c r="BM59" s="57"/>
      <c r="BN59" s="57"/>
      <c r="BO59" s="57"/>
      <c r="BP59" s="57"/>
      <c r="BQ59" s="44"/>
      <c r="BR59" s="44"/>
      <c r="BS59" s="44"/>
      <c r="BT59" s="44"/>
      <c r="BU59" s="44"/>
      <c r="BV59" s="44"/>
      <c r="BW59" s="238"/>
      <c r="BX59" s="44"/>
      <c r="BY59" s="44"/>
      <c r="BZ59" s="44"/>
      <c r="CA59" s="140"/>
      <c r="CB59" s="44"/>
      <c r="CC59" s="44"/>
      <c r="CD59" s="44"/>
      <c r="CE59" s="140"/>
      <c r="CF59" s="44"/>
      <c r="CG59" s="59"/>
      <c r="CH59" s="44"/>
      <c r="CI59" s="140"/>
      <c r="CJ59" s="44"/>
      <c r="CK59" s="59"/>
      <c r="CL59" s="44"/>
      <c r="CM59" s="140"/>
      <c r="CN59" s="44"/>
      <c r="CO59" s="59"/>
      <c r="CP59" s="44"/>
      <c r="CQ59" s="140"/>
      <c r="CR59" s="44"/>
      <c r="CS59" s="44"/>
      <c r="CT59" s="44"/>
      <c r="CU59" s="44"/>
      <c r="CV59" s="44"/>
      <c r="CW59" s="44"/>
      <c r="CX59" s="44"/>
      <c r="CY59" s="44"/>
      <c r="CZ59" s="44"/>
      <c r="DA59" s="44"/>
      <c r="DB59" s="44"/>
      <c r="DC59" s="44"/>
      <c r="DD59" s="44"/>
      <c r="DE59" s="44"/>
      <c r="DF59" s="44"/>
      <c r="DG59" s="44"/>
      <c r="DH59" s="44"/>
      <c r="DI59" s="44"/>
      <c r="DJ59" s="44"/>
      <c r="DK59" s="44"/>
      <c r="DL59" s="44"/>
      <c r="DM59" s="44"/>
      <c r="DN59" s="57"/>
      <c r="DO59" s="57"/>
      <c r="DP59" s="57"/>
      <c r="DQ59" s="44"/>
      <c r="DR59" s="44"/>
      <c r="DS59" s="44"/>
      <c r="DT59" s="44"/>
      <c r="DU59" s="44"/>
      <c r="DV59" s="44"/>
      <c r="DW59" s="44"/>
      <c r="DX59" s="44"/>
      <c r="DY59" s="44"/>
      <c r="DZ59" s="65"/>
      <c r="EA59" s="65"/>
      <c r="EB59" s="44"/>
      <c r="EC59" s="44"/>
      <c r="ED59" s="44"/>
      <c r="EE59" s="44"/>
      <c r="EF59" s="65"/>
      <c r="EG59" s="65"/>
      <c r="EH59" s="44"/>
      <c r="EI59" s="44"/>
    </row>
    <row r="60" spans="1:151" outlineLevel="1">
      <c r="A60" s="44" t="str">
        <f>$A$10</f>
        <v>1Q</v>
      </c>
      <c r="B60" s="44" t="str">
        <f>$B$10</f>
        <v>Apr</v>
      </c>
      <c r="C60" s="57"/>
      <c r="D60" s="167"/>
      <c r="E60" s="57"/>
      <c r="F60" s="167">
        <f>F10-F20-F30</f>
        <v>35.637999999999991</v>
      </c>
      <c r="G60" s="181">
        <f t="shared" ref="G60:G66" si="199">F60/F10*100</f>
        <v>8.8570661682837581</v>
      </c>
      <c r="H60" s="191"/>
      <c r="I60" s="57"/>
      <c r="J60" s="167">
        <f>J10-J20-J30</f>
        <v>67.79000000000002</v>
      </c>
      <c r="K60" s="181">
        <f t="shared" ref="K60:K66" si="200">J60/J10*100</f>
        <v>13.826228839486031</v>
      </c>
      <c r="L60" s="191">
        <f t="shared" ref="L60:L66" si="201">IF(F60&lt;0,"       NM",(J60/F60-1)*100)</f>
        <v>90.218306302261738</v>
      </c>
      <c r="M60" s="57"/>
      <c r="N60" s="167">
        <f>N10-N20-N30</f>
        <v>73.013000000000005</v>
      </c>
      <c r="O60" s="181">
        <f t="shared" ref="O60:O66" si="202">N60/N10*100</f>
        <v>12.398957993696337</v>
      </c>
      <c r="P60" s="191">
        <f t="shared" ref="P60:P66" si="203">IF(J60&lt;0,"       NM",(N60/J60-1)*100)</f>
        <v>7.70467620593005</v>
      </c>
      <c r="Q60" s="57"/>
      <c r="R60" s="167">
        <f>R10-R20-R30</f>
        <v>67.711000000000013</v>
      </c>
      <c r="S60" s="181">
        <f t="shared" ref="S60:S66" si="204">R60/R10*100</f>
        <v>10.52099195127257</v>
      </c>
      <c r="T60" s="191">
        <f t="shared" ref="T60:T66" si="205">IF(N60&lt;0,"       NM",(R60/N60-1)*100)</f>
        <v>-7.2617205155246172</v>
      </c>
      <c r="U60" s="57"/>
      <c r="V60" s="167">
        <f>V10-V20-V30</f>
        <v>103.85899999999998</v>
      </c>
      <c r="W60" s="181">
        <f t="shared" ref="W60:W66" si="206">V60/V10*100</f>
        <v>13.81710058935437</v>
      </c>
      <c r="X60" s="191">
        <f t="shared" ref="X60:X66" si="207">IF(R60&lt;0,"       NM",(V60/R60-1)*100)</f>
        <v>53.38571280884932</v>
      </c>
      <c r="Y60" s="57"/>
      <c r="Z60" s="167">
        <f>Z10-Z20-Z30</f>
        <v>77.982000000000028</v>
      </c>
      <c r="AA60" s="181">
        <f t="shared" ref="AA60:AA66" si="208">Z60/Z10*100</f>
        <v>9.1885357163056423</v>
      </c>
      <c r="AB60" s="191">
        <f t="shared" ref="AB60:AB66" si="209">IF(V60&lt;0,"       NM",(Z60/V60-1)*100)</f>
        <v>-24.915510451670009</v>
      </c>
      <c r="AC60" s="57"/>
      <c r="AD60" s="167">
        <f>AD10-AD20-AD30</f>
        <v>131.21300000000002</v>
      </c>
      <c r="AE60" s="181">
        <f t="shared" ref="AE60:AE66" si="210">AD60/AD10*100</f>
        <v>11.787497507083479</v>
      </c>
      <c r="AF60" s="191">
        <f t="shared" ref="AF60:AF66" si="211">IF(Z60&lt;0,"       NM",(AD60/Z60-1)*100)</f>
        <v>68.260624246620978</v>
      </c>
      <c r="AG60" s="57"/>
      <c r="AH60" s="167">
        <f>AH10-AH20-AH30</f>
        <v>130.14899999999994</v>
      </c>
      <c r="AI60" s="181">
        <f t="shared" ref="AI60:AI66" si="212">AH60/AH10*100</f>
        <v>10.571026636105344</v>
      </c>
      <c r="AJ60" s="191">
        <f t="shared" ref="AJ60:AJ66" si="213">IF(AD60&lt;0,"       NM",(AH60/AD60-1)*100)</f>
        <v>-0.81089526190246675</v>
      </c>
      <c r="AK60" s="57"/>
      <c r="AL60" s="167">
        <f>AL10-AL20-AL30</f>
        <v>216.56400000000008</v>
      </c>
      <c r="AM60" s="181">
        <f t="shared" ref="AM60:AM66" si="214">AL60/AL10*100</f>
        <v>12.593038834409487</v>
      </c>
      <c r="AN60" s="191">
        <f t="shared" ref="AN60:AN66" si="215">IF(AH60&lt;0,"       NM",(AL60/AH60-1)*100)</f>
        <v>66.396975773920786</v>
      </c>
      <c r="AO60" s="57"/>
      <c r="AP60" s="167">
        <f>AP10-AP20-AP30</f>
        <v>328.42999999999995</v>
      </c>
      <c r="AQ60" s="181">
        <f t="shared" ref="AQ60:AQ66" si="216">AP60/AP10*100</f>
        <v>14.419155177909271</v>
      </c>
      <c r="AR60" s="191">
        <f t="shared" ref="AR60:AR66" si="217">IF(AL60&lt;0,"       NM",(AP60/AL60-1)*100)</f>
        <v>51.65493803217516</v>
      </c>
      <c r="AS60" s="57"/>
      <c r="AT60" s="167">
        <f>AT10-AT20-AT30</f>
        <v>379.78199999999981</v>
      </c>
      <c r="AU60" s="181">
        <f t="shared" ref="AU60:AU66" si="218">AT60/AT10*100</f>
        <v>13.901295392735694</v>
      </c>
      <c r="AV60" s="191">
        <f t="shared" ref="AV60:AV66" si="219">IF(AP60&lt;0,"       NM",(AT60/AP60-1)*100)</f>
        <v>15.635599671162769</v>
      </c>
      <c r="AW60" s="57"/>
      <c r="AX60" s="167">
        <f>AX10-AX20-AX30</f>
        <v>204.76199999999994</v>
      </c>
      <c r="AY60" s="181">
        <f t="shared" ref="AY60:AY66" si="220">AX60/AX10*100</f>
        <v>6.4397532311671428</v>
      </c>
      <c r="AZ60" s="191">
        <f t="shared" ref="AZ60:AZ66" si="221">IF(AT60&lt;0,"       NM",(AX60/AT60-1)*100)</f>
        <v>-46.084332590802077</v>
      </c>
      <c r="BA60" s="57"/>
      <c r="BB60" s="167">
        <f>BB10-BB20-BB30</f>
        <v>112.66100000000017</v>
      </c>
      <c r="BC60" s="181">
        <f t="shared" ref="BC60:BC66" si="222">BB60/BB10*100</f>
        <v>3.8971717563061317</v>
      </c>
      <c r="BD60" s="191">
        <f t="shared" ref="BD60:BD66" si="223">IF(AX60&lt;0,"       NM",(BB60/AX60-1)*100)</f>
        <v>-44.9795372188198</v>
      </c>
      <c r="BE60" s="57"/>
      <c r="BF60" s="167">
        <f>BF10-BF20-BF30</f>
        <v>389.30100000000016</v>
      </c>
      <c r="BG60" s="181">
        <f t="shared" ref="BG60:BG66" si="224">BF60/BF10*100</f>
        <v>11.611320904410118</v>
      </c>
      <c r="BH60" s="191">
        <f t="shared" ref="BH60:BH66" si="225">IF(BB60&lt;0,"       NM",(BF60/BB60-1)*100)</f>
        <v>245.55081172721665</v>
      </c>
      <c r="BI60" s="246">
        <f>+(BG60-BC60)*100</f>
        <v>771.41491481039861</v>
      </c>
      <c r="BJ60" s="167">
        <f>BJ10-BJ20-BJ30</f>
        <v>551.40000000000009</v>
      </c>
      <c r="BK60" s="181">
        <f t="shared" ref="BK60:BK66" si="226">BJ60/BJ10*100</f>
        <v>15.034498366082131</v>
      </c>
      <c r="BL60" s="191">
        <f t="shared" ref="BL60:BL66" si="227">(BJ60/BF60-1)*100</f>
        <v>41.638475113087267</v>
      </c>
      <c r="BM60" s="57"/>
      <c r="BN60" s="167">
        <f>BN10-BN20-BN30</f>
        <v>465.24400000000037</v>
      </c>
      <c r="BO60" s="181">
        <f t="shared" ref="BO60:BO66" si="228">BN60/BN10*100</f>
        <v>12.829741005484122</v>
      </c>
      <c r="BP60" s="191">
        <f t="shared" ref="BP60:BP66" si="229">(BN60/BJ60-1)*100</f>
        <v>-15.6249546608632</v>
      </c>
      <c r="BQ60" s="44"/>
      <c r="BR60" s="66">
        <f>BR10-BR20-BR30</f>
        <v>383</v>
      </c>
      <c r="BS60" s="183">
        <f t="shared" ref="BS60:BS66" si="230">BR60/BR10*100</f>
        <v>11.136958418144809</v>
      </c>
      <c r="BT60" s="55">
        <f t="shared" ref="BT60:BT66" si="231">(BR60/BN60-1)*100</f>
        <v>-17.677605729466748</v>
      </c>
      <c r="BU60" s="44"/>
      <c r="BV60" s="66">
        <f>BV10-BV20-BV30</f>
        <v>304</v>
      </c>
      <c r="BW60" s="183">
        <f t="shared" ref="BW60:BW66" si="232">BV60/BV10*100</f>
        <v>8.5657931811777974</v>
      </c>
      <c r="BX60" s="191">
        <f>(BV60/BR60-1)*100</f>
        <v>-20.626631853785902</v>
      </c>
      <c r="BY60" s="44"/>
      <c r="BZ60" s="66">
        <f>BZ10-BZ20-BZ30</f>
        <v>383</v>
      </c>
      <c r="CA60" s="183">
        <f t="shared" ref="CA60:CA66" si="233">BZ60/BZ10*100</f>
        <v>11.317966903073286</v>
      </c>
      <c r="CB60" s="191">
        <f>(BZ60/BV60-1)*100</f>
        <v>25.986842105263165</v>
      </c>
      <c r="CC60" s="44"/>
      <c r="CD60" s="66">
        <f>CD10-CD20-CD30</f>
        <v>353</v>
      </c>
      <c r="CE60" s="183">
        <f t="shared" ref="CE60:CE66" si="234">CD60/CD10*100</f>
        <v>11.288775183882315</v>
      </c>
      <c r="CF60" s="191">
        <f>(CD60/BZ60-1)*100</f>
        <v>-7.8328981723237545</v>
      </c>
      <c r="CG60" s="59"/>
      <c r="CH60" s="66">
        <f>CH10-CH20-CH30</f>
        <v>474</v>
      </c>
      <c r="CI60" s="183">
        <f t="shared" ref="CI60:CI66" si="235">CH60/CH10*100</f>
        <v>14.238510063082007</v>
      </c>
      <c r="CJ60" s="191">
        <f>(CH60/CD60-1)*100</f>
        <v>34.277620396600561</v>
      </c>
      <c r="CK60" s="59"/>
      <c r="CL60" s="66">
        <f>CL10-CL20-CL30</f>
        <v>386</v>
      </c>
      <c r="CM60" s="183">
        <f t="shared" ref="CM60:CM66" si="236">CL60/CL10*100</f>
        <v>11.714719271623672</v>
      </c>
      <c r="CN60" s="191">
        <f>(CL60/CH60-1)*100</f>
        <v>-18.565400843881854</v>
      </c>
      <c r="CO60" s="59"/>
      <c r="CP60" s="66">
        <f>CP10-CP20-CP30</f>
        <v>395</v>
      </c>
      <c r="CQ60" s="183">
        <f t="shared" ref="CQ60:CQ66" si="237">CP60/CP10*100</f>
        <v>11.32778893031259</v>
      </c>
      <c r="CR60" s="191">
        <f>(CP60/CL60-1)*100</f>
        <v>2.3316062176165886</v>
      </c>
      <c r="CS60" s="44"/>
      <c r="CT60" s="66">
        <f>CT10-CT20-CT30</f>
        <v>530</v>
      </c>
      <c r="CU60" s="183">
        <f>CT60/CT10*100</f>
        <v>14.212925717350497</v>
      </c>
      <c r="CV60" s="191">
        <f>(CT60/CP60-1)*100</f>
        <v>34.177215189873422</v>
      </c>
      <c r="CW60" s="44"/>
      <c r="CX60" s="66">
        <f>CX10-CX20-CX30</f>
        <v>443</v>
      </c>
      <c r="CY60" s="183">
        <f>CX60/CX10*100</f>
        <v>11.738208797032327</v>
      </c>
      <c r="CZ60" s="191">
        <f>(CX60/CT60-1)*100</f>
        <v>-16.415094339622637</v>
      </c>
      <c r="DA60" s="44"/>
      <c r="DB60" s="66">
        <f>DB10-DB20-DB30</f>
        <v>397</v>
      </c>
      <c r="DC60" s="183">
        <f>DB60/DB10*100</f>
        <v>10.855892808312825</v>
      </c>
      <c r="DD60" s="191">
        <f>(DB60/CX60-1)*100</f>
        <v>-10.383747178329571</v>
      </c>
      <c r="DE60" s="44"/>
      <c r="DF60" s="66">
        <f>DF10-DF20-DF30</f>
        <v>222</v>
      </c>
      <c r="DG60" s="183">
        <f>DF60/DF10*100</f>
        <v>6.4572425828970328</v>
      </c>
      <c r="DH60" s="191">
        <f t="shared" ref="DH60:DH66" si="238">(DF60/DB60-1)*100</f>
        <v>-44.08060453400504</v>
      </c>
      <c r="DI60" s="191"/>
      <c r="DJ60" s="66">
        <f>DJ10-DJ20-DJ30</f>
        <v>254</v>
      </c>
      <c r="DK60" s="183">
        <f>DJ60/DJ10*100</f>
        <v>7.3837209302325579</v>
      </c>
      <c r="DL60" s="191">
        <f t="shared" ref="DL60:DL66" si="239">(DJ60/DF60-1)*100</f>
        <v>14.414414414414424</v>
      </c>
      <c r="DM60" s="191"/>
      <c r="DN60" s="167">
        <f>DN10-DN20-DN30</f>
        <v>263.81152137508275</v>
      </c>
      <c r="DO60" s="181">
        <f>DN60/DN10*100</f>
        <v>7.5000000000000036</v>
      </c>
      <c r="DP60" s="191">
        <f t="shared" ref="DP60:DP66" si="240">(DN60/DJ60-1)*100</f>
        <v>3.8628036909774677</v>
      </c>
      <c r="DQ60" s="44"/>
      <c r="DR60" s="44"/>
      <c r="DS60" s="44"/>
      <c r="DT60" s="44"/>
      <c r="DU60" s="44"/>
      <c r="DV60" s="44"/>
      <c r="DW60" s="142"/>
      <c r="DX60" s="44"/>
      <c r="DY60" s="55"/>
      <c r="DZ60" s="53"/>
      <c r="EA60" s="51"/>
      <c r="EB60" s="247"/>
      <c r="EC60" s="247"/>
      <c r="ED60" s="142"/>
      <c r="EE60" s="15"/>
      <c r="EF60" s="53"/>
      <c r="EG60" s="53"/>
      <c r="EH60" s="53"/>
      <c r="EI60" s="42"/>
    </row>
    <row r="61" spans="1:151" outlineLevel="1">
      <c r="A61" s="44" t="str">
        <f>$A$11</f>
        <v>2Q</v>
      </c>
      <c r="B61" s="44" t="str">
        <f>$B$11</f>
        <v>Jul</v>
      </c>
      <c r="C61" s="57"/>
      <c r="D61" s="169"/>
      <c r="E61" s="57"/>
      <c r="F61" s="169">
        <f>F11-F21-F31</f>
        <v>31.169999999999959</v>
      </c>
      <c r="G61" s="181">
        <f t="shared" si="199"/>
        <v>7.6963723098499637</v>
      </c>
      <c r="H61" s="191"/>
      <c r="I61" s="57"/>
      <c r="J61" s="169">
        <f>J11-J21-J31</f>
        <v>55.681000000000068</v>
      </c>
      <c r="K61" s="181">
        <f t="shared" si="200"/>
        <v>10.645322871738411</v>
      </c>
      <c r="L61" s="191">
        <f t="shared" si="201"/>
        <v>78.636509464228894</v>
      </c>
      <c r="M61" s="57"/>
      <c r="N61" s="169">
        <f>N11-N21-N31</f>
        <v>62.006000000000029</v>
      </c>
      <c r="O61" s="181">
        <f t="shared" si="202"/>
        <v>10.096822414079474</v>
      </c>
      <c r="P61" s="191">
        <f t="shared" si="203"/>
        <v>11.359350586375871</v>
      </c>
      <c r="Q61" s="57"/>
      <c r="R61" s="169">
        <f>R11-R21-R31</f>
        <v>47.222000000000037</v>
      </c>
      <c r="S61" s="181">
        <f t="shared" si="204"/>
        <v>6.8122540363997324</v>
      </c>
      <c r="T61" s="191">
        <f t="shared" si="205"/>
        <v>-23.842853917362817</v>
      </c>
      <c r="U61" s="57"/>
      <c r="V61" s="169">
        <f>V11-V21-V31</f>
        <v>72.914999999999992</v>
      </c>
      <c r="W61" s="181">
        <f t="shared" si="206"/>
        <v>9.4311313347931964</v>
      </c>
      <c r="X61" s="191">
        <f t="shared" si="207"/>
        <v>54.408961924526558</v>
      </c>
      <c r="Y61" s="57"/>
      <c r="Z61" s="169">
        <f>Z11-Z21-Z31</f>
        <v>49.149999999999977</v>
      </c>
      <c r="AA61" s="181">
        <f t="shared" si="208"/>
        <v>5.6590912754428802</v>
      </c>
      <c r="AB61" s="191">
        <f t="shared" si="209"/>
        <v>-32.592744977028062</v>
      </c>
      <c r="AC61" s="57"/>
      <c r="AD61" s="169">
        <f>AD11-AD21-AD31</f>
        <v>104.7890000000001</v>
      </c>
      <c r="AE61" s="181">
        <f t="shared" si="210"/>
        <v>9.3533630565857617</v>
      </c>
      <c r="AF61" s="191">
        <f t="shared" si="211"/>
        <v>113.20244150559544</v>
      </c>
      <c r="AG61" s="57"/>
      <c r="AH61" s="169">
        <f>AH11-AH21-AH31</f>
        <v>109.673</v>
      </c>
      <c r="AI61" s="181">
        <f t="shared" si="212"/>
        <v>8.1527867911666565</v>
      </c>
      <c r="AJ61" s="191">
        <f t="shared" si="213"/>
        <v>4.6607945490460878</v>
      </c>
      <c r="AK61" s="57"/>
      <c r="AL61" s="169">
        <f>AL11-AL21-AL31</f>
        <v>219.67700000000002</v>
      </c>
      <c r="AM61" s="181">
        <f t="shared" si="214"/>
        <v>11.531782652745189</v>
      </c>
      <c r="AN61" s="191">
        <f t="shared" si="215"/>
        <v>100.30180627866478</v>
      </c>
      <c r="AO61" s="248"/>
      <c r="AP61" s="169">
        <f>AP11-AP21-AP31</f>
        <v>316.49699999999984</v>
      </c>
      <c r="AQ61" s="181">
        <f t="shared" si="216"/>
        <v>12.900663137055249</v>
      </c>
      <c r="AR61" s="191">
        <f t="shared" si="217"/>
        <v>44.073799259822287</v>
      </c>
      <c r="AS61" s="57"/>
      <c r="AT61" s="169">
        <f>AT11-AT21-AT31</f>
        <v>301.35599999999988</v>
      </c>
      <c r="AU61" s="181">
        <f t="shared" si="218"/>
        <v>10.223379880137621</v>
      </c>
      <c r="AV61" s="191">
        <f t="shared" si="219"/>
        <v>-4.7839316012473931</v>
      </c>
      <c r="AW61" s="57"/>
      <c r="AX61" s="169">
        <f>AX11-AX21-AX31</f>
        <v>168.30999999999983</v>
      </c>
      <c r="AY61" s="181">
        <f t="shared" si="220"/>
        <v>5.1863988223907178</v>
      </c>
      <c r="AZ61" s="191">
        <f t="shared" si="221"/>
        <v>-44.149112677365011</v>
      </c>
      <c r="BA61" s="57"/>
      <c r="BB61" s="169">
        <f>BB11-BB21-BB31</f>
        <v>168.45500000000027</v>
      </c>
      <c r="BC61" s="181">
        <f t="shared" si="222"/>
        <v>5.1541944167457929</v>
      </c>
      <c r="BD61" s="191">
        <f t="shared" si="223"/>
        <v>8.6150555522812589E-2</v>
      </c>
      <c r="BE61" s="57"/>
      <c r="BF61" s="169">
        <f>BF11-BF21-BF31</f>
        <v>396.04999999999995</v>
      </c>
      <c r="BG61" s="181">
        <f t="shared" si="224"/>
        <v>10.746753519863651</v>
      </c>
      <c r="BH61" s="191">
        <f t="shared" si="225"/>
        <v>135.10729868510839</v>
      </c>
      <c r="BI61" s="246">
        <f>+(BG61-BC61)*100</f>
        <v>559.25591031178578</v>
      </c>
      <c r="BJ61" s="169">
        <f>BJ11-BJ21-BJ31</f>
        <v>350.40000000000009</v>
      </c>
      <c r="BK61" s="181">
        <f t="shared" si="226"/>
        <v>9.4173574475736217</v>
      </c>
      <c r="BL61" s="191">
        <f t="shared" si="227"/>
        <v>-11.526322434036073</v>
      </c>
      <c r="BM61" s="57"/>
      <c r="BN61" s="167">
        <f>BN11-BN21-BN31</f>
        <v>427.99999999999966</v>
      </c>
      <c r="BO61" s="181">
        <f t="shared" si="228"/>
        <v>11.516837454908075</v>
      </c>
      <c r="BP61" s="191">
        <f t="shared" si="229"/>
        <v>22.146118721461061</v>
      </c>
      <c r="BQ61" s="44"/>
      <c r="BR61" s="58">
        <f>BR11-BR21-BR31</f>
        <v>194</v>
      </c>
      <c r="BS61" s="183">
        <f t="shared" si="230"/>
        <v>5.22347872913301</v>
      </c>
      <c r="BT61" s="55">
        <f t="shared" si="231"/>
        <v>-54.672897196261651</v>
      </c>
      <c r="BU61" s="44"/>
      <c r="BV61" s="58">
        <f>BV11-BV21-BV31</f>
        <v>254</v>
      </c>
      <c r="BW61" s="183">
        <f t="shared" si="232"/>
        <v>6.8928086838534606</v>
      </c>
      <c r="BX61" s="191">
        <f>(BV61/BR61-1)*100</f>
        <v>30.927835051546392</v>
      </c>
      <c r="BY61" s="44"/>
      <c r="BZ61" s="58">
        <f>BZ11-BZ21-BZ31</f>
        <v>373</v>
      </c>
      <c r="CA61" s="183">
        <f t="shared" si="233"/>
        <v>10.660188625321521</v>
      </c>
      <c r="CB61" s="191">
        <f>(BZ61/BV61-1)*100</f>
        <v>46.850393700787407</v>
      </c>
      <c r="CC61" s="44"/>
      <c r="CD61" s="58">
        <f>CD11-CD21-CD31</f>
        <v>375</v>
      </c>
      <c r="CE61" s="183">
        <f t="shared" si="234"/>
        <v>11.556240369799692</v>
      </c>
      <c r="CF61" s="191">
        <f>(CD61/BZ61-1)*100</f>
        <v>0.53619302949061698</v>
      </c>
      <c r="CG61" s="59"/>
      <c r="CH61" s="58">
        <f>CH11-CH21-CH31</f>
        <v>397</v>
      </c>
      <c r="CI61" s="183">
        <f t="shared" si="235"/>
        <v>11.968646367199277</v>
      </c>
      <c r="CJ61" s="191">
        <f>(CH61/CD61-1)*100</f>
        <v>5.8666666666666645</v>
      </c>
      <c r="CK61" s="59"/>
      <c r="CL61" s="58">
        <f>CL11-CL21-CL31</f>
        <v>334</v>
      </c>
      <c r="CM61" s="183">
        <f t="shared" si="236"/>
        <v>9.8641464855286483</v>
      </c>
      <c r="CN61" s="191">
        <f>(CL61/CH61-1)*100</f>
        <v>-15.86901763224181</v>
      </c>
      <c r="CO61" s="59"/>
      <c r="CP61" s="58">
        <f>CP11-CP21-CP31</f>
        <v>425</v>
      </c>
      <c r="CQ61" s="183">
        <f t="shared" si="237"/>
        <v>11.888111888111888</v>
      </c>
      <c r="CR61" s="191">
        <f>(CP61/CL61-1)*100</f>
        <v>27.245508982035926</v>
      </c>
      <c r="CS61" s="238"/>
      <c r="CT61" s="58">
        <f>CT11-CT21-CT31</f>
        <v>521</v>
      </c>
      <c r="CU61" s="183">
        <f t="shared" ref="CU61:CU66" si="241">CT61/CT11*100</f>
        <v>13.469493278179939</v>
      </c>
      <c r="CV61" s="191">
        <f>(CT61/CP61-1)*100</f>
        <v>22.588235294117641</v>
      </c>
      <c r="CW61" s="238"/>
      <c r="CX61" s="58">
        <f>CX11-CX21-CX31</f>
        <v>528</v>
      </c>
      <c r="CY61" s="183">
        <f t="shared" ref="CY61:CY66" si="242">CX61/CX11*100</f>
        <v>13.262999246420499</v>
      </c>
      <c r="CZ61" s="191">
        <f>(CX61/CT61-1)*100</f>
        <v>1.3435700575815668</v>
      </c>
      <c r="DA61" s="238"/>
      <c r="DB61" s="58">
        <f>DB11-DB21-DB31</f>
        <v>452</v>
      </c>
      <c r="DC61" s="183">
        <f t="shared" ref="DC61:DC66" si="243">DB61/DB11*100</f>
        <v>11.595690097485891</v>
      </c>
      <c r="DD61" s="191">
        <f>(DB61/CX61-1)*100</f>
        <v>-14.393939393939393</v>
      </c>
      <c r="DE61" s="238"/>
      <c r="DF61" s="58">
        <f>DF11-DF21-DF31</f>
        <v>429</v>
      </c>
      <c r="DG61" s="183">
        <f t="shared" ref="DG61:DG66" si="244">DF61/DF11*100</f>
        <v>11.139963645806283</v>
      </c>
      <c r="DH61" s="191">
        <f t="shared" si="238"/>
        <v>-5.0884955752212413</v>
      </c>
      <c r="DI61" s="191"/>
      <c r="DJ61" s="58">
        <f>DJ11-DJ21-DJ31</f>
        <v>387</v>
      </c>
      <c r="DK61" s="183">
        <f t="shared" ref="DK61:DK66" si="245">DJ61/DJ11*100</f>
        <v>10.186891287180837</v>
      </c>
      <c r="DL61" s="191">
        <f t="shared" si="239"/>
        <v>-9.7902097902097918</v>
      </c>
      <c r="DM61" s="191"/>
      <c r="DN61" s="169">
        <f>DN11-DN21-DN31</f>
        <v>370.93639667578441</v>
      </c>
      <c r="DO61" s="181">
        <f t="shared" ref="DO61:DO66" si="246">DN61/DN11*100</f>
        <v>9.5000000000000107</v>
      </c>
      <c r="DP61" s="191">
        <f t="shared" si="240"/>
        <v>-4.150801892562173</v>
      </c>
      <c r="DQ61" s="238"/>
      <c r="DR61" s="238"/>
      <c r="DS61" s="238"/>
      <c r="DT61" s="238"/>
      <c r="DU61" s="238"/>
      <c r="DV61" s="44"/>
      <c r="DW61" s="142"/>
      <c r="DX61" s="44"/>
      <c r="DY61" s="55"/>
      <c r="DZ61" s="53"/>
      <c r="EA61" s="51"/>
      <c r="EB61" s="247"/>
      <c r="EC61" s="247"/>
      <c r="ED61" s="142"/>
      <c r="EE61" s="15"/>
      <c r="EF61" s="53"/>
      <c r="EG61" s="53"/>
      <c r="EH61" s="53"/>
      <c r="EI61" s="42"/>
    </row>
    <row r="62" spans="1:151" outlineLevel="1">
      <c r="A62" s="44" t="str">
        <f>$A$12</f>
        <v>3Q</v>
      </c>
      <c r="B62" s="44" t="str">
        <f>$B$12</f>
        <v>Oct</v>
      </c>
      <c r="C62" s="57"/>
      <c r="D62" s="169"/>
      <c r="E62" s="57"/>
      <c r="F62" s="169">
        <f>F12-F22-F32</f>
        <v>78.985000000000014</v>
      </c>
      <c r="G62" s="181">
        <f t="shared" si="199"/>
        <v>15.743786003308818</v>
      </c>
      <c r="H62" s="191"/>
      <c r="I62" s="57"/>
      <c r="J62" s="169">
        <f>J12-J22-J32</f>
        <v>115.62299999999999</v>
      </c>
      <c r="K62" s="181">
        <f t="shared" si="200"/>
        <v>16.469292872892606</v>
      </c>
      <c r="L62" s="191">
        <f t="shared" si="201"/>
        <v>46.38602266253082</v>
      </c>
      <c r="M62" s="57"/>
      <c r="N62" s="169">
        <f>N12-N22-N32</f>
        <v>101.63899999999998</v>
      </c>
      <c r="O62" s="181">
        <f t="shared" si="202"/>
        <v>12.286786376571222</v>
      </c>
      <c r="P62" s="191">
        <f t="shared" si="203"/>
        <v>-12.094479472077369</v>
      </c>
      <c r="Q62" s="57"/>
      <c r="R62" s="169">
        <f>R12-R22-R32</f>
        <v>130.75700000000001</v>
      </c>
      <c r="S62" s="181">
        <f t="shared" si="204"/>
        <v>14.549943973196152</v>
      </c>
      <c r="T62" s="191">
        <f t="shared" si="205"/>
        <v>28.648451873788638</v>
      </c>
      <c r="U62" s="57"/>
      <c r="V62" s="169">
        <f>V12-V22-V32</f>
        <v>151.11999999999995</v>
      </c>
      <c r="W62" s="181">
        <f t="shared" si="206"/>
        <v>15.290191896360176</v>
      </c>
      <c r="X62" s="191">
        <f t="shared" si="207"/>
        <v>15.573162431074383</v>
      </c>
      <c r="Y62" s="57"/>
      <c r="Z62" s="169">
        <f>Z12-Z22-Z32</f>
        <v>191.11100000000005</v>
      </c>
      <c r="AA62" s="181">
        <f t="shared" si="208"/>
        <v>16.533108867413141</v>
      </c>
      <c r="AB62" s="191">
        <f t="shared" si="209"/>
        <v>26.463075701429407</v>
      </c>
      <c r="AC62" s="57"/>
      <c r="AD62" s="169">
        <f>AD12-AD22-AD32</f>
        <v>216.78700000000009</v>
      </c>
      <c r="AE62" s="181">
        <f t="shared" si="210"/>
        <v>15.675171873237529</v>
      </c>
      <c r="AF62" s="191">
        <f t="shared" si="211"/>
        <v>13.435124090188456</v>
      </c>
      <c r="AG62" s="57"/>
      <c r="AH62" s="169">
        <f>AH12-AH22-AH32</f>
        <v>267.2890000000001</v>
      </c>
      <c r="AI62" s="181">
        <f t="shared" si="212"/>
        <v>15.135800273961902</v>
      </c>
      <c r="AJ62" s="191">
        <f t="shared" si="213"/>
        <v>23.295677323824759</v>
      </c>
      <c r="AK62" s="57"/>
      <c r="AL62" s="169">
        <f>AL12-AL22-AL32</f>
        <v>387.19799999999975</v>
      </c>
      <c r="AM62" s="181">
        <f t="shared" si="214"/>
        <v>16.13359956132382</v>
      </c>
      <c r="AN62" s="191">
        <f t="shared" si="215"/>
        <v>44.861180220659882</v>
      </c>
      <c r="AO62" s="248"/>
      <c r="AP62" s="169">
        <f>AP12-AP22-AP32</f>
        <v>506.64599999999996</v>
      </c>
      <c r="AQ62" s="181">
        <f t="shared" si="216"/>
        <v>16.636511759100486</v>
      </c>
      <c r="AR62" s="191">
        <f t="shared" si="217"/>
        <v>30.849332899446868</v>
      </c>
      <c r="AS62" s="57"/>
      <c r="AT62" s="169">
        <f>AT12-AT22-AT32</f>
        <v>313.94500000000039</v>
      </c>
      <c r="AU62" s="181">
        <f t="shared" si="218"/>
        <v>9.1940124193625969</v>
      </c>
      <c r="AV62" s="191">
        <f t="shared" si="219"/>
        <v>-38.03464351835396</v>
      </c>
      <c r="AW62" s="57"/>
      <c r="AX62" s="169">
        <f>AX12-AX22-AX32</f>
        <v>3.7570000000001755</v>
      </c>
      <c r="AY62" s="181">
        <f t="shared" si="220"/>
        <v>0.11270865876696595</v>
      </c>
      <c r="AZ62" s="191">
        <f t="shared" si="221"/>
        <v>-98.803293570529817</v>
      </c>
      <c r="BA62" s="57"/>
      <c r="BB62" s="169">
        <f>BB12-BB22-BB32</f>
        <v>306.21599999999989</v>
      </c>
      <c r="BC62" s="181">
        <f t="shared" si="222"/>
        <v>8.4010890666444222</v>
      </c>
      <c r="BD62" s="249">
        <f t="shared" si="223"/>
        <v>8050.5456481231195</v>
      </c>
      <c r="BE62" s="57"/>
      <c r="BF62" s="169">
        <f>BF12-BF22-BF32</f>
        <v>473.22</v>
      </c>
      <c r="BG62" s="181">
        <f t="shared" si="224"/>
        <v>12.042888379460159</v>
      </c>
      <c r="BH62" s="191">
        <f t="shared" si="225"/>
        <v>54.537973195391551</v>
      </c>
      <c r="BI62" s="246">
        <f>+(BG62-BC62)*100</f>
        <v>364.17993128157366</v>
      </c>
      <c r="BJ62" s="169">
        <f>BJ12-BJ22-BJ32</f>
        <v>457.15000000000009</v>
      </c>
      <c r="BK62" s="181">
        <f t="shared" si="226"/>
        <v>11.48574802457194</v>
      </c>
      <c r="BL62" s="191">
        <f t="shared" si="227"/>
        <v>-3.3958835214065175</v>
      </c>
      <c r="BM62" s="57"/>
      <c r="BN62" s="167">
        <f>BN12-BN22-BN32</f>
        <v>339.95399999999995</v>
      </c>
      <c r="BO62" s="181">
        <f t="shared" si="228"/>
        <v>8.807312924200744</v>
      </c>
      <c r="BP62" s="191">
        <f t="shared" si="229"/>
        <v>-25.636224433993249</v>
      </c>
      <c r="BQ62" s="44"/>
      <c r="BR62" s="58">
        <f>BR12-BR22-BR32</f>
        <v>281</v>
      </c>
      <c r="BS62" s="183">
        <f t="shared" si="230"/>
        <v>7.2968060244092445</v>
      </c>
      <c r="BT62" s="55">
        <f t="shared" si="231"/>
        <v>-17.341758002553277</v>
      </c>
      <c r="BU62" s="44"/>
      <c r="BV62" s="58">
        <f>BV12-BV22-BV32</f>
        <v>368</v>
      </c>
      <c r="BW62" s="183">
        <f t="shared" si="232"/>
        <v>9.548521017125065</v>
      </c>
      <c r="BX62" s="191">
        <f>(BV62/BR62-1)*100</f>
        <v>30.960854092526692</v>
      </c>
      <c r="BY62" s="44"/>
      <c r="BZ62" s="58">
        <f>BZ12-BZ22-BZ32</f>
        <v>394</v>
      </c>
      <c r="CA62" s="183">
        <f t="shared" si="233"/>
        <v>11.064307778713845</v>
      </c>
      <c r="CB62" s="191">
        <f>(BZ62/BV62-1)*100</f>
        <v>7.0652173913043459</v>
      </c>
      <c r="CC62" s="44"/>
      <c r="CD62" s="58">
        <f>CD12-CD22-CD32</f>
        <v>500</v>
      </c>
      <c r="CE62" s="183">
        <f t="shared" si="234"/>
        <v>13.931457230426304</v>
      </c>
      <c r="CF62" s="191">
        <f>(CD62/BZ62-1)*100</f>
        <v>26.903553299492387</v>
      </c>
      <c r="CG62" s="59"/>
      <c r="CH62" s="58">
        <f>CH12-CH22-CH32</f>
        <v>504</v>
      </c>
      <c r="CI62" s="183">
        <f t="shared" si="235"/>
        <v>13.793103448275861</v>
      </c>
      <c r="CJ62" s="191">
        <f>(CH62/CD62-1)*100</f>
        <v>0.80000000000000071</v>
      </c>
      <c r="CK62" s="59"/>
      <c r="CL62" s="58">
        <f>CL12-CL22-CL32</f>
        <v>346</v>
      </c>
      <c r="CM62" s="183">
        <f t="shared" si="236"/>
        <v>9.6513249651324955</v>
      </c>
      <c r="CN62" s="191">
        <f>(CL62/CH62-1)*100</f>
        <v>-31.349206349206348</v>
      </c>
      <c r="CO62" s="59"/>
      <c r="CP62" s="58">
        <f>CP12-CP22-CP32</f>
        <v>520</v>
      </c>
      <c r="CQ62" s="183">
        <f t="shared" si="237"/>
        <v>13.457556935817806</v>
      </c>
      <c r="CR62" s="191">
        <f>(CP62/CL62-1)*100</f>
        <v>50.289017341040456</v>
      </c>
      <c r="CS62" s="44"/>
      <c r="CT62" s="58">
        <f>CT12-CT22-CT32</f>
        <v>576</v>
      </c>
      <c r="CU62" s="183">
        <f t="shared" si="241"/>
        <v>14.486921529175051</v>
      </c>
      <c r="CV62" s="191">
        <f>(CT62/CP62-1)*100</f>
        <v>10.769230769230775</v>
      </c>
      <c r="CW62" s="44"/>
      <c r="CX62" s="58">
        <f>CX12-CX22-CX32</f>
        <v>554</v>
      </c>
      <c r="CY62" s="183">
        <f t="shared" si="242"/>
        <v>13.947633434038268</v>
      </c>
      <c r="CZ62" s="191">
        <f>(CX62/CT62-1)*100</f>
        <v>-3.819444444444442</v>
      </c>
      <c r="DA62" s="44"/>
      <c r="DB62" s="58">
        <f>DB12-DB22-DB32</f>
        <v>427</v>
      </c>
      <c r="DC62" s="183">
        <f t="shared" si="243"/>
        <v>11.070780399274046</v>
      </c>
      <c r="DD62" s="191">
        <f>(DB62/CX62-1)*100</f>
        <v>-22.924187725631771</v>
      </c>
      <c r="DE62" s="44"/>
      <c r="DF62" s="58">
        <f>DF12-DF22-DF32</f>
        <v>418</v>
      </c>
      <c r="DG62" s="183">
        <f t="shared" si="244"/>
        <v>11.005792522380201</v>
      </c>
      <c r="DH62" s="191">
        <f t="shared" si="238"/>
        <v>-2.1077283372365363</v>
      </c>
      <c r="DI62" s="191"/>
      <c r="DJ62" s="58">
        <f>DJ12-DJ22-DJ32</f>
        <v>378</v>
      </c>
      <c r="DK62" s="183">
        <f t="shared" si="245"/>
        <v>9.8488796248045851</v>
      </c>
      <c r="DL62" s="191">
        <f t="shared" si="239"/>
        <v>-9.5693779904306275</v>
      </c>
      <c r="DM62" s="191"/>
      <c r="DN62" s="169">
        <f>DN12-DN22-DN32</f>
        <v>366.96450950604572</v>
      </c>
      <c r="DO62" s="181">
        <f t="shared" si="246"/>
        <v>9.3999999999999879</v>
      </c>
      <c r="DP62" s="191">
        <f t="shared" si="240"/>
        <v>-2.9194419296175389</v>
      </c>
      <c r="DQ62" s="44"/>
      <c r="DR62" s="44"/>
      <c r="DS62" s="44"/>
      <c r="DT62" s="44"/>
      <c r="DU62" s="44"/>
      <c r="DV62" s="44"/>
      <c r="DW62" s="142"/>
      <c r="DX62" s="44"/>
      <c r="DY62" s="55"/>
      <c r="DZ62" s="53"/>
      <c r="EA62" s="51"/>
      <c r="EB62" s="247"/>
      <c r="EC62" s="44"/>
      <c r="ED62" s="142"/>
      <c r="EE62" s="15"/>
      <c r="EF62" s="53"/>
      <c r="EG62" s="53"/>
      <c r="EH62" s="53"/>
      <c r="EI62" s="42"/>
    </row>
    <row r="63" spans="1:151" outlineLevel="1">
      <c r="A63" s="44" t="str">
        <f>$A$13</f>
        <v>4Q</v>
      </c>
      <c r="B63" s="44" t="str">
        <f>$B$13</f>
        <v>Jan</v>
      </c>
      <c r="C63" s="60"/>
      <c r="D63" s="250"/>
      <c r="E63" s="60"/>
      <c r="F63" s="250">
        <f>F13-F23-F33</f>
        <v>92.564000000000021</v>
      </c>
      <c r="G63" s="181">
        <f t="shared" si="199"/>
        <v>14.816735656911995</v>
      </c>
      <c r="H63" s="191"/>
      <c r="I63" s="57"/>
      <c r="J63" s="250">
        <f>J13-J23-J33</f>
        <v>135.19200000000001</v>
      </c>
      <c r="K63" s="181">
        <f t="shared" si="200"/>
        <v>16.825703031170463</v>
      </c>
      <c r="L63" s="191">
        <f t="shared" si="201"/>
        <v>46.052460999956764</v>
      </c>
      <c r="M63" s="57"/>
      <c r="N63" s="250">
        <f>N13-N23-N33</f>
        <v>106.94599999999988</v>
      </c>
      <c r="O63" s="181">
        <f t="shared" si="202"/>
        <v>11.496986161174521</v>
      </c>
      <c r="P63" s="191">
        <f t="shared" si="203"/>
        <v>-20.893248121190688</v>
      </c>
      <c r="Q63" s="57"/>
      <c r="R63" s="250">
        <f>R13-R23-R33</f>
        <v>180.00700000000003</v>
      </c>
      <c r="S63" s="181">
        <f t="shared" si="204"/>
        <v>16.978108523622236</v>
      </c>
      <c r="T63" s="191">
        <f t="shared" si="205"/>
        <v>68.31578553662618</v>
      </c>
      <c r="U63" s="57"/>
      <c r="V63" s="250">
        <f>V13-V23-V33</f>
        <v>190.52599999999987</v>
      </c>
      <c r="W63" s="181">
        <f t="shared" si="206"/>
        <v>15.748644602837006</v>
      </c>
      <c r="X63" s="191">
        <f t="shared" si="207"/>
        <v>5.843661635380748</v>
      </c>
      <c r="Y63" s="57"/>
      <c r="Z63" s="250">
        <f>Z13-Z23-Z33</f>
        <v>251.15900000000005</v>
      </c>
      <c r="AA63" s="181">
        <f t="shared" si="208"/>
        <v>16.50058273909713</v>
      </c>
      <c r="AB63" s="191">
        <f t="shared" si="209"/>
        <v>31.824003023209556</v>
      </c>
      <c r="AC63" s="57"/>
      <c r="AD63" s="250">
        <f>AD13-AD23-AD33</f>
        <v>276.2879999999999</v>
      </c>
      <c r="AE63" s="181">
        <f t="shared" si="210"/>
        <v>16.565061610556047</v>
      </c>
      <c r="AF63" s="191">
        <f t="shared" si="211"/>
        <v>10.005215819460922</v>
      </c>
      <c r="AG63" s="57"/>
      <c r="AH63" s="250">
        <f>AH13-AH23-AH33</f>
        <v>344.15599999999984</v>
      </c>
      <c r="AI63" s="181">
        <f t="shared" si="212"/>
        <v>15.892834795442482</v>
      </c>
      <c r="AJ63" s="191">
        <f t="shared" si="213"/>
        <v>24.564222839935134</v>
      </c>
      <c r="AK63" s="57"/>
      <c r="AL63" s="250">
        <f>AL13-AL23-AL33</f>
        <v>509.43999999999983</v>
      </c>
      <c r="AM63" s="181">
        <f t="shared" si="214"/>
        <v>16.814133588925056</v>
      </c>
      <c r="AN63" s="191">
        <f t="shared" si="215"/>
        <v>48.025895233556895</v>
      </c>
      <c r="AO63" s="248"/>
      <c r="AP63" s="250">
        <f>AP13-AP23-AP33</f>
        <v>665.13199999999961</v>
      </c>
      <c r="AQ63" s="181">
        <f t="shared" si="216"/>
        <v>17.23613666865425</v>
      </c>
      <c r="AR63" s="191">
        <f t="shared" si="217"/>
        <v>30.561400753768808</v>
      </c>
      <c r="AS63" s="57"/>
      <c r="AT63" s="250">
        <f>AT13-AT23-AT33</f>
        <v>449.67799999999966</v>
      </c>
      <c r="AU63" s="181">
        <f t="shared" si="218"/>
        <v>9.820252417075185</v>
      </c>
      <c r="AV63" s="191">
        <f t="shared" si="219"/>
        <v>-32.392667921555429</v>
      </c>
      <c r="AW63" s="57"/>
      <c r="AX63" s="250">
        <f>AX13-AX23-AX33</f>
        <v>-39.313000000000102</v>
      </c>
      <c r="AY63" s="181">
        <f t="shared" si="220"/>
        <v>-0.96128618149586098</v>
      </c>
      <c r="AZ63" s="191">
        <f t="shared" si="221"/>
        <v>-108.74247795088934</v>
      </c>
      <c r="BA63" s="57"/>
      <c r="BB63" s="250">
        <f>BB13-BB23-BB33</f>
        <v>425.29700000000003</v>
      </c>
      <c r="BC63" s="181">
        <f t="shared" si="222"/>
        <v>9.1449841783991932</v>
      </c>
      <c r="BD63" s="191" t="str">
        <f t="shared" si="223"/>
        <v xml:space="preserve">       NM</v>
      </c>
      <c r="BE63" s="57"/>
      <c r="BF63" s="250">
        <f>BF13-BF23-BF33</f>
        <v>620.90000000000009</v>
      </c>
      <c r="BG63" s="181">
        <f t="shared" si="224"/>
        <v>12.707049803285292</v>
      </c>
      <c r="BH63" s="191">
        <f t="shared" si="225"/>
        <v>45.992094936009444</v>
      </c>
      <c r="BI63" s="246">
        <f>+(BG63-BC63)*100</f>
        <v>356.2065624886099</v>
      </c>
      <c r="BJ63" s="250">
        <f>BJ13-BJ23-BJ33</f>
        <v>614.89699999999993</v>
      </c>
      <c r="BK63" s="181">
        <f t="shared" si="226"/>
        <v>12.551743790489981</v>
      </c>
      <c r="BL63" s="191">
        <f t="shared" si="227"/>
        <v>-0.96682235464650157</v>
      </c>
      <c r="BM63" s="57"/>
      <c r="BN63" s="251">
        <f>BN13-BN23-BN33</f>
        <v>511.07099999999991</v>
      </c>
      <c r="BO63" s="181">
        <f t="shared" si="228"/>
        <v>10.601190694733722</v>
      </c>
      <c r="BP63" s="191">
        <f t="shared" si="229"/>
        <v>-16.885104334547098</v>
      </c>
      <c r="BQ63" s="44"/>
      <c r="BR63" s="252">
        <f>BR13-BR23-BR33</f>
        <v>367</v>
      </c>
      <c r="BS63" s="183">
        <f t="shared" si="230"/>
        <v>7.4608660296808296</v>
      </c>
      <c r="BT63" s="55">
        <f t="shared" si="231"/>
        <v>-28.190016651306749</v>
      </c>
      <c r="BU63" s="44"/>
      <c r="BV63" s="252">
        <f>BV13-BV23-BV33</f>
        <v>418</v>
      </c>
      <c r="BW63" s="183">
        <f t="shared" si="232"/>
        <v>8.9411764705882355</v>
      </c>
      <c r="BX63" s="191">
        <f>(BV63/BR63-1)*100</f>
        <v>13.89645776566757</v>
      </c>
      <c r="BY63" s="44"/>
      <c r="BZ63" s="252">
        <f>BZ13-BZ23-BZ33</f>
        <v>398</v>
      </c>
      <c r="CA63" s="183">
        <f t="shared" si="233"/>
        <v>9.7501224889759914</v>
      </c>
      <c r="CB63" s="191">
        <f>(BZ63/BV63-1)*100</f>
        <v>-4.7846889952153138</v>
      </c>
      <c r="CC63" s="44"/>
      <c r="CD63" s="252">
        <f>CD13-CD23-CD33</f>
        <v>587</v>
      </c>
      <c r="CE63" s="183">
        <f t="shared" si="234"/>
        <v>13.85741265344665</v>
      </c>
      <c r="CF63" s="191">
        <f>(CD63/BZ63-1)*100</f>
        <v>47.48743718592965</v>
      </c>
      <c r="CG63" s="59"/>
      <c r="CH63" s="252">
        <f>CH13-CH23-CH33</f>
        <v>593</v>
      </c>
      <c r="CI63" s="183">
        <f t="shared" si="235"/>
        <v>13.588450962419799</v>
      </c>
      <c r="CJ63" s="191">
        <f>(CH63/CD63-1)*100</f>
        <v>1.0221465076660996</v>
      </c>
      <c r="CK63" s="59"/>
      <c r="CL63" s="252">
        <f>CL13-CL23-CL33</f>
        <v>372</v>
      </c>
      <c r="CM63" s="183">
        <f t="shared" si="236"/>
        <v>8.6855008171842165</v>
      </c>
      <c r="CN63" s="191">
        <f>(CL63/CH63-1)*100</f>
        <v>-37.268128161888704</v>
      </c>
      <c r="CO63" s="59"/>
      <c r="CP63" s="252">
        <f>CP13-CP23-CP33</f>
        <v>602</v>
      </c>
      <c r="CQ63" s="183">
        <f t="shared" si="237"/>
        <v>12.74074074074074</v>
      </c>
      <c r="CR63" s="191">
        <f>(CP63/CL63-1)*100</f>
        <v>61.827956989247298</v>
      </c>
      <c r="CS63" s="44"/>
      <c r="CT63" s="252">
        <f>CT13-CT23-CT33</f>
        <v>522</v>
      </c>
      <c r="CU63" s="183">
        <f t="shared" si="241"/>
        <v>11.409836065573771</v>
      </c>
      <c r="CV63" s="191">
        <f>(CT63/CP63-1)*100</f>
        <v>-13.289036544850497</v>
      </c>
      <c r="CW63" s="44"/>
      <c r="CX63" s="252">
        <f>CX13-CX23-CX33</f>
        <v>519</v>
      </c>
      <c r="CY63" s="183">
        <f t="shared" si="242"/>
        <v>11.023789294817332</v>
      </c>
      <c r="CZ63" s="191">
        <f>(CX63/CT63-1)*100</f>
        <v>-0.57471264367816577</v>
      </c>
      <c r="DA63" s="44"/>
      <c r="DB63" s="252">
        <f>DB13-DB23-DB33</f>
        <v>380</v>
      </c>
      <c r="DC63" s="183">
        <f t="shared" si="243"/>
        <v>8.6659064994298749</v>
      </c>
      <c r="DD63" s="191">
        <f>(DB63/CX63-1)*100</f>
        <v>-26.782273603082849</v>
      </c>
      <c r="DE63" s="44"/>
      <c r="DF63" s="252">
        <f>DF13-DF23-DF33</f>
        <v>325</v>
      </c>
      <c r="DG63" s="183">
        <f t="shared" si="244"/>
        <v>7.3379995484307976</v>
      </c>
      <c r="DH63" s="191">
        <f t="shared" si="238"/>
        <v>-14.473684210526317</v>
      </c>
      <c r="DI63" s="191"/>
      <c r="DJ63" s="252">
        <f>DJ13-DJ23-DJ33</f>
        <v>396</v>
      </c>
      <c r="DK63" s="183">
        <f t="shared" si="245"/>
        <v>8.287986605274174</v>
      </c>
      <c r="DL63" s="191">
        <f t="shared" si="239"/>
        <v>21.846153846153847</v>
      </c>
      <c r="DM63" s="191"/>
      <c r="DN63" s="250">
        <f>DN13-DN23-DN33</f>
        <v>379.19468614319135</v>
      </c>
      <c r="DO63" s="181">
        <f t="shared" si="246"/>
        <v>8.1000000000000014</v>
      </c>
      <c r="DP63" s="191">
        <f t="shared" si="240"/>
        <v>-4.2437661254567267</v>
      </c>
      <c r="DQ63" s="44"/>
      <c r="DR63" s="44"/>
      <c r="DS63" s="44"/>
      <c r="DT63" s="44"/>
      <c r="DU63" s="44"/>
      <c r="DV63" s="44"/>
      <c r="DW63" s="142"/>
      <c r="DX63" s="44"/>
      <c r="DY63" s="55"/>
      <c r="DZ63" s="53"/>
      <c r="EA63" s="51"/>
      <c r="EB63" s="247"/>
      <c r="EC63" s="44"/>
      <c r="ED63" s="142"/>
      <c r="EE63" s="15"/>
      <c r="EF63" s="53"/>
      <c r="EG63" s="53"/>
      <c r="EH63" s="53"/>
      <c r="EI63" s="42"/>
    </row>
    <row r="64" spans="1:151" outlineLevel="1">
      <c r="A64" s="44"/>
      <c r="B64" s="44" t="str">
        <f>$B$14</f>
        <v>Year</v>
      </c>
      <c r="C64" s="57"/>
      <c r="D64" s="167"/>
      <c r="E64" s="57"/>
      <c r="F64" s="167">
        <f>SUM(F60:F63)</f>
        <v>238.35699999999997</v>
      </c>
      <c r="G64" s="181">
        <f t="shared" si="199"/>
        <v>12.325962622428609</v>
      </c>
      <c r="H64" s="191"/>
      <c r="I64" s="57"/>
      <c r="J64" s="167">
        <f>SUM(J60:J63)</f>
        <v>374.28600000000006</v>
      </c>
      <c r="K64" s="181">
        <f t="shared" si="200"/>
        <v>14.859146458384698</v>
      </c>
      <c r="L64" s="191">
        <f t="shared" si="201"/>
        <v>57.02748398410791</v>
      </c>
      <c r="M64" s="57"/>
      <c r="N64" s="167">
        <f>SUM(N60:N63)</f>
        <v>343.60399999999993</v>
      </c>
      <c r="O64" s="181">
        <f t="shared" si="202"/>
        <v>11.606639487989662</v>
      </c>
      <c r="P64" s="191">
        <f t="shared" si="203"/>
        <v>-8.1974746584163256</v>
      </c>
      <c r="Q64" s="57"/>
      <c r="R64" s="167">
        <f>SUM(R60:R63)</f>
        <v>425.69700000000012</v>
      </c>
      <c r="S64" s="181">
        <f t="shared" si="204"/>
        <v>12.916822299744608</v>
      </c>
      <c r="T64" s="191">
        <f t="shared" si="205"/>
        <v>23.891747476746538</v>
      </c>
      <c r="U64" s="57"/>
      <c r="V64" s="167">
        <f>SUM(V60:V63)</f>
        <v>518.41999999999973</v>
      </c>
      <c r="W64" s="181">
        <f t="shared" si="206"/>
        <v>13.925016250597642</v>
      </c>
      <c r="X64" s="191">
        <f t="shared" si="207"/>
        <v>21.781454884577435</v>
      </c>
      <c r="Y64" s="57"/>
      <c r="Z64" s="167">
        <f>SUM(Z60:Z63)</f>
        <v>569.40200000000004</v>
      </c>
      <c r="AA64" s="181">
        <f t="shared" si="208"/>
        <v>12.954931149583423</v>
      </c>
      <c r="AB64" s="191">
        <f t="shared" si="209"/>
        <v>9.8341113382971912</v>
      </c>
      <c r="AC64" s="57"/>
      <c r="AD64" s="167">
        <f>SUM(AD60:AD63)</f>
        <v>729.07700000000011</v>
      </c>
      <c r="AE64" s="181">
        <f t="shared" si="210"/>
        <v>13.796828805493019</v>
      </c>
      <c r="AF64" s="191">
        <f t="shared" si="211"/>
        <v>28.042578002887254</v>
      </c>
      <c r="AG64" s="57"/>
      <c r="AH64" s="167">
        <f>SUM(AH60:AH63)</f>
        <v>851.26699999999983</v>
      </c>
      <c r="AI64" s="181">
        <f t="shared" si="212"/>
        <v>13.080668272425882</v>
      </c>
      <c r="AJ64" s="191">
        <f t="shared" si="213"/>
        <v>16.759546659680623</v>
      </c>
      <c r="AK64" s="57"/>
      <c r="AL64" s="167">
        <f>SUM(AL60:AL63)</f>
        <v>1332.8789999999997</v>
      </c>
      <c r="AM64" s="181">
        <f t="shared" si="214"/>
        <v>14.720686883439344</v>
      </c>
      <c r="AN64" s="191">
        <f t="shared" si="215"/>
        <v>56.575903917337335</v>
      </c>
      <c r="AO64" s="57"/>
      <c r="AP64" s="167">
        <f>SUM(AP60:AP63)</f>
        <v>1816.7049999999995</v>
      </c>
      <c r="AQ64" s="181">
        <f t="shared" si="216"/>
        <v>15.61360427894258</v>
      </c>
      <c r="AR64" s="191">
        <f t="shared" si="217"/>
        <v>36.299318992946851</v>
      </c>
      <c r="AS64" s="57"/>
      <c r="AT64" s="167">
        <f>SUM(AT60:AT63)</f>
        <v>1444.7609999999997</v>
      </c>
      <c r="AU64" s="181">
        <f t="shared" si="218"/>
        <v>10.566169791698661</v>
      </c>
      <c r="AV64" s="191">
        <f t="shared" si="219"/>
        <v>-20.473549640695644</v>
      </c>
      <c r="AW64" s="57"/>
      <c r="AX64" s="167">
        <f>SUM(AX60:AX63)</f>
        <v>337.51599999999985</v>
      </c>
      <c r="AY64" s="181">
        <f t="shared" si="220"/>
        <v>2.4373129360732859</v>
      </c>
      <c r="AZ64" s="191">
        <f t="shared" si="221"/>
        <v>-76.638627426958521</v>
      </c>
      <c r="BA64" s="57"/>
      <c r="BB64" s="167">
        <f>SUM(BB60:BB63)</f>
        <v>1012.6290000000004</v>
      </c>
      <c r="BC64" s="181">
        <f t="shared" si="222"/>
        <v>7.0055301701334862</v>
      </c>
      <c r="BD64" s="191">
        <f t="shared" si="223"/>
        <v>200.02399886227641</v>
      </c>
      <c r="BE64" s="57"/>
      <c r="BF64" s="167">
        <f>SUM(BF60:BF63)</f>
        <v>1879.4710000000002</v>
      </c>
      <c r="BG64" s="181">
        <f t="shared" si="224"/>
        <v>11.855026463703632</v>
      </c>
      <c r="BH64" s="191">
        <f t="shared" si="225"/>
        <v>85.603118219999573</v>
      </c>
      <c r="BI64" s="246">
        <f>+(BG64-BC64)*100</f>
        <v>484.9496293570146</v>
      </c>
      <c r="BJ64" s="167">
        <f>SUM(BJ60:BJ63)</f>
        <v>1973.8470000000002</v>
      </c>
      <c r="BK64" s="181">
        <f t="shared" si="226"/>
        <v>12.133757568280268</v>
      </c>
      <c r="BL64" s="191">
        <f t="shared" si="227"/>
        <v>5.0214129401304985</v>
      </c>
      <c r="BM64" s="57"/>
      <c r="BN64" s="167">
        <f>BN14-BN24-BN34</f>
        <v>1744.2690000000002</v>
      </c>
      <c r="BO64" s="181">
        <f t="shared" si="228"/>
        <v>10.885774412140261</v>
      </c>
      <c r="BP64" s="191">
        <f t="shared" si="229"/>
        <v>-11.630992675724105</v>
      </c>
      <c r="BQ64" s="44"/>
      <c r="BR64" s="66">
        <f>SUM(BR60:BR63)</f>
        <v>1225</v>
      </c>
      <c r="BS64" s="183">
        <f t="shared" si="230"/>
        <v>7.693273880550147</v>
      </c>
      <c r="BT64" s="55">
        <f t="shared" si="231"/>
        <v>-29.770006805143023</v>
      </c>
      <c r="BU64" s="44"/>
      <c r="BV64" s="66">
        <f>SUM(BV60:BV63)</f>
        <v>1344</v>
      </c>
      <c r="BW64" s="183">
        <f t="shared" si="232"/>
        <v>8.526295755884032</v>
      </c>
      <c r="BX64" s="191">
        <f>(BV64/BR64-1)*100</f>
        <v>9.7142857142857189</v>
      </c>
      <c r="BY64" s="44"/>
      <c r="BZ64" s="66">
        <f>SUM(BZ60:BZ63)</f>
        <v>1548</v>
      </c>
      <c r="CA64" s="183">
        <f t="shared" si="233"/>
        <v>10.656753407682777</v>
      </c>
      <c r="CB64" s="191">
        <f>(BZ64/BV64-1)*100</f>
        <v>15.17857142857142</v>
      </c>
      <c r="CC64" s="44"/>
      <c r="CD64" s="66">
        <f>SUM(CD60:CD63)</f>
        <v>1815</v>
      </c>
      <c r="CE64" s="183">
        <f t="shared" si="234"/>
        <v>12.784391068535605</v>
      </c>
      <c r="CF64" s="191">
        <f>(CD64/BZ64-1)*100</f>
        <v>17.248062015503884</v>
      </c>
      <c r="CG64" s="59"/>
      <c r="CH64" s="66">
        <f>SUM(CH60:CH63)</f>
        <v>1968</v>
      </c>
      <c r="CI64" s="183">
        <f t="shared" si="235"/>
        <v>13.420621931260229</v>
      </c>
      <c r="CJ64" s="191">
        <f>(CH64/CD64-1)*100</f>
        <v>8.4297520661156931</v>
      </c>
      <c r="CK64" s="59"/>
      <c r="CL64" s="66">
        <f>SUM(CL60:CL63)</f>
        <v>1438</v>
      </c>
      <c r="CM64" s="183">
        <f t="shared" si="236"/>
        <v>9.8838408138016369</v>
      </c>
      <c r="CN64" s="191">
        <f>(CL64/CH64-1)*100</f>
        <v>-26.930894308943088</v>
      </c>
      <c r="CO64" s="59"/>
      <c r="CP64" s="66">
        <f>SUM(CP60:CP63)</f>
        <v>1942</v>
      </c>
      <c r="CQ64" s="183">
        <f t="shared" si="237"/>
        <v>12.408152833684749</v>
      </c>
      <c r="CR64" s="191">
        <f>(CP64/CL64-1)*100</f>
        <v>35.048678720445061</v>
      </c>
      <c r="CS64" s="44"/>
      <c r="CT64" s="66">
        <f>SUM(CT60:CT63)</f>
        <v>2149</v>
      </c>
      <c r="CU64" s="183">
        <f>CT64/CT14*100</f>
        <v>13.308149616051523</v>
      </c>
      <c r="CV64" s="191">
        <f>(CT64/CP64-1)*100</f>
        <v>10.659114315139039</v>
      </c>
      <c r="CW64" s="44"/>
      <c r="CX64" s="66">
        <f>SUM(CX60:CX63)</f>
        <v>2044</v>
      </c>
      <c r="CY64" s="183">
        <f t="shared" si="242"/>
        <v>12.436872528141162</v>
      </c>
      <c r="CZ64" s="191">
        <f>(CX64/CT64-1)*100</f>
        <v>-4.8859934853420217</v>
      </c>
      <c r="DA64" s="44"/>
      <c r="DB64" s="66">
        <f>SUM(DB60:DB63)</f>
        <v>1656</v>
      </c>
      <c r="DC64" s="183">
        <f t="shared" si="243"/>
        <v>10.483003101854782</v>
      </c>
      <c r="DD64" s="191">
        <f>(DB64/CX64-1)*100</f>
        <v>-18.982387475538165</v>
      </c>
      <c r="DE64" s="44"/>
      <c r="DF64" s="66">
        <f>SUM(DF60:DF63)</f>
        <v>1394</v>
      </c>
      <c r="DG64" s="183">
        <f t="shared" si="244"/>
        <v>8.9842742974993559</v>
      </c>
      <c r="DH64" s="191">
        <f t="shared" si="238"/>
        <v>-15.821256038647347</v>
      </c>
      <c r="DI64" s="191"/>
      <c r="DJ64" s="66">
        <f>SUM(DJ60:DJ63)</f>
        <v>1415</v>
      </c>
      <c r="DK64" s="183">
        <f t="shared" si="245"/>
        <v>8.9246294544307787</v>
      </c>
      <c r="DL64" s="191">
        <f t="shared" si="239"/>
        <v>1.5064562410330051</v>
      </c>
      <c r="DM64" s="191"/>
      <c r="DN64" s="167">
        <f>SUM(DN60:DN63)</f>
        <v>1380.9071137001042</v>
      </c>
      <c r="DO64" s="181">
        <f t="shared" si="246"/>
        <v>8.6266935039104595</v>
      </c>
      <c r="DP64" s="191">
        <f t="shared" si="240"/>
        <v>-2.4093912579431609</v>
      </c>
      <c r="DQ64" s="44"/>
      <c r="DR64" s="44"/>
      <c r="DS64" s="44"/>
      <c r="DT64" s="44"/>
      <c r="DU64" s="44"/>
      <c r="DV64" s="44"/>
      <c r="DW64" s="142"/>
      <c r="DX64" s="44"/>
      <c r="DY64" s="55"/>
      <c r="DZ64" s="53"/>
      <c r="EA64" s="51"/>
      <c r="EB64" s="247"/>
      <c r="EC64" s="44"/>
      <c r="ED64" s="142"/>
      <c r="EE64" s="15"/>
      <c r="EF64" s="53"/>
      <c r="EG64" s="53"/>
      <c r="EH64" s="53"/>
      <c r="EI64" s="42"/>
    </row>
    <row r="65" spans="1:134" hidden="1" outlineLevel="2">
      <c r="A65" s="44" t="str">
        <f>$A$15</f>
        <v>6 Mos</v>
      </c>
      <c r="B65" s="44"/>
      <c r="C65" s="57"/>
      <c r="D65" s="169"/>
      <c r="E65" s="57"/>
      <c r="F65" s="169">
        <f>SUM(F60:F61)</f>
        <v>66.80799999999995</v>
      </c>
      <c r="G65" s="181">
        <f t="shared" si="199"/>
        <v>8.2748301881183632</v>
      </c>
      <c r="H65" s="191"/>
      <c r="I65" s="57"/>
      <c r="J65" s="169">
        <f>SUM(J60:J61)</f>
        <v>123.47100000000009</v>
      </c>
      <c r="K65" s="181">
        <f t="shared" si="200"/>
        <v>12.184365612874458</v>
      </c>
      <c r="L65" s="191">
        <f t="shared" si="201"/>
        <v>84.814692851155812</v>
      </c>
      <c r="M65" s="57"/>
      <c r="N65" s="169">
        <f>SUM(N60:N61)</f>
        <v>135.01900000000003</v>
      </c>
      <c r="O65" s="181">
        <f t="shared" si="202"/>
        <v>11.223729777269412</v>
      </c>
      <c r="P65" s="191">
        <f t="shared" si="203"/>
        <v>9.3528034923179746</v>
      </c>
      <c r="Q65" s="57"/>
      <c r="R65" s="169">
        <f>SUM(R60:R61)</f>
        <v>114.93300000000005</v>
      </c>
      <c r="S65" s="181">
        <f t="shared" si="204"/>
        <v>8.5978012705233233</v>
      </c>
      <c r="T65" s="191">
        <f t="shared" si="205"/>
        <v>-14.876424799472654</v>
      </c>
      <c r="U65" s="57"/>
      <c r="V65" s="169">
        <f>SUM(V60:V61)</f>
        <v>176.77399999999997</v>
      </c>
      <c r="W65" s="181">
        <f t="shared" si="206"/>
        <v>11.593250529085433</v>
      </c>
      <c r="X65" s="191">
        <f t="shared" si="207"/>
        <v>53.806130528220699</v>
      </c>
      <c r="Y65" s="57"/>
      <c r="Z65" s="169">
        <f>SUM(Z60:Z61)</f>
        <v>127.13200000000001</v>
      </c>
      <c r="AA65" s="181">
        <f t="shared" si="208"/>
        <v>7.4034388499431056</v>
      </c>
      <c r="AB65" s="191">
        <f t="shared" si="209"/>
        <v>-28.082184031588341</v>
      </c>
      <c r="AC65" s="57"/>
      <c r="AD65" s="169">
        <f>SUM(AD60:AD61)</f>
        <v>236.00200000000012</v>
      </c>
      <c r="AE65" s="181">
        <f t="shared" si="210"/>
        <v>10.566517229321484</v>
      </c>
      <c r="AF65" s="191">
        <f t="shared" si="211"/>
        <v>85.635402573703018</v>
      </c>
      <c r="AG65" s="57"/>
      <c r="AH65" s="169">
        <f>SUM(AH60:AH61)</f>
        <v>239.82199999999995</v>
      </c>
      <c r="AI65" s="181">
        <f t="shared" si="212"/>
        <v>9.3083895518060586</v>
      </c>
      <c r="AJ65" s="191">
        <f t="shared" si="213"/>
        <v>1.6186303505901778</v>
      </c>
      <c r="AK65" s="57"/>
      <c r="AL65" s="169">
        <f>SUM(AL60:AL61)</f>
        <v>436.2410000000001</v>
      </c>
      <c r="AM65" s="181">
        <f t="shared" si="214"/>
        <v>12.035290268222154</v>
      </c>
      <c r="AN65" s="191">
        <f t="shared" si="215"/>
        <v>81.90199397886775</v>
      </c>
      <c r="AO65" s="57"/>
      <c r="AP65" s="169">
        <f>SUM(AP60:AP61)</f>
        <v>644.92699999999979</v>
      </c>
      <c r="AQ65" s="181">
        <f t="shared" si="216"/>
        <v>13.631727939940891</v>
      </c>
      <c r="AR65" s="191">
        <f t="shared" si="217"/>
        <v>47.837319279939216</v>
      </c>
      <c r="AS65" s="57"/>
      <c r="AT65" s="169">
        <f>SUM(AT60:AT61)</f>
        <v>681.13799999999969</v>
      </c>
      <c r="AU65" s="181">
        <f t="shared" si="218"/>
        <v>11.992491157989917</v>
      </c>
      <c r="AV65" s="191">
        <f t="shared" si="219"/>
        <v>5.6147439942815014</v>
      </c>
      <c r="AW65" s="57"/>
      <c r="AX65" s="169">
        <f>SUM(AX60:AX61)</f>
        <v>373.07199999999978</v>
      </c>
      <c r="AY65" s="181">
        <f t="shared" si="220"/>
        <v>5.8066810638339232</v>
      </c>
      <c r="AZ65" s="191">
        <f t="shared" si="221"/>
        <v>-45.228132918733067</v>
      </c>
      <c r="BA65" s="57"/>
      <c r="BB65" s="169">
        <f>SUM(BB60:BB61)</f>
        <v>281.11600000000044</v>
      </c>
      <c r="BC65" s="181">
        <f t="shared" si="222"/>
        <v>4.5642019701098384</v>
      </c>
      <c r="BD65" s="191">
        <f t="shared" si="223"/>
        <v>-24.648325256250637</v>
      </c>
      <c r="BE65" s="57"/>
      <c r="BF65" s="169">
        <f>SUM(BF60:BF61)</f>
        <v>785.35100000000011</v>
      </c>
      <c r="BG65" s="181">
        <f t="shared" si="224"/>
        <v>11.158613085689687</v>
      </c>
      <c r="BH65" s="191">
        <f t="shared" si="225"/>
        <v>179.36901492622223</v>
      </c>
      <c r="BI65" s="246"/>
      <c r="BJ65" s="169">
        <f>SUM(BJ60:BJ61)</f>
        <v>901.80000000000018</v>
      </c>
      <c r="BK65" s="181">
        <f t="shared" si="226"/>
        <v>12.205695612310945</v>
      </c>
      <c r="BL65" s="191">
        <f t="shared" si="227"/>
        <v>14.827637578611363</v>
      </c>
      <c r="BM65" s="57"/>
      <c r="BN65" s="169">
        <f>SUM(BN60:BN61)</f>
        <v>893.24400000000003</v>
      </c>
      <c r="BO65" s="181">
        <f t="shared" si="228"/>
        <v>12.16524248729093</v>
      </c>
      <c r="BP65" s="191">
        <f t="shared" si="229"/>
        <v>-0.94876912840986538</v>
      </c>
      <c r="BQ65" s="44"/>
      <c r="BR65" s="58">
        <f>SUM(BR60:BR61)</f>
        <v>577</v>
      </c>
      <c r="BS65" s="183">
        <f t="shared" si="230"/>
        <v>8.066545505382356</v>
      </c>
      <c r="BT65" s="55">
        <f t="shared" si="231"/>
        <v>-35.403988160010037</v>
      </c>
      <c r="BU65" s="44"/>
      <c r="BV65" s="58">
        <f>SUM(BV60:BV61)</f>
        <v>558</v>
      </c>
      <c r="BW65" s="183">
        <f t="shared" si="232"/>
        <v>7.7135747857340338</v>
      </c>
      <c r="BX65" s="191">
        <f t="shared" ref="BX65:BX66" si="247">(BV65/BR65-1)*100</f>
        <v>-3.2928942807625705</v>
      </c>
      <c r="BY65" s="44"/>
      <c r="BZ65" s="58">
        <f>SUM(BZ60:BZ61)</f>
        <v>756</v>
      </c>
      <c r="CA65" s="183">
        <f t="shared" si="233"/>
        <v>10.983582740084266</v>
      </c>
      <c r="CB65" s="191">
        <f t="shared" ref="CB65:CB66" si="248">(BZ65/BV65-1)*100</f>
        <v>35.483870967741929</v>
      </c>
      <c r="CC65" s="44"/>
      <c r="CD65" s="58">
        <f>SUM(CD60:CD61)</f>
        <v>728</v>
      </c>
      <c r="CE65" s="183">
        <f t="shared" si="234"/>
        <v>11.424984306340239</v>
      </c>
      <c r="CF65" s="191">
        <f t="shared" ref="CF65:CF66" si="249">(CD65/BZ65-1)*100</f>
        <v>-3.703703703703709</v>
      </c>
      <c r="CG65" s="59"/>
      <c r="CH65" s="58">
        <f>SUM(CH60:CH61)</f>
        <v>871</v>
      </c>
      <c r="CI65" s="183">
        <f t="shared" si="235"/>
        <v>13.105627445079747</v>
      </c>
      <c r="CJ65" s="191">
        <f t="shared" ref="CJ65:CJ66" si="250">(CH65/CD65-1)*100</f>
        <v>19.642857142857139</v>
      </c>
      <c r="CK65" s="59"/>
      <c r="CL65" s="58">
        <f>SUM(CL60:CL61)</f>
        <v>720</v>
      </c>
      <c r="CM65" s="183">
        <f t="shared" si="236"/>
        <v>10.776829815895823</v>
      </c>
      <c r="CN65" s="191">
        <f t="shared" ref="CN65:CN66" si="251">(CL65/CH65-1)*100</f>
        <v>-17.336394948335244</v>
      </c>
      <c r="CO65" s="59"/>
      <c r="CP65" s="58">
        <f>SUM(CP60:CP61)</f>
        <v>820</v>
      </c>
      <c r="CQ65" s="183">
        <f t="shared" si="237"/>
        <v>11.611441517983573</v>
      </c>
      <c r="CR65" s="191">
        <f t="shared" ref="CR65:CR66" si="252">(CP65/CL65-1)*100</f>
        <v>13.888888888888884</v>
      </c>
      <c r="CS65" s="44"/>
      <c r="CT65" s="58">
        <f>SUM(CT60:CT61)</f>
        <v>1051</v>
      </c>
      <c r="CU65" s="183">
        <f t="shared" si="241"/>
        <v>13.834408319073319</v>
      </c>
      <c r="CV65" s="191">
        <f t="shared" ref="CV65:CV66" si="253">(CT65/CP65-1)*100</f>
        <v>28.170731707317074</v>
      </c>
      <c r="CW65" s="44"/>
      <c r="CX65" s="58">
        <f>SUM(CX60:CX61)</f>
        <v>971</v>
      </c>
      <c r="CY65" s="183">
        <f t="shared" si="242"/>
        <v>12.520954223081882</v>
      </c>
      <c r="CZ65" s="191">
        <f t="shared" ref="CZ65:CZ66" si="254">(CX65/CT65-1)*100</f>
        <v>-7.6117982873453833</v>
      </c>
      <c r="DA65" s="44"/>
      <c r="DB65" s="58">
        <f>SUM(DB60:DB61)</f>
        <v>849</v>
      </c>
      <c r="DC65" s="183">
        <f t="shared" si="243"/>
        <v>11.237590999338188</v>
      </c>
      <c r="DD65" s="191">
        <f t="shared" ref="DD65:DD66" si="255">(DB65/CX65-1)*100</f>
        <v>-12.564366632337798</v>
      </c>
      <c r="DE65" s="44"/>
      <c r="DF65" s="58">
        <f>SUM(DF60:DF61)</f>
        <v>651</v>
      </c>
      <c r="DG65" s="183">
        <f t="shared" si="244"/>
        <v>8.9312662916723831</v>
      </c>
      <c r="DH65" s="55">
        <f t="shared" si="238"/>
        <v>-23.32155477031802</v>
      </c>
      <c r="DI65" s="55"/>
      <c r="DJ65" s="58">
        <f>SUM(DJ60:DJ61)</f>
        <v>641</v>
      </c>
      <c r="DK65" s="183">
        <f t="shared" si="245"/>
        <v>8.8548142008564721</v>
      </c>
      <c r="DL65" s="55">
        <f t="shared" si="239"/>
        <v>-1.5360983102918557</v>
      </c>
      <c r="DM65" s="55"/>
      <c r="DN65" s="169">
        <f>SUM(DN60:DN61)</f>
        <v>634.74791805086716</v>
      </c>
      <c r="DO65" s="181">
        <f t="shared" si="246"/>
        <v>8.5521560891571049</v>
      </c>
      <c r="DP65" s="191">
        <f t="shared" si="240"/>
        <v>-0.97536379861666855</v>
      </c>
      <c r="DQ65" s="44"/>
      <c r="DR65" s="44"/>
      <c r="DS65" s="44"/>
      <c r="DT65" s="44"/>
      <c r="DU65" s="44"/>
      <c r="DV65" s="44"/>
      <c r="DW65" s="44"/>
      <c r="DX65" s="44"/>
      <c r="DY65" s="55"/>
      <c r="DZ65" s="44"/>
      <c r="EA65" s="44"/>
      <c r="EB65" s="44"/>
      <c r="EC65" s="44"/>
      <c r="ED65" s="44"/>
    </row>
    <row r="66" spans="1:134" hidden="1" outlineLevel="2">
      <c r="A66" s="44" t="str">
        <f>$A$16</f>
        <v>9 Mos</v>
      </c>
      <c r="B66" s="44"/>
      <c r="C66" s="57"/>
      <c r="D66" s="169"/>
      <c r="E66" s="57"/>
      <c r="F66" s="169">
        <f>SUM(F60:F62)</f>
        <v>145.79299999999995</v>
      </c>
      <c r="G66" s="181">
        <f t="shared" si="199"/>
        <v>11.137279287179897</v>
      </c>
      <c r="H66" s="191"/>
      <c r="I66" s="57"/>
      <c r="J66" s="169">
        <f>SUM(J60:J62)</f>
        <v>239.09400000000008</v>
      </c>
      <c r="K66" s="181">
        <f t="shared" si="200"/>
        <v>13.938025239476563</v>
      </c>
      <c r="L66" s="191">
        <f t="shared" si="201"/>
        <v>63.995527906003822</v>
      </c>
      <c r="M66" s="57"/>
      <c r="N66" s="169">
        <f>SUM(N60:N62)</f>
        <v>236.65800000000002</v>
      </c>
      <c r="O66" s="181">
        <f t="shared" si="202"/>
        <v>11.656881095458576</v>
      </c>
      <c r="P66" s="191">
        <f t="shared" si="203"/>
        <v>-1.018846144194363</v>
      </c>
      <c r="Q66" s="57"/>
      <c r="R66" s="169">
        <f>SUM(R60:R62)</f>
        <v>245.69000000000005</v>
      </c>
      <c r="S66" s="181">
        <f t="shared" si="204"/>
        <v>10.990633201652109</v>
      </c>
      <c r="T66" s="191">
        <f t="shared" si="205"/>
        <v>3.8164777865105082</v>
      </c>
      <c r="U66" s="57"/>
      <c r="V66" s="169">
        <f>SUM(V60:V62)</f>
        <v>327.89399999999989</v>
      </c>
      <c r="W66" s="181">
        <f t="shared" si="206"/>
        <v>13.047147659886186</v>
      </c>
      <c r="X66" s="191">
        <f t="shared" si="207"/>
        <v>33.458423216248036</v>
      </c>
      <c r="Y66" s="57"/>
      <c r="Z66" s="169">
        <f>SUM(Z60:Z62)</f>
        <v>318.24300000000005</v>
      </c>
      <c r="AA66" s="181">
        <f t="shared" si="208"/>
        <v>11.07652244189353</v>
      </c>
      <c r="AB66" s="191">
        <f t="shared" si="209"/>
        <v>-2.9433292466467309</v>
      </c>
      <c r="AC66" s="57"/>
      <c r="AD66" s="169">
        <f>SUM(AD60:AD62)</f>
        <v>452.78900000000021</v>
      </c>
      <c r="AE66" s="181">
        <f t="shared" si="210"/>
        <v>12.520140412582942</v>
      </c>
      <c r="AF66" s="191">
        <f t="shared" si="211"/>
        <v>42.27775630571611</v>
      </c>
      <c r="AG66" s="57"/>
      <c r="AH66" s="169">
        <f>SUM(AH60:AH62)</f>
        <v>507.11100000000005</v>
      </c>
      <c r="AI66" s="181">
        <f t="shared" si="212"/>
        <v>11.67827252826007</v>
      </c>
      <c r="AJ66" s="191">
        <f t="shared" si="213"/>
        <v>11.997199578611628</v>
      </c>
      <c r="AK66" s="57"/>
      <c r="AL66" s="169">
        <f>SUM(AL60:AL62)</f>
        <v>823.43899999999985</v>
      </c>
      <c r="AM66" s="181">
        <f t="shared" si="214"/>
        <v>13.66787669948196</v>
      </c>
      <c r="AN66" s="191">
        <f t="shared" si="215"/>
        <v>62.37845363243941</v>
      </c>
      <c r="AO66" s="57"/>
      <c r="AP66" s="169">
        <f>SUM(AP60:AP62)</f>
        <v>1151.5729999999999</v>
      </c>
      <c r="AQ66" s="181">
        <f t="shared" si="216"/>
        <v>14.808449449807423</v>
      </c>
      <c r="AR66" s="191">
        <f t="shared" si="217"/>
        <v>39.849217731975294</v>
      </c>
      <c r="AS66" s="57"/>
      <c r="AT66" s="169">
        <f>SUM(AT60:AT62)</f>
        <v>995.08300000000008</v>
      </c>
      <c r="AU66" s="181">
        <f t="shared" si="218"/>
        <v>10.941745070467759</v>
      </c>
      <c r="AV66" s="191">
        <f t="shared" si="219"/>
        <v>-13.589238372209122</v>
      </c>
      <c r="AW66" s="57"/>
      <c r="AX66" s="169">
        <f>SUM(AX60:AX62)</f>
        <v>376.82899999999995</v>
      </c>
      <c r="AY66" s="181">
        <f t="shared" si="220"/>
        <v>3.8616460659741376</v>
      </c>
      <c r="AZ66" s="191">
        <f t="shared" si="221"/>
        <v>-62.130897623615326</v>
      </c>
      <c r="BA66" s="57"/>
      <c r="BB66" s="169">
        <f>SUM(BB60:BB62)</f>
        <v>587.33200000000033</v>
      </c>
      <c r="BC66" s="181">
        <f t="shared" si="222"/>
        <v>5.990674314483579</v>
      </c>
      <c r="BD66" s="191">
        <f t="shared" si="223"/>
        <v>55.861677312521167</v>
      </c>
      <c r="BE66" s="57"/>
      <c r="BF66" s="169">
        <f>SUM(BF60:BF62)</f>
        <v>1258.5710000000001</v>
      </c>
      <c r="BG66" s="181">
        <f t="shared" si="224"/>
        <v>11.475432107478023</v>
      </c>
      <c r="BH66" s="191">
        <f t="shared" si="225"/>
        <v>114.28612777781551</v>
      </c>
      <c r="BI66" s="181"/>
      <c r="BJ66" s="169">
        <f>SUM(BJ60:BJ62)</f>
        <v>1358.9500000000003</v>
      </c>
      <c r="BK66" s="181">
        <f t="shared" si="226"/>
        <v>11.953639634555261</v>
      </c>
      <c r="BL66" s="191">
        <f t="shared" si="227"/>
        <v>7.9756326818272605</v>
      </c>
      <c r="BM66" s="57"/>
      <c r="BN66" s="169">
        <f>SUM(BN60:BN62)</f>
        <v>1233.1979999999999</v>
      </c>
      <c r="BO66" s="181">
        <f t="shared" si="228"/>
        <v>11.008242180292482</v>
      </c>
      <c r="BP66" s="191">
        <f t="shared" si="229"/>
        <v>-9.2536149232863902</v>
      </c>
      <c r="BQ66" s="44"/>
      <c r="BR66" s="58">
        <f>SUM(BR60:BR62)</f>
        <v>858</v>
      </c>
      <c r="BS66" s="183">
        <f t="shared" si="230"/>
        <v>7.797164667393675</v>
      </c>
      <c r="BT66" s="55">
        <f t="shared" si="231"/>
        <v>-30.424797964317165</v>
      </c>
      <c r="BU66" s="44"/>
      <c r="BV66" s="58">
        <f>SUM(BV60:BV62)</f>
        <v>926</v>
      </c>
      <c r="BW66" s="183">
        <f t="shared" si="232"/>
        <v>8.3513708513708504</v>
      </c>
      <c r="BX66" s="191">
        <f t="shared" si="247"/>
        <v>7.9254079254079235</v>
      </c>
      <c r="BY66" s="44"/>
      <c r="BZ66" s="58">
        <f>SUM(BZ60:BZ62)</f>
        <v>1150</v>
      </c>
      <c r="CA66" s="183">
        <f t="shared" si="233"/>
        <v>11.011106855610878</v>
      </c>
      <c r="CB66" s="191">
        <f t="shared" si="248"/>
        <v>24.190064794816422</v>
      </c>
      <c r="CC66" s="44"/>
      <c r="CD66" s="58">
        <f>SUM(CD60:CD62)</f>
        <v>1228</v>
      </c>
      <c r="CE66" s="183">
        <f t="shared" si="234"/>
        <v>12.328079510089349</v>
      </c>
      <c r="CF66" s="191">
        <f t="shared" si="249"/>
        <v>6.7826086956521703</v>
      </c>
      <c r="CG66" s="59"/>
      <c r="CH66" s="58">
        <f>SUM(CH60:CH62)</f>
        <v>1375</v>
      </c>
      <c r="CI66" s="183">
        <f t="shared" si="235"/>
        <v>13.349514563106796</v>
      </c>
      <c r="CJ66" s="191">
        <f t="shared" si="250"/>
        <v>11.970684039087942</v>
      </c>
      <c r="CK66" s="59"/>
      <c r="CL66" s="58">
        <f>SUM(CL60:CL62)</f>
        <v>1066</v>
      </c>
      <c r="CM66" s="183">
        <f t="shared" si="236"/>
        <v>10.383791155269822</v>
      </c>
      <c r="CN66" s="191">
        <f t="shared" si="251"/>
        <v>-22.472727272727276</v>
      </c>
      <c r="CO66" s="59"/>
      <c r="CP66" s="58">
        <f>SUM(CP60:CP62)</f>
        <v>1340</v>
      </c>
      <c r="CQ66" s="183">
        <f t="shared" si="237"/>
        <v>12.264323631704192</v>
      </c>
      <c r="CR66" s="191">
        <f t="shared" si="252"/>
        <v>25.703564727954962</v>
      </c>
      <c r="CS66" s="44"/>
      <c r="CT66" s="58">
        <f>SUM(CT60:CT62)</f>
        <v>1627</v>
      </c>
      <c r="CU66" s="183">
        <f t="shared" si="241"/>
        <v>14.058584636654281</v>
      </c>
      <c r="CV66" s="191">
        <f t="shared" si="253"/>
        <v>21.417910447761201</v>
      </c>
      <c r="CW66" s="44"/>
      <c r="CX66" s="58">
        <f>SUM(CX60:CX62)</f>
        <v>1525</v>
      </c>
      <c r="CY66" s="183">
        <f t="shared" si="242"/>
        <v>13.004178391745544</v>
      </c>
      <c r="CZ66" s="191">
        <f t="shared" si="254"/>
        <v>-6.2692071296865386</v>
      </c>
      <c r="DA66" s="44"/>
      <c r="DB66" s="58">
        <f>SUM(DB60:DB62)</f>
        <v>1276</v>
      </c>
      <c r="DC66" s="183">
        <f t="shared" si="243"/>
        <v>11.181212758499823</v>
      </c>
      <c r="DD66" s="191">
        <f t="shared" si="255"/>
        <v>-16.327868852459016</v>
      </c>
      <c r="DE66" s="44"/>
      <c r="DF66" s="58">
        <f>SUM(DF60:DF62)</f>
        <v>1069</v>
      </c>
      <c r="DG66" s="183">
        <f t="shared" si="244"/>
        <v>9.6419229728510878</v>
      </c>
      <c r="DH66" s="55">
        <f t="shared" si="238"/>
        <v>-16.222570532915359</v>
      </c>
      <c r="DI66" s="55"/>
      <c r="DJ66" s="58">
        <f>SUM(DJ60:DJ62)</f>
        <v>1019</v>
      </c>
      <c r="DK66" s="183">
        <f t="shared" si="245"/>
        <v>9.1992416719328336</v>
      </c>
      <c r="DL66" s="55">
        <f t="shared" si="239"/>
        <v>-4.6772684752104716</v>
      </c>
      <c r="DM66" s="55"/>
      <c r="DN66" s="169">
        <f>SUM(DN60:DN62)</f>
        <v>1001.7124275569129</v>
      </c>
      <c r="DO66" s="181">
        <f t="shared" si="246"/>
        <v>8.8443944042220615</v>
      </c>
      <c r="DP66" s="191">
        <f t="shared" si="240"/>
        <v>-1.6965233015787118</v>
      </c>
      <c r="DQ66" s="44"/>
      <c r="DR66" s="44"/>
      <c r="DS66" s="44"/>
      <c r="DT66" s="44"/>
      <c r="DU66" s="44"/>
      <c r="DV66" s="44"/>
      <c r="DW66" s="44"/>
      <c r="DX66" s="44"/>
      <c r="DY66" s="55"/>
      <c r="DZ66" s="44"/>
      <c r="EA66" s="44"/>
      <c r="EB66" s="44"/>
      <c r="EC66" s="44"/>
      <c r="ED66" s="44"/>
    </row>
    <row r="67" spans="1:134" ht="12" customHeight="1" outlineLevel="1" collapsed="1">
      <c r="A67" s="44"/>
      <c r="B67" s="44"/>
      <c r="C67" s="57"/>
      <c r="D67" s="57"/>
      <c r="E67" s="57"/>
      <c r="F67" s="253"/>
      <c r="G67" s="57"/>
      <c r="H67" s="57"/>
      <c r="I67" s="57"/>
      <c r="J67" s="253"/>
      <c r="K67" s="57"/>
      <c r="L67" s="57"/>
      <c r="M67" s="57"/>
      <c r="N67" s="253"/>
      <c r="O67" s="57"/>
      <c r="P67" s="57"/>
      <c r="Q67" s="57"/>
      <c r="R67" s="253"/>
      <c r="S67" s="57"/>
      <c r="T67" s="57"/>
      <c r="U67" s="57"/>
      <c r="V67" s="253"/>
      <c r="W67" s="57"/>
      <c r="X67" s="57"/>
      <c r="Y67" s="57"/>
      <c r="Z67" s="253"/>
      <c r="AA67" s="57"/>
      <c r="AB67" s="57"/>
      <c r="AC67" s="57"/>
      <c r="AD67" s="253"/>
      <c r="AE67" s="57"/>
      <c r="AF67" s="57"/>
      <c r="AG67" s="57"/>
      <c r="AH67" s="253"/>
      <c r="AI67" s="57"/>
      <c r="AJ67" s="57"/>
      <c r="AK67" s="57"/>
      <c r="AL67" s="253"/>
      <c r="AM67" s="57"/>
      <c r="AN67" s="57"/>
      <c r="AO67" s="57"/>
      <c r="AP67" s="253"/>
      <c r="AQ67" s="57"/>
      <c r="AR67" s="57"/>
      <c r="AS67" s="57"/>
      <c r="AT67" s="253"/>
      <c r="AU67" s="57"/>
      <c r="AV67" s="57"/>
      <c r="AW67" s="57"/>
      <c r="AX67" s="253"/>
      <c r="AY67" s="57"/>
      <c r="AZ67" s="57"/>
      <c r="BA67" s="57"/>
      <c r="BB67" s="253"/>
      <c r="BC67" s="57"/>
      <c r="BD67" s="57"/>
      <c r="BE67" s="57"/>
      <c r="BF67" s="253"/>
      <c r="BG67" s="57"/>
      <c r="BH67" s="57"/>
      <c r="BI67" s="57"/>
      <c r="BJ67" s="253"/>
      <c r="BK67" s="57"/>
      <c r="BL67" s="57"/>
      <c r="BM67" s="57"/>
      <c r="BN67" s="253"/>
      <c r="BO67" s="57"/>
      <c r="BP67" s="57"/>
      <c r="BQ67" s="44"/>
      <c r="BR67" s="254"/>
      <c r="BS67" s="44"/>
      <c r="BT67" s="44"/>
      <c r="BU67" s="44"/>
      <c r="BV67" s="254"/>
      <c r="BW67" s="44"/>
      <c r="BX67" s="44"/>
      <c r="BY67" s="44"/>
      <c r="BZ67" s="254"/>
      <c r="CA67" s="238">
        <f>CA63-BW63</f>
        <v>0.80894601838775593</v>
      </c>
      <c r="CB67" s="44"/>
      <c r="CC67" s="44"/>
      <c r="CD67" s="254"/>
      <c r="CE67" s="44"/>
      <c r="CF67" s="44"/>
      <c r="CG67" s="59"/>
      <c r="CH67" s="254"/>
      <c r="CI67" s="238"/>
      <c r="CJ67" s="44"/>
      <c r="CK67" s="59"/>
      <c r="CL67" s="254"/>
      <c r="CM67" s="238"/>
      <c r="CN67" s="44"/>
      <c r="CO67" s="59"/>
      <c r="CP67" s="254"/>
      <c r="CQ67" s="238"/>
      <c r="CR67" s="44"/>
      <c r="CS67" s="44"/>
      <c r="CT67" s="44"/>
      <c r="CU67" s="44"/>
      <c r="CV67" s="44"/>
      <c r="CW67" s="44"/>
      <c r="CX67" s="44"/>
      <c r="CY67" s="44"/>
      <c r="CZ67" s="44"/>
      <c r="DA67" s="44"/>
      <c r="DB67" s="44"/>
      <c r="DC67" s="44"/>
      <c r="DD67" s="44"/>
      <c r="DE67" s="44"/>
      <c r="DF67" s="44"/>
      <c r="DG67" s="44"/>
      <c r="DH67" s="44"/>
      <c r="DI67" s="44"/>
      <c r="DJ67" s="44"/>
      <c r="DK67" s="44"/>
      <c r="DL67" s="44"/>
      <c r="DM67" s="44"/>
      <c r="DN67" s="57"/>
      <c r="DO67" s="57"/>
      <c r="DP67" s="57"/>
      <c r="DQ67" s="44"/>
      <c r="DR67" s="44"/>
      <c r="DS67" s="44"/>
      <c r="DT67" s="44"/>
      <c r="DU67" s="44"/>
      <c r="DV67" s="44"/>
      <c r="DW67" s="44"/>
      <c r="DX67" s="44"/>
      <c r="DY67" s="44"/>
      <c r="DZ67" s="44"/>
      <c r="EA67" s="44"/>
      <c r="EB67" s="44"/>
      <c r="EC67" s="44"/>
      <c r="ED67" s="44"/>
    </row>
    <row r="68" spans="1:134" ht="12" hidden="1" customHeight="1" outlineLevel="2">
      <c r="A68" s="44"/>
      <c r="B68" s="44"/>
      <c r="C68" s="57"/>
      <c r="D68" s="57"/>
      <c r="E68" s="57"/>
      <c r="F68" s="253"/>
      <c r="G68" s="57"/>
      <c r="H68" s="57"/>
      <c r="I68" s="57"/>
      <c r="J68" s="253"/>
      <c r="K68" s="57"/>
      <c r="L68" s="57"/>
      <c r="M68" s="57"/>
      <c r="N68" s="253"/>
      <c r="O68" s="57"/>
      <c r="P68" s="57"/>
      <c r="Q68" s="57"/>
      <c r="R68" s="253"/>
      <c r="S68" s="57"/>
      <c r="T68" s="57"/>
      <c r="U68" s="57"/>
      <c r="V68" s="253"/>
      <c r="W68" s="57"/>
      <c r="X68" s="57"/>
      <c r="Y68" s="57"/>
      <c r="Z68" s="253"/>
      <c r="AA68" s="57"/>
      <c r="AB68" s="57"/>
      <c r="AC68" s="57"/>
      <c r="AD68" s="253"/>
      <c r="AE68" s="57"/>
      <c r="AF68" s="57"/>
      <c r="AG68" s="57"/>
      <c r="AH68" s="253"/>
      <c r="AI68" s="57"/>
      <c r="AJ68" s="57"/>
      <c r="AK68" s="57"/>
      <c r="AL68" s="253"/>
      <c r="AM68" s="57"/>
      <c r="AN68" s="57"/>
      <c r="AO68" s="57"/>
      <c r="AP68" s="253"/>
      <c r="AQ68" s="57"/>
      <c r="AR68" s="57"/>
      <c r="AS68" s="57"/>
      <c r="AT68" s="255" t="s">
        <v>180</v>
      </c>
      <c r="AU68" s="255"/>
      <c r="AV68" s="255"/>
      <c r="AW68" s="255"/>
      <c r="AX68" s="255"/>
      <c r="AY68" s="255"/>
      <c r="AZ68" s="255"/>
      <c r="BA68" s="255"/>
      <c r="BB68" s="255"/>
      <c r="BC68" s="255"/>
      <c r="BD68" s="255"/>
      <c r="BE68" s="255"/>
      <c r="BF68" s="255"/>
      <c r="BG68" s="255"/>
      <c r="BH68" s="255"/>
      <c r="BI68" s="255"/>
      <c r="BJ68" s="255"/>
      <c r="BK68" s="255"/>
      <c r="BL68" s="255"/>
      <c r="BM68" s="255"/>
      <c r="BN68" s="255"/>
      <c r="BO68" s="255"/>
      <c r="BP68" s="255"/>
      <c r="BQ68" s="255"/>
      <c r="BR68" s="255"/>
      <c r="BS68" s="255"/>
      <c r="BT68" s="255"/>
      <c r="BU68" s="255"/>
      <c r="BV68" s="255"/>
      <c r="BW68" s="255"/>
      <c r="BX68" s="255"/>
      <c r="BY68" s="255"/>
      <c r="BZ68" s="255"/>
      <c r="CA68" s="255"/>
      <c r="CB68" s="44"/>
      <c r="CC68" s="44"/>
      <c r="CD68" s="44"/>
      <c r="CE68" s="44"/>
      <c r="CF68" s="44"/>
      <c r="CG68" s="59"/>
      <c r="CH68" s="44"/>
      <c r="CI68" s="44"/>
      <c r="CJ68" s="44"/>
      <c r="CK68" s="59"/>
      <c r="CL68" s="44"/>
      <c r="CM68" s="44"/>
      <c r="CN68" s="44"/>
      <c r="CO68" s="59"/>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57"/>
      <c r="DO68" s="57"/>
      <c r="DP68" s="57"/>
      <c r="DQ68" s="44"/>
      <c r="DR68" s="44"/>
      <c r="DS68" s="44"/>
      <c r="DT68" s="44"/>
      <c r="DU68" s="44"/>
      <c r="DV68" s="44"/>
      <c r="DW68" s="44"/>
      <c r="DX68" s="44"/>
      <c r="DY68" s="44"/>
      <c r="DZ68" s="44"/>
      <c r="EA68" s="44"/>
      <c r="EB68" s="44"/>
      <c r="EC68" s="44"/>
      <c r="ED68" s="44"/>
    </row>
    <row r="69" spans="1:134" ht="12" hidden="1" customHeight="1" outlineLevel="2">
      <c r="A69" s="44"/>
      <c r="B69" s="44"/>
      <c r="C69" s="57"/>
      <c r="D69" s="57"/>
      <c r="E69" s="57"/>
      <c r="F69" s="253"/>
      <c r="G69" s="57"/>
      <c r="H69" s="57"/>
      <c r="I69" s="57"/>
      <c r="J69" s="253"/>
      <c r="K69" s="57"/>
      <c r="L69" s="57"/>
      <c r="M69" s="57"/>
      <c r="N69" s="253"/>
      <c r="O69" s="57"/>
      <c r="P69" s="57"/>
      <c r="Q69" s="57"/>
      <c r="R69" s="253"/>
      <c r="S69" s="57"/>
      <c r="T69" s="57"/>
      <c r="U69" s="57"/>
      <c r="V69" s="253"/>
      <c r="W69" s="57"/>
      <c r="X69" s="57"/>
      <c r="Y69" s="57"/>
      <c r="Z69" s="253"/>
      <c r="AA69" s="57"/>
      <c r="AB69" s="57"/>
      <c r="AC69" s="57"/>
      <c r="AD69" s="253"/>
      <c r="AE69" s="57"/>
      <c r="AF69" s="57"/>
      <c r="AG69" s="57"/>
      <c r="AH69" s="253"/>
      <c r="AI69" s="57"/>
      <c r="AJ69" s="57"/>
      <c r="AK69" s="57"/>
      <c r="AL69" s="253"/>
      <c r="AM69" s="57"/>
      <c r="AN69" s="57"/>
      <c r="AO69" s="57"/>
      <c r="AP69" s="253"/>
      <c r="AQ69" s="57"/>
      <c r="AR69" s="57"/>
      <c r="AS69" s="57"/>
      <c r="AT69" s="253"/>
      <c r="AU69" s="57"/>
      <c r="AV69" s="57"/>
      <c r="AW69" s="57"/>
      <c r="AX69" s="253"/>
      <c r="AY69" s="57"/>
      <c r="AZ69" s="57"/>
      <c r="BA69" s="57"/>
      <c r="BB69" s="253"/>
      <c r="BC69" s="57"/>
      <c r="BD69" s="57"/>
      <c r="BE69" s="57"/>
      <c r="BF69" s="253"/>
      <c r="BG69" s="57"/>
      <c r="BH69" s="57"/>
      <c r="BI69" s="57"/>
      <c r="BJ69" s="253"/>
      <c r="BK69" s="57"/>
      <c r="BL69" s="57"/>
      <c r="BM69" s="57"/>
      <c r="BN69" s="253"/>
      <c r="BO69" s="57"/>
      <c r="BP69" s="57"/>
      <c r="BQ69" s="44"/>
      <c r="BR69" s="254"/>
      <c r="BS69" s="44"/>
      <c r="BT69" s="44"/>
      <c r="BU69" s="44"/>
      <c r="BV69" s="147">
        <f>45+5</f>
        <v>50</v>
      </c>
      <c r="BW69" s="183"/>
      <c r="BX69" s="44"/>
      <c r="BY69" s="44"/>
      <c r="BZ69" s="254"/>
      <c r="CA69" s="44"/>
      <c r="CB69" s="44"/>
      <c r="CC69" s="44"/>
      <c r="CD69" s="254"/>
      <c r="CE69" s="44"/>
      <c r="CF69" s="44"/>
      <c r="CG69" s="59"/>
      <c r="CH69" s="254"/>
      <c r="CI69" s="44"/>
      <c r="CJ69" s="44"/>
      <c r="CK69" s="59"/>
      <c r="CL69" s="254"/>
      <c r="CM69" s="44"/>
      <c r="CN69" s="44"/>
      <c r="CO69" s="59"/>
      <c r="CP69" s="25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57"/>
      <c r="DO69" s="57"/>
      <c r="DP69" s="57"/>
      <c r="DQ69" s="44"/>
      <c r="DR69" s="44"/>
      <c r="DS69" s="44"/>
      <c r="DT69" s="44"/>
      <c r="DU69" s="44"/>
      <c r="DV69" s="44"/>
      <c r="DW69" s="44"/>
      <c r="DX69" s="44"/>
      <c r="DY69" s="44"/>
      <c r="DZ69" s="44"/>
      <c r="EA69" s="44"/>
      <c r="EB69" s="44"/>
      <c r="EC69" s="44"/>
      <c r="ED69" s="44"/>
    </row>
    <row r="70" spans="1:134" ht="12" hidden="1" customHeight="1" outlineLevel="2">
      <c r="A70" s="44"/>
      <c r="B70" s="44"/>
      <c r="C70" s="57"/>
      <c r="D70" s="57"/>
      <c r="E70" s="57"/>
      <c r="F70" s="253"/>
      <c r="G70" s="57"/>
      <c r="H70" s="57"/>
      <c r="I70" s="57"/>
      <c r="J70" s="253"/>
      <c r="K70" s="57"/>
      <c r="L70" s="57"/>
      <c r="M70" s="57"/>
      <c r="N70" s="253"/>
      <c r="O70" s="57"/>
      <c r="P70" s="57"/>
      <c r="Q70" s="57"/>
      <c r="R70" s="253"/>
      <c r="S70" s="57"/>
      <c r="T70" s="57"/>
      <c r="U70" s="57"/>
      <c r="V70" s="253"/>
      <c r="W70" s="57"/>
      <c r="X70" s="57"/>
      <c r="Y70" s="57"/>
      <c r="Z70" s="253"/>
      <c r="AA70" s="57"/>
      <c r="AB70" s="57"/>
      <c r="AC70" s="57"/>
      <c r="AD70" s="253"/>
      <c r="AE70" s="57"/>
      <c r="AF70" s="57"/>
      <c r="AG70" s="57"/>
      <c r="AH70" s="253"/>
      <c r="AI70" s="57"/>
      <c r="AJ70" s="57"/>
      <c r="AK70" s="57"/>
      <c r="AL70" s="253"/>
      <c r="AM70" s="57"/>
      <c r="AN70" s="57"/>
      <c r="AO70" s="57"/>
      <c r="AP70" s="253"/>
      <c r="AQ70" s="57"/>
      <c r="AR70" s="57"/>
      <c r="AS70" s="57"/>
      <c r="AT70" s="253"/>
      <c r="AU70" s="57"/>
      <c r="AV70" s="57"/>
      <c r="AW70" s="57"/>
      <c r="AX70" s="253"/>
      <c r="AY70" s="57"/>
      <c r="AZ70" s="57"/>
      <c r="BA70" s="57"/>
      <c r="BB70" s="253"/>
      <c r="BC70" s="57"/>
      <c r="BD70" s="57"/>
      <c r="BE70" s="57"/>
      <c r="BF70" s="253"/>
      <c r="BG70" s="57"/>
      <c r="BH70" s="57"/>
      <c r="BI70" s="57"/>
      <c r="BJ70" s="253"/>
      <c r="BK70" s="57"/>
      <c r="BL70" s="57"/>
      <c r="BM70" s="57"/>
      <c r="BN70" s="253"/>
      <c r="BO70" s="57"/>
      <c r="BP70" s="57"/>
      <c r="BQ70" s="44"/>
      <c r="BR70" s="254"/>
      <c r="BS70" s="44"/>
      <c r="BT70" s="44"/>
      <c r="BU70" s="44"/>
      <c r="BV70" s="156">
        <f>20+9</f>
        <v>29</v>
      </c>
      <c r="BW70" s="183"/>
      <c r="BX70" s="44"/>
      <c r="BY70" s="44"/>
      <c r="BZ70" s="254"/>
      <c r="CA70" s="44"/>
      <c r="CB70" s="44"/>
      <c r="CC70" s="44"/>
      <c r="CD70" s="254"/>
      <c r="CE70" s="44"/>
      <c r="CF70" s="44"/>
      <c r="CG70" s="59"/>
      <c r="CH70" s="254"/>
      <c r="CI70" s="44"/>
      <c r="CJ70" s="44"/>
      <c r="CK70" s="59"/>
      <c r="CL70" s="254"/>
      <c r="CM70" s="44"/>
      <c r="CN70" s="44"/>
      <c r="CO70" s="59"/>
      <c r="CP70" s="25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57"/>
      <c r="DO70" s="57"/>
      <c r="DP70" s="57"/>
      <c r="DQ70" s="44"/>
      <c r="DR70" s="44"/>
      <c r="DS70" s="44"/>
      <c r="DT70" s="44"/>
      <c r="DU70" s="44"/>
      <c r="DV70" s="44"/>
      <c r="DW70" s="44"/>
      <c r="DX70" s="44"/>
      <c r="DY70" s="44"/>
      <c r="DZ70" s="44"/>
      <c r="EA70" s="44"/>
      <c r="EB70" s="44"/>
      <c r="EC70" s="44"/>
      <c r="ED70" s="44"/>
    </row>
    <row r="71" spans="1:134" ht="12" hidden="1" customHeight="1" outlineLevel="2">
      <c r="A71" s="44"/>
      <c r="B71" s="44"/>
      <c r="C71" s="57"/>
      <c r="D71" s="57"/>
      <c r="E71" s="57"/>
      <c r="F71" s="253"/>
      <c r="G71" s="57"/>
      <c r="H71" s="57"/>
      <c r="I71" s="57"/>
      <c r="J71" s="253"/>
      <c r="K71" s="57"/>
      <c r="L71" s="57"/>
      <c r="M71" s="57"/>
      <c r="N71" s="253"/>
      <c r="O71" s="57"/>
      <c r="P71" s="57"/>
      <c r="Q71" s="57"/>
      <c r="R71" s="253"/>
      <c r="S71" s="57"/>
      <c r="T71" s="57"/>
      <c r="U71" s="57"/>
      <c r="V71" s="253"/>
      <c r="W71" s="57"/>
      <c r="X71" s="57"/>
      <c r="Y71" s="57"/>
      <c r="Z71" s="253"/>
      <c r="AA71" s="57"/>
      <c r="AB71" s="57"/>
      <c r="AC71" s="57"/>
      <c r="AD71" s="253"/>
      <c r="AE71" s="57"/>
      <c r="AF71" s="57"/>
      <c r="AG71" s="57"/>
      <c r="AH71" s="253"/>
      <c r="AI71" s="57"/>
      <c r="AJ71" s="57"/>
      <c r="AK71" s="57"/>
      <c r="AL71" s="253"/>
      <c r="AM71" s="57"/>
      <c r="AN71" s="57"/>
      <c r="AO71" s="57"/>
      <c r="AP71" s="253"/>
      <c r="AQ71" s="57"/>
      <c r="AR71" s="57"/>
      <c r="AS71" s="57"/>
      <c r="AT71" s="253"/>
      <c r="AU71" s="57"/>
      <c r="AV71" s="57"/>
      <c r="AW71" s="57"/>
      <c r="AX71" s="253"/>
      <c r="AY71" s="57"/>
      <c r="AZ71" s="57"/>
      <c r="BA71" s="57"/>
      <c r="BB71" s="253"/>
      <c r="BC71" s="57"/>
      <c r="BD71" s="57"/>
      <c r="BE71" s="57"/>
      <c r="BF71" s="253"/>
      <c r="BG71" s="57"/>
      <c r="BH71" s="57"/>
      <c r="BI71" s="57"/>
      <c r="BJ71" s="253"/>
      <c r="BK71" s="57"/>
      <c r="BL71" s="57"/>
      <c r="BM71" s="57"/>
      <c r="BN71" s="253"/>
      <c r="BO71" s="57"/>
      <c r="BP71" s="57"/>
      <c r="BQ71" s="44"/>
      <c r="BR71" s="254"/>
      <c r="BS71" s="44"/>
      <c r="BT71" s="44"/>
      <c r="BU71" s="44"/>
      <c r="BV71" s="156"/>
      <c r="BW71" s="183"/>
      <c r="BX71" s="44"/>
      <c r="BY71" s="44"/>
      <c r="BZ71" s="254"/>
      <c r="CA71" s="44"/>
      <c r="CB71" s="44"/>
      <c r="CC71" s="44"/>
      <c r="CD71" s="254"/>
      <c r="CE71" s="44"/>
      <c r="CF71" s="44"/>
      <c r="CG71" s="59"/>
      <c r="CH71" s="254"/>
      <c r="CI71" s="44"/>
      <c r="CJ71" s="44"/>
      <c r="CK71" s="59"/>
      <c r="CL71" s="254"/>
      <c r="CM71" s="44"/>
      <c r="CN71" s="44"/>
      <c r="CO71" s="59"/>
      <c r="CP71" s="25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57"/>
      <c r="DO71" s="57"/>
      <c r="DP71" s="57"/>
      <c r="DQ71" s="44"/>
      <c r="DR71" s="44"/>
      <c r="DS71" s="44"/>
      <c r="DT71" s="44"/>
      <c r="DU71" s="44"/>
      <c r="DV71" s="44"/>
      <c r="DW71" s="44"/>
      <c r="DX71" s="44"/>
      <c r="DY71" s="44"/>
      <c r="DZ71" s="44"/>
      <c r="EA71" s="44"/>
      <c r="EB71" s="44"/>
      <c r="EC71" s="44"/>
      <c r="ED71" s="44"/>
    </row>
    <row r="72" spans="1:134" ht="12" hidden="1" customHeight="1" outlineLevel="2">
      <c r="A72" s="44"/>
      <c r="B72" s="44"/>
      <c r="C72" s="57"/>
      <c r="D72" s="57"/>
      <c r="E72" s="57"/>
      <c r="F72" s="253"/>
      <c r="G72" s="57"/>
      <c r="H72" s="57"/>
      <c r="I72" s="57"/>
      <c r="J72" s="253"/>
      <c r="K72" s="57"/>
      <c r="L72" s="57"/>
      <c r="M72" s="57"/>
      <c r="N72" s="253"/>
      <c r="O72" s="57"/>
      <c r="P72" s="57"/>
      <c r="Q72" s="57"/>
      <c r="R72" s="253"/>
      <c r="S72" s="57"/>
      <c r="T72" s="57"/>
      <c r="U72" s="57"/>
      <c r="V72" s="253"/>
      <c r="W72" s="57"/>
      <c r="X72" s="57"/>
      <c r="Y72" s="57"/>
      <c r="Z72" s="253"/>
      <c r="AA72" s="57"/>
      <c r="AB72" s="57"/>
      <c r="AC72" s="57"/>
      <c r="AD72" s="253"/>
      <c r="AE72" s="57"/>
      <c r="AF72" s="57"/>
      <c r="AG72" s="57"/>
      <c r="AH72" s="253"/>
      <c r="AI72" s="57"/>
      <c r="AJ72" s="57"/>
      <c r="AK72" s="57"/>
      <c r="AL72" s="253"/>
      <c r="AM72" s="57"/>
      <c r="AN72" s="57"/>
      <c r="AO72" s="57"/>
      <c r="AP72" s="253"/>
      <c r="AQ72" s="57"/>
      <c r="AR72" s="57"/>
      <c r="AS72" s="57"/>
      <c r="AT72" s="253"/>
      <c r="AU72" s="57"/>
      <c r="AV72" s="57"/>
      <c r="AW72" s="57"/>
      <c r="AX72" s="253"/>
      <c r="AY72" s="57"/>
      <c r="AZ72" s="57"/>
      <c r="BA72" s="57"/>
      <c r="BB72" s="253"/>
      <c r="BC72" s="57"/>
      <c r="BD72" s="57"/>
      <c r="BE72" s="57"/>
      <c r="BF72" s="253"/>
      <c r="BG72" s="57"/>
      <c r="BH72" s="57"/>
      <c r="BI72" s="57"/>
      <c r="BJ72" s="253"/>
      <c r="BK72" s="57"/>
      <c r="BL72" s="57"/>
      <c r="BM72" s="57"/>
      <c r="BN72" s="253"/>
      <c r="BO72" s="57"/>
      <c r="BP72" s="57"/>
      <c r="BQ72" s="44"/>
      <c r="BR72" s="254"/>
      <c r="BS72" s="44"/>
      <c r="BT72" s="44"/>
      <c r="BU72" s="44"/>
      <c r="BV72" s="163"/>
      <c r="BW72" s="183"/>
      <c r="BX72" s="44"/>
      <c r="BY72" s="44"/>
      <c r="BZ72" s="254"/>
      <c r="CA72" s="44"/>
      <c r="CB72" s="44"/>
      <c r="CC72" s="44"/>
      <c r="CD72" s="254"/>
      <c r="CE72" s="44"/>
      <c r="CF72" s="44"/>
      <c r="CG72" s="59"/>
      <c r="CH72" s="254"/>
      <c r="CI72" s="44"/>
      <c r="CJ72" s="44"/>
      <c r="CK72" s="59"/>
      <c r="CL72" s="254"/>
      <c r="CM72" s="44"/>
      <c r="CN72" s="44"/>
      <c r="CO72" s="59"/>
      <c r="CP72" s="25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57"/>
      <c r="DO72" s="57"/>
      <c r="DP72" s="57"/>
      <c r="DQ72" s="44"/>
      <c r="DR72" s="44"/>
      <c r="DS72" s="44"/>
      <c r="DT72" s="44"/>
      <c r="DU72" s="44"/>
      <c r="DV72" s="44"/>
      <c r="DW72" s="44"/>
      <c r="DX72" s="44"/>
      <c r="DY72" s="44"/>
      <c r="DZ72" s="44"/>
      <c r="EA72" s="44"/>
      <c r="EB72" s="44"/>
      <c r="EC72" s="44"/>
      <c r="ED72" s="44"/>
    </row>
    <row r="73" spans="1:134" ht="12" hidden="1" customHeight="1" outlineLevel="2">
      <c r="A73" s="44"/>
      <c r="B73" s="44"/>
      <c r="C73" s="57"/>
      <c r="D73" s="57"/>
      <c r="E73" s="57"/>
      <c r="F73" s="253"/>
      <c r="G73" s="57"/>
      <c r="H73" s="57"/>
      <c r="I73" s="57"/>
      <c r="J73" s="253"/>
      <c r="K73" s="57"/>
      <c r="L73" s="57"/>
      <c r="M73" s="57"/>
      <c r="N73" s="253"/>
      <c r="O73" s="57"/>
      <c r="P73" s="57"/>
      <c r="Q73" s="57"/>
      <c r="R73" s="253"/>
      <c r="S73" s="57"/>
      <c r="T73" s="57"/>
      <c r="U73" s="57"/>
      <c r="V73" s="253"/>
      <c r="W73" s="57"/>
      <c r="X73" s="57"/>
      <c r="Y73" s="57"/>
      <c r="Z73" s="253"/>
      <c r="AA73" s="57"/>
      <c r="AB73" s="57"/>
      <c r="AC73" s="57"/>
      <c r="AD73" s="253"/>
      <c r="AE73" s="57"/>
      <c r="AF73" s="57"/>
      <c r="AG73" s="57"/>
      <c r="AH73" s="253"/>
      <c r="AI73" s="57"/>
      <c r="AJ73" s="57"/>
      <c r="AK73" s="57"/>
      <c r="AL73" s="253"/>
      <c r="AM73" s="57"/>
      <c r="AN73" s="57"/>
      <c r="AO73" s="57"/>
      <c r="AP73" s="253"/>
      <c r="AQ73" s="57"/>
      <c r="AR73" s="57"/>
      <c r="AS73" s="57"/>
      <c r="AT73" s="253"/>
      <c r="AU73" s="57"/>
      <c r="AV73" s="57"/>
      <c r="AW73" s="57"/>
      <c r="AX73" s="253"/>
      <c r="AY73" s="57"/>
      <c r="AZ73" s="57"/>
      <c r="BA73" s="57"/>
      <c r="BB73" s="253"/>
      <c r="BC73" s="57"/>
      <c r="BD73" s="57"/>
      <c r="BE73" s="57"/>
      <c r="BF73" s="253"/>
      <c r="BG73" s="57"/>
      <c r="BH73" s="57"/>
      <c r="BI73" s="57"/>
      <c r="BJ73" s="253"/>
      <c r="BK73" s="57"/>
      <c r="BL73" s="57"/>
      <c r="BM73" s="57"/>
      <c r="BN73" s="253"/>
      <c r="BO73" s="57"/>
      <c r="BP73" s="57"/>
      <c r="BQ73" s="44"/>
      <c r="BR73" s="254"/>
      <c r="BS73" s="44"/>
      <c r="BT73" s="44"/>
      <c r="BU73" s="44"/>
      <c r="BV73" s="66">
        <f>SUM(BV69:BV72)</f>
        <v>79</v>
      </c>
      <c r="BW73" s="183"/>
      <c r="BX73" s="44"/>
      <c r="BY73" s="44"/>
      <c r="BZ73" s="254"/>
      <c r="CA73" s="44"/>
      <c r="CB73" s="44"/>
      <c r="CC73" s="44"/>
      <c r="CD73" s="254"/>
      <c r="CE73" s="44"/>
      <c r="CF73" s="44"/>
      <c r="CG73" s="59"/>
      <c r="CH73" s="254"/>
      <c r="CI73" s="44"/>
      <c r="CJ73" s="44"/>
      <c r="CK73" s="59"/>
      <c r="CL73" s="254"/>
      <c r="CM73" s="44"/>
      <c r="CN73" s="44"/>
      <c r="CO73" s="59"/>
      <c r="CP73" s="25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57"/>
      <c r="DO73" s="57"/>
      <c r="DP73" s="57"/>
      <c r="DQ73" s="44"/>
      <c r="DR73" s="44"/>
      <c r="DS73" s="44"/>
      <c r="DT73" s="44"/>
      <c r="DU73" s="44"/>
      <c r="DV73" s="44"/>
      <c r="DW73" s="44"/>
      <c r="DX73" s="44"/>
      <c r="DY73" s="44"/>
      <c r="DZ73" s="44"/>
      <c r="EA73" s="44"/>
      <c r="EB73" s="44"/>
      <c r="EC73" s="44"/>
      <c r="ED73" s="44"/>
    </row>
    <row r="74" spans="1:134" ht="12" hidden="1" customHeight="1" outlineLevel="2">
      <c r="A74" s="44"/>
      <c r="B74" s="44"/>
      <c r="C74" s="57"/>
      <c r="D74" s="57"/>
      <c r="E74" s="57"/>
      <c r="F74" s="253"/>
      <c r="G74" s="57"/>
      <c r="H74" s="57"/>
      <c r="I74" s="57"/>
      <c r="J74" s="253"/>
      <c r="K74" s="57"/>
      <c r="L74" s="57"/>
      <c r="M74" s="57"/>
      <c r="N74" s="253"/>
      <c r="O74" s="57"/>
      <c r="P74" s="57"/>
      <c r="Q74" s="57"/>
      <c r="R74" s="253"/>
      <c r="S74" s="57"/>
      <c r="T74" s="57"/>
      <c r="U74" s="57"/>
      <c r="V74" s="253"/>
      <c r="W74" s="57"/>
      <c r="X74" s="57"/>
      <c r="Y74" s="57"/>
      <c r="Z74" s="253"/>
      <c r="AA74" s="57"/>
      <c r="AB74" s="57"/>
      <c r="AC74" s="57"/>
      <c r="AD74" s="253"/>
      <c r="AE74" s="57"/>
      <c r="AF74" s="57"/>
      <c r="AG74" s="57"/>
      <c r="AH74" s="253"/>
      <c r="AI74" s="57"/>
      <c r="AJ74" s="57"/>
      <c r="AK74" s="57"/>
      <c r="AL74" s="253"/>
      <c r="AM74" s="57"/>
      <c r="AN74" s="57"/>
      <c r="AO74" s="57"/>
      <c r="AP74" s="253"/>
      <c r="AQ74" s="57"/>
      <c r="AR74" s="57"/>
      <c r="AS74" s="57"/>
      <c r="AT74" s="253"/>
      <c r="AU74" s="57"/>
      <c r="AV74" s="57"/>
      <c r="AW74" s="57"/>
      <c r="AX74" s="253"/>
      <c r="AY74" s="57"/>
      <c r="AZ74" s="57"/>
      <c r="BA74" s="57"/>
      <c r="BB74" s="253"/>
      <c r="BC74" s="57"/>
      <c r="BD74" s="57"/>
      <c r="BE74" s="57"/>
      <c r="BF74" s="253"/>
      <c r="BG74" s="57"/>
      <c r="BH74" s="57"/>
      <c r="BI74" s="57"/>
      <c r="BJ74" s="253"/>
      <c r="BK74" s="57"/>
      <c r="BL74" s="57"/>
      <c r="BM74" s="57"/>
      <c r="BN74" s="253"/>
      <c r="BO74" s="57"/>
      <c r="BP74" s="57"/>
      <c r="BQ74" s="44"/>
      <c r="BR74" s="254"/>
      <c r="BS74" s="44"/>
      <c r="BT74" s="44"/>
      <c r="BU74" s="44"/>
      <c r="BV74" s="254"/>
      <c r="BW74" s="44"/>
      <c r="BX74" s="44"/>
      <c r="BY74" s="44"/>
      <c r="BZ74" s="254"/>
      <c r="CA74" s="44"/>
      <c r="CB74" s="44"/>
      <c r="CC74" s="44"/>
      <c r="CD74" s="254"/>
      <c r="CE74" s="44"/>
      <c r="CF74" s="44"/>
      <c r="CG74" s="59"/>
      <c r="CH74" s="254"/>
      <c r="CI74" s="44"/>
      <c r="CJ74" s="44"/>
      <c r="CK74" s="59"/>
      <c r="CL74" s="254"/>
      <c r="CM74" s="44"/>
      <c r="CN74" s="44"/>
      <c r="CO74" s="59"/>
      <c r="CP74" s="25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57"/>
      <c r="DO74" s="57"/>
      <c r="DP74" s="57"/>
      <c r="DQ74" s="44"/>
      <c r="DR74" s="44"/>
      <c r="DS74" s="44"/>
      <c r="DT74" s="44"/>
      <c r="DU74" s="44"/>
      <c r="DV74" s="44"/>
      <c r="DW74" s="44"/>
      <c r="DX74" s="44"/>
      <c r="DY74" s="44"/>
      <c r="DZ74" s="44"/>
      <c r="EA74" s="44"/>
      <c r="EB74" s="44"/>
      <c r="EC74" s="44"/>
      <c r="ED74" s="44"/>
    </row>
    <row r="75" spans="1:134" outlineLevel="1" collapsed="1">
      <c r="A75" s="256"/>
      <c r="B75" s="44"/>
      <c r="C75" s="175"/>
      <c r="D75" s="135"/>
      <c r="E75" s="175">
        <f>AH75</f>
        <v>0</v>
      </c>
      <c r="F75" s="257"/>
      <c r="G75" s="134"/>
      <c r="H75" s="134"/>
      <c r="I75" s="134"/>
      <c r="J75" s="257"/>
      <c r="K75" s="134"/>
      <c r="L75" s="134"/>
      <c r="M75" s="134"/>
      <c r="N75" s="257"/>
      <c r="O75" s="134"/>
      <c r="P75" s="134"/>
      <c r="Q75" s="134"/>
      <c r="R75" s="257"/>
      <c r="S75" s="134"/>
      <c r="T75" s="134"/>
      <c r="U75" s="134"/>
      <c r="V75" s="257"/>
      <c r="W75" s="134"/>
      <c r="X75" s="134"/>
      <c r="Y75" s="134"/>
      <c r="Z75" s="257"/>
      <c r="AA75" s="134"/>
      <c r="AB75" s="134"/>
      <c r="AC75" s="134"/>
      <c r="AD75" s="257"/>
      <c r="AE75" s="134"/>
      <c r="AF75" s="134"/>
      <c r="AG75" s="134"/>
      <c r="AH75" s="175"/>
      <c r="AI75" s="135"/>
      <c r="AJ75" s="135"/>
      <c r="AK75" s="135"/>
      <c r="AL75" s="44"/>
      <c r="AM75" s="135"/>
      <c r="AN75" s="135"/>
      <c r="AO75" s="135"/>
      <c r="AP75" s="44"/>
      <c r="AQ75" s="175"/>
      <c r="AR75" s="175"/>
      <c r="AS75" s="175"/>
      <c r="AT75" s="44"/>
      <c r="AU75" s="175"/>
      <c r="AV75" s="175"/>
      <c r="AW75" s="175"/>
      <c r="AX75" s="175"/>
      <c r="AY75" s="175"/>
      <c r="AZ75" s="136"/>
      <c r="BA75" s="175"/>
      <c r="BB75" s="175"/>
      <c r="BC75" s="175"/>
      <c r="BD75" s="175"/>
      <c r="BE75" s="134"/>
      <c r="BF75" s="175"/>
      <c r="BG75" s="134"/>
      <c r="BH75" s="134"/>
      <c r="BI75" s="134"/>
      <c r="BJ75" s="175" t="s">
        <v>340</v>
      </c>
      <c r="BK75" s="134"/>
      <c r="BL75" s="134"/>
      <c r="BM75" s="134"/>
      <c r="BN75" s="175"/>
      <c r="BO75" s="134"/>
      <c r="BP75" s="134"/>
      <c r="BQ75" s="136"/>
      <c r="BR75" s="137"/>
      <c r="BS75" s="136"/>
      <c r="BT75" s="136"/>
      <c r="BU75" s="136"/>
      <c r="BV75" s="175" t="s">
        <v>340</v>
      </c>
      <c r="BW75" s="136"/>
      <c r="BX75" s="136"/>
      <c r="BY75" s="136"/>
      <c r="BZ75" s="254"/>
      <c r="CA75" s="136"/>
      <c r="CB75" s="136"/>
      <c r="CC75" s="136"/>
      <c r="CD75" s="254"/>
      <c r="CE75" s="136"/>
      <c r="CF75" s="136"/>
      <c r="CG75" s="138"/>
      <c r="CH75" s="245" t="str">
        <f>+BV75</f>
        <v xml:space="preserve">5.  Interest Expense (Income) </v>
      </c>
      <c r="CI75" s="136"/>
      <c r="CJ75" s="136"/>
      <c r="CK75" s="138"/>
      <c r="CL75" s="254"/>
      <c r="CM75" s="136"/>
      <c r="CN75" s="136"/>
      <c r="CO75" s="138"/>
      <c r="CP75" s="254"/>
      <c r="CQ75" s="136"/>
      <c r="CR75" s="136"/>
      <c r="CS75" s="44"/>
      <c r="CT75" s="44"/>
      <c r="CU75" s="44"/>
      <c r="CV75" s="44"/>
      <c r="CW75" s="44"/>
      <c r="CX75" s="44"/>
      <c r="CY75" s="153"/>
      <c r="CZ75" s="44"/>
      <c r="DA75" s="44"/>
      <c r="DB75" s="44"/>
      <c r="DC75" s="153"/>
      <c r="DD75" s="44"/>
      <c r="DE75" s="44"/>
      <c r="DF75" s="44"/>
      <c r="DG75" s="153"/>
      <c r="DH75" s="44"/>
      <c r="DI75" s="44"/>
      <c r="DJ75" s="44"/>
      <c r="DK75" s="44"/>
      <c r="DL75" s="44"/>
      <c r="DM75" s="44"/>
      <c r="DN75" s="57"/>
      <c r="DO75" s="57"/>
      <c r="DP75" s="57"/>
      <c r="DQ75" s="44"/>
      <c r="DR75" s="44"/>
      <c r="DS75" s="44"/>
      <c r="DT75" s="44"/>
      <c r="DU75" s="44"/>
      <c r="DV75" s="44"/>
      <c r="DX75" s="44"/>
      <c r="DY75" s="44"/>
      <c r="DZ75" s="44"/>
      <c r="EA75" s="44"/>
      <c r="EB75" s="44"/>
      <c r="EC75" s="44"/>
      <c r="ED75" s="44"/>
    </row>
    <row r="76" spans="1:134" outlineLevel="1">
      <c r="A76" s="57"/>
      <c r="B76" s="57"/>
      <c r="C76" s="57"/>
      <c r="D76" s="57"/>
      <c r="E76" s="57"/>
      <c r="F76" s="57"/>
      <c r="G76" s="57"/>
      <c r="H76" s="57"/>
      <c r="I76" s="57"/>
      <c r="J76" s="57"/>
      <c r="K76" s="57"/>
      <c r="L76" s="57"/>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57"/>
      <c r="BL76" s="57"/>
      <c r="BM76" s="57"/>
      <c r="BN76" s="57"/>
      <c r="BO76" s="57"/>
      <c r="BP76" s="258"/>
      <c r="BQ76" s="44"/>
      <c r="BR76" s="44"/>
      <c r="BS76" s="44"/>
      <c r="BT76" s="259"/>
      <c r="BU76" s="44"/>
      <c r="BV76" s="44"/>
      <c r="BW76" s="44"/>
      <c r="BX76" s="259"/>
      <c r="BY76" s="44"/>
      <c r="BZ76" s="44"/>
      <c r="CA76" s="44"/>
      <c r="CB76" s="260"/>
      <c r="CC76" s="44"/>
      <c r="CD76" s="44"/>
      <c r="CE76" s="44"/>
      <c r="CF76" s="260"/>
      <c r="CG76" s="59"/>
      <c r="CH76" s="44"/>
      <c r="CI76" s="44"/>
      <c r="CJ76" s="260"/>
      <c r="CK76" s="59"/>
      <c r="CL76" s="44"/>
      <c r="CM76" s="44"/>
      <c r="CN76" s="260"/>
      <c r="CO76" s="59"/>
      <c r="CP76" s="44"/>
      <c r="CQ76" s="44"/>
      <c r="CR76" s="260"/>
      <c r="CS76" s="44"/>
      <c r="CT76" s="44"/>
      <c r="CU76" s="44"/>
      <c r="CV76" s="44"/>
      <c r="CW76" s="44"/>
      <c r="CX76" s="44"/>
      <c r="CY76" s="44"/>
      <c r="CZ76" s="44"/>
      <c r="DA76" s="44"/>
      <c r="DB76" s="44"/>
      <c r="DC76" s="44"/>
      <c r="DD76" s="44"/>
      <c r="DE76" s="44"/>
      <c r="DF76" s="44"/>
      <c r="DG76" s="44"/>
      <c r="DH76" s="44"/>
      <c r="DI76" s="44"/>
      <c r="DJ76" s="44"/>
      <c r="DK76" s="44"/>
      <c r="DL76" s="44"/>
      <c r="DM76" s="44"/>
      <c r="DN76" s="57"/>
      <c r="DO76" s="57"/>
      <c r="DP76" s="57"/>
      <c r="DQ76" s="44"/>
      <c r="DR76" s="44"/>
      <c r="DS76" s="44"/>
      <c r="DT76" s="44"/>
      <c r="DU76" s="44"/>
      <c r="DV76" s="44"/>
      <c r="DW76" s="172"/>
      <c r="DX76" s="44"/>
      <c r="DY76" s="44"/>
      <c r="DZ76" s="44"/>
      <c r="EA76" s="172"/>
      <c r="EB76" s="44"/>
      <c r="EC76" s="44"/>
      <c r="ED76" s="44"/>
    </row>
    <row r="77" spans="1:134" outlineLevel="1">
      <c r="A77" s="57" t="str">
        <f>$A$10</f>
        <v>1Q</v>
      </c>
      <c r="B77" s="57" t="str">
        <f>$B$10</f>
        <v>Apr</v>
      </c>
      <c r="C77" s="57"/>
      <c r="D77" s="147"/>
      <c r="E77" s="57"/>
      <c r="F77" s="147">
        <v>0.38300000000000001</v>
      </c>
      <c r="G77" s="181">
        <f t="shared" ref="G77:G83" si="256">F77/F30*100</f>
        <v>0.39510197344667158</v>
      </c>
      <c r="H77" s="212"/>
      <c r="I77" s="57"/>
      <c r="J77" s="147">
        <v>0.72</v>
      </c>
      <c r="K77" s="181">
        <f t="shared" ref="K77:K83" si="257">J77/J30*100</f>
        <v>0.6235709831635835</v>
      </c>
      <c r="L77" s="212"/>
      <c r="M77" s="57"/>
      <c r="N77" s="147">
        <v>2.7E-2</v>
      </c>
      <c r="O77" s="181">
        <f t="shared" ref="O77:O83" si="258">N77/N30*100</f>
        <v>1.9914441658061659E-2</v>
      </c>
      <c r="P77" s="212"/>
      <c r="Q77" s="57"/>
      <c r="R77" s="147">
        <v>0.76700000000000002</v>
      </c>
      <c r="S77" s="181">
        <f t="shared" ref="S77:S83" si="259">R77/R30*100</f>
        <v>0.50489424868181121</v>
      </c>
      <c r="T77" s="212"/>
      <c r="U77" s="57"/>
      <c r="V77" s="147">
        <v>-1.0629999999999999</v>
      </c>
      <c r="W77" s="181">
        <f t="shared" ref="W77:W83" si="260">V77/V30*100</f>
        <v>-0.57235467683228869</v>
      </c>
      <c r="X77" s="212"/>
      <c r="Y77" s="57"/>
      <c r="Z77" s="147">
        <v>-4.8490000000000002</v>
      </c>
      <c r="AA77" s="181">
        <f t="shared" ref="AA77:AA83" si="261">Z77/Z10*100</f>
        <v>-0.5713524876043965</v>
      </c>
      <c r="AB77" s="212"/>
      <c r="AC77" s="57"/>
      <c r="AD77" s="147">
        <v>-3.6179999999999999</v>
      </c>
      <c r="AE77" s="181">
        <f t="shared" ref="AE77:AE83" si="262">AD77/AD10*100</f>
        <v>-0.32502241379000568</v>
      </c>
      <c r="AF77" s="212"/>
      <c r="AG77" s="57"/>
      <c r="AH77" s="147">
        <v>-4.7380000000000004</v>
      </c>
      <c r="AI77" s="181">
        <f t="shared" ref="AI77:AI83" si="263">AH77/AH10*100</f>
        <v>-0.38483218620094778</v>
      </c>
      <c r="AJ77" s="212"/>
      <c r="AK77" s="57"/>
      <c r="AL77" s="147">
        <v>-1.141</v>
      </c>
      <c r="AM77" s="181">
        <f t="shared" ref="AM77:AM83" si="264">AL77/AL10*100</f>
        <v>-6.6348318788262223E-2</v>
      </c>
      <c r="AN77" s="212"/>
      <c r="AO77" s="212"/>
      <c r="AP77" s="147">
        <v>4.6379999999999999</v>
      </c>
      <c r="AQ77" s="181">
        <f t="shared" ref="AQ77:AQ83" si="265">AP77/AP10*100</f>
        <v>0.20362342573803616</v>
      </c>
      <c r="AR77" s="57"/>
      <c r="AS77" s="57"/>
      <c r="AT77" s="147">
        <v>8.9529999999999994</v>
      </c>
      <c r="AU77" s="181">
        <f t="shared" ref="AU77:AU83" si="266">AT77/AT10*100</f>
        <v>0.32770983788374042</v>
      </c>
      <c r="AV77" s="57"/>
      <c r="AW77" s="57"/>
      <c r="AX77" s="147">
        <f>24.038-1.135</f>
        <v>22.902999999999999</v>
      </c>
      <c r="AY77" s="181">
        <f t="shared" ref="AY77:AY83" si="267">AX77/AX10*100</f>
        <v>0.72029804481994275</v>
      </c>
      <c r="AZ77" s="57"/>
      <c r="BA77" s="57"/>
      <c r="BB77" s="147">
        <f>48.117-7.373</f>
        <v>40.744</v>
      </c>
      <c r="BC77" s="181">
        <f t="shared" ref="BC77:BC83" si="268">BB77/BB10*100</f>
        <v>1.4094173319865506</v>
      </c>
      <c r="BD77" s="57"/>
      <c r="BE77" s="57"/>
      <c r="BF77" s="147">
        <f>66.441-9.627</f>
        <v>56.814</v>
      </c>
      <c r="BG77" s="181">
        <f t="shared" ref="BG77:BG83" si="269">BF77/BF10*100</f>
        <v>1.6945386368469544</v>
      </c>
      <c r="BH77" s="57"/>
      <c r="BI77" s="57"/>
      <c r="BJ77" s="147">
        <v>39.85</v>
      </c>
      <c r="BK77" s="181">
        <f t="shared" ref="BK77:BK83" si="270">BJ77/BJ10*100</f>
        <v>1.0865519765839187</v>
      </c>
      <c r="BL77" s="57"/>
      <c r="BM77" s="57"/>
      <c r="BN77" s="147">
        <v>-2.4159999999999999</v>
      </c>
      <c r="BO77" s="181">
        <f t="shared" ref="BO77:BO83" si="271">BN77/BN10*100</f>
        <v>-6.6624511588004615E-2</v>
      </c>
      <c r="BP77" s="57"/>
      <c r="BQ77" s="44"/>
      <c r="BR77" s="147">
        <v>-21.222000000000001</v>
      </c>
      <c r="BS77" s="183">
        <f t="shared" ref="BS77:BS83" si="272">BR77/BR10*100</f>
        <v>-0.61709799360279161</v>
      </c>
      <c r="BT77" s="44"/>
      <c r="BU77" s="44"/>
      <c r="BV77" s="147">
        <f>10-33</f>
        <v>-23</v>
      </c>
      <c r="BW77" s="183">
        <f t="shared" ref="BW77:BW83" si="273">BV77/BV10*100</f>
        <v>-0.6480698788391096</v>
      </c>
      <c r="BX77" s="44"/>
      <c r="BY77" s="44"/>
      <c r="BZ77" s="147">
        <f>-12+-13</f>
        <v>-25</v>
      </c>
      <c r="CA77" s="183">
        <f t="shared" ref="CA77:CA83" si="274">BZ77/BZ10*100</f>
        <v>-0.73877068557919623</v>
      </c>
      <c r="CB77" s="201"/>
      <c r="CC77" s="44"/>
      <c r="CD77" s="147">
        <v>0</v>
      </c>
      <c r="CE77" s="183">
        <f t="shared" ref="CE77:CE83" si="275">CD77/CD10*100</f>
        <v>0</v>
      </c>
      <c r="CF77" s="201"/>
      <c r="CG77" s="59"/>
      <c r="CH77" s="147">
        <v>-11</v>
      </c>
      <c r="CI77" s="183">
        <f t="shared" ref="CI77:CI83" si="276">CH77/CH10*100</f>
        <v>-0.33042955842595373</v>
      </c>
      <c r="CJ77" s="201"/>
      <c r="CK77" s="59"/>
      <c r="CL77" s="147">
        <v>5</v>
      </c>
      <c r="CM77" s="183">
        <f t="shared" ref="CM77:CM83" si="277">CL77/CL10*100</f>
        <v>0.15174506828528073</v>
      </c>
      <c r="CN77" s="201"/>
      <c r="CO77" s="59"/>
      <c r="CP77" s="147">
        <v>22</v>
      </c>
      <c r="CQ77" s="183">
        <f t="shared" ref="CQ77:CQ83" si="278">CP77/CP10*100</f>
        <v>0.63091482649842268</v>
      </c>
      <c r="CR77" s="201"/>
      <c r="CS77" s="261"/>
      <c r="CT77" s="147">
        <v>0</v>
      </c>
      <c r="CU77" s="183">
        <f>CT77/CT10*100</f>
        <v>0</v>
      </c>
      <c r="CV77" s="261"/>
      <c r="CW77" s="261"/>
      <c r="CX77" s="147">
        <v>17</v>
      </c>
      <c r="CY77" s="183">
        <f>CX77/CX10*100</f>
        <v>0.45045045045045046</v>
      </c>
      <c r="CZ77" s="261"/>
      <c r="DA77" s="261"/>
      <c r="DB77" s="147">
        <v>4</v>
      </c>
      <c r="DC77" s="183">
        <f>DB77/DB10*100</f>
        <v>0.10937927262783702</v>
      </c>
      <c r="DD77" s="261"/>
      <c r="DE77" s="261"/>
      <c r="DF77" s="147">
        <v>18</v>
      </c>
      <c r="DG77" s="183">
        <f>DF77/DF10*100</f>
        <v>0.52356020942408377</v>
      </c>
      <c r="DH77" s="261"/>
      <c r="DI77" s="261"/>
      <c r="DJ77" s="147">
        <v>16</v>
      </c>
      <c r="DK77" s="183">
        <f>DJ77/DJ10*100</f>
        <v>0.46511627906976744</v>
      </c>
      <c r="DL77" s="261"/>
      <c r="DM77" s="261"/>
      <c r="DN77" s="147">
        <v>13</v>
      </c>
      <c r="DO77" s="181">
        <f>DN77/DN10*100</f>
        <v>0.36958203907014431</v>
      </c>
      <c r="DP77" s="2018"/>
      <c r="DQ77" s="261"/>
      <c r="DR77" s="261"/>
      <c r="DS77" s="261"/>
      <c r="DT77" s="261"/>
      <c r="DU77" s="261"/>
      <c r="DV77" s="262"/>
      <c r="DW77" s="44"/>
      <c r="DX77" s="44"/>
      <c r="DY77" s="44"/>
      <c r="DZ77" s="262"/>
      <c r="EA77" s="44"/>
      <c r="EB77" s="44"/>
      <c r="EC77" s="44"/>
      <c r="ED77" s="44"/>
    </row>
    <row r="78" spans="1:134" ht="11.25" customHeight="1" outlineLevel="1">
      <c r="A78" s="57" t="str">
        <f>$A$11</f>
        <v>2Q</v>
      </c>
      <c r="B78" s="57" t="str">
        <f>$B$11</f>
        <v>Jul</v>
      </c>
      <c r="C78" s="57"/>
      <c r="D78" s="156"/>
      <c r="E78" s="57"/>
      <c r="F78" s="156">
        <v>0.33300000000000002</v>
      </c>
      <c r="G78" s="181">
        <f t="shared" si="256"/>
        <v>0.33314325159818725</v>
      </c>
      <c r="H78" s="57"/>
      <c r="I78" s="57"/>
      <c r="J78" s="156">
        <v>1.5640000000000001</v>
      </c>
      <c r="K78" s="181">
        <f t="shared" si="257"/>
        <v>1.264022241618983</v>
      </c>
      <c r="L78" s="57"/>
      <c r="M78" s="57"/>
      <c r="N78" s="156">
        <v>1.1919999999999999</v>
      </c>
      <c r="O78" s="181">
        <f t="shared" si="258"/>
        <v>0.85188493835983548</v>
      </c>
      <c r="P78" s="57"/>
      <c r="Q78" s="57"/>
      <c r="R78" s="156">
        <v>0.45400000000000001</v>
      </c>
      <c r="S78" s="181">
        <f t="shared" si="259"/>
        <v>0.29611270545264806</v>
      </c>
      <c r="T78" s="57"/>
      <c r="U78" s="57"/>
      <c r="V78" s="156">
        <v>-0.39400000000000002</v>
      </c>
      <c r="W78" s="181">
        <f t="shared" si="260"/>
        <v>-0.20482215822251798</v>
      </c>
      <c r="X78" s="57"/>
      <c r="Y78" s="57"/>
      <c r="Z78" s="156">
        <v>-4.43</v>
      </c>
      <c r="AA78" s="181">
        <f t="shared" si="261"/>
        <v>-0.51006661953635746</v>
      </c>
      <c r="AB78" s="57"/>
      <c r="AC78" s="57"/>
      <c r="AD78" s="156">
        <v>-3.956</v>
      </c>
      <c r="AE78" s="181">
        <f t="shared" si="262"/>
        <v>-0.35310866838936567</v>
      </c>
      <c r="AF78" s="57"/>
      <c r="AG78" s="57"/>
      <c r="AH78" s="156">
        <v>-1.4590000000000001</v>
      </c>
      <c r="AI78" s="181">
        <f t="shared" si="263"/>
        <v>-0.1084580154487627</v>
      </c>
      <c r="AJ78" s="57"/>
      <c r="AK78" s="57"/>
      <c r="AL78" s="156">
        <v>0.67800000000000005</v>
      </c>
      <c r="AM78" s="181">
        <f t="shared" si="264"/>
        <v>3.559111167104994E-2</v>
      </c>
      <c r="AN78" s="57"/>
      <c r="AO78" s="57"/>
      <c r="AP78" s="156">
        <v>3.1709999999999998</v>
      </c>
      <c r="AQ78" s="181">
        <f t="shared" si="265"/>
        <v>0.12925241884631516</v>
      </c>
      <c r="AR78" s="57"/>
      <c r="AS78" s="57"/>
      <c r="AT78" s="156">
        <f>13.8-2.081</f>
        <v>11.719000000000001</v>
      </c>
      <c r="AU78" s="181">
        <f t="shared" si="266"/>
        <v>0.3975623143900664</v>
      </c>
      <c r="AV78" s="57"/>
      <c r="AW78" s="57"/>
      <c r="AX78" s="156">
        <f>28.863-1.893</f>
        <v>26.97</v>
      </c>
      <c r="AY78" s="181">
        <f t="shared" si="267"/>
        <v>0.83106871986143305</v>
      </c>
      <c r="AZ78" s="57"/>
      <c r="BA78" s="57"/>
      <c r="BB78" s="156">
        <f>66.964-9.843</f>
        <v>57.120999999999995</v>
      </c>
      <c r="BC78" s="181">
        <f t="shared" si="268"/>
        <v>1.7477233639781302</v>
      </c>
      <c r="BD78" s="57"/>
      <c r="BE78" s="57"/>
      <c r="BF78" s="156">
        <f>61.849-9.249</f>
        <v>52.599999999999994</v>
      </c>
      <c r="BG78" s="181">
        <f t="shared" si="269"/>
        <v>1.4272926023098802</v>
      </c>
      <c r="BH78" s="57"/>
      <c r="BI78" s="57"/>
      <c r="BJ78" s="156">
        <v>31.184000000000001</v>
      </c>
      <c r="BK78" s="181">
        <f t="shared" si="270"/>
        <v>0.83810181120187144</v>
      </c>
      <c r="BL78" s="57"/>
      <c r="BM78" s="57"/>
      <c r="BN78" s="156">
        <v>-15.045</v>
      </c>
      <c r="BO78" s="181">
        <f t="shared" si="271"/>
        <v>-0.40483836333900025</v>
      </c>
      <c r="BP78" s="45"/>
      <c r="BQ78" s="44"/>
      <c r="BR78" s="156">
        <f>-32+11</f>
        <v>-21</v>
      </c>
      <c r="BS78" s="183">
        <f t="shared" si="272"/>
        <v>-0.56542810985460412</v>
      </c>
      <c r="BT78" s="45"/>
      <c r="BU78" s="44"/>
      <c r="BV78" s="156">
        <f>-36+10</f>
        <v>-26</v>
      </c>
      <c r="BW78" s="183">
        <f t="shared" si="273"/>
        <v>-0.70556309362279512</v>
      </c>
      <c r="BX78" s="45"/>
      <c r="BY78" s="44"/>
      <c r="BZ78" s="156">
        <v>-4</v>
      </c>
      <c r="CA78" s="183">
        <f t="shared" si="274"/>
        <v>-0.11431837667905116</v>
      </c>
      <c r="CB78" s="48"/>
      <c r="CC78" s="44"/>
      <c r="CD78" s="156">
        <v>-1</v>
      </c>
      <c r="CE78" s="183">
        <f t="shared" si="275"/>
        <v>-3.0816640986132512E-2</v>
      </c>
      <c r="CF78" s="48"/>
      <c r="CG78" s="59"/>
      <c r="CH78" s="156">
        <v>-1</v>
      </c>
      <c r="CI78" s="183">
        <f t="shared" si="276"/>
        <v>-3.0147723846849564E-2</v>
      </c>
      <c r="CJ78" s="48"/>
      <c r="CK78" s="59"/>
      <c r="CL78" s="156">
        <v>21</v>
      </c>
      <c r="CM78" s="183">
        <f t="shared" si="277"/>
        <v>0.6202008269344359</v>
      </c>
      <c r="CN78" s="48"/>
      <c r="CO78" s="59"/>
      <c r="CP78" s="156">
        <v>20</v>
      </c>
      <c r="CQ78" s="183">
        <f t="shared" si="278"/>
        <v>0.55944055944055948</v>
      </c>
      <c r="CR78" s="48"/>
      <c r="CS78" s="261"/>
      <c r="CT78" s="263">
        <v>18</v>
      </c>
      <c r="CU78" s="183">
        <f t="shared" ref="CU78:CU83" si="279">CT78/CT11*100</f>
        <v>0.46535677352637023</v>
      </c>
      <c r="CV78" s="261"/>
      <c r="CW78" s="261"/>
      <c r="CX78" s="263">
        <v>18</v>
      </c>
      <c r="CY78" s="183">
        <f t="shared" ref="CY78:CY83" si="280">CX78/CX11*100</f>
        <v>0.45214770158251694</v>
      </c>
      <c r="CZ78" s="261"/>
      <c r="DA78" s="261"/>
      <c r="DB78" s="263">
        <v>16</v>
      </c>
      <c r="DC78" s="183">
        <f t="shared" ref="DC78:DC83" si="281">DB78/DB11*100</f>
        <v>0.4104669061056952</v>
      </c>
      <c r="DD78" s="261"/>
      <c r="DE78" s="261"/>
      <c r="DF78" s="263">
        <v>16</v>
      </c>
      <c r="DG78" s="183">
        <f t="shared" ref="DG78:DG83" si="282">DF78/DF11*100</f>
        <v>0.41547649961049077</v>
      </c>
      <c r="DH78" s="261"/>
      <c r="DI78" s="261"/>
      <c r="DJ78" s="263">
        <v>12</v>
      </c>
      <c r="DK78" s="183">
        <f t="shared" ref="DK78:DK83" si="283">DJ78/DJ11*100</f>
        <v>0.31587259805211898</v>
      </c>
      <c r="DL78" s="261"/>
      <c r="DM78" s="261"/>
      <c r="DN78" s="156">
        <v>13</v>
      </c>
      <c r="DO78" s="181">
        <f t="shared" ref="DO78:DO83" si="284">DN78/DN11*100</f>
        <v>0.33294117564835474</v>
      </c>
      <c r="DP78" s="2018"/>
      <c r="DQ78" s="261"/>
      <c r="DR78" s="261"/>
      <c r="DS78" s="261"/>
      <c r="DT78" s="261"/>
      <c r="DU78" s="261"/>
      <c r="DV78" s="262"/>
      <c r="DW78" s="44"/>
      <c r="DX78" s="44"/>
      <c r="DY78" s="44"/>
      <c r="DZ78" s="262"/>
      <c r="EA78" s="44"/>
      <c r="EB78" s="44"/>
      <c r="EC78" s="44"/>
      <c r="ED78" s="44"/>
    </row>
    <row r="79" spans="1:134" outlineLevel="1">
      <c r="A79" s="57" t="str">
        <f>$A$12</f>
        <v>3Q</v>
      </c>
      <c r="B79" s="57" t="str">
        <f>$B$12</f>
        <v>Oct</v>
      </c>
      <c r="C79" s="57"/>
      <c r="D79" s="156"/>
      <c r="E79" s="57"/>
      <c r="F79" s="156">
        <v>0.746</v>
      </c>
      <c r="G79" s="181">
        <f t="shared" si="256"/>
        <v>0.63598697334992926</v>
      </c>
      <c r="H79" s="57"/>
      <c r="I79" s="57"/>
      <c r="J79" s="156">
        <v>1.4379999999999999</v>
      </c>
      <c r="K79" s="181">
        <f t="shared" si="257"/>
        <v>0.88706294569052724</v>
      </c>
      <c r="L79" s="57"/>
      <c r="M79" s="57"/>
      <c r="N79" s="156">
        <v>1.62</v>
      </c>
      <c r="O79" s="181">
        <f t="shared" si="258"/>
        <v>0.85163650892115528</v>
      </c>
      <c r="P79" s="57"/>
      <c r="Q79" s="57"/>
      <c r="R79" s="156">
        <v>0.318</v>
      </c>
      <c r="S79" s="181">
        <f t="shared" si="259"/>
        <v>0.15209198216984562</v>
      </c>
      <c r="T79" s="57"/>
      <c r="U79" s="57"/>
      <c r="V79" s="156">
        <v>-3.669</v>
      </c>
      <c r="W79" s="181">
        <f t="shared" si="260"/>
        <v>-1.6111325792173119</v>
      </c>
      <c r="X79" s="57"/>
      <c r="Y79" s="57"/>
      <c r="Z79" s="156">
        <v>-2.0659999999999998</v>
      </c>
      <c r="AA79" s="181">
        <f t="shared" si="261"/>
        <v>-0.17873070058801185</v>
      </c>
      <c r="AB79" s="57"/>
      <c r="AC79" s="57"/>
      <c r="AD79" s="156">
        <v>-5.2130000000000001</v>
      </c>
      <c r="AE79" s="181">
        <f t="shared" si="262"/>
        <v>-0.37693529120836211</v>
      </c>
      <c r="AF79" s="57"/>
      <c r="AG79" s="57"/>
      <c r="AH79" s="156">
        <v>4.0519999999999996</v>
      </c>
      <c r="AI79" s="181">
        <f t="shared" si="263"/>
        <v>0.22945299922590753</v>
      </c>
      <c r="AJ79" s="57"/>
      <c r="AK79" s="57"/>
      <c r="AL79" s="156">
        <v>6.8</v>
      </c>
      <c r="AM79" s="181">
        <f t="shared" si="264"/>
        <v>0.28333947235523438</v>
      </c>
      <c r="AN79" s="57"/>
      <c r="AO79" s="57"/>
      <c r="AP79" s="156">
        <v>10.557</v>
      </c>
      <c r="AQ79" s="181">
        <f t="shared" si="265"/>
        <v>0.34665556353119115</v>
      </c>
      <c r="AR79" s="57"/>
      <c r="AS79" s="57"/>
      <c r="AT79" s="156">
        <v>20.483000000000001</v>
      </c>
      <c r="AU79" s="181">
        <f t="shared" si="266"/>
        <v>0.59985333859690015</v>
      </c>
      <c r="AV79" s="57"/>
      <c r="AW79" s="57"/>
      <c r="AX79" s="156">
        <f>23.748-5.408</f>
        <v>18.34</v>
      </c>
      <c r="AY79" s="181">
        <f t="shared" si="267"/>
        <v>0.55019345269791287</v>
      </c>
      <c r="AZ79" s="57"/>
      <c r="BA79" s="57"/>
      <c r="BB79" s="156">
        <f>67.475-9.57</f>
        <v>57.904999999999994</v>
      </c>
      <c r="BC79" s="181">
        <f t="shared" si="268"/>
        <v>1.5886337173891807</v>
      </c>
      <c r="BD79" s="57"/>
      <c r="BE79" s="57"/>
      <c r="BF79" s="156">
        <f>51.706-8.382</f>
        <v>43.324000000000005</v>
      </c>
      <c r="BG79" s="181">
        <f t="shared" si="269"/>
        <v>1.1025444743496302</v>
      </c>
      <c r="BH79" s="57"/>
      <c r="BI79" s="57"/>
      <c r="BJ79" s="156">
        <f>38-15</f>
        <v>23</v>
      </c>
      <c r="BK79" s="181">
        <f t="shared" si="270"/>
        <v>0.57786766830395841</v>
      </c>
      <c r="BL79" s="57"/>
      <c r="BM79" s="57"/>
      <c r="BN79" s="156">
        <v>-11.222</v>
      </c>
      <c r="BO79" s="181">
        <f t="shared" si="271"/>
        <v>-0.29073246861452062</v>
      </c>
      <c r="BP79" s="57"/>
      <c r="BQ79" s="44"/>
      <c r="BR79" s="156">
        <v>-23.969000000000001</v>
      </c>
      <c r="BS79" s="183">
        <f t="shared" si="272"/>
        <v>-0.62240976369774093</v>
      </c>
      <c r="BT79" s="54"/>
      <c r="BU79" s="44"/>
      <c r="BV79" s="156">
        <f>-28+1</f>
        <v>-27</v>
      </c>
      <c r="BW79" s="183">
        <f t="shared" si="273"/>
        <v>-0.70057083549558896</v>
      </c>
      <c r="BX79" s="44"/>
      <c r="BY79" s="44"/>
      <c r="BZ79" s="156">
        <v>-4</v>
      </c>
      <c r="CA79" s="183">
        <f t="shared" si="274"/>
        <v>-0.11232799775344005</v>
      </c>
      <c r="CB79" s="44"/>
      <c r="CC79" s="44"/>
      <c r="CD79" s="156">
        <v>0</v>
      </c>
      <c r="CE79" s="183">
        <f t="shared" si="275"/>
        <v>0</v>
      </c>
      <c r="CF79" s="44"/>
      <c r="CG79" s="59"/>
      <c r="CH79" s="156">
        <v>2</v>
      </c>
      <c r="CI79" s="183">
        <f t="shared" si="276"/>
        <v>5.4734537493158188E-2</v>
      </c>
      <c r="CJ79" s="44"/>
      <c r="CK79" s="59"/>
      <c r="CL79" s="156">
        <v>21</v>
      </c>
      <c r="CM79" s="183">
        <f t="shared" si="277"/>
        <v>0.58577405857740583</v>
      </c>
      <c r="CN79" s="44"/>
      <c r="CO79" s="59"/>
      <c r="CP79" s="156">
        <v>21</v>
      </c>
      <c r="CQ79" s="183">
        <f t="shared" si="278"/>
        <v>0.54347826086956519</v>
      </c>
      <c r="CR79" s="44"/>
      <c r="CS79" s="261"/>
      <c r="CT79" s="156">
        <v>20</v>
      </c>
      <c r="CU79" s="183">
        <f t="shared" si="279"/>
        <v>0.50301810865191143</v>
      </c>
      <c r="CV79" s="261"/>
      <c r="CW79" s="261"/>
      <c r="CX79" s="156">
        <v>18</v>
      </c>
      <c r="CY79" s="183">
        <f t="shared" si="280"/>
        <v>0.45317220543806652</v>
      </c>
      <c r="CZ79" s="261"/>
      <c r="DA79" s="261"/>
      <c r="DB79" s="156">
        <v>18</v>
      </c>
      <c r="DC79" s="183">
        <f t="shared" si="281"/>
        <v>0.46668395125745399</v>
      </c>
      <c r="DD79" s="261"/>
      <c r="DE79" s="261"/>
      <c r="DF79" s="156">
        <v>17</v>
      </c>
      <c r="DG79" s="183">
        <f t="shared" si="282"/>
        <v>0.44760400210637175</v>
      </c>
      <c r="DH79" s="261"/>
      <c r="DI79" s="261"/>
      <c r="DJ79" s="156">
        <v>14</v>
      </c>
      <c r="DK79" s="183">
        <f t="shared" si="283"/>
        <v>0.36477331943720687</v>
      </c>
      <c r="DL79" s="261"/>
      <c r="DM79" s="261"/>
      <c r="DN79" s="156">
        <v>14</v>
      </c>
      <c r="DO79" s="181">
        <f t="shared" si="284"/>
        <v>0.35861778616450024</v>
      </c>
      <c r="DP79" s="2018"/>
      <c r="DQ79" s="261"/>
      <c r="DR79" s="261"/>
      <c r="DS79" s="261"/>
      <c r="DT79" s="261"/>
      <c r="DU79" s="261"/>
      <c r="DV79" s="262"/>
      <c r="DW79" s="44"/>
      <c r="DX79" s="44"/>
      <c r="DY79" s="44"/>
      <c r="DZ79" s="262"/>
      <c r="EA79" s="44"/>
      <c r="EB79" s="44"/>
      <c r="EC79" s="44"/>
      <c r="ED79" s="44"/>
    </row>
    <row r="80" spans="1:134" outlineLevel="1">
      <c r="A80" s="57" t="str">
        <f>$A$13</f>
        <v>4Q</v>
      </c>
      <c r="B80" s="57" t="str">
        <f>$B$13</f>
        <v>Jan</v>
      </c>
      <c r="C80" s="60"/>
      <c r="D80" s="163"/>
      <c r="E80" s="60"/>
      <c r="F80" s="163">
        <v>-2.7E-2</v>
      </c>
      <c r="G80" s="181">
        <f t="shared" si="256"/>
        <v>-1.9287367488641884E-2</v>
      </c>
      <c r="H80" s="57"/>
      <c r="I80" s="57"/>
      <c r="J80" s="163">
        <v>-0.19900000000000001</v>
      </c>
      <c r="K80" s="181">
        <f t="shared" si="257"/>
        <v>-0.11411728274707252</v>
      </c>
      <c r="L80" s="57"/>
      <c r="M80" s="57"/>
      <c r="N80" s="163">
        <v>0.92400000000000004</v>
      </c>
      <c r="O80" s="181">
        <f t="shared" si="258"/>
        <v>0.47257383966244731</v>
      </c>
      <c r="P80" s="57"/>
      <c r="Q80" s="57"/>
      <c r="R80" s="163">
        <v>-0.73</v>
      </c>
      <c r="S80" s="181">
        <f t="shared" si="259"/>
        <v>-0.31213121483179118</v>
      </c>
      <c r="T80" s="57"/>
      <c r="U80" s="57"/>
      <c r="V80" s="163">
        <v>-5.7759999999999998</v>
      </c>
      <c r="W80" s="181">
        <f t="shared" si="260"/>
        <v>-2.3317589116305353</v>
      </c>
      <c r="X80" s="57"/>
      <c r="Y80" s="57"/>
      <c r="Z80" s="163">
        <v>-4.452</v>
      </c>
      <c r="AA80" s="181">
        <f t="shared" si="261"/>
        <v>-0.29248641041913853</v>
      </c>
      <c r="AB80" s="57"/>
      <c r="AC80" s="57"/>
      <c r="AD80" s="163">
        <v>-6.6630000000000003</v>
      </c>
      <c r="AE80" s="181">
        <f t="shared" si="262"/>
        <v>-0.39948533961350108</v>
      </c>
      <c r="AF80" s="57"/>
      <c r="AG80" s="57"/>
      <c r="AH80" s="163">
        <v>-0.83</v>
      </c>
      <c r="AI80" s="181">
        <f t="shared" si="263"/>
        <v>-3.8328702333294391E-2</v>
      </c>
      <c r="AJ80" s="57"/>
      <c r="AK80" s="57"/>
      <c r="AL80" s="163">
        <v>7.28</v>
      </c>
      <c r="AM80" s="181">
        <f t="shared" si="264"/>
        <v>0.24027734871108369</v>
      </c>
      <c r="AN80" s="57"/>
      <c r="AO80" s="57"/>
      <c r="AP80" s="163">
        <v>13.388999999999999</v>
      </c>
      <c r="AQ80" s="181">
        <f t="shared" si="265"/>
        <v>0.34696065421091132</v>
      </c>
      <c r="AR80" s="57"/>
      <c r="AS80" s="57"/>
      <c r="AT80" s="163">
        <f>27.576-5.855</f>
        <v>21.721</v>
      </c>
      <c r="AU80" s="181">
        <f t="shared" si="266"/>
        <v>0.47435209805970102</v>
      </c>
      <c r="AV80" s="57"/>
      <c r="AW80" s="57"/>
      <c r="AX80" s="163">
        <f>32.541-4.879</f>
        <v>27.661999999999999</v>
      </c>
      <c r="AY80" s="181">
        <f t="shared" si="267"/>
        <v>0.67639453495124857</v>
      </c>
      <c r="AZ80" s="57"/>
      <c r="BA80" s="57"/>
      <c r="BB80" s="163">
        <f>66.043-10.059</f>
        <v>55.984000000000009</v>
      </c>
      <c r="BC80" s="181">
        <f t="shared" si="268"/>
        <v>1.2038006246070405</v>
      </c>
      <c r="BD80" s="57"/>
      <c r="BE80" s="57"/>
      <c r="BF80" s="163">
        <f>53.64-10.754</f>
        <v>42.886000000000003</v>
      </c>
      <c r="BG80" s="181">
        <f t="shared" si="269"/>
        <v>0.87768487335109202</v>
      </c>
      <c r="BH80" s="57"/>
      <c r="BI80" s="57"/>
      <c r="BJ80" s="163">
        <f>33-19</f>
        <v>14</v>
      </c>
      <c r="BK80" s="181">
        <f t="shared" si="270"/>
        <v>0.28577861506375823</v>
      </c>
      <c r="BL80" s="57"/>
      <c r="BM80" s="57"/>
      <c r="BN80" s="163">
        <v>-19.29</v>
      </c>
      <c r="BO80" s="181">
        <f t="shared" si="271"/>
        <v>-0.40013416629277254</v>
      </c>
      <c r="BP80" s="57"/>
      <c r="BQ80" s="44"/>
      <c r="BR80" s="163">
        <f>-35+11</f>
        <v>-24</v>
      </c>
      <c r="BS80" s="183">
        <f t="shared" si="272"/>
        <v>-0.48790404553771094</v>
      </c>
      <c r="BT80" s="44"/>
      <c r="BU80" s="44"/>
      <c r="BV80" s="163">
        <f>-20+5</f>
        <v>-15</v>
      </c>
      <c r="BW80" s="183">
        <f t="shared" si="273"/>
        <v>-0.32085561497326204</v>
      </c>
      <c r="BX80" s="44"/>
      <c r="BY80" s="44"/>
      <c r="BZ80" s="163">
        <v>-3</v>
      </c>
      <c r="CA80" s="183">
        <f t="shared" si="274"/>
        <v>-7.3493385595296418E-2</v>
      </c>
      <c r="CB80" s="201">
        <f>BZ80/BV80-1</f>
        <v>-0.8</v>
      </c>
      <c r="CC80" s="44"/>
      <c r="CD80" s="163">
        <v>0</v>
      </c>
      <c r="CE80" s="183">
        <f t="shared" si="275"/>
        <v>0</v>
      </c>
      <c r="CF80" s="44"/>
      <c r="CG80" s="59"/>
      <c r="CH80" s="163">
        <v>-4</v>
      </c>
      <c r="CI80" s="183">
        <f t="shared" si="276"/>
        <v>-9.1659028414298807E-2</v>
      </c>
      <c r="CJ80" s="44"/>
      <c r="CK80" s="59"/>
      <c r="CL80" s="163">
        <v>22</v>
      </c>
      <c r="CM80" s="183">
        <f t="shared" si="277"/>
        <v>0.51365865047863646</v>
      </c>
      <c r="CN80" s="44"/>
      <c r="CO80" s="59"/>
      <c r="CP80" s="163">
        <v>18</v>
      </c>
      <c r="CQ80" s="183">
        <f t="shared" si="278"/>
        <v>0.38095238095238093</v>
      </c>
      <c r="CR80" s="44"/>
      <c r="CS80" s="261"/>
      <c r="CT80" s="163">
        <v>18</v>
      </c>
      <c r="CU80" s="183">
        <f t="shared" si="279"/>
        <v>0.39344262295081966</v>
      </c>
      <c r="CV80" s="261"/>
      <c r="CW80" s="261"/>
      <c r="CX80" s="163">
        <v>17</v>
      </c>
      <c r="CY80" s="183">
        <f t="shared" si="280"/>
        <v>0.36108751062022088</v>
      </c>
      <c r="CZ80" s="261"/>
      <c r="DA80" s="261"/>
      <c r="DB80" s="163">
        <v>15</v>
      </c>
      <c r="DC80" s="183">
        <f t="shared" si="281"/>
        <v>0.34207525655644244</v>
      </c>
      <c r="DD80" s="261"/>
      <c r="DE80" s="261"/>
      <c r="DF80" s="163">
        <v>16</v>
      </c>
      <c r="DG80" s="183">
        <f t="shared" si="282"/>
        <v>0.36125536238428541</v>
      </c>
      <c r="DH80" s="261"/>
      <c r="DI80" s="261"/>
      <c r="DJ80" s="163">
        <v>13</v>
      </c>
      <c r="DK80" s="183">
        <f t="shared" si="283"/>
        <v>0.27208036835496024</v>
      </c>
      <c r="DL80" s="261"/>
      <c r="DM80" s="261"/>
      <c r="DN80" s="163">
        <v>13</v>
      </c>
      <c r="DO80" s="181">
        <f t="shared" si="284"/>
        <v>0.27769376483360497</v>
      </c>
      <c r="DP80" s="2018"/>
      <c r="DQ80" s="261"/>
      <c r="DR80" s="261"/>
      <c r="DS80" s="261"/>
      <c r="DT80" s="261"/>
      <c r="DU80" s="261"/>
      <c r="DV80" s="262"/>
      <c r="DW80" s="44"/>
      <c r="DX80" s="44"/>
      <c r="DY80" s="44"/>
      <c r="DZ80" s="262"/>
      <c r="EA80" s="44"/>
      <c r="EB80" s="44"/>
      <c r="EC80" s="44"/>
      <c r="ED80" s="44"/>
    </row>
    <row r="81" spans="1:134" outlineLevel="1">
      <c r="A81" s="57"/>
      <c r="B81" s="57" t="str">
        <f>$B$14</f>
        <v>Year</v>
      </c>
      <c r="C81" s="57"/>
      <c r="D81" s="167"/>
      <c r="E81" s="57"/>
      <c r="F81" s="167">
        <f>SUM(F77:F80)</f>
        <v>1.4350000000000001</v>
      </c>
      <c r="G81" s="181">
        <f t="shared" si="256"/>
        <v>0.31595402703773834</v>
      </c>
      <c r="H81" s="57"/>
      <c r="I81" s="57"/>
      <c r="J81" s="167">
        <f>SUM(J77:J80)</f>
        <v>3.5229999999999997</v>
      </c>
      <c r="K81" s="181">
        <f t="shared" si="257"/>
        <v>0.6119655506647721</v>
      </c>
      <c r="L81" s="57"/>
      <c r="M81" s="57"/>
      <c r="N81" s="167">
        <f>SUM(N77:N80)</f>
        <v>3.7629999999999999</v>
      </c>
      <c r="O81" s="181">
        <f t="shared" si="258"/>
        <v>0.56907200280679682</v>
      </c>
      <c r="P81" s="57"/>
      <c r="Q81" s="57"/>
      <c r="R81" s="167">
        <f>SUM(R77:R80)</f>
        <v>0.80900000000000016</v>
      </c>
      <c r="S81" s="181">
        <f t="shared" si="259"/>
        <v>0.1081271810883021</v>
      </c>
      <c r="T81" s="57"/>
      <c r="U81" s="57"/>
      <c r="V81" s="167">
        <f>SUM(V77:V80)</f>
        <v>-10.901999999999999</v>
      </c>
      <c r="W81" s="181">
        <f t="shared" si="260"/>
        <v>-1.2772927299056613</v>
      </c>
      <c r="X81" s="57"/>
      <c r="Y81" s="57"/>
      <c r="Z81" s="167">
        <f>SUM(Z77:Z80)</f>
        <v>-15.796999999999999</v>
      </c>
      <c r="AA81" s="181">
        <f t="shared" si="261"/>
        <v>-0.35941048217247096</v>
      </c>
      <c r="AB81" s="57"/>
      <c r="AC81" s="57"/>
      <c r="AD81" s="167">
        <f>SUM(AD77:AD80)</f>
        <v>-19.45</v>
      </c>
      <c r="AE81" s="181">
        <f t="shared" si="262"/>
        <v>-0.36806581508789765</v>
      </c>
      <c r="AF81" s="57"/>
      <c r="AG81" s="57"/>
      <c r="AH81" s="167">
        <f>SUM(AH77:AH80)</f>
        <v>-2.9750000000000014</v>
      </c>
      <c r="AI81" s="181">
        <f t="shared" si="263"/>
        <v>-4.5714197907903195E-2</v>
      </c>
      <c r="AJ81" s="57"/>
      <c r="AK81" s="57"/>
      <c r="AL81" s="167">
        <f>SUM(AL77:AL80)</f>
        <v>13.617000000000001</v>
      </c>
      <c r="AM81" s="181">
        <f t="shared" si="264"/>
        <v>0.15038994034101641</v>
      </c>
      <c r="AN81" s="57"/>
      <c r="AO81" s="57"/>
      <c r="AP81" s="167">
        <f>SUM(AP77:AP80)</f>
        <v>31.754999999999999</v>
      </c>
      <c r="AQ81" s="181">
        <f t="shared" si="265"/>
        <v>0.27291717911153535</v>
      </c>
      <c r="AR81" s="57"/>
      <c r="AS81" s="57"/>
      <c r="AT81" s="167">
        <f>SUM(AT77:AT80)</f>
        <v>62.876000000000005</v>
      </c>
      <c r="AU81" s="181">
        <f t="shared" si="266"/>
        <v>0.45983971869592627</v>
      </c>
      <c r="AV81" s="57"/>
      <c r="AW81" s="57"/>
      <c r="AX81" s="167">
        <f>SUM(AX77:AX80)</f>
        <v>95.875</v>
      </c>
      <c r="AY81" s="181">
        <f t="shared" si="267"/>
        <v>0.69234459328158193</v>
      </c>
      <c r="AZ81" s="57"/>
      <c r="BA81" s="57"/>
      <c r="BB81" s="167">
        <f>SUM(BB77:BB80)</f>
        <v>211.75399999999999</v>
      </c>
      <c r="BC81" s="181">
        <f t="shared" si="268"/>
        <v>1.4649482047684255</v>
      </c>
      <c r="BD81" s="57"/>
      <c r="BE81" s="57"/>
      <c r="BF81" s="167">
        <f>SUM(BF77:BF80)</f>
        <v>195.624</v>
      </c>
      <c r="BG81" s="181">
        <f t="shared" si="269"/>
        <v>1.233925767907863</v>
      </c>
      <c r="BH81" s="57"/>
      <c r="BI81" s="57"/>
      <c r="BJ81" s="167">
        <f>SUM(BJ77:BJ80)</f>
        <v>108.03400000000001</v>
      </c>
      <c r="BK81" s="181">
        <f t="shared" si="270"/>
        <v>0.66411346225497236</v>
      </c>
      <c r="BL81" s="57"/>
      <c r="BM81" s="57"/>
      <c r="BN81" s="167">
        <f>SUM(BN77:BN80)</f>
        <v>-47.972999999999999</v>
      </c>
      <c r="BO81" s="181">
        <f t="shared" si="271"/>
        <v>-0.2993937608669332</v>
      </c>
      <c r="BP81" s="57"/>
      <c r="BQ81" s="44"/>
      <c r="BR81" s="66">
        <f>SUM(BR77:BR80)</f>
        <v>-90.191000000000003</v>
      </c>
      <c r="BS81" s="183">
        <f t="shared" si="272"/>
        <v>-0.56641964453934568</v>
      </c>
      <c r="BT81" s="44"/>
      <c r="BU81" s="44"/>
      <c r="BV81" s="66">
        <f>SUM(BV77:BV80)</f>
        <v>-91</v>
      </c>
      <c r="BW81" s="183">
        <f t="shared" si="273"/>
        <v>-0.57730127513798135</v>
      </c>
      <c r="BX81" s="44"/>
      <c r="BY81" s="44"/>
      <c r="BZ81" s="66">
        <f>SUM(BZ77:BZ80)</f>
        <v>-36</v>
      </c>
      <c r="CA81" s="183">
        <f t="shared" si="274"/>
        <v>-0.24783147459727387</v>
      </c>
      <c r="CB81" s="44"/>
      <c r="CC81" s="44"/>
      <c r="CD81" s="66">
        <f>SUM(CD77:CD80)</f>
        <v>-1</v>
      </c>
      <c r="CE81" s="183">
        <f t="shared" si="275"/>
        <v>-7.0437416355568078E-3</v>
      </c>
      <c r="CF81" s="44"/>
      <c r="CG81" s="59"/>
      <c r="CH81" s="66">
        <f>SUM(CH77:CH80)</f>
        <v>-14</v>
      </c>
      <c r="CI81" s="183">
        <f t="shared" si="276"/>
        <v>-9.547190398254228E-2</v>
      </c>
      <c r="CJ81" s="44"/>
      <c r="CK81" s="59"/>
      <c r="CL81" s="66">
        <f>SUM(CL77:CL80)</f>
        <v>69</v>
      </c>
      <c r="CM81" s="183">
        <f t="shared" si="277"/>
        <v>0.47425939927142763</v>
      </c>
      <c r="CN81" s="44"/>
      <c r="CO81" s="59"/>
      <c r="CP81" s="66">
        <f>SUM(CP77:CP80)</f>
        <v>81</v>
      </c>
      <c r="CQ81" s="183">
        <f t="shared" si="278"/>
        <v>0.51753881541115576</v>
      </c>
      <c r="CR81" s="44"/>
      <c r="CS81" s="44"/>
      <c r="CT81" s="66">
        <f>SUM(CT77:CT80)</f>
        <v>56</v>
      </c>
      <c r="CU81" s="183">
        <f t="shared" si="279"/>
        <v>0.3467921724052514</v>
      </c>
      <c r="CV81" s="44"/>
      <c r="CW81" s="44"/>
      <c r="CX81" s="66">
        <f>SUM(CX77:CX80)</f>
        <v>70</v>
      </c>
      <c r="CY81" s="183">
        <f t="shared" si="280"/>
        <v>0.42592029205962884</v>
      </c>
      <c r="CZ81" s="44"/>
      <c r="DA81" s="44"/>
      <c r="DB81" s="66">
        <f>SUM(DB77:DB80)</f>
        <v>53</v>
      </c>
      <c r="DC81" s="183">
        <f t="shared" si="281"/>
        <v>0.33550674178641515</v>
      </c>
      <c r="DD81" s="44"/>
      <c r="DE81" s="44"/>
      <c r="DF81" s="66">
        <f>SUM(DF77:DF80)</f>
        <v>67</v>
      </c>
      <c r="DG81" s="183">
        <f t="shared" si="282"/>
        <v>0.43181232276359882</v>
      </c>
      <c r="DH81" s="44"/>
      <c r="DI81" s="44"/>
      <c r="DJ81" s="66">
        <f>SUM(DJ77:DJ80)</f>
        <v>55</v>
      </c>
      <c r="DK81" s="183">
        <f t="shared" si="283"/>
        <v>0.34689372437716809</v>
      </c>
      <c r="DL81" s="44"/>
      <c r="DM81" s="44"/>
      <c r="DN81" s="167">
        <f>SUM(DN77:DN80)</f>
        <v>53</v>
      </c>
      <c r="DO81" s="181">
        <f t="shared" si="284"/>
        <v>0.33109740052113967</v>
      </c>
      <c r="DP81" s="57"/>
      <c r="DQ81" s="44"/>
      <c r="DR81" s="44"/>
      <c r="DS81" s="44"/>
      <c r="DT81" s="44"/>
      <c r="DU81" s="44"/>
      <c r="DV81" s="44"/>
      <c r="DW81" s="44"/>
      <c r="DX81" s="44"/>
      <c r="DY81" s="44"/>
      <c r="DZ81" s="44"/>
      <c r="EA81" s="66"/>
      <c r="EB81" s="44"/>
      <c r="EC81" s="44"/>
      <c r="ED81" s="44"/>
    </row>
    <row r="82" spans="1:134" hidden="1" outlineLevel="2">
      <c r="A82" s="57" t="str">
        <f>$A$15</f>
        <v>6 Mos</v>
      </c>
      <c r="B82" s="57"/>
      <c r="C82" s="57"/>
      <c r="D82" s="169"/>
      <c r="E82" s="57"/>
      <c r="F82" s="169">
        <f>SUM(F77:F78)</f>
        <v>0.71599999999999997</v>
      </c>
      <c r="G82" s="181">
        <f t="shared" si="256"/>
        <v>0.36364744481802386</v>
      </c>
      <c r="H82" s="57"/>
      <c r="I82" s="57"/>
      <c r="J82" s="169">
        <f>SUM(J77:J78)</f>
        <v>2.2839999999999998</v>
      </c>
      <c r="K82" s="181">
        <f t="shared" si="257"/>
        <v>0.95486546597769195</v>
      </c>
      <c r="L82" s="57"/>
      <c r="M82" s="57"/>
      <c r="N82" s="169">
        <f>SUM(N77:N78)</f>
        <v>1.2189999999999999</v>
      </c>
      <c r="O82" s="181">
        <f t="shared" si="258"/>
        <v>0.44246020943358555</v>
      </c>
      <c r="P82" s="57"/>
      <c r="Q82" s="57"/>
      <c r="R82" s="169">
        <f>SUM(R77:R78)</f>
        <v>1.2210000000000001</v>
      </c>
      <c r="S82" s="181">
        <f t="shared" si="259"/>
        <v>0.40002227806298796</v>
      </c>
      <c r="T82" s="57"/>
      <c r="U82" s="57"/>
      <c r="V82" s="169">
        <f>SUM(V77:V78)</f>
        <v>-1.4569999999999999</v>
      </c>
      <c r="W82" s="181">
        <f t="shared" si="260"/>
        <v>-0.38536206048359362</v>
      </c>
      <c r="X82" s="57"/>
      <c r="Y82" s="57"/>
      <c r="Z82" s="169">
        <f>SUM(Z77:Z78)</f>
        <v>-9.2789999999999999</v>
      </c>
      <c r="AA82" s="181">
        <f t="shared" si="261"/>
        <v>-0.54035576478480696</v>
      </c>
      <c r="AB82" s="57"/>
      <c r="AC82" s="57"/>
      <c r="AD82" s="169">
        <f>SUM(AD77:AD78)</f>
        <v>-7.5739999999999998</v>
      </c>
      <c r="AE82" s="181">
        <f t="shared" si="262"/>
        <v>-0.33911069183685255</v>
      </c>
      <c r="AF82" s="57"/>
      <c r="AG82" s="57"/>
      <c r="AH82" s="169">
        <f>SUM(AH77:AH78)</f>
        <v>-6.197000000000001</v>
      </c>
      <c r="AI82" s="181">
        <f t="shared" si="263"/>
        <v>-0.24052876738807186</v>
      </c>
      <c r="AJ82" s="57"/>
      <c r="AK82" s="57"/>
      <c r="AL82" s="169">
        <f>SUM(AL77:AL78)</f>
        <v>-0.46299999999999997</v>
      </c>
      <c r="AM82" s="181">
        <f t="shared" si="264"/>
        <v>-1.2773534340391792E-2</v>
      </c>
      <c r="AN82" s="57"/>
      <c r="AO82" s="57"/>
      <c r="AP82" s="169">
        <f>SUM(AP77:AP78)</f>
        <v>7.8089999999999993</v>
      </c>
      <c r="AQ82" s="181">
        <f t="shared" si="265"/>
        <v>0.16505769410026011</v>
      </c>
      <c r="AR82" s="57"/>
      <c r="AS82" s="57"/>
      <c r="AT82" s="169">
        <f>SUM(AT77:AT78)</f>
        <v>20.672000000000001</v>
      </c>
      <c r="AU82" s="181">
        <f t="shared" si="266"/>
        <v>0.3639626290384147</v>
      </c>
      <c r="AV82" s="57"/>
      <c r="AW82" s="57"/>
      <c r="AX82" s="169">
        <f>SUM(AX77:AX78)</f>
        <v>49.872999999999998</v>
      </c>
      <c r="AY82" s="181">
        <f t="shared" si="267"/>
        <v>0.77624856514718177</v>
      </c>
      <c r="AZ82" s="57"/>
      <c r="BA82" s="57"/>
      <c r="BB82" s="169">
        <f>SUM(BB77:BB78)</f>
        <v>97.864999999999995</v>
      </c>
      <c r="BC82" s="181">
        <f t="shared" si="268"/>
        <v>1.5889370430882577</v>
      </c>
      <c r="BD82" s="57"/>
      <c r="BE82" s="57"/>
      <c r="BF82" s="169">
        <f>SUM(BF77:BF78)</f>
        <v>109.41399999999999</v>
      </c>
      <c r="BG82" s="181">
        <f t="shared" si="269"/>
        <v>1.5546023270584122</v>
      </c>
      <c r="BH82" s="57"/>
      <c r="BI82" s="57"/>
      <c r="BJ82" s="169">
        <f>SUM(BJ77:BJ78)</f>
        <v>71.034000000000006</v>
      </c>
      <c r="BK82" s="181">
        <f t="shared" si="270"/>
        <v>0.96143200501762649</v>
      </c>
      <c r="BL82" s="57"/>
      <c r="BM82" s="57"/>
      <c r="BN82" s="169">
        <f>SUM(BN77:BN78)</f>
        <v>-17.460999999999999</v>
      </c>
      <c r="BO82" s="181">
        <f t="shared" si="271"/>
        <v>-0.23780433909501422</v>
      </c>
      <c r="BP82" s="57"/>
      <c r="BQ82" s="44"/>
      <c r="BR82" s="58">
        <f>SUM(BR77:BR78)</f>
        <v>-42.222000000000001</v>
      </c>
      <c r="BS82" s="183">
        <f t="shared" si="272"/>
        <v>-0.59026981686005875</v>
      </c>
      <c r="BT82" s="44"/>
      <c r="BU82" s="44"/>
      <c r="BV82" s="58">
        <f>SUM(BV77:BV78)</f>
        <v>-49</v>
      </c>
      <c r="BW82" s="183">
        <f t="shared" si="273"/>
        <v>-0.67735692562897432</v>
      </c>
      <c r="BX82" s="44"/>
      <c r="BY82" s="44"/>
      <c r="BZ82" s="58">
        <f>SUM(BZ77:BZ78)</f>
        <v>-29</v>
      </c>
      <c r="CA82" s="183">
        <f t="shared" si="274"/>
        <v>-0.42132790934185677</v>
      </c>
      <c r="CB82" s="44"/>
      <c r="CC82" s="44"/>
      <c r="CD82" s="58">
        <f>SUM(CD77:CD78)</f>
        <v>-1</v>
      </c>
      <c r="CE82" s="183">
        <f t="shared" si="275"/>
        <v>-1.5693659761456372E-2</v>
      </c>
      <c r="CF82" s="44"/>
      <c r="CG82" s="59"/>
      <c r="CH82" s="58">
        <f>SUM(CH77:CH78)</f>
        <v>-12</v>
      </c>
      <c r="CI82" s="183">
        <f t="shared" si="276"/>
        <v>-0.18055973517905505</v>
      </c>
      <c r="CJ82" s="44"/>
      <c r="CK82" s="59"/>
      <c r="CL82" s="58">
        <f>SUM(CL77:CL78)</f>
        <v>26</v>
      </c>
      <c r="CM82" s="183">
        <f t="shared" si="277"/>
        <v>0.38916329890734919</v>
      </c>
      <c r="CN82" s="44"/>
      <c r="CO82" s="59"/>
      <c r="CP82" s="58">
        <f>SUM(CP77:CP78)</f>
        <v>42</v>
      </c>
      <c r="CQ82" s="183">
        <f t="shared" si="278"/>
        <v>0.59473237043330507</v>
      </c>
      <c r="CR82" s="44"/>
      <c r="CS82" s="44"/>
      <c r="CT82" s="58">
        <f>SUM(CT77:CT78)</f>
        <v>18</v>
      </c>
      <c r="CU82" s="183">
        <f t="shared" si="279"/>
        <v>0.23693563248650784</v>
      </c>
      <c r="CV82" s="44"/>
      <c r="CW82" s="44"/>
      <c r="CX82" s="58">
        <f>SUM(CX77:CX78)</f>
        <v>35</v>
      </c>
      <c r="CY82" s="183">
        <f t="shared" si="280"/>
        <v>0.4513217279174726</v>
      </c>
      <c r="CZ82" s="44"/>
      <c r="DA82" s="44"/>
      <c r="DB82" s="58">
        <f>SUM(DB77:DB78)</f>
        <v>20</v>
      </c>
      <c r="DC82" s="183">
        <f t="shared" si="281"/>
        <v>0.26472534745201853</v>
      </c>
      <c r="DD82" s="44"/>
      <c r="DE82" s="44"/>
      <c r="DF82" s="58">
        <f>SUM(DF77:DF78)</f>
        <v>34</v>
      </c>
      <c r="DG82" s="183">
        <f t="shared" si="282"/>
        <v>0.4664563040197558</v>
      </c>
      <c r="DH82" s="44"/>
      <c r="DI82" s="44"/>
      <c r="DJ82" s="58">
        <f>SUM(DJ77:DJ78)</f>
        <v>28</v>
      </c>
      <c r="DK82" s="183">
        <f t="shared" si="283"/>
        <v>0.38679375604365246</v>
      </c>
      <c r="DL82" s="44"/>
      <c r="DM82" s="44"/>
      <c r="DN82" s="169">
        <f>SUM(DN77:DN78)</f>
        <v>26</v>
      </c>
      <c r="DO82" s="181">
        <f t="shared" si="284"/>
        <v>0.3503060852895396</v>
      </c>
      <c r="DP82" s="57"/>
      <c r="DQ82" s="44"/>
      <c r="DR82" s="44"/>
      <c r="DS82" s="44"/>
      <c r="DT82" s="44"/>
      <c r="DU82" s="44"/>
      <c r="DV82" s="44"/>
      <c r="DW82" s="44"/>
      <c r="DX82" s="44"/>
      <c r="DY82" s="44"/>
      <c r="DZ82" s="44"/>
      <c r="EA82" s="44"/>
      <c r="EB82" s="44"/>
      <c r="EC82" s="44"/>
      <c r="ED82" s="44"/>
    </row>
    <row r="83" spans="1:134" hidden="1" outlineLevel="2">
      <c r="A83" s="57" t="str">
        <f>$A$16</f>
        <v>9 Mos</v>
      </c>
      <c r="B83" s="57"/>
      <c r="C83" s="57"/>
      <c r="D83" s="169"/>
      <c r="E83" s="57"/>
      <c r="F83" s="169">
        <f>SUM(F77:F79)</f>
        <v>1.462</v>
      </c>
      <c r="G83" s="181">
        <f t="shared" si="256"/>
        <v>0.46532056831491569</v>
      </c>
      <c r="H83" s="57"/>
      <c r="I83" s="57"/>
      <c r="J83" s="169">
        <f>SUM(J77:J79)</f>
        <v>3.7219999999999995</v>
      </c>
      <c r="K83" s="181">
        <f t="shared" si="257"/>
        <v>0.92747642684847387</v>
      </c>
      <c r="L83" s="57"/>
      <c r="M83" s="57"/>
      <c r="N83" s="169">
        <f>SUM(N77:N79)</f>
        <v>2.839</v>
      </c>
      <c r="O83" s="181">
        <f t="shared" si="258"/>
        <v>0.60958458496071732</v>
      </c>
      <c r="P83" s="57"/>
      <c r="Q83" s="57"/>
      <c r="R83" s="169">
        <f>SUM(R77:R79)</f>
        <v>1.5390000000000001</v>
      </c>
      <c r="S83" s="181">
        <f t="shared" si="259"/>
        <v>0.2992317967323655</v>
      </c>
      <c r="T83" s="57"/>
      <c r="U83" s="57"/>
      <c r="V83" s="169">
        <f>SUM(V77:V79)</f>
        <v>-5.1259999999999994</v>
      </c>
      <c r="W83" s="181">
        <f t="shared" si="260"/>
        <v>-0.84613429204343227</v>
      </c>
      <c r="X83" s="57"/>
      <c r="Y83" s="57"/>
      <c r="Z83" s="169">
        <f>SUM(Z77:Z79)</f>
        <v>-11.344999999999999</v>
      </c>
      <c r="AA83" s="181">
        <f t="shared" si="261"/>
        <v>-0.39486539249341562</v>
      </c>
      <c r="AB83" s="57"/>
      <c r="AC83" s="57"/>
      <c r="AD83" s="169">
        <f>SUM(AD77:AD79)</f>
        <v>-12.786999999999999</v>
      </c>
      <c r="AE83" s="181">
        <f t="shared" si="262"/>
        <v>-0.35357536392380995</v>
      </c>
      <c r="AF83" s="57"/>
      <c r="AG83" s="57"/>
      <c r="AH83" s="169">
        <f>SUM(AH77:AH79)</f>
        <v>-2.1450000000000014</v>
      </c>
      <c r="AI83" s="181">
        <f t="shared" si="263"/>
        <v>-4.939726129608283E-2</v>
      </c>
      <c r="AJ83" s="57"/>
      <c r="AK83" s="57"/>
      <c r="AL83" s="169">
        <f>SUM(AL77:AL79)</f>
        <v>6.3369999999999997</v>
      </c>
      <c r="AM83" s="181">
        <f t="shared" si="264"/>
        <v>0.1051848827230884</v>
      </c>
      <c r="AN83" s="57"/>
      <c r="AO83" s="57"/>
      <c r="AP83" s="169">
        <f>SUM(AP77:AP79)</f>
        <v>18.366</v>
      </c>
      <c r="AQ83" s="181">
        <f t="shared" si="265"/>
        <v>0.23617433075902539</v>
      </c>
      <c r="AR83" s="57"/>
      <c r="AS83" s="57"/>
      <c r="AT83" s="169">
        <f>SUM(AT77:AT79)</f>
        <v>41.155000000000001</v>
      </c>
      <c r="AU83" s="181">
        <f t="shared" si="266"/>
        <v>0.45253262127390437</v>
      </c>
      <c r="AV83" s="57"/>
      <c r="AW83" s="57"/>
      <c r="AX83" s="169">
        <f>SUM(AX77:AX79)</f>
        <v>68.212999999999994</v>
      </c>
      <c r="AY83" s="181">
        <f t="shared" si="267"/>
        <v>0.6990291699903507</v>
      </c>
      <c r="AZ83" s="57"/>
      <c r="BA83" s="57"/>
      <c r="BB83" s="169">
        <f>SUM(BB77:BB79)</f>
        <v>155.76999999999998</v>
      </c>
      <c r="BC83" s="181">
        <f t="shared" si="268"/>
        <v>1.5888242730978503</v>
      </c>
      <c r="BD83" s="57"/>
      <c r="BE83" s="57"/>
      <c r="BF83" s="169">
        <f>SUM(BF77:BF79)</f>
        <v>152.738</v>
      </c>
      <c r="BG83" s="181">
        <f t="shared" si="269"/>
        <v>1.3926385950669276</v>
      </c>
      <c r="BH83" s="57"/>
      <c r="BI83" s="57"/>
      <c r="BJ83" s="169">
        <f>SUM(BJ77:BJ79)</f>
        <v>94.034000000000006</v>
      </c>
      <c r="BK83" s="181">
        <f t="shared" si="270"/>
        <v>0.82714489083172238</v>
      </c>
      <c r="BL83" s="57"/>
      <c r="BM83" s="57"/>
      <c r="BN83" s="169">
        <f>SUM(BN77:BN79)</f>
        <v>-28.683</v>
      </c>
      <c r="BO83" s="181">
        <f t="shared" si="271"/>
        <v>-0.25604113083002839</v>
      </c>
      <c r="BP83" s="57"/>
      <c r="BQ83" s="44"/>
      <c r="BR83" s="58">
        <f>SUM(BR77:BR79)</f>
        <v>-66.191000000000003</v>
      </c>
      <c r="BS83" s="183">
        <f t="shared" si="272"/>
        <v>-0.60151762995274449</v>
      </c>
      <c r="BT83" s="44"/>
      <c r="BU83" s="44"/>
      <c r="BV83" s="58">
        <f>SUM(BV77:BV79)</f>
        <v>-76</v>
      </c>
      <c r="BW83" s="183">
        <f t="shared" si="273"/>
        <v>-0.68542568542568538</v>
      </c>
      <c r="BX83" s="44"/>
      <c r="BY83" s="44"/>
      <c r="BZ83" s="58">
        <f>SUM(BZ77:BZ79)</f>
        <v>-33</v>
      </c>
      <c r="CA83" s="183">
        <f t="shared" si="274"/>
        <v>-0.31597089237839909</v>
      </c>
      <c r="CB83" s="44"/>
      <c r="CC83" s="44"/>
      <c r="CD83" s="58">
        <f>SUM(CD77:CD79)</f>
        <v>-1</v>
      </c>
      <c r="CE83" s="183">
        <f t="shared" si="275"/>
        <v>-1.0039152695512499E-2</v>
      </c>
      <c r="CF83" s="44"/>
      <c r="CG83" s="59"/>
      <c r="CH83" s="58">
        <f>SUM(CH77:CH79)</f>
        <v>-10</v>
      </c>
      <c r="CI83" s="183">
        <f t="shared" si="276"/>
        <v>-9.7087378640776698E-2</v>
      </c>
      <c r="CJ83" s="44"/>
      <c r="CK83" s="59"/>
      <c r="CL83" s="58">
        <f>SUM(CL77:CL79)</f>
        <v>47</v>
      </c>
      <c r="CM83" s="183">
        <f t="shared" si="277"/>
        <v>0.45782193648938241</v>
      </c>
      <c r="CN83" s="44"/>
      <c r="CO83" s="59"/>
      <c r="CP83" s="58">
        <f>SUM(CP77:CP79)</f>
        <v>63</v>
      </c>
      <c r="CQ83" s="183">
        <f t="shared" si="278"/>
        <v>0.57660626029654038</v>
      </c>
      <c r="CR83" s="44"/>
      <c r="CS83" s="44"/>
      <c r="CT83" s="58">
        <f>SUM(CT77:CT79)</f>
        <v>38</v>
      </c>
      <c r="CU83" s="183">
        <f t="shared" si="279"/>
        <v>0.32835047092370173</v>
      </c>
      <c r="CV83" s="44"/>
      <c r="CW83" s="44"/>
      <c r="CX83" s="58">
        <f>SUM(CX77:CX79)</f>
        <v>53</v>
      </c>
      <c r="CY83" s="183">
        <f t="shared" si="280"/>
        <v>0.45194849492623856</v>
      </c>
      <c r="CZ83" s="44"/>
      <c r="DA83" s="44"/>
      <c r="DB83" s="58">
        <f>SUM(DB77:DB79)</f>
        <v>38</v>
      </c>
      <c r="DC83" s="183">
        <f t="shared" si="281"/>
        <v>0.33298282509638977</v>
      </c>
      <c r="DD83" s="44"/>
      <c r="DE83" s="44"/>
      <c r="DF83" s="58">
        <f>SUM(DF77:DF79)</f>
        <v>51</v>
      </c>
      <c r="DG83" s="183">
        <f t="shared" si="282"/>
        <v>0.45999819608550557</v>
      </c>
      <c r="DH83" s="44"/>
      <c r="DI83" s="44"/>
      <c r="DJ83" s="58">
        <f>SUM(DJ77:DJ79)</f>
        <v>42</v>
      </c>
      <c r="DK83" s="183">
        <f t="shared" si="283"/>
        <v>0.37916403358310014</v>
      </c>
      <c r="DL83" s="44"/>
      <c r="DM83" s="44"/>
      <c r="DN83" s="169">
        <f>SUM(DN77:DN79)</f>
        <v>40</v>
      </c>
      <c r="DO83" s="181">
        <f t="shared" si="284"/>
        <v>0.35317099642230654</v>
      </c>
      <c r="DP83" s="57"/>
      <c r="DQ83" s="44"/>
      <c r="DR83" s="44"/>
      <c r="DS83" s="44"/>
      <c r="DT83" s="44"/>
      <c r="DU83" s="44"/>
      <c r="DV83" s="44"/>
      <c r="DW83" s="44"/>
      <c r="DX83" s="44"/>
      <c r="DY83" s="44"/>
      <c r="DZ83" s="44"/>
      <c r="EA83" s="44"/>
      <c r="EB83" s="44"/>
      <c r="EC83" s="44"/>
      <c r="ED83" s="44"/>
    </row>
    <row r="84" spans="1:134" ht="12" customHeight="1" outlineLevel="1" collapsed="1">
      <c r="A84" s="57"/>
      <c r="B84" s="57"/>
      <c r="C84" s="57"/>
      <c r="D84" s="57"/>
      <c r="E84" s="57"/>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7"/>
      <c r="AZ84" s="57"/>
      <c r="BA84" s="57"/>
      <c r="BB84" s="57"/>
      <c r="BC84" s="57"/>
      <c r="BD84" s="57"/>
      <c r="BE84" s="57"/>
      <c r="BF84" s="57"/>
      <c r="BG84" s="57"/>
      <c r="BH84" s="57"/>
      <c r="BI84" s="57"/>
      <c r="BJ84" s="57"/>
      <c r="BK84" s="57"/>
      <c r="BL84" s="57"/>
      <c r="BM84" s="57"/>
      <c r="BN84" s="57"/>
      <c r="BO84" s="57"/>
      <c r="BP84" s="57"/>
      <c r="BQ84" s="44"/>
      <c r="BR84" s="44"/>
      <c r="BS84" s="44"/>
      <c r="BT84" s="44"/>
      <c r="BU84" s="44"/>
      <c r="BV84" s="66"/>
      <c r="BW84" s="44"/>
      <c r="BX84" s="44"/>
      <c r="BY84" s="44"/>
      <c r="BZ84" s="44"/>
      <c r="CA84" s="44"/>
      <c r="CB84" s="44"/>
      <c r="CC84" s="44"/>
      <c r="CD84" s="44"/>
      <c r="CE84" s="44"/>
      <c r="CF84" s="44"/>
      <c r="CG84" s="59"/>
      <c r="CH84" s="44"/>
      <c r="CI84" s="44"/>
      <c r="CJ84" s="44"/>
      <c r="CK84" s="59"/>
      <c r="CL84" s="44"/>
      <c r="CM84" s="44"/>
      <c r="CN84" s="119"/>
      <c r="CO84" s="59"/>
      <c r="CP84" s="44"/>
      <c r="CQ84" s="44"/>
      <c r="CR84" s="119"/>
      <c r="CS84" s="44"/>
      <c r="CT84" s="44"/>
      <c r="CU84" s="44"/>
      <c r="CV84" s="44"/>
      <c r="CW84" s="44"/>
      <c r="CX84" s="44"/>
      <c r="CY84" s="44"/>
      <c r="CZ84" s="44"/>
      <c r="DA84" s="44"/>
      <c r="DB84" s="44"/>
      <c r="DC84" s="44"/>
      <c r="DD84" s="44"/>
      <c r="DE84" s="44"/>
      <c r="DF84" s="44"/>
      <c r="DG84" s="44"/>
      <c r="DH84" s="44"/>
      <c r="DI84" s="44"/>
      <c r="DJ84" s="44"/>
      <c r="DK84" s="44"/>
      <c r="DL84" s="44"/>
      <c r="DM84" s="44"/>
      <c r="DN84" s="57"/>
      <c r="DO84" s="57"/>
      <c r="DP84" s="57"/>
      <c r="DQ84" s="44"/>
      <c r="DR84" s="44"/>
      <c r="DS84" s="44"/>
      <c r="DT84" s="44"/>
      <c r="DU84" s="44"/>
      <c r="DV84" s="44"/>
      <c r="DW84" s="44"/>
      <c r="DX84" s="44"/>
      <c r="DY84" s="44"/>
      <c r="DZ84" s="44"/>
      <c r="EA84" s="44"/>
      <c r="EB84" s="44"/>
      <c r="EC84" s="44"/>
      <c r="ED84" s="44"/>
    </row>
    <row r="85" spans="1:134">
      <c r="A85" s="134"/>
      <c r="B85" s="134"/>
      <c r="C85" s="175"/>
      <c r="D85" s="175"/>
      <c r="E85" s="175" t="str">
        <f>AH85</f>
        <v>6.  Pre-Tax Income / (Loss) (% Pre-Tax Margin) / %Change</v>
      </c>
      <c r="F85" s="175"/>
      <c r="G85" s="134"/>
      <c r="H85" s="134"/>
      <c r="I85" s="134"/>
      <c r="J85" s="175"/>
      <c r="K85" s="134"/>
      <c r="L85" s="134"/>
      <c r="M85" s="134"/>
      <c r="N85" s="175"/>
      <c r="O85" s="134"/>
      <c r="P85" s="134"/>
      <c r="Q85" s="134"/>
      <c r="R85" s="175"/>
      <c r="S85" s="134"/>
      <c r="T85" s="134"/>
      <c r="U85" s="134"/>
      <c r="V85" s="175"/>
      <c r="W85" s="134"/>
      <c r="X85" s="134"/>
      <c r="Y85" s="134"/>
      <c r="Z85" s="134"/>
      <c r="AA85" s="134"/>
      <c r="AB85" s="134"/>
      <c r="AC85" s="134"/>
      <c r="AD85" s="175"/>
      <c r="AE85" s="134"/>
      <c r="AF85" s="134"/>
      <c r="AG85" s="134"/>
      <c r="AH85" s="175" t="s">
        <v>92</v>
      </c>
      <c r="AI85" s="175"/>
      <c r="AJ85" s="175"/>
      <c r="AK85" s="175"/>
      <c r="AL85" s="44"/>
      <c r="AM85" s="175"/>
      <c r="AN85" s="175"/>
      <c r="AO85" s="175"/>
      <c r="AP85" s="44"/>
      <c r="AQ85" s="175"/>
      <c r="AR85" s="175"/>
      <c r="AS85" s="175"/>
      <c r="AT85" s="44"/>
      <c r="AU85" s="175"/>
      <c r="AV85" s="175"/>
      <c r="AW85" s="175"/>
      <c r="AX85" s="175"/>
      <c r="AY85" s="175"/>
      <c r="AZ85" s="136"/>
      <c r="BA85" s="175"/>
      <c r="BB85" s="175"/>
      <c r="BC85" s="175"/>
      <c r="BD85" s="175"/>
      <c r="BE85" s="134"/>
      <c r="BF85" s="175"/>
      <c r="BG85" s="134"/>
      <c r="BH85" s="134"/>
      <c r="BI85" s="134"/>
      <c r="BJ85" s="175" t="s">
        <v>92</v>
      </c>
      <c r="BK85" s="134"/>
      <c r="BL85" s="134"/>
      <c r="BM85" s="134"/>
      <c r="BN85" s="175"/>
      <c r="BO85" s="134"/>
      <c r="BP85" s="134"/>
      <c r="BQ85" s="136"/>
      <c r="BR85" s="137"/>
      <c r="BS85" s="136"/>
      <c r="BT85" s="136"/>
      <c r="BU85" s="136"/>
      <c r="BV85" s="175" t="s">
        <v>92</v>
      </c>
      <c r="BW85" s="136"/>
      <c r="BX85" s="136"/>
      <c r="BY85" s="136"/>
      <c r="BZ85" s="256"/>
      <c r="CA85" s="136"/>
      <c r="CB85" s="136"/>
      <c r="CC85" s="136"/>
      <c r="CD85" s="256"/>
      <c r="CE85" s="136"/>
      <c r="CF85" s="136"/>
      <c r="CG85" s="138"/>
      <c r="CH85" s="245" t="str">
        <f>+BV85</f>
        <v>6.  Pre-Tax Income / (Loss) (% Pre-Tax Margin) / %Change</v>
      </c>
      <c r="CI85" s="136"/>
      <c r="CJ85" s="136"/>
      <c r="CK85" s="138"/>
      <c r="CL85" s="256"/>
      <c r="CM85" s="136"/>
      <c r="CN85" s="136"/>
      <c r="CO85" s="138"/>
      <c r="CP85" s="256"/>
      <c r="CQ85" s="136"/>
      <c r="CR85" s="136"/>
      <c r="CS85" s="44"/>
      <c r="CT85" s="44"/>
      <c r="CU85" s="44"/>
      <c r="CV85" s="44"/>
      <c r="CW85" s="44"/>
      <c r="CX85" s="44"/>
      <c r="CY85" s="44"/>
      <c r="CZ85" s="44"/>
      <c r="DA85" s="44"/>
      <c r="DB85" s="44"/>
      <c r="DC85" s="44"/>
      <c r="DD85" s="44"/>
      <c r="DE85" s="44"/>
      <c r="DF85" s="44"/>
      <c r="DG85" s="44"/>
      <c r="DH85" s="44"/>
      <c r="DI85" s="44"/>
      <c r="DJ85" s="44"/>
      <c r="DK85" s="44"/>
      <c r="DL85" s="44"/>
      <c r="DM85" s="44"/>
      <c r="DN85" s="57"/>
      <c r="DO85" s="57"/>
      <c r="DP85" s="57"/>
      <c r="DQ85" s="44"/>
      <c r="DR85" s="44"/>
      <c r="DS85" s="44"/>
      <c r="DT85" s="44"/>
      <c r="DU85" s="44"/>
      <c r="DV85" s="44"/>
      <c r="DW85" s="44"/>
      <c r="DX85" s="44"/>
      <c r="DY85" s="44"/>
      <c r="DZ85" s="44"/>
      <c r="EA85" s="66"/>
      <c r="EB85" s="44"/>
      <c r="EC85" s="44"/>
      <c r="ED85" s="44"/>
    </row>
    <row r="86" spans="1:134">
      <c r="A86" s="57"/>
      <c r="B86" s="57"/>
      <c r="C86" s="57"/>
      <c r="D86" s="57"/>
      <c r="E86" s="57"/>
      <c r="F86" s="57"/>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c r="AU86" s="57"/>
      <c r="AV86" s="57"/>
      <c r="AW86" s="57"/>
      <c r="AX86" s="57"/>
      <c r="AY86" s="57"/>
      <c r="AZ86" s="57"/>
      <c r="BA86" s="57"/>
      <c r="BB86" s="57"/>
      <c r="BC86" s="57"/>
      <c r="BD86" s="57"/>
      <c r="BE86" s="57"/>
      <c r="BF86" s="57"/>
      <c r="BG86" s="57"/>
      <c r="BH86" s="57"/>
      <c r="BI86" s="57"/>
      <c r="BJ86" s="57"/>
      <c r="BK86" s="57"/>
      <c r="BL86" s="57"/>
      <c r="BM86" s="57"/>
      <c r="BN86" s="57"/>
      <c r="BO86" s="57"/>
      <c r="BP86" s="57"/>
      <c r="BQ86" s="44"/>
      <c r="BR86" s="44"/>
      <c r="BS86" s="44"/>
      <c r="BT86" s="44"/>
      <c r="BU86" s="44"/>
      <c r="BV86" s="44"/>
      <c r="BW86" s="44"/>
      <c r="BX86" s="44"/>
      <c r="BY86" s="44"/>
      <c r="BZ86" s="44"/>
      <c r="CA86" s="44"/>
      <c r="CB86" s="44"/>
      <c r="CC86" s="44"/>
      <c r="CD86" s="44"/>
      <c r="CE86" s="44"/>
      <c r="CF86" s="44"/>
      <c r="CG86" s="59"/>
      <c r="CH86" s="44"/>
      <c r="CI86" s="44"/>
      <c r="CJ86" s="44"/>
      <c r="CK86" s="59"/>
      <c r="CL86" s="44"/>
      <c r="CM86" s="44"/>
      <c r="CN86" s="44"/>
      <c r="CO86" s="59"/>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57"/>
      <c r="DO86" s="57"/>
      <c r="DP86" s="57"/>
      <c r="DQ86" s="44"/>
      <c r="DR86" s="44"/>
      <c r="DS86" s="44"/>
      <c r="DT86" s="44"/>
      <c r="DU86" s="44"/>
      <c r="DV86" s="44"/>
      <c r="DW86" s="44"/>
      <c r="DX86" s="44"/>
      <c r="DY86" s="44"/>
      <c r="DZ86" s="44"/>
      <c r="EA86" s="44"/>
      <c r="EB86" s="44"/>
      <c r="EC86" s="44"/>
      <c r="ED86" s="44"/>
    </row>
    <row r="87" spans="1:134">
      <c r="A87" s="57" t="str">
        <f>$A$10</f>
        <v>1Q</v>
      </c>
      <c r="B87" s="57" t="str">
        <f>$B$10</f>
        <v>Apr</v>
      </c>
      <c r="C87" s="57"/>
      <c r="D87" s="167"/>
      <c r="E87" s="57"/>
      <c r="F87" s="167">
        <f>F60-F77</f>
        <v>35.254999999999988</v>
      </c>
      <c r="G87" s="181">
        <f t="shared" ref="G87:G93" si="285">F87/F10*100</f>
        <v>8.761879672339747</v>
      </c>
      <c r="H87" s="191"/>
      <c r="I87" s="57"/>
      <c r="J87" s="167">
        <f>J60-J77</f>
        <v>67.070000000000022</v>
      </c>
      <c r="K87" s="181">
        <f t="shared" ref="K87:K93" si="286">J87/J10*100</f>
        <v>13.679379971446057</v>
      </c>
      <c r="L87" s="191"/>
      <c r="M87" s="57"/>
      <c r="N87" s="167">
        <f>N60-N77</f>
        <v>72.986000000000004</v>
      </c>
      <c r="O87" s="181">
        <f t="shared" ref="O87:O93" si="287">N87/N10*100</f>
        <v>12.394372894250624</v>
      </c>
      <c r="P87" s="191"/>
      <c r="Q87" s="57"/>
      <c r="R87" s="167">
        <f>R60-R77</f>
        <v>66.944000000000017</v>
      </c>
      <c r="S87" s="181">
        <f t="shared" ref="S87:S93" si="288">R87/R10*100</f>
        <v>10.401814848192922</v>
      </c>
      <c r="T87" s="191"/>
      <c r="U87" s="57"/>
      <c r="V87" s="167">
        <f>V60-V77</f>
        <v>104.92199999999998</v>
      </c>
      <c r="W87" s="181">
        <f t="shared" ref="W87:W93" si="289">V87/V10*100</f>
        <v>13.958519030957733</v>
      </c>
      <c r="X87" s="191"/>
      <c r="Y87" s="57"/>
      <c r="Z87" s="167">
        <f>Z60-Z77</f>
        <v>82.831000000000031</v>
      </c>
      <c r="AA87" s="181">
        <f t="shared" ref="AA87:AA93" si="290">Z87/Z10*100</f>
        <v>9.7598882039100392</v>
      </c>
      <c r="AB87" s="191">
        <f t="shared" ref="AB87:AB93" si="291">IF(V87&lt;0,"       NM",(Z87/V87-1)*100)</f>
        <v>-21.054688244600705</v>
      </c>
      <c r="AC87" s="57"/>
      <c r="AD87" s="167">
        <f>AD60-AD77</f>
        <v>134.83100000000002</v>
      </c>
      <c r="AE87" s="181">
        <f t="shared" ref="AE87:AE93" si="292">AD87/AD10*100</f>
        <v>12.112519920873483</v>
      </c>
      <c r="AF87" s="191">
        <f t="shared" ref="AF87:AF93" si="293">IF(Z87&lt;0,"       NM",(AD87/Z87-1)*100)</f>
        <v>62.778428366191363</v>
      </c>
      <c r="AG87" s="57"/>
      <c r="AH87" s="167">
        <f>AH60-AH77</f>
        <v>134.88699999999994</v>
      </c>
      <c r="AI87" s="181">
        <f t="shared" ref="AI87:AI93" si="294">AH87/AH10*100</f>
        <v>10.955858822306293</v>
      </c>
      <c r="AJ87" s="191">
        <f t="shared" ref="AJ87:AJ93" si="295">IF(AD87&lt;0,"       NM",(AH87/AD87-1)*100)</f>
        <v>4.1533475239319273E-2</v>
      </c>
      <c r="AK87" s="57"/>
      <c r="AL87" s="167">
        <f>AL60-AL77</f>
        <v>217.70500000000007</v>
      </c>
      <c r="AM87" s="181">
        <f t="shared" ref="AM87:AM93" si="296">AL87/AL10*100</f>
        <v>12.659387153197748</v>
      </c>
      <c r="AN87" s="191">
        <f t="shared" ref="AN87:AN93" si="297">IF(AH87&lt;0,"       NM",(AL87/AH87-1)*100)</f>
        <v>61.398059116149199</v>
      </c>
      <c r="AO87" s="57"/>
      <c r="AP87" s="167">
        <f>AP60-AP77</f>
        <v>323.79199999999997</v>
      </c>
      <c r="AQ87" s="181">
        <f t="shared" ref="AQ87:AQ93" si="298">AP87/AP10*100</f>
        <v>14.215531752171238</v>
      </c>
      <c r="AR87" s="191">
        <f t="shared" ref="AR87:AR93" si="299">IF(AL87&lt;0,"       NM",(AP87/AL87-1)*100)</f>
        <v>48.72970303851536</v>
      </c>
      <c r="AS87" s="57"/>
      <c r="AT87" s="167">
        <f>AT60-AT77</f>
        <v>370.82899999999984</v>
      </c>
      <c r="AU87" s="181">
        <f t="shared" ref="AU87:AU93" si="300">AT87/AT10*100</f>
        <v>13.573585554851952</v>
      </c>
      <c r="AV87" s="191">
        <f t="shared" ref="AV87:AV93" si="301">IF(AP87&lt;0,"       NM",(AT87/AP87-1)*100)</f>
        <v>14.526918515590204</v>
      </c>
      <c r="AW87" s="57"/>
      <c r="AX87" s="167">
        <f>AX60-AX77</f>
        <v>181.85899999999995</v>
      </c>
      <c r="AY87" s="181">
        <f t="shared" ref="AY87:AY93" si="302">AX87/AX10*100</f>
        <v>5.7194551863472016</v>
      </c>
      <c r="AZ87" s="191">
        <f t="shared" ref="AZ87:AZ93" si="303">IF(AT87&lt;0,"       NM",(AX87/AT87-1)*100)</f>
        <v>-50.958797720782343</v>
      </c>
      <c r="BA87" s="57"/>
      <c r="BB87" s="167">
        <f>BB60-BB77</f>
        <v>71.917000000000172</v>
      </c>
      <c r="BC87" s="181">
        <f t="shared" ref="BC87:BC93" si="304">BB87/BB10*100</f>
        <v>2.487754424319581</v>
      </c>
      <c r="BD87" s="191">
        <f t="shared" ref="BD87:BD93" si="305">IF(AX87&lt;0,"       NM",(BB87/AX87-1)*100)</f>
        <v>-60.454527958473214</v>
      </c>
      <c r="BE87" s="57"/>
      <c r="BF87" s="167">
        <f>BF60-BF77</f>
        <v>332.48700000000014</v>
      </c>
      <c r="BG87" s="181">
        <f t="shared" ref="BG87:BG93" si="306">BF87/BF10*100</f>
        <v>9.9167822675631623</v>
      </c>
      <c r="BH87" s="191">
        <f t="shared" ref="BH87:BH93" si="307">IF(BB87&lt;0,"       NM",(BF87/BB87-1)*100)</f>
        <v>362.32045274413468</v>
      </c>
      <c r="BI87" s="57"/>
      <c r="BJ87" s="167">
        <f>BJ60-BJ77</f>
        <v>511.55000000000007</v>
      </c>
      <c r="BK87" s="181">
        <f t="shared" ref="BK87:BK93" si="308">BJ87/BJ10*100</f>
        <v>13.947946389498211</v>
      </c>
      <c r="BL87" s="191">
        <f t="shared" ref="BL87:BL93" si="309">(BJ87/BF87-1)*100</f>
        <v>53.855639468610761</v>
      </c>
      <c r="BM87" s="57"/>
      <c r="BN87" s="167">
        <f>BN60-BN77</f>
        <v>467.66000000000037</v>
      </c>
      <c r="BO87" s="181">
        <f t="shared" ref="BO87:BO93" si="310">BN87/BN10*100</f>
        <v>12.896365517072129</v>
      </c>
      <c r="BP87" s="191">
        <f t="shared" ref="BP87:BP93" si="311">(BN87/BJ87-1)*100</f>
        <v>-8.5798064705306825</v>
      </c>
      <c r="BQ87" s="44"/>
      <c r="BR87" s="66">
        <f>BR60-BR77</f>
        <v>404.22199999999998</v>
      </c>
      <c r="BS87" s="183">
        <f t="shared" ref="BS87:BS93" si="312">BR87/BR10*100</f>
        <v>11.7540564117476</v>
      </c>
      <c r="BT87" s="55">
        <f t="shared" ref="BT87:BT93" si="313">(BR87/BN87-1)*100</f>
        <v>-13.564983107385775</v>
      </c>
      <c r="BU87" s="44"/>
      <c r="BV87" s="66">
        <f>BV60-BV77</f>
        <v>327</v>
      </c>
      <c r="BW87" s="183">
        <f t="shared" ref="BW87:BW93" si="314">BV87/BV10*100</f>
        <v>9.2138630600169069</v>
      </c>
      <c r="BX87" s="55">
        <f>(BV87/BR87-1)*100</f>
        <v>-19.103858770675519</v>
      </c>
      <c r="BY87" s="44"/>
      <c r="BZ87" s="66">
        <f>BZ60-BZ77</f>
        <v>408</v>
      </c>
      <c r="CA87" s="183">
        <f t="shared" ref="CA87:CA93" si="315">BZ87/BZ10*100</f>
        <v>12.056737588652481</v>
      </c>
      <c r="CB87" s="55">
        <f>(BZ87/BV87-1)*100</f>
        <v>24.770642201834868</v>
      </c>
      <c r="CC87" s="44"/>
      <c r="CD87" s="66">
        <f>CD60-CD77</f>
        <v>353</v>
      </c>
      <c r="CE87" s="183">
        <f t="shared" ref="CE87:CE93" si="316">CD87/CD10*100</f>
        <v>11.288775183882315</v>
      </c>
      <c r="CF87" s="55">
        <f>(CD87/BZ87-1)*100</f>
        <v>-13.480392156862742</v>
      </c>
      <c r="CG87" s="59"/>
      <c r="CH87" s="66">
        <f>CH60-CH77</f>
        <v>485</v>
      </c>
      <c r="CI87" s="183">
        <f t="shared" ref="CI87:CI93" si="317">CH87/CH10*100</f>
        <v>14.568939621507958</v>
      </c>
      <c r="CJ87" s="55">
        <f>(CH87/CD87-1)*100</f>
        <v>37.39376770538243</v>
      </c>
      <c r="CK87" s="59"/>
      <c r="CL87" s="66">
        <f>CL60-CL77</f>
        <v>381</v>
      </c>
      <c r="CM87" s="183">
        <f t="shared" ref="CM87:CM93" si="318">CL87/CL10*100</f>
        <v>11.562974203338392</v>
      </c>
      <c r="CN87" s="55">
        <f>(CL87/CH87-1)*100</f>
        <v>-21.443298969072167</v>
      </c>
      <c r="CO87" s="59"/>
      <c r="CP87" s="66">
        <f>CP60-CP77</f>
        <v>373</v>
      </c>
      <c r="CQ87" s="183">
        <f t="shared" ref="CQ87:CQ93" si="319">CP87/CP10*100</f>
        <v>10.696874103814165</v>
      </c>
      <c r="CR87" s="55">
        <f>(CP87/CL87-1)*100</f>
        <v>-2.0997375328083989</v>
      </c>
      <c r="CS87" s="44"/>
      <c r="CT87" s="66">
        <f>CT60-CT77</f>
        <v>530</v>
      </c>
      <c r="CU87" s="183">
        <f>CT87/CT10*100</f>
        <v>14.212925717350497</v>
      </c>
      <c r="CV87" s="55">
        <f>(CT87/CP87-1)*100</f>
        <v>42.091152815013409</v>
      </c>
      <c r="CW87" s="44"/>
      <c r="CX87" s="66">
        <f>CX60-CX77</f>
        <v>426</v>
      </c>
      <c r="CY87" s="183">
        <f t="shared" ref="CY87:CY93" si="320">CX87/CX10*100</f>
        <v>11.287758346581876</v>
      </c>
      <c r="CZ87" s="55">
        <f>(CX87/CT87-1)*100</f>
        <v>-19.622641509433958</v>
      </c>
      <c r="DA87" s="44"/>
      <c r="DB87" s="66">
        <f>DB60-DB77</f>
        <v>393</v>
      </c>
      <c r="DC87" s="183">
        <f t="shared" ref="DC87:DC93" si="321">DB87/DB10*100</f>
        <v>10.746513535684986</v>
      </c>
      <c r="DD87" s="55">
        <f>(DB87/CX87-1)*100</f>
        <v>-7.7464788732394378</v>
      </c>
      <c r="DE87" s="44"/>
      <c r="DF87" s="66">
        <f>DF60-DF77</f>
        <v>204</v>
      </c>
      <c r="DG87" s="183">
        <f t="shared" ref="DG87:DG93" si="322">DF87/DF10*100</f>
        <v>5.9336823734729496</v>
      </c>
      <c r="DH87" s="55">
        <f>(DF87/DB87-1)*100</f>
        <v>-48.091603053435115</v>
      </c>
      <c r="DI87" s="55"/>
      <c r="DJ87" s="66">
        <f>DJ60-DJ77</f>
        <v>238</v>
      </c>
      <c r="DK87" s="183">
        <f t="shared" ref="DK87:DK93" si="323">DJ87/DJ10*100</f>
        <v>6.9186046511627906</v>
      </c>
      <c r="DL87" s="55">
        <f>(DJ87/DF87-1)*100</f>
        <v>16.666666666666675</v>
      </c>
      <c r="DM87" s="55"/>
      <c r="DN87" s="167">
        <f>DN60-DN77</f>
        <v>250.81152137508275</v>
      </c>
      <c r="DO87" s="181">
        <f t="shared" ref="DO87:DO93" si="324">DN87/DN10*100</f>
        <v>7.1304179609298597</v>
      </c>
      <c r="DP87" s="191">
        <f>(DN87/DJ87-1)*100</f>
        <v>5.3829921744045217</v>
      </c>
      <c r="DQ87" s="44"/>
      <c r="DR87" s="44"/>
      <c r="DS87" s="44"/>
      <c r="DT87" s="44"/>
      <c r="DU87" s="44"/>
      <c r="DV87" s="44"/>
      <c r="DW87" s="44"/>
      <c r="DX87" s="44"/>
      <c r="DY87" s="44"/>
      <c r="DZ87" s="44"/>
      <c r="EA87" s="44"/>
      <c r="EB87" s="44"/>
      <c r="EC87" s="44"/>
      <c r="ED87" s="44"/>
    </row>
    <row r="88" spans="1:134">
      <c r="A88" s="57" t="str">
        <f>$A$11</f>
        <v>2Q</v>
      </c>
      <c r="B88" s="57" t="str">
        <f>$B$11</f>
        <v>Jul</v>
      </c>
      <c r="C88" s="57"/>
      <c r="D88" s="169"/>
      <c r="E88" s="57"/>
      <c r="F88" s="169">
        <f>F61-F78</f>
        <v>30.836999999999961</v>
      </c>
      <c r="G88" s="181">
        <f t="shared" si="285"/>
        <v>7.6141492755483915</v>
      </c>
      <c r="H88" s="57"/>
      <c r="I88" s="57"/>
      <c r="J88" s="169">
        <f>J61-J78</f>
        <v>54.117000000000068</v>
      </c>
      <c r="K88" s="181">
        <f t="shared" si="286"/>
        <v>10.346310911259993</v>
      </c>
      <c r="L88" s="57"/>
      <c r="M88" s="57"/>
      <c r="N88" s="169">
        <f>N61-N78</f>
        <v>60.814000000000028</v>
      </c>
      <c r="O88" s="181">
        <f t="shared" si="287"/>
        <v>9.902721644515518</v>
      </c>
      <c r="P88" s="57"/>
      <c r="Q88" s="57"/>
      <c r="R88" s="169">
        <f>R61-R78</f>
        <v>46.768000000000036</v>
      </c>
      <c r="S88" s="181">
        <f t="shared" si="288"/>
        <v>6.7467599164445113</v>
      </c>
      <c r="T88" s="57"/>
      <c r="U88" s="57"/>
      <c r="V88" s="169">
        <f>V61-V78</f>
        <v>73.308999999999997</v>
      </c>
      <c r="W88" s="181">
        <f t="shared" si="289"/>
        <v>9.4820929441453004</v>
      </c>
      <c r="X88" s="57"/>
      <c r="Y88" s="57"/>
      <c r="Z88" s="169">
        <f>Z61-Z78</f>
        <v>53.579999999999977</v>
      </c>
      <c r="AA88" s="181">
        <f t="shared" si="290"/>
        <v>6.1691578949792376</v>
      </c>
      <c r="AB88" s="191">
        <f t="shared" si="291"/>
        <v>-26.912111746170353</v>
      </c>
      <c r="AC88" s="57"/>
      <c r="AD88" s="169">
        <f>AD61-AD78</f>
        <v>108.7450000000001</v>
      </c>
      <c r="AE88" s="181">
        <f t="shared" si="292"/>
        <v>9.7064717249751276</v>
      </c>
      <c r="AF88" s="191">
        <f t="shared" si="293"/>
        <v>102.95819335573002</v>
      </c>
      <c r="AG88" s="57"/>
      <c r="AH88" s="169">
        <f>AH61-AH78</f>
        <v>111.13200000000001</v>
      </c>
      <c r="AI88" s="181">
        <f t="shared" si="294"/>
        <v>8.2612448066154176</v>
      </c>
      <c r="AJ88" s="191">
        <f t="shared" si="295"/>
        <v>2.1950434502734817</v>
      </c>
      <c r="AK88" s="57"/>
      <c r="AL88" s="169">
        <f>AL61-AL78</f>
        <v>218.99900000000002</v>
      </c>
      <c r="AM88" s="181">
        <f t="shared" si="296"/>
        <v>11.496191541074138</v>
      </c>
      <c r="AN88" s="191">
        <f t="shared" si="297"/>
        <v>97.06205233416118</v>
      </c>
      <c r="AO88" s="57"/>
      <c r="AP88" s="169">
        <f>AP61-AP78</f>
        <v>313.32599999999985</v>
      </c>
      <c r="AQ88" s="181">
        <f t="shared" si="298"/>
        <v>12.771410718208934</v>
      </c>
      <c r="AR88" s="191">
        <f t="shared" si="299"/>
        <v>43.07188617299613</v>
      </c>
      <c r="AS88" s="57"/>
      <c r="AT88" s="169">
        <f>AT61-AT78</f>
        <v>289.63699999999989</v>
      </c>
      <c r="AU88" s="181">
        <f t="shared" si="300"/>
        <v>9.8258175657475544</v>
      </c>
      <c r="AV88" s="191">
        <f t="shared" si="301"/>
        <v>-7.5604960967171504</v>
      </c>
      <c r="AW88" s="57"/>
      <c r="AX88" s="169">
        <f>AX61-AX78</f>
        <v>141.33999999999983</v>
      </c>
      <c r="AY88" s="181">
        <f t="shared" si="302"/>
        <v>4.355330102529285</v>
      </c>
      <c r="AZ88" s="191">
        <f t="shared" si="303"/>
        <v>-51.200986061863674</v>
      </c>
      <c r="BA88" s="57"/>
      <c r="BB88" s="169">
        <f>BB61-BB78</f>
        <v>111.33400000000027</v>
      </c>
      <c r="BC88" s="181">
        <f t="shared" si="304"/>
        <v>3.4064710527676629</v>
      </c>
      <c r="BD88" s="191">
        <f t="shared" si="305"/>
        <v>-21.229658978349796</v>
      </c>
      <c r="BE88" s="57"/>
      <c r="BF88" s="169">
        <f>BF61-BF78</f>
        <v>343.44999999999993</v>
      </c>
      <c r="BG88" s="181">
        <f t="shared" si="306"/>
        <v>9.319460917553771</v>
      </c>
      <c r="BH88" s="191">
        <f t="shared" si="307"/>
        <v>208.48617672947984</v>
      </c>
      <c r="BI88" s="57"/>
      <c r="BJ88" s="169">
        <f>BJ61-BJ78</f>
        <v>319.21600000000007</v>
      </c>
      <c r="BK88" s="181">
        <f t="shared" si="308"/>
        <v>8.5792556363717498</v>
      </c>
      <c r="BL88" s="191">
        <f t="shared" si="309"/>
        <v>-7.0560489154170565</v>
      </c>
      <c r="BM88" s="57"/>
      <c r="BN88" s="169">
        <f>BN61-BN78</f>
        <v>443.04499999999967</v>
      </c>
      <c r="BO88" s="181">
        <f t="shared" si="310"/>
        <v>11.921675818247076</v>
      </c>
      <c r="BP88" s="191">
        <f t="shared" si="311"/>
        <v>38.791601924715422</v>
      </c>
      <c r="BQ88" s="44"/>
      <c r="BR88" s="58">
        <f>BR61-BR78</f>
        <v>215</v>
      </c>
      <c r="BS88" s="183">
        <f t="shared" si="312"/>
        <v>5.7889068389876144</v>
      </c>
      <c r="BT88" s="55">
        <f t="shared" si="313"/>
        <v>-51.472198083716059</v>
      </c>
      <c r="BU88" s="44"/>
      <c r="BV88" s="58">
        <f>BV61-BV78</f>
        <v>280</v>
      </c>
      <c r="BW88" s="183">
        <f t="shared" si="314"/>
        <v>7.5983717774762551</v>
      </c>
      <c r="BX88" s="55">
        <f>(BV88/BR88-1)*100</f>
        <v>30.232558139534895</v>
      </c>
      <c r="BY88" s="44"/>
      <c r="BZ88" s="58">
        <f>BZ61-BZ78</f>
        <v>377</v>
      </c>
      <c r="CA88" s="183">
        <f t="shared" si="315"/>
        <v>10.774507002000572</v>
      </c>
      <c r="CB88" s="55">
        <f>(BZ88/BV88-1)*100</f>
        <v>34.642857142857153</v>
      </c>
      <c r="CC88" s="44"/>
      <c r="CD88" s="58">
        <f>CD61-CD78</f>
        <v>376</v>
      </c>
      <c r="CE88" s="183">
        <f t="shared" si="316"/>
        <v>11.587057010785824</v>
      </c>
      <c r="CF88" s="55">
        <f>(CD88/BZ88-1)*100</f>
        <v>-0.26525198938992522</v>
      </c>
      <c r="CG88" s="59"/>
      <c r="CH88" s="58">
        <f>CH61-CH78</f>
        <v>398</v>
      </c>
      <c r="CI88" s="183">
        <f t="shared" si="317"/>
        <v>11.998794091046125</v>
      </c>
      <c r="CJ88" s="55">
        <f>(CH88/CD88-1)*100</f>
        <v>5.8510638297872397</v>
      </c>
      <c r="CK88" s="59"/>
      <c r="CL88" s="58">
        <f>CL61-CL78</f>
        <v>313</v>
      </c>
      <c r="CM88" s="183">
        <f t="shared" si="318"/>
        <v>9.2439456585942121</v>
      </c>
      <c r="CN88" s="55">
        <f>(CL88/CH88-1)*100</f>
        <v>-21.356783919597987</v>
      </c>
      <c r="CO88" s="59"/>
      <c r="CP88" s="58">
        <f>CP61-CP78</f>
        <v>405</v>
      </c>
      <c r="CQ88" s="183">
        <f t="shared" si="319"/>
        <v>11.328671328671328</v>
      </c>
      <c r="CR88" s="55">
        <f>(CP88/CL88-1)*100</f>
        <v>29.392971246006393</v>
      </c>
      <c r="CS88" s="44"/>
      <c r="CT88" s="58">
        <f>CT61-CT78</f>
        <v>503</v>
      </c>
      <c r="CU88" s="183">
        <f t="shared" ref="CU88:CU93" si="325">CT88/CT11*100</f>
        <v>13.004136504653568</v>
      </c>
      <c r="CV88" s="55">
        <f>(CT88/CP88-1)*100</f>
        <v>24.197530864197535</v>
      </c>
      <c r="CW88" s="44"/>
      <c r="CX88" s="58">
        <f>CX61-CX78</f>
        <v>510</v>
      </c>
      <c r="CY88" s="183">
        <f t="shared" si="320"/>
        <v>12.81085154483798</v>
      </c>
      <c r="CZ88" s="55">
        <f>(CX88/CT88-1)*100</f>
        <v>1.3916500994035852</v>
      </c>
      <c r="DA88" s="44"/>
      <c r="DB88" s="58">
        <f>DB61-DB78</f>
        <v>436</v>
      </c>
      <c r="DC88" s="183">
        <f t="shared" si="321"/>
        <v>11.185223191380194</v>
      </c>
      <c r="DD88" s="55">
        <f>(DB88/CX88-1)*100</f>
        <v>-14.509803921568631</v>
      </c>
      <c r="DE88" s="44"/>
      <c r="DF88" s="58">
        <f>DF61-DF78</f>
        <v>413</v>
      </c>
      <c r="DG88" s="183">
        <f t="shared" si="322"/>
        <v>10.724487146195793</v>
      </c>
      <c r="DH88" s="55">
        <f>(DF88/DB88-1)*100</f>
        <v>-5.2752293577981613</v>
      </c>
      <c r="DI88" s="55"/>
      <c r="DJ88" s="58">
        <f>DJ61-DJ78</f>
        <v>375</v>
      </c>
      <c r="DK88" s="183">
        <f t="shared" si="323"/>
        <v>9.8710186891287179</v>
      </c>
      <c r="DL88" s="55">
        <f>(DJ88/DF88-1)*100</f>
        <v>-9.2009685230024179</v>
      </c>
      <c r="DM88" s="55"/>
      <c r="DN88" s="169">
        <f>DN61-DN78</f>
        <v>357.93639667578441</v>
      </c>
      <c r="DO88" s="181">
        <f t="shared" si="324"/>
        <v>9.1670588243516544</v>
      </c>
      <c r="DP88" s="191">
        <f>(DN88/DJ88-1)*100</f>
        <v>-4.5502942197908292</v>
      </c>
      <c r="DQ88" s="44"/>
      <c r="DR88" s="44"/>
      <c r="DS88" s="44"/>
      <c r="DT88" s="44"/>
      <c r="DU88" s="44"/>
      <c r="DV88" s="44"/>
      <c r="DW88" s="44"/>
      <c r="DX88" s="44"/>
      <c r="DY88" s="44"/>
      <c r="DZ88" s="44"/>
      <c r="EA88" s="44"/>
      <c r="EB88" s="44"/>
      <c r="EC88" s="44"/>
      <c r="ED88" s="44"/>
    </row>
    <row r="89" spans="1:134" ht="13.5">
      <c r="A89" s="57" t="str">
        <f>$A$12</f>
        <v>3Q</v>
      </c>
      <c r="B89" s="57" t="str">
        <f>$B$12</f>
        <v>Oct</v>
      </c>
      <c r="C89" s="57"/>
      <c r="D89" s="169"/>
      <c r="E89" s="57"/>
      <c r="F89" s="169">
        <f>F62-F79</f>
        <v>78.239000000000019</v>
      </c>
      <c r="G89" s="181">
        <f t="shared" si="285"/>
        <v>15.595088600530211</v>
      </c>
      <c r="H89" s="57"/>
      <c r="I89" s="57"/>
      <c r="J89" s="169">
        <f>J62-J79</f>
        <v>114.18499999999999</v>
      </c>
      <c r="K89" s="181">
        <f t="shared" si="286"/>
        <v>16.264464740503552</v>
      </c>
      <c r="L89" s="57"/>
      <c r="M89" s="57"/>
      <c r="N89" s="169">
        <f>N62-N79</f>
        <v>100.01899999999998</v>
      </c>
      <c r="O89" s="181">
        <f t="shared" si="287"/>
        <v>12.090950192330473</v>
      </c>
      <c r="P89" s="57"/>
      <c r="Q89" s="57"/>
      <c r="R89" s="169">
        <f>R62-R79</f>
        <v>130.43899999999999</v>
      </c>
      <c r="S89" s="181">
        <f t="shared" si="288"/>
        <v>14.514558623398615</v>
      </c>
      <c r="T89" s="57"/>
      <c r="U89" s="57"/>
      <c r="V89" s="169">
        <f>V62-V79</f>
        <v>154.78899999999996</v>
      </c>
      <c r="W89" s="181">
        <f t="shared" si="289"/>
        <v>15.661418167321967</v>
      </c>
      <c r="X89" s="57"/>
      <c r="Y89" s="57"/>
      <c r="Z89" s="169">
        <f>Z62-Z79</f>
        <v>193.17700000000005</v>
      </c>
      <c r="AA89" s="181">
        <f t="shared" si="290"/>
        <v>16.711839568001153</v>
      </c>
      <c r="AB89" s="191">
        <f t="shared" si="291"/>
        <v>24.800211901362566</v>
      </c>
      <c r="AC89" s="57"/>
      <c r="AD89" s="169">
        <f>AD62-AD79</f>
        <v>222.00000000000009</v>
      </c>
      <c r="AE89" s="181">
        <f t="shared" si="292"/>
        <v>16.052107164445889</v>
      </c>
      <c r="AF89" s="191">
        <f t="shared" si="293"/>
        <v>14.920513311626138</v>
      </c>
      <c r="AG89" s="57"/>
      <c r="AH89" s="169">
        <f>AH62-AH79</f>
        <v>263.23700000000008</v>
      </c>
      <c r="AI89" s="181">
        <f t="shared" si="294"/>
        <v>14.906347274735996</v>
      </c>
      <c r="AJ89" s="191">
        <f t="shared" si="295"/>
        <v>18.575225225225211</v>
      </c>
      <c r="AK89" s="57"/>
      <c r="AL89" s="169">
        <f>AL62-AL79</f>
        <v>380.39799999999974</v>
      </c>
      <c r="AM89" s="181">
        <f t="shared" si="296"/>
        <v>15.850260088968584</v>
      </c>
      <c r="AN89" s="191">
        <f t="shared" si="297"/>
        <v>44.507800955032771</v>
      </c>
      <c r="AO89" s="57"/>
      <c r="AP89" s="169">
        <f>AP62-AP79</f>
        <v>496.08899999999994</v>
      </c>
      <c r="AQ89" s="181">
        <f t="shared" si="298"/>
        <v>16.289856195569296</v>
      </c>
      <c r="AR89" s="191">
        <f t="shared" si="299"/>
        <v>30.413146231052824</v>
      </c>
      <c r="AS89" s="57"/>
      <c r="AT89" s="169">
        <f>AT62-AT79</f>
        <v>293.46200000000039</v>
      </c>
      <c r="AU89" s="181">
        <f t="shared" si="300"/>
        <v>8.5941590807656958</v>
      </c>
      <c r="AV89" s="191">
        <f t="shared" si="301"/>
        <v>-40.844888719564345</v>
      </c>
      <c r="AW89" s="57"/>
      <c r="AX89" s="169">
        <f>AX62-AX79</f>
        <v>-14.582999999999824</v>
      </c>
      <c r="AY89" s="181">
        <f t="shared" si="302"/>
        <v>-0.43748479393094691</v>
      </c>
      <c r="AZ89" s="191">
        <f t="shared" si="303"/>
        <v>-104.96929755811648</v>
      </c>
      <c r="BA89" s="57"/>
      <c r="BB89" s="169">
        <f>BB62-BB79</f>
        <v>248.31099999999989</v>
      </c>
      <c r="BC89" s="181">
        <f t="shared" si="304"/>
        <v>6.8124553492552415</v>
      </c>
      <c r="BD89" s="191" t="str">
        <f t="shared" si="305"/>
        <v xml:space="preserve">       NM</v>
      </c>
      <c r="BE89" s="57"/>
      <c r="BF89" s="169">
        <f>BF62-BF79</f>
        <v>429.89600000000002</v>
      </c>
      <c r="BG89" s="181">
        <f t="shared" si="306"/>
        <v>10.940343905110529</v>
      </c>
      <c r="BH89" s="191">
        <f t="shared" si="307"/>
        <v>73.128053126925579</v>
      </c>
      <c r="BI89" s="57"/>
      <c r="BJ89" s="169">
        <f>BJ62-BJ79</f>
        <v>434.15000000000009</v>
      </c>
      <c r="BK89" s="181">
        <f t="shared" si="308"/>
        <v>10.907880356267983</v>
      </c>
      <c r="BL89" s="191">
        <f t="shared" si="309"/>
        <v>0.98954165658673432</v>
      </c>
      <c r="BM89" s="57"/>
      <c r="BN89" s="169">
        <f>BN62-BN79</f>
        <v>351.17599999999993</v>
      </c>
      <c r="BO89" s="181">
        <f t="shared" si="310"/>
        <v>9.0980453928152638</v>
      </c>
      <c r="BP89" s="191">
        <f t="shared" si="311"/>
        <v>-19.111827709317087</v>
      </c>
      <c r="BQ89" s="44"/>
      <c r="BR89" s="58">
        <f>BR62-BR79</f>
        <v>304.96899999999999</v>
      </c>
      <c r="BS89" s="183">
        <f t="shared" si="312"/>
        <v>7.9192157881069853</v>
      </c>
      <c r="BT89" s="55">
        <f t="shared" si="313"/>
        <v>-13.157789826184008</v>
      </c>
      <c r="BU89" s="44"/>
      <c r="BV89" s="264">
        <f>BV62-BV79-BV71</f>
        <v>395</v>
      </c>
      <c r="BW89" s="183">
        <f t="shared" si="314"/>
        <v>10.249091852620653</v>
      </c>
      <c r="BX89" s="55">
        <f>(BV89/BR89-1)*100</f>
        <v>29.521361187530548</v>
      </c>
      <c r="BY89" s="44"/>
      <c r="BZ89" s="58">
        <f>BZ62-BZ79</f>
        <v>398</v>
      </c>
      <c r="CA89" s="183">
        <f t="shared" si="315"/>
        <v>11.176635776467284</v>
      </c>
      <c r="CB89" s="55">
        <f>(BZ89/BV89-1)*100</f>
        <v>0.75949367088608</v>
      </c>
      <c r="CC89" s="44"/>
      <c r="CD89" s="58">
        <f>CD62-CD79</f>
        <v>500</v>
      </c>
      <c r="CE89" s="183">
        <f t="shared" si="316"/>
        <v>13.931457230426304</v>
      </c>
      <c r="CF89" s="55">
        <f>(CD89/BZ89-1)*100</f>
        <v>25.628140703517598</v>
      </c>
      <c r="CG89" s="59"/>
      <c r="CH89" s="58">
        <f>CH62-CH79</f>
        <v>502</v>
      </c>
      <c r="CI89" s="183">
        <f t="shared" si="317"/>
        <v>13.738368910782702</v>
      </c>
      <c r="CJ89" s="55">
        <f>(CH89/CD89-1)*100</f>
        <v>0.40000000000000036</v>
      </c>
      <c r="CK89" s="59"/>
      <c r="CL89" s="58">
        <f>CL62-CL79</f>
        <v>325</v>
      </c>
      <c r="CM89" s="183">
        <f t="shared" si="318"/>
        <v>9.0655509065550905</v>
      </c>
      <c r="CN89" s="55">
        <f>(CL89/CH89-1)*100</f>
        <v>-35.258964143426297</v>
      </c>
      <c r="CO89" s="59"/>
      <c r="CP89" s="58">
        <f>CP62-CP79</f>
        <v>499</v>
      </c>
      <c r="CQ89" s="183">
        <f t="shared" si="319"/>
        <v>12.914078674948239</v>
      </c>
      <c r="CR89" s="55">
        <f>(CP89/CL89-1)*100</f>
        <v>53.538461538461533</v>
      </c>
      <c r="CS89" s="44"/>
      <c r="CT89" s="58">
        <f>CT62-CT79</f>
        <v>556</v>
      </c>
      <c r="CU89" s="183">
        <f t="shared" si="325"/>
        <v>13.98390342052314</v>
      </c>
      <c r="CV89" s="55">
        <f>(CT89/CP89-1)*100</f>
        <v>11.422845691382765</v>
      </c>
      <c r="CW89" s="44"/>
      <c r="CX89" s="58">
        <f>CX62-CX79</f>
        <v>536</v>
      </c>
      <c r="CY89" s="183">
        <f t="shared" si="320"/>
        <v>13.494461228600201</v>
      </c>
      <c r="CZ89" s="55">
        <f>(CX89/CT89-1)*100</f>
        <v>-3.5971223021582732</v>
      </c>
      <c r="DA89" s="44"/>
      <c r="DB89" s="58">
        <f>DB62-DB79</f>
        <v>409</v>
      </c>
      <c r="DC89" s="183">
        <f t="shared" si="321"/>
        <v>10.604096448016593</v>
      </c>
      <c r="DD89" s="55">
        <f>(DB89/CX89-1)*100</f>
        <v>-23.694029850746269</v>
      </c>
      <c r="DE89" s="44"/>
      <c r="DF89" s="58">
        <f>DF62-DF79</f>
        <v>401</v>
      </c>
      <c r="DG89" s="183">
        <f t="shared" si="322"/>
        <v>10.558188520273829</v>
      </c>
      <c r="DH89" s="55">
        <f>(DF89/DB89-1)*100</f>
        <v>-1.9559902200488977</v>
      </c>
      <c r="DI89" s="55"/>
      <c r="DJ89" s="58">
        <f>DJ62-DJ79</f>
        <v>364</v>
      </c>
      <c r="DK89" s="183">
        <f t="shared" si="323"/>
        <v>9.48410630536738</v>
      </c>
      <c r="DL89" s="55">
        <f>(DJ89/DF89-1)*100</f>
        <v>-9.2269326683291801</v>
      </c>
      <c r="DM89" s="55"/>
      <c r="DN89" s="169">
        <f>DN62-DN79</f>
        <v>352.96450950604572</v>
      </c>
      <c r="DO89" s="181">
        <f t="shared" si="324"/>
        <v>9.0413822138354867</v>
      </c>
      <c r="DP89" s="191">
        <f>(DN89/DJ89-1)*100</f>
        <v>-3.0317281576797472</v>
      </c>
      <c r="DQ89" s="44"/>
      <c r="DR89" s="44"/>
      <c r="DS89" s="44"/>
      <c r="DT89" s="44"/>
      <c r="DU89" s="44"/>
      <c r="DV89" s="44"/>
      <c r="DW89" s="44"/>
      <c r="DX89" s="44"/>
      <c r="DY89" s="44"/>
      <c r="DZ89" s="44"/>
      <c r="EA89" s="58"/>
      <c r="EB89" s="44"/>
      <c r="EC89" s="44"/>
      <c r="ED89" s="44"/>
    </row>
    <row r="90" spans="1:134">
      <c r="A90" s="57" t="str">
        <f>$A$13</f>
        <v>4Q</v>
      </c>
      <c r="B90" s="57" t="str">
        <f>$B$13</f>
        <v>Jan</v>
      </c>
      <c r="C90" s="60"/>
      <c r="D90" s="250"/>
      <c r="E90" s="60"/>
      <c r="F90" s="250">
        <f>F63-F80</f>
        <v>92.591000000000022</v>
      </c>
      <c r="G90" s="181">
        <f t="shared" si="285"/>
        <v>14.82105755163064</v>
      </c>
      <c r="H90" s="57"/>
      <c r="I90" s="57"/>
      <c r="J90" s="250">
        <f>J63-J80</f>
        <v>135.39100000000002</v>
      </c>
      <c r="K90" s="181">
        <f t="shared" si="286"/>
        <v>16.850470139455002</v>
      </c>
      <c r="L90" s="57"/>
      <c r="M90" s="57"/>
      <c r="N90" s="250">
        <f>N63-N80</f>
        <v>106.02199999999988</v>
      </c>
      <c r="O90" s="181">
        <f t="shared" si="287"/>
        <v>11.397653645578561</v>
      </c>
      <c r="P90" s="57"/>
      <c r="Q90" s="57"/>
      <c r="R90" s="250">
        <f>R63-R80</f>
        <v>180.73700000000002</v>
      </c>
      <c r="S90" s="181">
        <f t="shared" si="288"/>
        <v>17.046961508351963</v>
      </c>
      <c r="T90" s="57"/>
      <c r="U90" s="57"/>
      <c r="V90" s="250">
        <f>V63-V80</f>
        <v>196.30199999999988</v>
      </c>
      <c r="W90" s="181">
        <f t="shared" si="289"/>
        <v>16.226081651985083</v>
      </c>
      <c r="X90" s="57"/>
      <c r="Y90" s="57"/>
      <c r="Z90" s="250">
        <f>Z63-Z80</f>
        <v>255.61100000000005</v>
      </c>
      <c r="AA90" s="181">
        <f t="shared" si="290"/>
        <v>16.79306914951627</v>
      </c>
      <c r="AB90" s="191">
        <f t="shared" si="291"/>
        <v>30.213140976658526</v>
      </c>
      <c r="AC90" s="57"/>
      <c r="AD90" s="250">
        <f>AD63-AD80</f>
        <v>282.95099999999991</v>
      </c>
      <c r="AE90" s="181">
        <f t="shared" si="292"/>
        <v>16.964546950169552</v>
      </c>
      <c r="AF90" s="191">
        <f t="shared" si="293"/>
        <v>10.695940315557561</v>
      </c>
      <c r="AG90" s="57"/>
      <c r="AH90" s="250">
        <f>AH63-AH80</f>
        <v>344.98599999999982</v>
      </c>
      <c r="AI90" s="181">
        <f t="shared" si="294"/>
        <v>15.931163497775774</v>
      </c>
      <c r="AJ90" s="191">
        <f t="shared" si="295"/>
        <v>21.924290778261945</v>
      </c>
      <c r="AK90" s="57"/>
      <c r="AL90" s="250">
        <f>AL63-AL80</f>
        <v>502.15999999999985</v>
      </c>
      <c r="AM90" s="181">
        <f t="shared" si="296"/>
        <v>16.573856240213974</v>
      </c>
      <c r="AN90" s="191">
        <f t="shared" si="297"/>
        <v>45.559529951940107</v>
      </c>
      <c r="AO90" s="57"/>
      <c r="AP90" s="250">
        <f>AP63-AP80</f>
        <v>651.7429999999996</v>
      </c>
      <c r="AQ90" s="181">
        <f t="shared" si="298"/>
        <v>16.88917601444334</v>
      </c>
      <c r="AR90" s="191">
        <f t="shared" si="299"/>
        <v>29.787916202007292</v>
      </c>
      <c r="AS90" s="57"/>
      <c r="AT90" s="250">
        <f>AT63-AT80</f>
        <v>427.95699999999965</v>
      </c>
      <c r="AU90" s="181">
        <f t="shared" si="300"/>
        <v>9.3459003190154828</v>
      </c>
      <c r="AV90" s="191">
        <f t="shared" si="301"/>
        <v>-34.336540630279124</v>
      </c>
      <c r="AW90" s="57"/>
      <c r="AX90" s="250">
        <f>AX63-AX80</f>
        <v>-66.975000000000108</v>
      </c>
      <c r="AY90" s="181">
        <f t="shared" si="302"/>
        <v>-1.6376807164471097</v>
      </c>
      <c r="AZ90" s="191">
        <f t="shared" si="303"/>
        <v>-115.64993679271521</v>
      </c>
      <c r="BA90" s="57"/>
      <c r="BB90" s="250">
        <f>BB63-BB80</f>
        <v>369.31299999999999</v>
      </c>
      <c r="BC90" s="181">
        <f t="shared" si="304"/>
        <v>7.9411835537921514</v>
      </c>
      <c r="BD90" s="191" t="str">
        <f t="shared" si="305"/>
        <v xml:space="preserve">       NM</v>
      </c>
      <c r="BE90" s="57"/>
      <c r="BF90" s="250">
        <f>BF63-BF80</f>
        <v>578.01400000000012</v>
      </c>
      <c r="BG90" s="181">
        <f t="shared" si="306"/>
        <v>11.829364929934201</v>
      </c>
      <c r="BH90" s="191">
        <f t="shared" si="307"/>
        <v>56.510602117986686</v>
      </c>
      <c r="BI90" s="57"/>
      <c r="BJ90" s="250">
        <f>BJ63-BJ80</f>
        <v>600.89699999999993</v>
      </c>
      <c r="BK90" s="181">
        <f t="shared" si="308"/>
        <v>12.265965175426222</v>
      </c>
      <c r="BL90" s="191">
        <f t="shared" si="309"/>
        <v>3.9589006494652024</v>
      </c>
      <c r="BM90" s="57"/>
      <c r="BN90" s="250">
        <f>BN63-BN80</f>
        <v>530.36099999999988</v>
      </c>
      <c r="BO90" s="181">
        <f t="shared" si="310"/>
        <v>11.001324861026495</v>
      </c>
      <c r="BP90" s="191">
        <f t="shared" si="311"/>
        <v>-11.738451015731489</v>
      </c>
      <c r="BQ90" s="44"/>
      <c r="BR90" s="252">
        <f>BR63-BR80</f>
        <v>391</v>
      </c>
      <c r="BS90" s="183">
        <f t="shared" si="312"/>
        <v>7.9487700752185404</v>
      </c>
      <c r="BT90" s="55">
        <f t="shared" si="313"/>
        <v>-26.27663044605465</v>
      </c>
      <c r="BU90" s="44"/>
      <c r="BV90" s="252">
        <f>BV63-BV80</f>
        <v>433</v>
      </c>
      <c r="BW90" s="183">
        <f t="shared" si="314"/>
        <v>9.262032085561497</v>
      </c>
      <c r="BX90" s="55">
        <f>(BV90/BR90-1)*100</f>
        <v>10.741687979539648</v>
      </c>
      <c r="BY90" s="44"/>
      <c r="BZ90" s="252">
        <f>BZ63-BZ80</f>
        <v>401</v>
      </c>
      <c r="CA90" s="183">
        <f t="shared" si="315"/>
        <v>9.8236158745712885</v>
      </c>
      <c r="CB90" s="55">
        <f>(BZ90/BV90-1)*100</f>
        <v>-7.3903002309468775</v>
      </c>
      <c r="CC90" s="44"/>
      <c r="CD90" s="252">
        <f>CD63-CD80</f>
        <v>587</v>
      </c>
      <c r="CE90" s="183">
        <f t="shared" si="316"/>
        <v>13.85741265344665</v>
      </c>
      <c r="CF90" s="55">
        <f>(CD90/BZ90-1)*100</f>
        <v>46.384039900249377</v>
      </c>
      <c r="CG90" s="59"/>
      <c r="CH90" s="252">
        <f>CH63-CH80</f>
        <v>597</v>
      </c>
      <c r="CI90" s="183">
        <f t="shared" si="317"/>
        <v>13.680109990834097</v>
      </c>
      <c r="CJ90" s="55">
        <f>(CH90/CD90-1)*100</f>
        <v>1.7035775127768327</v>
      </c>
      <c r="CK90" s="59"/>
      <c r="CL90" s="252">
        <f>CL63-CL80</f>
        <v>350</v>
      </c>
      <c r="CM90" s="183">
        <f t="shared" si="318"/>
        <v>8.1718421667055807</v>
      </c>
      <c r="CN90" s="55">
        <f>(CL90/CH90-1)*100</f>
        <v>-41.373534338358468</v>
      </c>
      <c r="CO90" s="59"/>
      <c r="CP90" s="252">
        <f>CP63-CP80</f>
        <v>584</v>
      </c>
      <c r="CQ90" s="183">
        <f t="shared" si="319"/>
        <v>12.359788359788359</v>
      </c>
      <c r="CR90" s="55">
        <f>(CP90/CL90-1)*100</f>
        <v>66.857142857142861</v>
      </c>
      <c r="CS90" s="44"/>
      <c r="CT90" s="252">
        <f>CT63-CT80</f>
        <v>504</v>
      </c>
      <c r="CU90" s="183">
        <f t="shared" si="325"/>
        <v>11.016393442622952</v>
      </c>
      <c r="CV90" s="55">
        <f>(CT90/CP90-1)*100</f>
        <v>-13.698630136986301</v>
      </c>
      <c r="CW90" s="44"/>
      <c r="CX90" s="252">
        <f>CX63-CX80</f>
        <v>502</v>
      </c>
      <c r="CY90" s="183">
        <f t="shared" si="320"/>
        <v>10.662701784197111</v>
      </c>
      <c r="CZ90" s="55">
        <f>(CX90/CT90-1)*100</f>
        <v>-0.39682539682539542</v>
      </c>
      <c r="DA90" s="44"/>
      <c r="DB90" s="252">
        <f>DB63-DB80</f>
        <v>365</v>
      </c>
      <c r="DC90" s="183">
        <f t="shared" si="321"/>
        <v>8.3238312428734318</v>
      </c>
      <c r="DD90" s="55">
        <f>(DB90/CX90-1)*100</f>
        <v>-27.290836653386453</v>
      </c>
      <c r="DE90" s="44"/>
      <c r="DF90" s="252">
        <f>DF63-DF80</f>
        <v>309</v>
      </c>
      <c r="DG90" s="183">
        <f t="shared" si="322"/>
        <v>6.9767441860465116</v>
      </c>
      <c r="DH90" s="55">
        <f>(DF90/DB90-1)*100</f>
        <v>-15.342465753424662</v>
      </c>
      <c r="DI90" s="55"/>
      <c r="DJ90" s="252">
        <f>DJ63-DJ80</f>
        <v>383</v>
      </c>
      <c r="DK90" s="183">
        <f t="shared" si="323"/>
        <v>8.0159062369192124</v>
      </c>
      <c r="DL90" s="55">
        <f>(DJ90/DF90-1)*100</f>
        <v>23.948220064724921</v>
      </c>
      <c r="DM90" s="55"/>
      <c r="DN90" s="250">
        <f>DN63-DN80</f>
        <v>366.19468614319135</v>
      </c>
      <c r="DO90" s="181">
        <f t="shared" si="324"/>
        <v>7.8223062351663968</v>
      </c>
      <c r="DP90" s="191">
        <f>(DN90/DJ90-1)*100</f>
        <v>-4.3878104064774544</v>
      </c>
      <c r="DQ90" s="44"/>
      <c r="DR90" s="44"/>
      <c r="DS90" s="44"/>
      <c r="DT90" s="44"/>
      <c r="DU90" s="44"/>
      <c r="DV90" s="44"/>
      <c r="DW90" s="44"/>
      <c r="DX90" s="44"/>
      <c r="DY90" s="44"/>
      <c r="DZ90" s="44"/>
      <c r="EA90" s="44"/>
      <c r="EB90" s="44"/>
      <c r="EC90" s="44"/>
      <c r="ED90" s="44"/>
    </row>
    <row r="91" spans="1:134">
      <c r="A91" s="57"/>
      <c r="B91" s="57" t="str">
        <f>$B$14</f>
        <v>Year</v>
      </c>
      <c r="C91" s="57"/>
      <c r="D91" s="167"/>
      <c r="E91" s="57"/>
      <c r="F91" s="167">
        <f>SUM(F87:F90)</f>
        <v>236.92199999999997</v>
      </c>
      <c r="G91" s="181">
        <f t="shared" si="285"/>
        <v>12.251755628871948</v>
      </c>
      <c r="H91" s="57"/>
      <c r="I91" s="57"/>
      <c r="J91" s="167">
        <f>SUM(J87:J90)</f>
        <v>370.76300000000009</v>
      </c>
      <c r="K91" s="181">
        <f t="shared" si="286"/>
        <v>14.719283431253336</v>
      </c>
      <c r="L91" s="57"/>
      <c r="M91" s="57"/>
      <c r="N91" s="167">
        <f>SUM(N87:N90)</f>
        <v>339.84099999999989</v>
      </c>
      <c r="O91" s="181">
        <f t="shared" si="287"/>
        <v>11.479528673233999</v>
      </c>
      <c r="P91" s="57"/>
      <c r="Q91" s="57"/>
      <c r="R91" s="167">
        <f>SUM(R87:R90)</f>
        <v>424.88800000000003</v>
      </c>
      <c r="S91" s="181">
        <f t="shared" si="288"/>
        <v>12.892275006151996</v>
      </c>
      <c r="T91" s="57"/>
      <c r="U91" s="57"/>
      <c r="V91" s="167">
        <f>SUM(V87:V90)</f>
        <v>529.32199999999989</v>
      </c>
      <c r="W91" s="181">
        <f t="shared" si="289"/>
        <v>14.217849334128402</v>
      </c>
      <c r="X91" s="57"/>
      <c r="Y91" s="57"/>
      <c r="Z91" s="167">
        <f>SUM(Z87:Z90)</f>
        <v>585.19900000000007</v>
      </c>
      <c r="AA91" s="181">
        <f t="shared" si="290"/>
        <v>13.314341631755896</v>
      </c>
      <c r="AB91" s="191">
        <f t="shared" si="291"/>
        <v>10.556334329576366</v>
      </c>
      <c r="AC91" s="57"/>
      <c r="AD91" s="167">
        <f>SUM(AD87:AD90)</f>
        <v>748.52700000000016</v>
      </c>
      <c r="AE91" s="181">
        <f t="shared" si="292"/>
        <v>14.164894620580917</v>
      </c>
      <c r="AF91" s="191">
        <f t="shared" si="293"/>
        <v>27.909822128882666</v>
      </c>
      <c r="AG91" s="57"/>
      <c r="AH91" s="167">
        <f>SUM(AH87:AH90)</f>
        <v>854.24199999999985</v>
      </c>
      <c r="AI91" s="181">
        <f t="shared" si="294"/>
        <v>13.126382470333786</v>
      </c>
      <c r="AJ91" s="191">
        <f t="shared" si="295"/>
        <v>14.123071044865409</v>
      </c>
      <c r="AK91" s="57"/>
      <c r="AL91" s="167">
        <f>SUM(AL87:AL90)</f>
        <v>1319.2619999999997</v>
      </c>
      <c r="AM91" s="181">
        <f t="shared" si="296"/>
        <v>14.570296943098329</v>
      </c>
      <c r="AN91" s="191">
        <f t="shared" si="297"/>
        <v>54.436564814186127</v>
      </c>
      <c r="AO91" s="57"/>
      <c r="AP91" s="167">
        <f>SUM(AP87:AP90)</f>
        <v>1784.9499999999994</v>
      </c>
      <c r="AQ91" s="181">
        <f t="shared" si="298"/>
        <v>15.340687099831044</v>
      </c>
      <c r="AR91" s="191">
        <f t="shared" si="299"/>
        <v>35.299129361718883</v>
      </c>
      <c r="AS91" s="57"/>
      <c r="AT91" s="167">
        <f>SUM(AT87:AT90)</f>
        <v>1381.8849999999998</v>
      </c>
      <c r="AU91" s="181">
        <f t="shared" si="300"/>
        <v>10.106330073002736</v>
      </c>
      <c r="AV91" s="191">
        <f t="shared" si="301"/>
        <v>-22.581304798453729</v>
      </c>
      <c r="AW91" s="57"/>
      <c r="AX91" s="167">
        <f>SUM(AX87:AX90)</f>
        <v>241.64099999999988</v>
      </c>
      <c r="AY91" s="181">
        <f t="shared" si="302"/>
        <v>1.7449683427917042</v>
      </c>
      <c r="AZ91" s="191">
        <f t="shared" si="303"/>
        <v>-82.513667924610232</v>
      </c>
      <c r="BA91" s="57"/>
      <c r="BB91" s="167">
        <f>SUM(BB87:BB90)</f>
        <v>800.87500000000034</v>
      </c>
      <c r="BC91" s="181">
        <f t="shared" si="304"/>
        <v>5.5405819653650612</v>
      </c>
      <c r="BD91" s="191">
        <f t="shared" si="305"/>
        <v>231.43175206194343</v>
      </c>
      <c r="BE91" s="57"/>
      <c r="BF91" s="167">
        <f>SUM(BF87:BF90)</f>
        <v>1683.8470000000002</v>
      </c>
      <c r="BG91" s="181">
        <f t="shared" si="306"/>
        <v>10.62110069579577</v>
      </c>
      <c r="BH91" s="191">
        <f t="shared" si="307"/>
        <v>110.25091306383636</v>
      </c>
      <c r="BI91" s="57"/>
      <c r="BJ91" s="167">
        <f>SUM(BJ87:BJ90)</f>
        <v>1865.8130000000001</v>
      </c>
      <c r="BK91" s="181">
        <f t="shared" si="308"/>
        <v>11.469644106025296</v>
      </c>
      <c r="BL91" s="191">
        <f t="shared" si="309"/>
        <v>10.806563779250711</v>
      </c>
      <c r="BM91" s="57"/>
      <c r="BN91" s="167">
        <f>BN64-BN81</f>
        <v>1792.2420000000002</v>
      </c>
      <c r="BO91" s="181">
        <f t="shared" si="310"/>
        <v>11.185168173007195</v>
      </c>
      <c r="BP91" s="191">
        <f t="shared" si="311"/>
        <v>-3.9431068386810431</v>
      </c>
      <c r="BQ91" s="44"/>
      <c r="BR91" s="66">
        <f>SUM(BR87:BR90)</f>
        <v>1315.191</v>
      </c>
      <c r="BS91" s="183">
        <f t="shared" si="312"/>
        <v>8.2596935250894941</v>
      </c>
      <c r="BT91" s="55">
        <f t="shared" si="313"/>
        <v>-26.617554995363356</v>
      </c>
      <c r="BU91" s="44"/>
      <c r="BV91" s="66">
        <f>SUM(BV87:BV90)</f>
        <v>1435</v>
      </c>
      <c r="BW91" s="183">
        <f t="shared" si="314"/>
        <v>9.103597031022014</v>
      </c>
      <c r="BX91" s="55">
        <f>(BV91/BR91-1)*100</f>
        <v>9.109627422937038</v>
      </c>
      <c r="BY91" s="44"/>
      <c r="BZ91" s="66">
        <f>SUM(BZ87:BZ90)</f>
        <v>1584</v>
      </c>
      <c r="CA91" s="183">
        <f t="shared" si="315"/>
        <v>10.90458488228005</v>
      </c>
      <c r="CB91" s="55">
        <f>(BZ91/BV91-1)*100</f>
        <v>10.383275261324032</v>
      </c>
      <c r="CC91" s="44"/>
      <c r="CD91" s="66">
        <f>SUM(CD87:CD90)</f>
        <v>1816</v>
      </c>
      <c r="CE91" s="183">
        <f t="shared" si="316"/>
        <v>12.791434810171163</v>
      </c>
      <c r="CF91" s="55">
        <f>(CD91/BZ91-1)*100</f>
        <v>14.64646464646464</v>
      </c>
      <c r="CG91" s="59"/>
      <c r="CH91" s="66">
        <f>SUM(CH87:CH90)</f>
        <v>1982</v>
      </c>
      <c r="CI91" s="183">
        <f t="shared" si="317"/>
        <v>13.516093835242771</v>
      </c>
      <c r="CJ91" s="55">
        <f>(CH91/CD91-1)*100</f>
        <v>9.1409691629956047</v>
      </c>
      <c r="CK91" s="59"/>
      <c r="CL91" s="66">
        <f>SUM(CL87:CL90)</f>
        <v>1369</v>
      </c>
      <c r="CM91" s="183">
        <f t="shared" si="318"/>
        <v>9.4095814145302068</v>
      </c>
      <c r="CN91" s="55">
        <f>(CL91/CH91-1)*100</f>
        <v>-30.928355196770941</v>
      </c>
      <c r="CO91" s="59"/>
      <c r="CP91" s="66">
        <f>SUM(CP87:CP90)</f>
        <v>1861</v>
      </c>
      <c r="CQ91" s="183">
        <f t="shared" si="319"/>
        <v>11.890614018273594</v>
      </c>
      <c r="CR91" s="55">
        <f>(CP91/CL91-1)*100</f>
        <v>35.938641344046744</v>
      </c>
      <c r="CS91" s="44"/>
      <c r="CT91" s="66">
        <f>SUM(CT87:CT90)</f>
        <v>2093</v>
      </c>
      <c r="CU91" s="183">
        <f t="shared" si="325"/>
        <v>12.961357443646271</v>
      </c>
      <c r="CV91" s="55">
        <f>(CT91/CP91-1)*100</f>
        <v>12.466415905427187</v>
      </c>
      <c r="CW91" s="44"/>
      <c r="CX91" s="66">
        <f>SUM(CX87:CX90)</f>
        <v>1974</v>
      </c>
      <c r="CY91" s="183">
        <f t="shared" si="320"/>
        <v>12.010952236081533</v>
      </c>
      <c r="CZ91" s="55">
        <f>(CX91/CT91-1)*100</f>
        <v>-5.6856187290969862</v>
      </c>
      <c r="DA91" s="44"/>
      <c r="DB91" s="66">
        <f>SUM(DB87:DB90)</f>
        <v>1603</v>
      </c>
      <c r="DC91" s="183">
        <f t="shared" si="321"/>
        <v>10.147496360068367</v>
      </c>
      <c r="DD91" s="55">
        <f>(DB91/CX91-1)*100</f>
        <v>-18.794326241134751</v>
      </c>
      <c r="DE91" s="44"/>
      <c r="DF91" s="66">
        <f>SUM(DF87:DF90)</f>
        <v>1327</v>
      </c>
      <c r="DG91" s="183">
        <f t="shared" si="322"/>
        <v>8.5524619747357562</v>
      </c>
      <c r="DH91" s="55">
        <f>(DF91/DB91-1)*100</f>
        <v>-17.217716781035563</v>
      </c>
      <c r="DI91" s="55"/>
      <c r="DJ91" s="66">
        <f>SUM(DJ87:DJ90)</f>
        <v>1360</v>
      </c>
      <c r="DK91" s="183">
        <f t="shared" si="323"/>
        <v>8.577735730053611</v>
      </c>
      <c r="DL91" s="55">
        <f>(DJ91/DF91-1)*100</f>
        <v>2.4868123587038493</v>
      </c>
      <c r="DM91" s="55"/>
      <c r="DN91" s="167">
        <f>SUM(DN87:DN90)</f>
        <v>1327.9071137001042</v>
      </c>
      <c r="DO91" s="181">
        <f t="shared" si="324"/>
        <v>8.29559610338932</v>
      </c>
      <c r="DP91" s="191">
        <f>(DN91/DJ91-1)*100</f>
        <v>-2.3597710514629222</v>
      </c>
      <c r="DQ91" s="44"/>
      <c r="DR91" s="44"/>
      <c r="DS91" s="44"/>
      <c r="DT91" s="44"/>
      <c r="DU91" s="44"/>
      <c r="DV91" s="44"/>
      <c r="DW91" s="44"/>
      <c r="DX91" s="44"/>
      <c r="DY91" s="44"/>
      <c r="DZ91" s="44"/>
      <c r="EA91" s="44"/>
      <c r="EB91" s="44"/>
      <c r="EC91" s="44"/>
      <c r="ED91" s="44"/>
    </row>
    <row r="92" spans="1:134" hidden="1" outlineLevel="1">
      <c r="A92" s="57" t="str">
        <f>$A$15</f>
        <v>6 Mos</v>
      </c>
      <c r="B92" s="57"/>
      <c r="C92" s="57"/>
      <c r="D92" s="169"/>
      <c r="E92" s="57"/>
      <c r="F92" s="169">
        <f>SUM(F87:F88)</f>
        <v>66.091999999999956</v>
      </c>
      <c r="G92" s="181">
        <f t="shared" si="285"/>
        <v>8.186146521271688</v>
      </c>
      <c r="H92" s="57"/>
      <c r="I92" s="57"/>
      <c r="J92" s="169">
        <f>SUM(J87:J88)</f>
        <v>121.1870000000001</v>
      </c>
      <c r="K92" s="181">
        <f t="shared" si="286"/>
        <v>11.958975917643958</v>
      </c>
      <c r="L92" s="57"/>
      <c r="M92" s="57"/>
      <c r="N92" s="169">
        <f>SUM(N87:N88)</f>
        <v>133.80000000000004</v>
      </c>
      <c r="O92" s="181">
        <f t="shared" si="287"/>
        <v>11.122397915838862</v>
      </c>
      <c r="P92" s="57"/>
      <c r="Q92" s="57"/>
      <c r="R92" s="169">
        <f>SUM(R87:R88)</f>
        <v>113.71200000000005</v>
      </c>
      <c r="S92" s="181">
        <f t="shared" si="288"/>
        <v>8.506461834927725</v>
      </c>
      <c r="T92" s="57"/>
      <c r="U92" s="57"/>
      <c r="V92" s="169">
        <f>SUM(V87:V88)</f>
        <v>178.23099999999999</v>
      </c>
      <c r="W92" s="181">
        <f t="shared" si="289"/>
        <v>11.688803981634326</v>
      </c>
      <c r="X92" s="57"/>
      <c r="Y92" s="57"/>
      <c r="Z92" s="169">
        <f>SUM(Z87:Z88)</f>
        <v>136.411</v>
      </c>
      <c r="AA92" s="181">
        <f t="shared" si="290"/>
        <v>7.9437946147279117</v>
      </c>
      <c r="AB92" s="191">
        <f t="shared" si="291"/>
        <v>-23.463931639277114</v>
      </c>
      <c r="AC92" s="57"/>
      <c r="AD92" s="169">
        <f>SUM(AD87:AD88)</f>
        <v>243.57600000000014</v>
      </c>
      <c r="AE92" s="181">
        <f t="shared" si="292"/>
        <v>10.905627921158336</v>
      </c>
      <c r="AF92" s="191">
        <f t="shared" si="293"/>
        <v>78.560380028003692</v>
      </c>
      <c r="AG92" s="57"/>
      <c r="AH92" s="169">
        <f>SUM(AH87:AH88)</f>
        <v>246.01899999999995</v>
      </c>
      <c r="AI92" s="181">
        <f t="shared" si="294"/>
        <v>9.5489183191941311</v>
      </c>
      <c r="AJ92" s="191">
        <f t="shared" si="295"/>
        <v>1.0029723782309485</v>
      </c>
      <c r="AK92" s="57"/>
      <c r="AL92" s="169">
        <f>SUM(AL87:AL88)</f>
        <v>436.70400000000006</v>
      </c>
      <c r="AM92" s="181">
        <f t="shared" si="296"/>
        <v>12.048063802562545</v>
      </c>
      <c r="AN92" s="191">
        <f t="shared" si="297"/>
        <v>77.508241233400739</v>
      </c>
      <c r="AO92" s="57"/>
      <c r="AP92" s="169">
        <f>SUM(AP87:AP88)</f>
        <v>637.11799999999982</v>
      </c>
      <c r="AQ92" s="181">
        <f t="shared" si="298"/>
        <v>13.466670245840632</v>
      </c>
      <c r="AR92" s="191">
        <f t="shared" si="299"/>
        <v>45.892412251776889</v>
      </c>
      <c r="AS92" s="57"/>
      <c r="AT92" s="169">
        <f>SUM(AT87:AT88)</f>
        <v>660.46599999999967</v>
      </c>
      <c r="AU92" s="181">
        <f t="shared" si="300"/>
        <v>11.628528528951504</v>
      </c>
      <c r="AV92" s="191">
        <f t="shared" si="301"/>
        <v>3.6646272746963415</v>
      </c>
      <c r="AW92" s="57"/>
      <c r="AX92" s="169">
        <f>SUM(AX87:AX88)</f>
        <v>323.19899999999978</v>
      </c>
      <c r="AY92" s="181">
        <f t="shared" si="302"/>
        <v>5.0304324986867419</v>
      </c>
      <c r="AZ92" s="191">
        <f t="shared" si="303"/>
        <v>-51.065005617246008</v>
      </c>
      <c r="BA92" s="57"/>
      <c r="BB92" s="169">
        <f>SUM(BB87:BB88)</f>
        <v>183.25100000000043</v>
      </c>
      <c r="BC92" s="181">
        <f t="shared" si="304"/>
        <v>2.9752649270215805</v>
      </c>
      <c r="BD92" s="191">
        <f t="shared" si="305"/>
        <v>-43.300876549741631</v>
      </c>
      <c r="BE92" s="57"/>
      <c r="BF92" s="169">
        <f>SUM(BF87:BF88)</f>
        <v>675.93700000000013</v>
      </c>
      <c r="BG92" s="181">
        <f t="shared" si="306"/>
        <v>9.604010758631274</v>
      </c>
      <c r="BH92" s="191">
        <f t="shared" si="307"/>
        <v>268.85856011699718</v>
      </c>
      <c r="BI92" s="57"/>
      <c r="BJ92" s="169">
        <f>SUM(BJ87:BJ88)</f>
        <v>830.76600000000008</v>
      </c>
      <c r="BK92" s="181">
        <f t="shared" si="308"/>
        <v>11.244263607293318</v>
      </c>
      <c r="BL92" s="191">
        <f t="shared" si="309"/>
        <v>22.905832940052086</v>
      </c>
      <c r="BM92" s="57"/>
      <c r="BN92" s="169">
        <f>SUM(BN87:BN88)</f>
        <v>910.70500000000004</v>
      </c>
      <c r="BO92" s="181">
        <f t="shared" si="310"/>
        <v>12.403046826385946</v>
      </c>
      <c r="BP92" s="191">
        <f t="shared" si="311"/>
        <v>9.6223244571876911</v>
      </c>
      <c r="BQ92" s="44"/>
      <c r="BR92" s="58">
        <f>SUM(BR87:BR88)</f>
        <v>619.22199999999998</v>
      </c>
      <c r="BS92" s="183">
        <f t="shared" si="312"/>
        <v>8.6568153222424158</v>
      </c>
      <c r="BT92" s="55">
        <f t="shared" si="313"/>
        <v>-32.006302809361983</v>
      </c>
      <c r="BU92" s="44"/>
      <c r="BV92" s="58">
        <f>SUM(BV87:BV88)</f>
        <v>607</v>
      </c>
      <c r="BW92" s="183">
        <f t="shared" si="314"/>
        <v>8.3909317113630078</v>
      </c>
      <c r="BX92" s="55" t="e">
        <f>(BV92/BQ92-1)*100</f>
        <v>#DIV/0!</v>
      </c>
      <c r="BY92" s="44"/>
      <c r="BZ92" s="58">
        <f>SUM(BZ87:BZ88)</f>
        <v>785</v>
      </c>
      <c r="CA92" s="183">
        <f t="shared" si="315"/>
        <v>11.404910649426123</v>
      </c>
      <c r="CB92" s="55" t="e">
        <f>(BZ92/BU92-1)*100</f>
        <v>#DIV/0!</v>
      </c>
      <c r="CC92" s="44"/>
      <c r="CD92" s="58">
        <f>SUM(CD87:CD88)</f>
        <v>729</v>
      </c>
      <c r="CE92" s="183">
        <f t="shared" si="316"/>
        <v>11.440677966101696</v>
      </c>
      <c r="CF92" s="55" t="e">
        <f>(CD92/BY92-1)*100</f>
        <v>#DIV/0!</v>
      </c>
      <c r="CG92" s="59"/>
      <c r="CH92" s="58">
        <f>SUM(CH87:CH88)</f>
        <v>883</v>
      </c>
      <c r="CI92" s="183">
        <f t="shared" si="317"/>
        <v>13.286187180258802</v>
      </c>
      <c r="CJ92" s="55">
        <f t="shared" ref="CJ92:CJ93" si="326">(CH92/CD92-1)*100</f>
        <v>21.124828532235938</v>
      </c>
      <c r="CK92" s="59"/>
      <c r="CL92" s="58">
        <f>SUM(CL87:CL88)</f>
        <v>694</v>
      </c>
      <c r="CM92" s="183">
        <f t="shared" si="318"/>
        <v>10.387666516988475</v>
      </c>
      <c r="CN92" s="55">
        <f t="shared" ref="CN92:CN93" si="327">(CL92/CH92-1)*100</f>
        <v>-21.404303510758783</v>
      </c>
      <c r="CO92" s="59"/>
      <c r="CP92" s="58">
        <f>SUM(CP87:CP88)</f>
        <v>778</v>
      </c>
      <c r="CQ92" s="183">
        <f t="shared" si="319"/>
        <v>11.016709147550269</v>
      </c>
      <c r="CR92" s="55">
        <f t="shared" ref="CR92:CR93" si="328">(CP92/CL92-1)*100</f>
        <v>12.103746397694515</v>
      </c>
      <c r="CS92" s="44"/>
      <c r="CT92" s="58">
        <f>SUM(CT87:CT88)</f>
        <v>1033</v>
      </c>
      <c r="CU92" s="183">
        <f t="shared" si="325"/>
        <v>13.597472686586812</v>
      </c>
      <c r="CV92" s="55">
        <f t="shared" ref="CV92:CV93" si="329">(CT92/CP92-1)*100</f>
        <v>32.776349614395883</v>
      </c>
      <c r="CW92" s="44"/>
      <c r="CX92" s="58">
        <f>SUM(CX87:CX88)</f>
        <v>936</v>
      </c>
      <c r="CY92" s="183">
        <f t="shared" si="320"/>
        <v>12.069632495164411</v>
      </c>
      <c r="CZ92" s="55">
        <f t="shared" ref="CZ92:CZ93" si="330">(CX92/CT92-1)*100</f>
        <v>-9.390125847047436</v>
      </c>
      <c r="DA92" s="44"/>
      <c r="DB92" s="58">
        <f>SUM(DB87:DB88)</f>
        <v>829</v>
      </c>
      <c r="DC92" s="183">
        <f t="shared" si="321"/>
        <v>10.972865651886169</v>
      </c>
      <c r="DD92" s="55">
        <f t="shared" ref="DD92:DD93" si="331">(DB92/CX92-1)*100</f>
        <v>-11.431623931623935</v>
      </c>
      <c r="DE92" s="44"/>
      <c r="DF92" s="58">
        <f>SUM(DF87:DF88)</f>
        <v>617</v>
      </c>
      <c r="DG92" s="183">
        <f t="shared" si="322"/>
        <v>8.464809987652627</v>
      </c>
      <c r="DH92" s="55">
        <f t="shared" ref="DH92:DH93" si="332">(DF92/DB92-1)*100</f>
        <v>-25.572979493365501</v>
      </c>
      <c r="DI92" s="55"/>
      <c r="DJ92" s="58">
        <f>SUM(DJ87:DJ88)</f>
        <v>613</v>
      </c>
      <c r="DK92" s="183">
        <f t="shared" si="323"/>
        <v>8.4680204448128205</v>
      </c>
      <c r="DL92" s="55">
        <f t="shared" ref="DL92:DL93" si="333">(DJ92/DF92-1)*100</f>
        <v>-0.64829821717989899</v>
      </c>
      <c r="DM92" s="55"/>
      <c r="DN92" s="1570">
        <f>SUM(DN87:DN88)</f>
        <v>608.74791805086716</v>
      </c>
      <c r="DO92" s="1571">
        <f t="shared" si="324"/>
        <v>8.2018500038675661</v>
      </c>
      <c r="DP92" s="1572">
        <f t="shared" ref="DP92:DP93" si="334">(DN92/DJ92-1)*100</f>
        <v>-0.69365121519295858</v>
      </c>
      <c r="DQ92" s="44"/>
      <c r="DR92" s="44"/>
      <c r="DS92" s="44"/>
      <c r="DT92" s="44"/>
      <c r="DU92" s="44"/>
      <c r="DV92" s="44"/>
      <c r="DW92" s="44"/>
      <c r="DX92" s="44"/>
      <c r="DY92" s="44"/>
      <c r="DZ92" s="44"/>
      <c r="EA92" s="44"/>
      <c r="EB92" s="44"/>
      <c r="EC92" s="44"/>
      <c r="ED92" s="44"/>
    </row>
    <row r="93" spans="1:134" hidden="1" outlineLevel="1">
      <c r="A93" s="57" t="str">
        <f>$A$16</f>
        <v>9 Mos</v>
      </c>
      <c r="B93" s="57"/>
      <c r="C93" s="57"/>
      <c r="D93" s="169"/>
      <c r="E93" s="57"/>
      <c r="F93" s="169">
        <f>SUM(F87:F89)</f>
        <v>144.33099999999996</v>
      </c>
      <c r="G93" s="181">
        <f t="shared" si="285"/>
        <v>11.025595582764344</v>
      </c>
      <c r="H93" s="57"/>
      <c r="I93" s="57"/>
      <c r="J93" s="169">
        <f>SUM(J87:J89)</f>
        <v>235.37200000000007</v>
      </c>
      <c r="K93" s="181">
        <f t="shared" si="286"/>
        <v>13.721050618861524</v>
      </c>
      <c r="L93" s="57"/>
      <c r="M93" s="57"/>
      <c r="N93" s="169">
        <f>SUM(N87:N89)</f>
        <v>233.81900000000002</v>
      </c>
      <c r="O93" s="181">
        <f t="shared" si="287"/>
        <v>11.517042655895972</v>
      </c>
      <c r="P93" s="57"/>
      <c r="Q93" s="57"/>
      <c r="R93" s="169">
        <f>SUM(R87:R89)</f>
        <v>244.15100000000004</v>
      </c>
      <c r="S93" s="181">
        <f t="shared" si="288"/>
        <v>10.921787971901843</v>
      </c>
      <c r="T93" s="57"/>
      <c r="U93" s="57"/>
      <c r="V93" s="169">
        <f>SUM(V87:V89)</f>
        <v>333.02</v>
      </c>
      <c r="W93" s="181">
        <f t="shared" si="289"/>
        <v>13.251115036247382</v>
      </c>
      <c r="X93" s="57"/>
      <c r="Y93" s="57"/>
      <c r="Z93" s="169">
        <f>SUM(Z87:Z89)</f>
        <v>329.58800000000008</v>
      </c>
      <c r="AA93" s="181">
        <f t="shared" si="290"/>
        <v>11.471387834386949</v>
      </c>
      <c r="AB93" s="191">
        <f t="shared" si="291"/>
        <v>-1.0305687346105041</v>
      </c>
      <c r="AC93" s="57"/>
      <c r="AD93" s="169">
        <f>SUM(AD87:AD89)</f>
        <v>465.57600000000025</v>
      </c>
      <c r="AE93" s="181">
        <f t="shared" si="292"/>
        <v>12.873715776506753</v>
      </c>
      <c r="AF93" s="191">
        <f t="shared" si="293"/>
        <v>41.259997329999919</v>
      </c>
      <c r="AG93" s="57"/>
      <c r="AH93" s="169">
        <f>SUM(AH87:AH89)</f>
        <v>509.25600000000003</v>
      </c>
      <c r="AI93" s="181">
        <f t="shared" si="294"/>
        <v>11.727669789556151</v>
      </c>
      <c r="AJ93" s="191">
        <f t="shared" si="295"/>
        <v>9.3819269034485906</v>
      </c>
      <c r="AK93" s="57"/>
      <c r="AL93" s="169">
        <f>SUM(AL87:AL89)</f>
        <v>817.10199999999986</v>
      </c>
      <c r="AM93" s="181">
        <f t="shared" si="296"/>
        <v>13.562691816758871</v>
      </c>
      <c r="AN93" s="191">
        <f t="shared" si="297"/>
        <v>60.45014688093999</v>
      </c>
      <c r="AO93" s="57"/>
      <c r="AP93" s="169">
        <f>SUM(AP87:AP89)</f>
        <v>1133.2069999999999</v>
      </c>
      <c r="AQ93" s="181">
        <f t="shared" si="298"/>
        <v>14.572275119048397</v>
      </c>
      <c r="AR93" s="191">
        <f t="shared" si="299"/>
        <v>38.686112627309697</v>
      </c>
      <c r="AS93" s="57"/>
      <c r="AT93" s="169">
        <f>SUM(AT87:AT89)</f>
        <v>953.92800000000011</v>
      </c>
      <c r="AU93" s="181">
        <f t="shared" si="300"/>
        <v>10.489212449193856</v>
      </c>
      <c r="AV93" s="191">
        <f t="shared" si="301"/>
        <v>-15.820498814426653</v>
      </c>
      <c r="AW93" s="57"/>
      <c r="AX93" s="169">
        <f>SUM(AX87:AX89)</f>
        <v>308.61599999999999</v>
      </c>
      <c r="AY93" s="181">
        <f t="shared" si="302"/>
        <v>3.162616895983787</v>
      </c>
      <c r="AZ93" s="191">
        <f t="shared" si="303"/>
        <v>-67.647872795431113</v>
      </c>
      <c r="BA93" s="57"/>
      <c r="BB93" s="169">
        <f>SUM(BB87:BB89)</f>
        <v>431.56200000000035</v>
      </c>
      <c r="BC93" s="181">
        <f t="shared" si="304"/>
        <v>4.40185004138573</v>
      </c>
      <c r="BD93" s="191">
        <f t="shared" si="305"/>
        <v>39.837856754024536</v>
      </c>
      <c r="BE93" s="57"/>
      <c r="BF93" s="169">
        <f>SUM(BF87:BF89)</f>
        <v>1105.8330000000001</v>
      </c>
      <c r="BG93" s="181">
        <f t="shared" si="306"/>
        <v>10.082793512411095</v>
      </c>
      <c r="BH93" s="191">
        <f t="shared" si="307"/>
        <v>156.23965965492772</v>
      </c>
      <c r="BI93" s="57"/>
      <c r="BJ93" s="169">
        <f>SUM(BJ87:BJ89)</f>
        <v>1264.9160000000002</v>
      </c>
      <c r="BK93" s="181">
        <f t="shared" si="308"/>
        <v>11.126494743723537</v>
      </c>
      <c r="BL93" s="191">
        <f t="shared" si="309"/>
        <v>14.385806898509991</v>
      </c>
      <c r="BM93" s="57"/>
      <c r="BN93" s="169">
        <f>SUM(BN87:BN89)</f>
        <v>1261.8809999999999</v>
      </c>
      <c r="BO93" s="181">
        <f t="shared" si="310"/>
        <v>11.264283311122512</v>
      </c>
      <c r="BP93" s="191">
        <f t="shared" si="311"/>
        <v>-0.23993688118423284</v>
      </c>
      <c r="BQ93" s="44"/>
      <c r="BR93" s="58">
        <f>SUM(BR87:BR89)</f>
        <v>924.19100000000003</v>
      </c>
      <c r="BS93" s="183">
        <f t="shared" si="312"/>
        <v>8.3986822973464204</v>
      </c>
      <c r="BT93" s="55">
        <f t="shared" si="313"/>
        <v>-26.760843534374466</v>
      </c>
      <c r="BU93" s="44"/>
      <c r="BV93" s="58">
        <f>SUM(BV87:BV89)</f>
        <v>1002</v>
      </c>
      <c r="BW93" s="183">
        <f t="shared" si="314"/>
        <v>9.0367965367965368</v>
      </c>
      <c r="BX93" s="55" t="e">
        <f>(BV93/BQ93-1)*100</f>
        <v>#DIV/0!</v>
      </c>
      <c r="BY93" s="44"/>
      <c r="BZ93" s="58">
        <f>SUM(BZ87:BZ89)</f>
        <v>1183</v>
      </c>
      <c r="CA93" s="183">
        <f t="shared" si="315"/>
        <v>11.327077747989277</v>
      </c>
      <c r="CB93" s="55" t="e">
        <f>(BZ93/BU93-1)*100</f>
        <v>#DIV/0!</v>
      </c>
      <c r="CC93" s="44"/>
      <c r="CD93" s="58">
        <f>SUM(CD87:CD89)</f>
        <v>1229</v>
      </c>
      <c r="CE93" s="183">
        <f t="shared" si="316"/>
        <v>12.338118662784861</v>
      </c>
      <c r="CF93" s="55" t="e">
        <f>(CD93/BY93-1)*100</f>
        <v>#DIV/0!</v>
      </c>
      <c r="CG93" s="59"/>
      <c r="CH93" s="58">
        <f>SUM(CH87:CH89)</f>
        <v>1385</v>
      </c>
      <c r="CI93" s="183">
        <f t="shared" si="317"/>
        <v>13.446601941747574</v>
      </c>
      <c r="CJ93" s="55">
        <f t="shared" si="326"/>
        <v>12.69324654190398</v>
      </c>
      <c r="CK93" s="59"/>
      <c r="CL93" s="58">
        <f>SUM(CL87:CL89)</f>
        <v>1019</v>
      </c>
      <c r="CM93" s="183">
        <f t="shared" si="318"/>
        <v>9.9259692187804411</v>
      </c>
      <c r="CN93" s="55">
        <f t="shared" si="327"/>
        <v>-26.425992779783392</v>
      </c>
      <c r="CO93" s="59"/>
      <c r="CP93" s="58">
        <f>SUM(CP87:CP89)</f>
        <v>1277</v>
      </c>
      <c r="CQ93" s="183">
        <f t="shared" si="319"/>
        <v>11.687717371407652</v>
      </c>
      <c r="CR93" s="55">
        <f t="shared" si="328"/>
        <v>25.3189401373896</v>
      </c>
      <c r="CS93" s="44"/>
      <c r="CT93" s="58">
        <f>SUM(CT87:CT89)</f>
        <v>1589</v>
      </c>
      <c r="CU93" s="183">
        <f t="shared" si="325"/>
        <v>13.730234165730579</v>
      </c>
      <c r="CV93" s="55">
        <f t="shared" si="329"/>
        <v>24.432263116679721</v>
      </c>
      <c r="CW93" s="44"/>
      <c r="CX93" s="58">
        <f>SUM(CX87:CX89)</f>
        <v>1472</v>
      </c>
      <c r="CY93" s="183">
        <f t="shared" si="320"/>
        <v>12.552229896819306</v>
      </c>
      <c r="CZ93" s="55">
        <f t="shared" si="330"/>
        <v>-7.3631214600377586</v>
      </c>
      <c r="DA93" s="44"/>
      <c r="DB93" s="58">
        <f>SUM(DB87:DB89)</f>
        <v>1238</v>
      </c>
      <c r="DC93" s="183">
        <f t="shared" si="321"/>
        <v>10.848229933403434</v>
      </c>
      <c r="DD93" s="55">
        <f t="shared" si="331"/>
        <v>-15.896739130434778</v>
      </c>
      <c r="DE93" s="44"/>
      <c r="DF93" s="58">
        <f>SUM(DF87:DF89)</f>
        <v>1018</v>
      </c>
      <c r="DG93" s="183">
        <f t="shared" si="322"/>
        <v>9.1819247767655803</v>
      </c>
      <c r="DH93" s="55">
        <f t="shared" si="332"/>
        <v>-17.770597738287563</v>
      </c>
      <c r="DI93" s="55"/>
      <c r="DJ93" s="58">
        <f>SUM(DJ87:DJ89)</f>
        <v>977</v>
      </c>
      <c r="DK93" s="183">
        <f t="shared" si="323"/>
        <v>8.8200776383497335</v>
      </c>
      <c r="DL93" s="55">
        <f t="shared" si="333"/>
        <v>-4.0275049115913504</v>
      </c>
      <c r="DM93" s="55"/>
      <c r="DN93" s="1570">
        <f>SUM(DN87:DN89)</f>
        <v>961.71242755691287</v>
      </c>
      <c r="DO93" s="1571">
        <f t="shared" si="324"/>
        <v>8.4912234077997546</v>
      </c>
      <c r="DP93" s="1572">
        <f t="shared" si="334"/>
        <v>-1.5647464117796495</v>
      </c>
      <c r="DQ93" s="44"/>
      <c r="DR93" s="44"/>
      <c r="DS93" s="44"/>
      <c r="DT93" s="44"/>
      <c r="DU93" s="44"/>
      <c r="DV93" s="44"/>
      <c r="DW93" s="44"/>
      <c r="DX93" s="44"/>
      <c r="DY93" s="44"/>
      <c r="DZ93" s="44"/>
      <c r="EA93" s="44"/>
      <c r="EB93" s="44"/>
      <c r="EC93" s="44"/>
      <c r="ED93" s="44"/>
    </row>
    <row r="94" spans="1:134" ht="12" customHeight="1" collapsed="1">
      <c r="A94" s="57"/>
      <c r="B94" s="57"/>
      <c r="C94" s="57"/>
      <c r="D94" s="57"/>
      <c r="E94" s="57"/>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7"/>
      <c r="AZ94" s="57"/>
      <c r="BA94" s="57"/>
      <c r="BB94" s="57"/>
      <c r="BC94" s="57"/>
      <c r="BD94" s="57"/>
      <c r="BE94" s="57"/>
      <c r="BF94" s="57"/>
      <c r="BG94" s="57"/>
      <c r="BH94" s="57"/>
      <c r="BI94" s="57"/>
      <c r="BJ94" s="57"/>
      <c r="BK94" s="57"/>
      <c r="BL94" s="57"/>
      <c r="BM94" s="57"/>
      <c r="BN94" s="57"/>
      <c r="BO94" s="57"/>
      <c r="BP94" s="57"/>
      <c r="BQ94" s="44"/>
      <c r="BR94" s="44"/>
      <c r="BS94" s="44"/>
      <c r="BT94" s="44"/>
      <c r="BU94" s="44"/>
      <c r="BV94" s="44"/>
      <c r="BW94" s="44"/>
      <c r="BX94" s="44"/>
      <c r="BY94" s="44"/>
      <c r="BZ94" s="44"/>
      <c r="CA94" s="44"/>
      <c r="CB94" s="44"/>
      <c r="CC94" s="44"/>
      <c r="CD94" s="44"/>
      <c r="CE94" s="44"/>
      <c r="CF94" s="44"/>
      <c r="CG94" s="59"/>
      <c r="CH94" s="44"/>
      <c r="CI94" s="44"/>
      <c r="CJ94" s="44"/>
      <c r="CK94" s="59"/>
      <c r="CL94" s="44"/>
      <c r="CM94" s="44"/>
      <c r="CN94" s="44"/>
      <c r="CO94" s="59"/>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57"/>
      <c r="DO94" s="57"/>
      <c r="DP94" s="57"/>
      <c r="DQ94" s="44"/>
      <c r="DR94" s="44"/>
      <c r="DS94" s="44"/>
      <c r="DT94" s="44"/>
      <c r="DU94" s="44"/>
      <c r="DV94" s="44"/>
      <c r="DW94" s="44"/>
      <c r="DX94" s="44"/>
      <c r="DY94" s="44"/>
      <c r="DZ94" s="44"/>
      <c r="EA94" s="44"/>
      <c r="EB94" s="44"/>
      <c r="EC94" s="44"/>
      <c r="ED94" s="44"/>
    </row>
    <row r="95" spans="1:134" ht="14.25">
      <c r="A95" s="57"/>
      <c r="B95" s="57"/>
      <c r="C95" s="205"/>
      <c r="D95" s="206"/>
      <c r="E95" s="205" t="str">
        <f>AH95</f>
        <v>7.  Income Taxes/(Credit)   (% Tax Rate) (1)</v>
      </c>
      <c r="F95" s="206"/>
      <c r="G95" s="57"/>
      <c r="H95" s="57"/>
      <c r="I95" s="57"/>
      <c r="J95" s="206"/>
      <c r="K95" s="57"/>
      <c r="L95" s="57"/>
      <c r="M95" s="57"/>
      <c r="N95" s="206"/>
      <c r="O95" s="57"/>
      <c r="P95" s="57"/>
      <c r="Q95" s="57"/>
      <c r="R95" s="206"/>
      <c r="S95" s="57"/>
      <c r="T95" s="57"/>
      <c r="U95" s="57"/>
      <c r="V95" s="206"/>
      <c r="W95" s="57"/>
      <c r="X95" s="57"/>
      <c r="Y95" s="57"/>
      <c r="Z95" s="57"/>
      <c r="AA95" s="134"/>
      <c r="AB95" s="134"/>
      <c r="AC95" s="134"/>
      <c r="AD95" s="135"/>
      <c r="AE95" s="134"/>
      <c r="AF95" s="134"/>
      <c r="AG95" s="134"/>
      <c r="AH95" s="135" t="s">
        <v>675</v>
      </c>
      <c r="AI95" s="135"/>
      <c r="AJ95" s="135"/>
      <c r="AK95" s="135"/>
      <c r="AL95" s="44"/>
      <c r="AM95" s="135"/>
      <c r="AN95" s="135"/>
      <c r="AO95" s="135"/>
      <c r="AP95" s="44"/>
      <c r="AQ95" s="135"/>
      <c r="AR95" s="135"/>
      <c r="AS95" s="135"/>
      <c r="AT95" s="44"/>
      <c r="AU95" s="135"/>
      <c r="AV95" s="135"/>
      <c r="AW95" s="135"/>
      <c r="AX95" s="135"/>
      <c r="AY95" s="135"/>
      <c r="AZ95" s="265"/>
      <c r="BA95" s="135"/>
      <c r="BB95" s="135"/>
      <c r="BC95" s="135"/>
      <c r="BD95" s="135"/>
      <c r="BE95" s="266"/>
      <c r="BF95" s="135"/>
      <c r="BG95" s="266"/>
      <c r="BH95" s="266"/>
      <c r="BI95" s="266"/>
      <c r="BJ95" s="135" t="s">
        <v>675</v>
      </c>
      <c r="BK95" s="266"/>
      <c r="BL95" s="266"/>
      <c r="BM95" s="266"/>
      <c r="BN95" s="135"/>
      <c r="BO95" s="266"/>
      <c r="BP95" s="266"/>
      <c r="BQ95" s="265"/>
      <c r="BR95" s="137"/>
      <c r="BS95" s="265"/>
      <c r="BT95" s="265"/>
      <c r="BU95" s="136"/>
      <c r="BV95" s="135" t="s">
        <v>675</v>
      </c>
      <c r="BW95" s="136"/>
      <c r="BX95" s="136"/>
      <c r="BY95" s="136"/>
      <c r="BZ95" s="137"/>
      <c r="CA95" s="136"/>
      <c r="CB95" s="136"/>
      <c r="CC95" s="136"/>
      <c r="CD95" s="137"/>
      <c r="CE95" s="136"/>
      <c r="CF95" s="136"/>
      <c r="CG95" s="138"/>
      <c r="CH95" s="139" t="str">
        <f>+BV95</f>
        <v>7.  Income Taxes/(Credit)   (% Tax Rate) (1)</v>
      </c>
      <c r="CI95" s="136"/>
      <c r="CJ95" s="136"/>
      <c r="CK95" s="138"/>
      <c r="CL95" s="137"/>
      <c r="CM95" s="136"/>
      <c r="CN95" s="136"/>
      <c r="CO95" s="138"/>
      <c r="CP95" s="137"/>
      <c r="CQ95" s="136"/>
      <c r="CR95" s="136"/>
      <c r="CS95" s="44"/>
      <c r="CT95" s="44"/>
      <c r="CU95" s="44"/>
      <c r="CV95" s="44"/>
      <c r="CW95" s="44"/>
      <c r="CX95" s="44"/>
      <c r="CY95" s="44"/>
      <c r="CZ95" s="44"/>
      <c r="DA95" s="44"/>
      <c r="DB95" s="44"/>
      <c r="DC95" s="44"/>
      <c r="DD95" s="44"/>
      <c r="DE95" s="44"/>
      <c r="DF95" s="44"/>
      <c r="DG95" s="44"/>
      <c r="DH95" s="44"/>
      <c r="DI95" s="44"/>
      <c r="DJ95" s="44"/>
      <c r="DK95" s="44"/>
      <c r="DL95" s="44"/>
      <c r="DM95" s="44"/>
      <c r="DN95" s="57"/>
      <c r="DO95" s="57"/>
      <c r="DP95" s="57"/>
      <c r="DQ95" s="44"/>
      <c r="DR95" s="44"/>
      <c r="DS95" s="44"/>
      <c r="DT95" s="44"/>
      <c r="DU95" s="44"/>
      <c r="DV95" s="44"/>
      <c r="DW95" s="44"/>
      <c r="DX95" s="44"/>
      <c r="DY95" s="44"/>
      <c r="DZ95" s="44"/>
      <c r="EA95" s="44"/>
      <c r="EB95" s="44"/>
      <c r="EC95" s="44"/>
      <c r="ED95" s="44"/>
    </row>
    <row r="96" spans="1:134">
      <c r="A96" s="57"/>
      <c r="B96" s="57"/>
      <c r="C96" s="57"/>
      <c r="D96" s="57"/>
      <c r="E96" s="57"/>
      <c r="F96" s="57"/>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7"/>
      <c r="AZ96" s="57"/>
      <c r="BA96" s="57"/>
      <c r="BB96" s="57"/>
      <c r="BC96" s="57"/>
      <c r="BD96" s="57"/>
      <c r="BE96" s="57"/>
      <c r="BF96" s="57"/>
      <c r="BG96" s="57"/>
      <c r="BH96" s="57"/>
      <c r="BI96" s="57"/>
      <c r="BJ96" s="57"/>
      <c r="BK96" s="57"/>
      <c r="BL96" s="57"/>
      <c r="BM96" s="57"/>
      <c r="BN96" s="57"/>
      <c r="BO96" s="57"/>
      <c r="BP96" s="57"/>
      <c r="BQ96" s="44"/>
      <c r="BR96" s="44"/>
      <c r="BS96" s="44"/>
      <c r="BT96" s="44"/>
      <c r="BU96" s="44"/>
      <c r="BV96" s="44"/>
      <c r="BW96" s="44"/>
      <c r="BX96" s="44"/>
      <c r="BY96" s="44"/>
      <c r="BZ96" s="44"/>
      <c r="CA96" s="44"/>
      <c r="CB96" s="44"/>
      <c r="CC96" s="44"/>
      <c r="CD96" s="44"/>
      <c r="CE96" s="140">
        <f>CE99-CA99</f>
        <v>0.40904522613065808</v>
      </c>
      <c r="CF96" s="44"/>
      <c r="CG96" s="59"/>
      <c r="CH96" s="44"/>
      <c r="CI96" s="44"/>
      <c r="CJ96" s="44"/>
      <c r="CK96" s="59"/>
      <c r="CL96" s="44"/>
      <c r="CM96" s="44"/>
      <c r="CN96" s="44"/>
      <c r="CO96" s="59"/>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57"/>
      <c r="DO96" s="57"/>
      <c r="DP96" s="57"/>
      <c r="DQ96" s="44"/>
      <c r="DR96" s="44"/>
      <c r="DS96" s="44"/>
      <c r="DT96" s="44"/>
      <c r="DU96" s="44"/>
      <c r="DV96" s="44"/>
      <c r="DW96" s="44"/>
      <c r="DX96" s="44"/>
      <c r="DY96" s="44"/>
      <c r="DZ96" s="44"/>
      <c r="EA96" s="44"/>
      <c r="EB96" s="44"/>
      <c r="EC96" s="44"/>
      <c r="ED96" s="44"/>
    </row>
    <row r="97" spans="1:134">
      <c r="A97" s="57" t="str">
        <f>$A$10</f>
        <v>1Q</v>
      </c>
      <c r="B97" s="57" t="str">
        <f>$B$10</f>
        <v>Apr</v>
      </c>
      <c r="C97" s="57"/>
      <c r="D97" s="147"/>
      <c r="E97" s="57"/>
      <c r="F97" s="147">
        <v>14.101000000000001</v>
      </c>
      <c r="G97" s="181">
        <f>F97/F87*100</f>
        <v>39.997163522904565</v>
      </c>
      <c r="H97" s="212"/>
      <c r="I97" s="57"/>
      <c r="J97" s="147">
        <v>26.157</v>
      </c>
      <c r="K97" s="181">
        <f>J97/J87*100</f>
        <v>38.999552706127915</v>
      </c>
      <c r="L97" s="212"/>
      <c r="M97" s="57"/>
      <c r="N97" s="147">
        <v>27.734999999999999</v>
      </c>
      <c r="O97" s="181">
        <f>N97/N87*100</f>
        <v>38.000438440248814</v>
      </c>
      <c r="P97" s="212"/>
      <c r="Q97" s="57"/>
      <c r="R97" s="147">
        <v>25.439</v>
      </c>
      <c r="S97" s="181">
        <f>R97/R87*100</f>
        <v>38.000418260038231</v>
      </c>
      <c r="T97" s="212"/>
      <c r="U97" s="57"/>
      <c r="V97" s="147">
        <v>41.444189999999999</v>
      </c>
      <c r="W97" s="181">
        <f>V97/V87*100</f>
        <v>39.500000000000007</v>
      </c>
      <c r="X97" s="212"/>
      <c r="Y97" s="57"/>
      <c r="Z97" s="147">
        <v>32.718000000000004</v>
      </c>
      <c r="AA97" s="181">
        <f t="shared" ref="AA97:AA103" si="335">Z97/Z87*100</f>
        <v>39.499704217020188</v>
      </c>
      <c r="AB97" s="212"/>
      <c r="AC97" s="57"/>
      <c r="AD97" s="147">
        <v>53.258000000000003</v>
      </c>
      <c r="AE97" s="181">
        <f t="shared" ref="AE97:AE103" si="336">AD97/AD87*100</f>
        <v>39.499818291045827</v>
      </c>
      <c r="AF97" s="212"/>
      <c r="AG97" s="57"/>
      <c r="AH97" s="147">
        <v>50.582999999999998</v>
      </c>
      <c r="AI97" s="181">
        <f t="shared" ref="AI97:AI103" si="337">AH97/AH87*100</f>
        <v>37.500278010482866</v>
      </c>
      <c r="AJ97" s="212"/>
      <c r="AK97" s="57"/>
      <c r="AL97" s="147">
        <v>81.638999999999996</v>
      </c>
      <c r="AM97" s="181">
        <f t="shared" ref="AM97:AM103" si="338">AL97/AL87*100</f>
        <v>37.499827748558815</v>
      </c>
      <c r="AN97" s="212"/>
      <c r="AO97" s="212"/>
      <c r="AP97" s="147">
        <v>121.422</v>
      </c>
      <c r="AQ97" s="181">
        <f t="shared" ref="AQ97:AQ103" si="339">AP97/AP87*100</f>
        <v>37.5</v>
      </c>
      <c r="AR97" s="57"/>
      <c r="AS97" s="57"/>
      <c r="AT97" s="147">
        <v>135.35300000000001</v>
      </c>
      <c r="AU97" s="181">
        <f t="shared" ref="AU97:AU103" si="340">AT97/AT87*100</f>
        <v>36.500111911420106</v>
      </c>
      <c r="AV97" s="57"/>
      <c r="AW97" s="57"/>
      <c r="AX97" s="147">
        <v>66.379000000000005</v>
      </c>
      <c r="AY97" s="181">
        <f t="shared" ref="AY97:AY103" si="341">AX97/AX87*100</f>
        <v>36.500255692597023</v>
      </c>
      <c r="AZ97" s="57"/>
      <c r="BA97" s="57"/>
      <c r="BB97" s="147">
        <v>35.238999999999997</v>
      </c>
      <c r="BC97" s="181">
        <f t="shared" ref="BC97:BC103" si="342">BB97/BB87*100</f>
        <v>48.999541137700284</v>
      </c>
      <c r="BD97" s="57"/>
      <c r="BE97" s="57"/>
      <c r="BF97" s="147">
        <v>129.44900000000001</v>
      </c>
      <c r="BG97" s="181">
        <f t="shared" ref="BG97:BG103" si="343">BF97/BF87*100</f>
        <v>38.933552289262423</v>
      </c>
      <c r="BH97" s="57"/>
      <c r="BI97" s="57"/>
      <c r="BJ97" s="243">
        <v>199.24799999999999</v>
      </c>
      <c r="BK97" s="181">
        <f t="shared" ref="BK97:BK103" si="344">BJ97/BJ87*100</f>
        <v>38.949858273873517</v>
      </c>
      <c r="BL97" s="57"/>
      <c r="BM97" s="57"/>
      <c r="BN97" s="243">
        <v>176.30799999999999</v>
      </c>
      <c r="BO97" s="181">
        <f t="shared" ref="BO97:BO103" si="345">BN97/BN87*100</f>
        <v>37.700038489500884</v>
      </c>
      <c r="BP97" s="57"/>
      <c r="BQ97" s="44"/>
      <c r="BR97" s="267">
        <v>156</v>
      </c>
      <c r="BS97" s="183">
        <f t="shared" ref="BS97:BS103" si="346">BR97/BR87*100</f>
        <v>38.592654531420855</v>
      </c>
      <c r="BT97" s="183"/>
      <c r="BU97" s="44"/>
      <c r="BV97" s="267">
        <v>122</v>
      </c>
      <c r="BW97" s="183">
        <f t="shared" ref="BW97:BW103" si="347">BV97/BV87*100</f>
        <v>37.308868501529055</v>
      </c>
      <c r="BX97" s="238"/>
      <c r="BY97" s="44"/>
      <c r="BZ97" s="267">
        <v>159</v>
      </c>
      <c r="CA97" s="183">
        <f t="shared" ref="CA97:CA103" si="348">BZ97/BZ87*100</f>
        <v>38.970588235294116</v>
      </c>
      <c r="CB97" s="238">
        <f>CA97-BW97</f>
        <v>1.6617197337650609</v>
      </c>
      <c r="CC97" s="44"/>
      <c r="CD97" s="267">
        <v>138</v>
      </c>
      <c r="CE97" s="183">
        <f t="shared" ref="CE97:CE103" si="349">CD97/CD87*100</f>
        <v>39.093484419263461</v>
      </c>
      <c r="CF97" s="238">
        <f>CE97-CA97</f>
        <v>0.12289618396934543</v>
      </c>
      <c r="CG97" s="59"/>
      <c r="CH97" s="267">
        <v>183</v>
      </c>
      <c r="CI97" s="183">
        <f t="shared" ref="CI97:CI103" si="350">CH97/CH87*100</f>
        <v>37.731958762886599</v>
      </c>
      <c r="CJ97" s="238"/>
      <c r="CK97" s="59"/>
      <c r="CL97" s="267">
        <v>148</v>
      </c>
      <c r="CM97" s="183">
        <f t="shared" ref="CM97:CM103" si="351">CL97/CL87*100</f>
        <v>38.84514435695538</v>
      </c>
      <c r="CN97" s="238"/>
      <c r="CO97" s="59"/>
      <c r="CP97" s="267">
        <v>140</v>
      </c>
      <c r="CQ97" s="183">
        <f t="shared" ref="CQ97:CQ103" si="352">CP97/CP87*100</f>
        <v>37.533512064343164</v>
      </c>
      <c r="CR97" s="238"/>
      <c r="CS97" s="44"/>
      <c r="CT97" s="267">
        <v>197</v>
      </c>
      <c r="CU97" s="183">
        <f t="shared" ref="CU97:CU103" si="353">CT97/CT87*100</f>
        <v>37.169811320754711</v>
      </c>
      <c r="CV97" s="44"/>
      <c r="CW97" s="44"/>
      <c r="CX97" s="267">
        <v>166</v>
      </c>
      <c r="CY97" s="183">
        <f t="shared" ref="CY97:CY103" si="354">CX97/CX87*100</f>
        <v>38.967136150234744</v>
      </c>
      <c r="CZ97" s="44"/>
      <c r="DA97" s="44"/>
      <c r="DB97" s="267">
        <f>143+(10.5*0.36)</f>
        <v>146.78</v>
      </c>
      <c r="DC97" s="183">
        <f>DB97/DB87*100</f>
        <v>37.348600508905854</v>
      </c>
      <c r="DD97" s="44"/>
      <c r="DE97" s="44"/>
      <c r="DF97" s="267">
        <v>77</v>
      </c>
      <c r="DG97" s="183">
        <f>DF97/DF87*100</f>
        <v>37.745098039215684</v>
      </c>
      <c r="DH97" s="44"/>
      <c r="DI97" s="44"/>
      <c r="DJ97" s="267">
        <v>95</v>
      </c>
      <c r="DK97" s="183">
        <f t="shared" ref="DK97:DK103" si="355">DJ97/DJ87*100</f>
        <v>39.915966386554622</v>
      </c>
      <c r="DL97" s="44"/>
      <c r="DM97" s="44"/>
      <c r="DN97" s="2023">
        <f t="shared" ref="DN97:DN99" si="356">DN87*DO97/100</f>
        <v>65.210995557521514</v>
      </c>
      <c r="DO97" s="2024">
        <v>26</v>
      </c>
      <c r="DP97" s="57"/>
      <c r="DQ97" s="44"/>
      <c r="DR97" s="44"/>
      <c r="DS97" s="44"/>
      <c r="DT97" s="44"/>
      <c r="DU97" s="44"/>
      <c r="DV97" s="44"/>
      <c r="DW97" s="44"/>
      <c r="DX97" s="44"/>
      <c r="DY97" s="44"/>
      <c r="DZ97" s="44"/>
      <c r="EA97" s="44"/>
      <c r="EB97" s="44"/>
      <c r="EC97" s="44"/>
      <c r="ED97" s="44"/>
    </row>
    <row r="98" spans="1:134">
      <c r="A98" s="57" t="str">
        <f>$A$11</f>
        <v>2Q</v>
      </c>
      <c r="B98" s="57" t="str">
        <f>$B$11</f>
        <v>Jul</v>
      </c>
      <c r="C98" s="57"/>
      <c r="D98" s="156"/>
      <c r="E98" s="57"/>
      <c r="F98" s="156">
        <v>11.675000000000001</v>
      </c>
      <c r="G98" s="181">
        <f>F98/F88*100</f>
        <v>37.860362551480414</v>
      </c>
      <c r="H98" s="57"/>
      <c r="I98" s="57"/>
      <c r="J98" s="156">
        <v>19.895</v>
      </c>
      <c r="K98" s="181">
        <f>J98/J88*100</f>
        <v>36.762939556885961</v>
      </c>
      <c r="L98" s="57"/>
      <c r="M98" s="57"/>
      <c r="N98" s="156">
        <v>23.109000000000002</v>
      </c>
      <c r="O98" s="181">
        <f>N98/N88*100</f>
        <v>37.999473805373746</v>
      </c>
      <c r="P98" s="57"/>
      <c r="Q98" s="57"/>
      <c r="R98" s="156">
        <v>18.109000000000002</v>
      </c>
      <c r="S98" s="181">
        <f>R98/R88*100</f>
        <v>38.720920287375961</v>
      </c>
      <c r="T98" s="57"/>
      <c r="U98" s="57"/>
      <c r="V98" s="156">
        <v>28.957000000000001</v>
      </c>
      <c r="W98" s="181">
        <f>V98/V88*100</f>
        <v>39.49992497510538</v>
      </c>
      <c r="X98" s="57"/>
      <c r="Y98" s="57"/>
      <c r="Z98" s="156">
        <v>21.166</v>
      </c>
      <c r="AA98" s="181">
        <f t="shared" si="335"/>
        <v>39.503546099290801</v>
      </c>
      <c r="AB98" s="57"/>
      <c r="AC98" s="57"/>
      <c r="AD98" s="156">
        <v>42.954999999999998</v>
      </c>
      <c r="AE98" s="181">
        <f t="shared" si="336"/>
        <v>39.500666697319375</v>
      </c>
      <c r="AF98" s="57"/>
      <c r="AG98" s="57"/>
      <c r="AH98" s="156">
        <v>41.673999999999999</v>
      </c>
      <c r="AI98" s="181">
        <f t="shared" si="337"/>
        <v>37.499550084584094</v>
      </c>
      <c r="AJ98" s="57"/>
      <c r="AK98" s="57"/>
      <c r="AL98" s="156">
        <v>82.125</v>
      </c>
      <c r="AM98" s="181">
        <f t="shared" si="338"/>
        <v>37.500171233658598</v>
      </c>
      <c r="AN98" s="57"/>
      <c r="AO98" s="57"/>
      <c r="AP98" s="156">
        <v>117.497</v>
      </c>
      <c r="AQ98" s="181">
        <f t="shared" si="339"/>
        <v>37.499920210898566</v>
      </c>
      <c r="AR98" s="57"/>
      <c r="AS98" s="57"/>
      <c r="AT98" s="156">
        <v>105.717</v>
      </c>
      <c r="AU98" s="181">
        <f t="shared" si="340"/>
        <v>36.499825643823144</v>
      </c>
      <c r="AV98" s="57"/>
      <c r="AW98" s="57"/>
      <c r="AX98" s="156">
        <v>51.588999999999999</v>
      </c>
      <c r="AY98" s="181">
        <f t="shared" si="341"/>
        <v>36.49992924862039</v>
      </c>
      <c r="AZ98" s="57"/>
      <c r="BA98" s="57"/>
      <c r="BB98" s="156">
        <v>54.554000000000002</v>
      </c>
      <c r="BC98" s="181">
        <f t="shared" si="342"/>
        <v>49.000305387392771</v>
      </c>
      <c r="BD98" s="57"/>
      <c r="BE98" s="57"/>
      <c r="BF98" s="156">
        <v>133.81899999999999</v>
      </c>
      <c r="BG98" s="181">
        <f t="shared" si="343"/>
        <v>38.963167855583059</v>
      </c>
      <c r="BH98" s="57"/>
      <c r="BI98" s="57"/>
      <c r="BJ98" s="156">
        <v>124.224</v>
      </c>
      <c r="BK98" s="181">
        <f t="shared" si="344"/>
        <v>38.915342589343886</v>
      </c>
      <c r="BL98" s="57"/>
      <c r="BM98" s="57"/>
      <c r="BN98" s="156">
        <v>171.33699999999999</v>
      </c>
      <c r="BO98" s="181">
        <f t="shared" si="345"/>
        <v>38.672595334559723</v>
      </c>
      <c r="BP98" s="57"/>
      <c r="BQ98" s="44"/>
      <c r="BR98" s="216">
        <v>81</v>
      </c>
      <c r="BS98" s="183">
        <f t="shared" si="346"/>
        <v>37.674418604651159</v>
      </c>
      <c r="BT98" s="44"/>
      <c r="BU98" s="44"/>
      <c r="BV98" s="216">
        <f>93</f>
        <v>93</v>
      </c>
      <c r="BW98" s="183">
        <f t="shared" si="347"/>
        <v>33.214285714285715</v>
      </c>
      <c r="BX98" s="44"/>
      <c r="BY98" s="44"/>
      <c r="BZ98" s="216">
        <v>148</v>
      </c>
      <c r="CA98" s="183">
        <f t="shared" si="348"/>
        <v>39.257294429708224</v>
      </c>
      <c r="CB98" s="44"/>
      <c r="CC98" s="44"/>
      <c r="CD98" s="216">
        <v>148</v>
      </c>
      <c r="CE98" s="183">
        <f t="shared" si="349"/>
        <v>39.361702127659576</v>
      </c>
      <c r="CF98" s="238">
        <f>CE98-CA98</f>
        <v>0.10440769795135196</v>
      </c>
      <c r="CG98" s="59"/>
      <c r="CH98" s="216">
        <v>164</v>
      </c>
      <c r="CI98" s="183">
        <f t="shared" si="350"/>
        <v>41.206030150753769</v>
      </c>
      <c r="CJ98" s="238"/>
      <c r="CK98" s="59"/>
      <c r="CL98" s="216">
        <v>124</v>
      </c>
      <c r="CM98" s="183">
        <f t="shared" si="351"/>
        <v>39.616613418530349</v>
      </c>
      <c r="CN98" s="238"/>
      <c r="CO98" s="59"/>
      <c r="CP98" s="216">
        <v>162</v>
      </c>
      <c r="CQ98" s="183">
        <f t="shared" si="352"/>
        <v>40</v>
      </c>
      <c r="CR98" s="238"/>
      <c r="CS98" s="44"/>
      <c r="CT98" s="159">
        <v>200</v>
      </c>
      <c r="CU98" s="183">
        <f t="shared" si="353"/>
        <v>39.761431411530815</v>
      </c>
      <c r="CV98" s="44"/>
      <c r="CW98" s="44"/>
      <c r="CX98" s="159">
        <f>217-17</f>
        <v>200</v>
      </c>
      <c r="CY98" s="183">
        <f t="shared" si="354"/>
        <v>39.215686274509807</v>
      </c>
      <c r="CZ98" s="44"/>
      <c r="DA98" s="44"/>
      <c r="DB98" s="159">
        <f>134+(84*0.39)</f>
        <v>166.76</v>
      </c>
      <c r="DC98" s="183">
        <f>DB98/DB88*100</f>
        <v>38.247706422018346</v>
      </c>
      <c r="DD98" s="44"/>
      <c r="DE98" s="44"/>
      <c r="DF98" s="159">
        <f>138+63-26</f>
        <v>175</v>
      </c>
      <c r="DG98" s="183">
        <f>DF98/DF88*100</f>
        <v>42.372881355932201</v>
      </c>
      <c r="DH98" s="44"/>
      <c r="DI98" s="44"/>
      <c r="DJ98" s="1554">
        <f>168-(64*0.38)</f>
        <v>143.68</v>
      </c>
      <c r="DK98" s="183">
        <f t="shared" si="355"/>
        <v>38.314666666666668</v>
      </c>
      <c r="DL98" s="44"/>
      <c r="DM98" s="44"/>
      <c r="DN98" s="2025">
        <f t="shared" si="356"/>
        <v>93.063463135703955</v>
      </c>
      <c r="DO98" s="2024">
        <v>26</v>
      </c>
      <c r="DP98" s="57"/>
      <c r="DQ98" s="44"/>
      <c r="DR98" s="44"/>
      <c r="DS98" s="44"/>
      <c r="DT98" s="44"/>
      <c r="DU98" s="44"/>
      <c r="DV98" s="44"/>
      <c r="DW98" s="44"/>
      <c r="DX98" s="44"/>
      <c r="DY98" s="44"/>
      <c r="DZ98" s="67"/>
      <c r="EA98" s="44"/>
      <c r="EB98" s="44"/>
      <c r="EC98" s="44"/>
      <c r="ED98" s="44"/>
    </row>
    <row r="99" spans="1:134">
      <c r="A99" s="57" t="str">
        <f>$A$12</f>
        <v>3Q</v>
      </c>
      <c r="B99" s="57" t="str">
        <f>$B$12</f>
        <v>Oct</v>
      </c>
      <c r="C99" s="57"/>
      <c r="D99" s="156"/>
      <c r="E99" s="57"/>
      <c r="F99" s="156">
        <v>30.513000000000002</v>
      </c>
      <c r="G99" s="181">
        <f>F99/F89*100</f>
        <v>38.999731591661444</v>
      </c>
      <c r="H99" s="57"/>
      <c r="I99" s="57"/>
      <c r="J99" s="156">
        <v>43.389000000000003</v>
      </c>
      <c r="K99" s="181">
        <f>J99/J89*100</f>
        <v>37.998861496693969</v>
      </c>
      <c r="L99" s="57"/>
      <c r="M99" s="57"/>
      <c r="N99" s="156">
        <v>38.006999999999998</v>
      </c>
      <c r="O99" s="181">
        <f>N99/N89*100</f>
        <v>37.999780041792064</v>
      </c>
      <c r="P99" s="57"/>
      <c r="Q99" s="57"/>
      <c r="R99" s="156">
        <v>51.524000000000001</v>
      </c>
      <c r="S99" s="181">
        <f>R99/R89*100</f>
        <v>39.50045615191776</v>
      </c>
      <c r="T99" s="57"/>
      <c r="U99" s="57"/>
      <c r="V99" s="156">
        <v>61.141655000000007</v>
      </c>
      <c r="W99" s="181">
        <f>V99/V89*100</f>
        <v>39.500000000000014</v>
      </c>
      <c r="X99" s="57"/>
      <c r="Y99" s="57"/>
      <c r="Z99" s="156">
        <v>76.302000000000007</v>
      </c>
      <c r="AA99" s="181">
        <f t="shared" si="335"/>
        <v>39.498491021187817</v>
      </c>
      <c r="AB99" s="57"/>
      <c r="AC99" s="57"/>
      <c r="AD99" s="156">
        <v>87.69</v>
      </c>
      <c r="AE99" s="181">
        <f t="shared" si="336"/>
        <v>39.499999999999986</v>
      </c>
      <c r="AF99" s="57"/>
      <c r="AG99" s="57"/>
      <c r="AH99" s="156">
        <v>98.713999999999999</v>
      </c>
      <c r="AI99" s="181">
        <f t="shared" si="337"/>
        <v>37.50004748572578</v>
      </c>
      <c r="AJ99" s="57"/>
      <c r="AK99" s="57"/>
      <c r="AL99" s="156">
        <v>142.649</v>
      </c>
      <c r="AM99" s="181">
        <f t="shared" si="338"/>
        <v>37.499934279360062</v>
      </c>
      <c r="AN99" s="57"/>
      <c r="AO99" s="57"/>
      <c r="AP99" s="156">
        <v>181.072</v>
      </c>
      <c r="AQ99" s="181">
        <f t="shared" si="339"/>
        <v>36.499902235284395</v>
      </c>
      <c r="AR99" s="57"/>
      <c r="AS99" s="57"/>
      <c r="AT99" s="156">
        <v>107.114</v>
      </c>
      <c r="AU99" s="181">
        <f t="shared" si="340"/>
        <v>36.500126081059854</v>
      </c>
      <c r="AV99" s="57"/>
      <c r="AW99" s="57"/>
      <c r="AX99" s="156">
        <f>164.254</f>
        <v>164.25399999999999</v>
      </c>
      <c r="AY99" s="268" t="s">
        <v>60</v>
      </c>
      <c r="AZ99" s="57"/>
      <c r="BA99" s="57"/>
      <c r="BB99" s="156">
        <v>113.041</v>
      </c>
      <c r="BC99" s="181">
        <f t="shared" si="342"/>
        <v>45.523959872901337</v>
      </c>
      <c r="BD99" s="57"/>
      <c r="BE99" s="57"/>
      <c r="BF99" s="156">
        <v>167.87100000000001</v>
      </c>
      <c r="BG99" s="181">
        <f t="shared" si="343"/>
        <v>39.049211902413603</v>
      </c>
      <c r="BH99" s="57"/>
      <c r="BI99" s="57"/>
      <c r="BJ99" s="156">
        <v>169</v>
      </c>
      <c r="BK99" s="181">
        <f t="shared" si="344"/>
        <v>38.926638258666351</v>
      </c>
      <c r="BL99" s="57"/>
      <c r="BM99" s="57"/>
      <c r="BN99" s="156">
        <v>138.87200000000001</v>
      </c>
      <c r="BO99" s="181">
        <f t="shared" si="345"/>
        <v>39.544843611180731</v>
      </c>
      <c r="BP99" s="57"/>
      <c r="BQ99" s="44"/>
      <c r="BR99" s="216">
        <v>108</v>
      </c>
      <c r="BS99" s="183">
        <f t="shared" si="346"/>
        <v>35.413435463932402</v>
      </c>
      <c r="BT99" s="44"/>
      <c r="BU99" s="44"/>
      <c r="BV99" s="216">
        <f>156</f>
        <v>156</v>
      </c>
      <c r="BW99" s="183">
        <f t="shared" si="347"/>
        <v>39.493670886075947</v>
      </c>
      <c r="BX99" s="66">
        <f>SUM(BV97:BV99)</f>
        <v>371</v>
      </c>
      <c r="BY99" s="44"/>
      <c r="BZ99" s="216">
        <v>152</v>
      </c>
      <c r="CA99" s="183">
        <f t="shared" si="348"/>
        <v>38.190954773869343</v>
      </c>
      <c r="CB99" s="44"/>
      <c r="CC99" s="44"/>
      <c r="CD99" s="216">
        <v>193</v>
      </c>
      <c r="CE99" s="183">
        <f t="shared" si="349"/>
        <v>38.6</v>
      </c>
      <c r="CF99" s="44"/>
      <c r="CG99" s="44"/>
      <c r="CH99" s="216">
        <v>199</v>
      </c>
      <c r="CI99" s="183">
        <f t="shared" si="350"/>
        <v>39.641434262948202</v>
      </c>
      <c r="CJ99" s="44"/>
      <c r="CK99" s="44"/>
      <c r="CL99" s="216">
        <v>132</v>
      </c>
      <c r="CM99" s="183">
        <f t="shared" si="351"/>
        <v>40.615384615384613</v>
      </c>
      <c r="CN99" s="44"/>
      <c r="CO99" s="44"/>
      <c r="CP99" s="156">
        <v>191</v>
      </c>
      <c r="CQ99" s="183">
        <f t="shared" si="352"/>
        <v>38.276553106212425</v>
      </c>
      <c r="CR99" s="44"/>
      <c r="CS99" s="44"/>
      <c r="CT99" s="157">
        <v>219</v>
      </c>
      <c r="CU99" s="183">
        <f t="shared" si="353"/>
        <v>39.388489208633089</v>
      </c>
      <c r="CV99" s="44"/>
      <c r="CW99" s="44"/>
      <c r="CX99" s="157">
        <v>185</v>
      </c>
      <c r="CY99" s="183">
        <f t="shared" si="354"/>
        <v>34.514925373134332</v>
      </c>
      <c r="CZ99" s="44"/>
      <c r="DA99" s="44"/>
      <c r="DB99" s="159">
        <f>148+(12.5*0.356)</f>
        <v>152.44999999999999</v>
      </c>
      <c r="DC99" s="183">
        <v>38.04</v>
      </c>
      <c r="DD99" s="44"/>
      <c r="DE99" s="44"/>
      <c r="DF99" s="159">
        <f>168+12-17</f>
        <v>163</v>
      </c>
      <c r="DG99" s="183">
        <f t="shared" ref="DG99:DG100" si="357">DF99/DF89*100</f>
        <v>40.64837905236908</v>
      </c>
      <c r="DH99" s="183"/>
      <c r="DI99" s="183"/>
      <c r="DJ99" s="1554">
        <v>135</v>
      </c>
      <c r="DK99" s="183">
        <f t="shared" si="355"/>
        <v>37.087912087912088</v>
      </c>
      <c r="DL99" s="183"/>
      <c r="DM99" s="183"/>
      <c r="DN99" s="2025">
        <f t="shared" si="356"/>
        <v>91.770772471571888</v>
      </c>
      <c r="DO99" s="2024">
        <v>26</v>
      </c>
      <c r="DP99" s="181"/>
      <c r="DQ99" s="44"/>
      <c r="DR99" s="44"/>
      <c r="DS99" s="44"/>
      <c r="DT99" s="44"/>
      <c r="DU99" s="44"/>
      <c r="DV99" s="44"/>
      <c r="DW99" s="44"/>
      <c r="DX99" s="44"/>
      <c r="DY99" s="44"/>
      <c r="DZ99" s="44"/>
      <c r="EA99" s="44"/>
      <c r="EB99" s="44"/>
      <c r="EC99" s="44"/>
      <c r="ED99" s="44"/>
    </row>
    <row r="100" spans="1:134">
      <c r="A100" s="57" t="str">
        <f>$A$13</f>
        <v>4Q</v>
      </c>
      <c r="B100" s="57" t="str">
        <f>$B$13</f>
        <v>Jan</v>
      </c>
      <c r="C100" s="60"/>
      <c r="D100" s="163"/>
      <c r="E100" s="60"/>
      <c r="F100" s="163">
        <v>36.110999999999997</v>
      </c>
      <c r="G100" s="181">
        <f>F100/F90*100</f>
        <v>39.000550809473907</v>
      </c>
      <c r="H100" s="57"/>
      <c r="I100" s="57"/>
      <c r="J100" s="163">
        <v>51.448999999999998</v>
      </c>
      <c r="K100" s="181">
        <f>J100/J90*100</f>
        <v>38.00031021264337</v>
      </c>
      <c r="L100" s="57"/>
      <c r="M100" s="57"/>
      <c r="N100" s="163">
        <v>40.289000000000001</v>
      </c>
      <c r="O100" s="181">
        <f>N100/N90*100</f>
        <v>38.000603648299453</v>
      </c>
      <c r="P100" s="57"/>
      <c r="Q100" s="57"/>
      <c r="R100" s="163">
        <v>71.391999999999996</v>
      </c>
      <c r="S100" s="181">
        <f>R100/R90*100</f>
        <v>39.500489661773727</v>
      </c>
      <c r="T100" s="57"/>
      <c r="U100" s="57"/>
      <c r="V100" s="163">
        <v>77.539289999999994</v>
      </c>
      <c r="W100" s="181">
        <f>V100/V90*100</f>
        <v>39.500000000000021</v>
      </c>
      <c r="X100" s="57"/>
      <c r="Y100" s="57"/>
      <c r="Z100" s="163">
        <v>100.974</v>
      </c>
      <c r="AA100" s="181">
        <f t="shared" si="335"/>
        <v>39.502994785044457</v>
      </c>
      <c r="AB100" s="57"/>
      <c r="AC100" s="57"/>
      <c r="AD100" s="163">
        <v>111.765</v>
      </c>
      <c r="AE100" s="181">
        <f t="shared" si="336"/>
        <v>39.499772045336485</v>
      </c>
      <c r="AF100" s="57"/>
      <c r="AG100" s="57"/>
      <c r="AH100" s="163">
        <v>129.37</v>
      </c>
      <c r="AI100" s="181">
        <f t="shared" si="337"/>
        <v>37.500072466708815</v>
      </c>
      <c r="AJ100" s="57"/>
      <c r="AK100" s="57"/>
      <c r="AL100" s="163">
        <v>188.31</v>
      </c>
      <c r="AM100" s="181">
        <f t="shared" si="338"/>
        <v>37.500000000000014</v>
      </c>
      <c r="AN100" s="57"/>
      <c r="AO100" s="57"/>
      <c r="AP100" s="163">
        <v>237.89400000000001</v>
      </c>
      <c r="AQ100" s="181">
        <f t="shared" si="339"/>
        <v>36.501197557933132</v>
      </c>
      <c r="AR100" s="57"/>
      <c r="AS100" s="57"/>
      <c r="AT100" s="163">
        <v>156.20400000000001</v>
      </c>
      <c r="AU100" s="181">
        <f t="shared" si="340"/>
        <v>36.499928731157603</v>
      </c>
      <c r="AV100" s="57"/>
      <c r="AW100" s="57"/>
      <c r="AX100" s="163">
        <v>-32.817</v>
      </c>
      <c r="AY100" s="181">
        <f t="shared" si="341"/>
        <v>48.998880179171259</v>
      </c>
      <c r="AZ100" s="57"/>
      <c r="BA100" s="57"/>
      <c r="BB100" s="163">
        <v>120.584</v>
      </c>
      <c r="BC100" s="181">
        <f t="shared" si="342"/>
        <v>32.650895040250411</v>
      </c>
      <c r="BD100" s="57"/>
      <c r="BE100" s="57"/>
      <c r="BF100" s="163">
        <v>221.98599999999999</v>
      </c>
      <c r="BG100" s="181">
        <f t="shared" si="343"/>
        <v>38.404952129187173</v>
      </c>
      <c r="BH100" s="57"/>
      <c r="BI100" s="57"/>
      <c r="BJ100" s="163">
        <v>223</v>
      </c>
      <c r="BK100" s="181">
        <f t="shared" si="344"/>
        <v>37.11118544442725</v>
      </c>
      <c r="BL100" s="57"/>
      <c r="BM100" s="57"/>
      <c r="BN100" s="163">
        <v>193.10300000000001</v>
      </c>
      <c r="BO100" s="181">
        <f t="shared" si="345"/>
        <v>36.409728467968058</v>
      </c>
      <c r="BP100" s="57"/>
      <c r="BQ100" s="44"/>
      <c r="BR100" s="218">
        <v>161</v>
      </c>
      <c r="BS100" s="183">
        <f t="shared" si="346"/>
        <v>41.17647058823529</v>
      </c>
      <c r="BT100" s="44"/>
      <c r="BU100" s="44"/>
      <c r="BV100" s="218">
        <v>168</v>
      </c>
      <c r="BW100" s="183">
        <f t="shared" si="347"/>
        <v>38.799076212471135</v>
      </c>
      <c r="BX100" s="140">
        <f>BS100-BW100</f>
        <v>2.3773943757641547</v>
      </c>
      <c r="BY100" s="44"/>
      <c r="BZ100" s="218">
        <v>158</v>
      </c>
      <c r="CA100" s="183">
        <f t="shared" si="348"/>
        <v>39.401496259351617</v>
      </c>
      <c r="CB100" s="44"/>
      <c r="CC100" s="44"/>
      <c r="CD100" s="218">
        <v>235</v>
      </c>
      <c r="CE100" s="183">
        <f t="shared" si="349"/>
        <v>40.034071550255533</v>
      </c>
      <c r="CF100" s="44"/>
      <c r="CG100" s="44"/>
      <c r="CH100" s="218">
        <v>232</v>
      </c>
      <c r="CI100" s="183">
        <f t="shared" si="350"/>
        <v>38.860971524288104</v>
      </c>
      <c r="CJ100" s="44"/>
      <c r="CK100" s="44"/>
      <c r="CL100" s="218">
        <v>132</v>
      </c>
      <c r="CM100" s="183">
        <f t="shared" si="351"/>
        <v>37.714285714285715</v>
      </c>
      <c r="CN100" s="44"/>
      <c r="CO100" s="44"/>
      <c r="CP100" s="218">
        <v>233</v>
      </c>
      <c r="CQ100" s="183">
        <f t="shared" si="352"/>
        <v>39.897260273972599</v>
      </c>
      <c r="CR100" s="44"/>
      <c r="CS100" s="44"/>
      <c r="CT100" s="218">
        <v>197</v>
      </c>
      <c r="CU100" s="183">
        <f t="shared" si="353"/>
        <v>39.087301587301589</v>
      </c>
      <c r="CV100" s="44"/>
      <c r="CW100" s="44"/>
      <c r="CX100" s="218">
        <v>183</v>
      </c>
      <c r="CY100" s="183">
        <f t="shared" si="354"/>
        <v>36.454183266932269</v>
      </c>
      <c r="CZ100" s="44"/>
      <c r="DA100" s="44"/>
      <c r="DB100" s="218">
        <f>126+(25*0.365)</f>
        <v>135.125</v>
      </c>
      <c r="DC100" s="183">
        <v>38.04</v>
      </c>
      <c r="DD100" s="44"/>
      <c r="DE100" s="44"/>
      <c r="DF100" s="218">
        <f>65+((26+71)*0.39)</f>
        <v>102.83</v>
      </c>
      <c r="DG100" s="183">
        <f t="shared" si="357"/>
        <v>33.278317152103561</v>
      </c>
      <c r="DH100" s="44"/>
      <c r="DI100" s="44"/>
      <c r="DJ100" s="2115">
        <f>178-34</f>
        <v>144</v>
      </c>
      <c r="DK100" s="183">
        <f t="shared" si="355"/>
        <v>37.597911227154043</v>
      </c>
      <c r="DL100" s="44"/>
      <c r="DM100" s="44"/>
      <c r="DN100" s="250">
        <f>DN90*DO100/100</f>
        <v>95.210618397229752</v>
      </c>
      <c r="DO100" s="2024">
        <v>26</v>
      </c>
      <c r="DP100" s="57"/>
      <c r="DQ100" s="44"/>
      <c r="DR100" s="44"/>
      <c r="DS100" s="44"/>
      <c r="DT100" s="44"/>
      <c r="DU100" s="44"/>
      <c r="DV100" s="44"/>
      <c r="DW100" s="44"/>
      <c r="DX100" s="44"/>
      <c r="DY100" s="44"/>
      <c r="DZ100" s="44"/>
      <c r="EA100" s="44"/>
      <c r="EB100" s="44"/>
      <c r="EC100" s="44"/>
      <c r="ED100" s="44"/>
    </row>
    <row r="101" spans="1:134">
      <c r="A101" s="57"/>
      <c r="B101" s="57" t="str">
        <f>$B$14</f>
        <v>Year</v>
      </c>
      <c r="C101" s="57"/>
      <c r="D101" s="167"/>
      <c r="E101" s="57"/>
      <c r="F101" s="167">
        <f>SUM(F97:F100)</f>
        <v>92.4</v>
      </c>
      <c r="G101" s="181">
        <f>F101/F$10*100</f>
        <v>22.964052807380313</v>
      </c>
      <c r="H101" s="57"/>
      <c r="I101" s="57"/>
      <c r="J101" s="167">
        <f>SUM(J97:J100)</f>
        <v>140.88999999999999</v>
      </c>
      <c r="K101" s="181">
        <f>J101/J$10*100</f>
        <v>28.735468080766875</v>
      </c>
      <c r="L101" s="57"/>
      <c r="M101" s="57"/>
      <c r="N101" s="167">
        <f>SUM(N97:N100)</f>
        <v>129.13999999999999</v>
      </c>
      <c r="O101" s="181">
        <f>N101/N$10*100</f>
        <v>21.930360830344526</v>
      </c>
      <c r="P101" s="57"/>
      <c r="Q101" s="57"/>
      <c r="R101" s="167">
        <f>SUM(R97:R100)</f>
        <v>166.464</v>
      </c>
      <c r="S101" s="181">
        <f>R101/R$10*100</f>
        <v>25.865315889244538</v>
      </c>
      <c r="T101" s="57"/>
      <c r="U101" s="57"/>
      <c r="V101" s="167">
        <f>SUM(V97:V100)</f>
        <v>209.08213499999999</v>
      </c>
      <c r="W101" s="181">
        <f>V101/V$10*100</f>
        <v>27.815681748639697</v>
      </c>
      <c r="X101" s="57"/>
      <c r="Y101" s="57"/>
      <c r="Z101" s="167">
        <f>SUM(Z97:Z100)</f>
        <v>231.16000000000003</v>
      </c>
      <c r="AA101" s="181">
        <f t="shared" si="335"/>
        <v>39.501092790657538</v>
      </c>
      <c r="AB101" s="57"/>
      <c r="AC101" s="57"/>
      <c r="AD101" s="167">
        <f>SUM(AD97:AD100)</f>
        <v>295.66800000000001</v>
      </c>
      <c r="AE101" s="181">
        <f t="shared" si="336"/>
        <v>39.499977956706964</v>
      </c>
      <c r="AF101" s="57"/>
      <c r="AG101" s="57"/>
      <c r="AH101" s="167">
        <f>SUM(AH97:AH100)</f>
        <v>320.34100000000001</v>
      </c>
      <c r="AI101" s="181">
        <f t="shared" si="337"/>
        <v>37.500029265711596</v>
      </c>
      <c r="AJ101" s="57"/>
      <c r="AK101" s="57"/>
      <c r="AL101" s="167">
        <f>SUM(AL97:AL100)</f>
        <v>494.72300000000001</v>
      </c>
      <c r="AM101" s="181">
        <f t="shared" si="338"/>
        <v>37.499981050011307</v>
      </c>
      <c r="AN101" s="57"/>
      <c r="AO101" s="57"/>
      <c r="AP101" s="167">
        <f>SUM(AP97:AP100)</f>
        <v>657.88499999999999</v>
      </c>
      <c r="AQ101" s="181">
        <f t="shared" si="339"/>
        <v>36.857334939354061</v>
      </c>
      <c r="AR101" s="57"/>
      <c r="AS101" s="57"/>
      <c r="AT101" s="167">
        <f>SUM(AT97:AT100)</f>
        <v>504.38799999999998</v>
      </c>
      <c r="AU101" s="181">
        <f t="shared" si="340"/>
        <v>36.499998190876958</v>
      </c>
      <c r="AV101" s="57"/>
      <c r="AW101" s="57"/>
      <c r="AX101" s="167">
        <f>SUM(AX97:AX100)</f>
        <v>249.40499999999997</v>
      </c>
      <c r="AY101" s="181">
        <f t="shared" si="341"/>
        <v>103.21303090121299</v>
      </c>
      <c r="AZ101" s="57"/>
      <c r="BA101" s="57"/>
      <c r="BB101" s="167">
        <f>SUM(BB97:BB100)</f>
        <v>323.41800000000001</v>
      </c>
      <c r="BC101" s="181">
        <f t="shared" si="342"/>
        <v>40.383081005150601</v>
      </c>
      <c r="BD101" s="57"/>
      <c r="BE101" s="57"/>
      <c r="BF101" s="167">
        <f>SUM(BF97:BF100)</f>
        <v>653.125</v>
      </c>
      <c r="BG101" s="181">
        <f t="shared" si="343"/>
        <v>38.787668950920121</v>
      </c>
      <c r="BH101" s="57"/>
      <c r="BI101" s="57"/>
      <c r="BJ101" s="167">
        <f>SUM(BJ97:BJ100)</f>
        <v>715.47199999999998</v>
      </c>
      <c r="BK101" s="181">
        <f t="shared" si="344"/>
        <v>38.346393770436798</v>
      </c>
      <c r="BL101" s="57"/>
      <c r="BM101" s="57"/>
      <c r="BN101" s="167">
        <f>SUM(BN97:BN100)</f>
        <v>679.62</v>
      </c>
      <c r="BO101" s="181">
        <f t="shared" si="345"/>
        <v>37.920102307612474</v>
      </c>
      <c r="BP101" s="57"/>
      <c r="BQ101" s="44"/>
      <c r="BR101" s="66">
        <f>SUM(BR97:BR100)</f>
        <v>506</v>
      </c>
      <c r="BS101" s="183">
        <f t="shared" si="346"/>
        <v>38.473499286415432</v>
      </c>
      <c r="BT101" s="44"/>
      <c r="BU101" s="44"/>
      <c r="BV101" s="66">
        <f>SUM(BV97:BV100)</f>
        <v>539</v>
      </c>
      <c r="BW101" s="183">
        <f t="shared" si="347"/>
        <v>37.560975609756099</v>
      </c>
      <c r="BX101" s="44"/>
      <c r="BY101" s="44"/>
      <c r="BZ101" s="66">
        <f>SUM(BZ97:BZ100)</f>
        <v>617</v>
      </c>
      <c r="CA101" s="183">
        <f t="shared" si="348"/>
        <v>38.952020202020208</v>
      </c>
      <c r="CB101" s="44"/>
      <c r="CC101" s="44"/>
      <c r="CD101" s="66">
        <f>SUM(CD97:CD100)</f>
        <v>714</v>
      </c>
      <c r="CE101" s="183">
        <f t="shared" si="349"/>
        <v>39.317180616740089</v>
      </c>
      <c r="CF101" s="44"/>
      <c r="CG101" s="44"/>
      <c r="CH101" s="66">
        <f>SUM(CH97:CH100)</f>
        <v>778</v>
      </c>
      <c r="CI101" s="183">
        <f t="shared" si="350"/>
        <v>39.253279515640763</v>
      </c>
      <c r="CJ101" s="44"/>
      <c r="CK101" s="44"/>
      <c r="CL101" s="66">
        <f>SUM(CL97:CL100)</f>
        <v>536</v>
      </c>
      <c r="CM101" s="183">
        <f t="shared" si="351"/>
        <v>39.152666179693206</v>
      </c>
      <c r="CN101" s="44"/>
      <c r="CO101" s="44"/>
      <c r="CP101" s="66">
        <f>SUM(CP97:CP100)</f>
        <v>726</v>
      </c>
      <c r="CQ101" s="183">
        <f t="shared" si="352"/>
        <v>39.011284255776459</v>
      </c>
      <c r="CR101" s="44"/>
      <c r="CS101" s="44"/>
      <c r="CT101" s="66">
        <f>SUM(CT97:CT100)</f>
        <v>813</v>
      </c>
      <c r="CU101" s="269">
        <f t="shared" si="353"/>
        <v>38.843764930721456</v>
      </c>
      <c r="CV101" s="44"/>
      <c r="CW101" s="44"/>
      <c r="CX101" s="66">
        <f>SUM(CX97:CX100)</f>
        <v>734</v>
      </c>
      <c r="CY101" s="183">
        <f t="shared" si="354"/>
        <v>37.18338399189463</v>
      </c>
      <c r="CZ101" s="44"/>
      <c r="DA101" s="44"/>
      <c r="DB101" s="66">
        <f>SUM(DB97:DB100)</f>
        <v>601.11500000000001</v>
      </c>
      <c r="DC101" s="183">
        <f>DB101/DB91*100</f>
        <v>37.499376169681845</v>
      </c>
      <c r="DD101" s="44"/>
      <c r="DE101" s="44"/>
      <c r="DF101" s="66">
        <f>SUM(DF97:DF100)</f>
        <v>517.83000000000004</v>
      </c>
      <c r="DG101" s="183">
        <f>DF101/DF91*100</f>
        <v>39.022607385079127</v>
      </c>
      <c r="DH101" s="44"/>
      <c r="DI101" s="44"/>
      <c r="DJ101" s="66">
        <f>SUM(DJ97:DJ100)</f>
        <v>517.68000000000006</v>
      </c>
      <c r="DK101" s="181">
        <f t="shared" si="355"/>
        <v>38.064705882352946</v>
      </c>
      <c r="DL101" s="44"/>
      <c r="DM101" s="44"/>
      <c r="DN101" s="167">
        <f>SUM(DN97:DN100)</f>
        <v>345.25584956202715</v>
      </c>
      <c r="DO101" s="181">
        <f>DN101/DN91*100</f>
        <v>26.000000000000007</v>
      </c>
      <c r="DP101" s="57"/>
      <c r="DQ101" s="44"/>
      <c r="DR101" s="44"/>
      <c r="DS101" s="44"/>
      <c r="DT101" s="44"/>
      <c r="DU101" s="44"/>
      <c r="DV101" s="44"/>
      <c r="DW101" s="44"/>
      <c r="DX101" s="44"/>
      <c r="DY101" s="44"/>
      <c r="DZ101" s="44"/>
      <c r="EA101" s="44"/>
      <c r="EB101" s="44"/>
      <c r="EC101" s="44"/>
      <c r="ED101" s="44"/>
    </row>
    <row r="102" spans="1:134" hidden="1" outlineLevel="1">
      <c r="A102" s="57" t="str">
        <f>$A$15</f>
        <v>6 Mos</v>
      </c>
      <c r="B102" s="57"/>
      <c r="C102" s="57"/>
      <c r="D102" s="169"/>
      <c r="E102" s="57"/>
      <c r="F102" s="169">
        <f>SUM(F97:F98)</f>
        <v>25.776000000000003</v>
      </c>
      <c r="G102" s="181">
        <f>F102/F$10*100</f>
        <v>6.4060760299029758</v>
      </c>
      <c r="H102" s="57"/>
      <c r="I102" s="57"/>
      <c r="J102" s="169">
        <f>SUM(J97:J98)</f>
        <v>46.052</v>
      </c>
      <c r="K102" s="181">
        <f>J102/J$10*100</f>
        <v>9.3926167652457675</v>
      </c>
      <c r="L102" s="57"/>
      <c r="M102" s="57"/>
      <c r="N102" s="169">
        <f>SUM(N97:N98)</f>
        <v>50.844000000000001</v>
      </c>
      <c r="O102" s="181">
        <f>N102/N$10*100</f>
        <v>8.6342517117704585</v>
      </c>
      <c r="P102" s="57"/>
      <c r="Q102" s="57"/>
      <c r="R102" s="169">
        <f>SUM(R97:R98)</f>
        <v>43.548000000000002</v>
      </c>
      <c r="S102" s="181">
        <f>R102/R$10*100</f>
        <v>6.7665247521675633</v>
      </c>
      <c r="T102" s="57"/>
      <c r="U102" s="57"/>
      <c r="V102" s="169">
        <f>SUM(V97:V98)</f>
        <v>70.40119</v>
      </c>
      <c r="W102" s="181">
        <f>V102/V$10*100</f>
        <v>9.3659704391554808</v>
      </c>
      <c r="X102" s="57"/>
      <c r="Y102" s="57"/>
      <c r="Z102" s="169">
        <f>SUM(Z97:Z98)</f>
        <v>53.884</v>
      </c>
      <c r="AA102" s="181">
        <f t="shared" si="335"/>
        <v>39.501213245266143</v>
      </c>
      <c r="AB102" s="57"/>
      <c r="AC102" s="57"/>
      <c r="AD102" s="169">
        <f>SUM(AD97:AD98)</f>
        <v>96.212999999999994</v>
      </c>
      <c r="AE102" s="181">
        <f t="shared" si="336"/>
        <v>39.5001970637501</v>
      </c>
      <c r="AF102" s="57"/>
      <c r="AG102" s="57"/>
      <c r="AH102" s="169">
        <f>SUM(AH97:AH98)</f>
        <v>92.257000000000005</v>
      </c>
      <c r="AI102" s="181">
        <f t="shared" si="337"/>
        <v>37.499949190916162</v>
      </c>
      <c r="AJ102" s="57"/>
      <c r="AK102" s="57"/>
      <c r="AL102" s="169">
        <f>SUM(AL97:AL98)</f>
        <v>163.76400000000001</v>
      </c>
      <c r="AM102" s="181">
        <f t="shared" si="338"/>
        <v>37.499999999999993</v>
      </c>
      <c r="AN102" s="57"/>
      <c r="AO102" s="57"/>
      <c r="AP102" s="169">
        <f>SUM(AP97:AP98)</f>
        <v>238.91899999999998</v>
      </c>
      <c r="AQ102" s="181">
        <f t="shared" si="339"/>
        <v>37.499960760800988</v>
      </c>
      <c r="AR102" s="57"/>
      <c r="AS102" s="57"/>
      <c r="AT102" s="169">
        <f>SUM(AT97:AT98)</f>
        <v>241.07</v>
      </c>
      <c r="AU102" s="181">
        <f t="shared" si="340"/>
        <v>36.499986373257684</v>
      </c>
      <c r="AV102" s="57"/>
      <c r="AW102" s="57"/>
      <c r="AX102" s="169">
        <f>SUM(AX97:AX98)</f>
        <v>117.968</v>
      </c>
      <c r="AY102" s="181">
        <f t="shared" si="341"/>
        <v>36.500112933517762</v>
      </c>
      <c r="AZ102" s="57"/>
      <c r="BA102" s="57"/>
      <c r="BB102" s="169">
        <f>SUM(BB97:BB98)</f>
        <v>89.793000000000006</v>
      </c>
      <c r="BC102" s="181">
        <f t="shared" si="342"/>
        <v>49.000005456996035</v>
      </c>
      <c r="BD102" s="57"/>
      <c r="BE102" s="57"/>
      <c r="BF102" s="169">
        <f>SUM(BF97:BF98)</f>
        <v>263.26800000000003</v>
      </c>
      <c r="BG102" s="181">
        <f t="shared" si="343"/>
        <v>38.948600239371416</v>
      </c>
      <c r="BH102" s="57"/>
      <c r="BI102" s="57"/>
      <c r="BJ102" s="169">
        <f>SUM(BJ97:BJ98)</f>
        <v>323.47199999999998</v>
      </c>
      <c r="BK102" s="181">
        <f t="shared" si="344"/>
        <v>38.93659586453947</v>
      </c>
      <c r="BL102" s="57"/>
      <c r="BM102" s="57"/>
      <c r="BN102" s="169">
        <f>SUM(BN97:BN98)</f>
        <v>347.64499999999998</v>
      </c>
      <c r="BO102" s="181">
        <f t="shared" si="345"/>
        <v>38.173173530396774</v>
      </c>
      <c r="BP102" s="57"/>
      <c r="BQ102" s="44"/>
      <c r="BR102" s="58">
        <f>SUM(BR97:BR98)</f>
        <v>237</v>
      </c>
      <c r="BS102" s="183">
        <f t="shared" si="346"/>
        <v>38.273833940008593</v>
      </c>
      <c r="BT102" s="44"/>
      <c r="BU102" s="44"/>
      <c r="BV102" s="58">
        <f>SUM(BV97:BV98)</f>
        <v>215</v>
      </c>
      <c r="BW102" s="183">
        <f t="shared" si="347"/>
        <v>35.420098846787482</v>
      </c>
      <c r="BX102" s="44"/>
      <c r="BY102" s="44"/>
      <c r="BZ102" s="58">
        <f>SUM(BZ97:BZ98)</f>
        <v>307</v>
      </c>
      <c r="CA102" s="183">
        <f t="shared" si="348"/>
        <v>39.108280254777071</v>
      </c>
      <c r="CB102" s="44"/>
      <c r="CC102" s="44"/>
      <c r="CD102" s="58">
        <f>SUM(CD97:CD98)</f>
        <v>286</v>
      </c>
      <c r="CE102" s="183">
        <f t="shared" si="349"/>
        <v>39.231824417009605</v>
      </c>
      <c r="CF102" s="44"/>
      <c r="CG102" s="44"/>
      <c r="CH102" s="58">
        <f>SUM(CH97:CH98)</f>
        <v>347</v>
      </c>
      <c r="CI102" s="183">
        <f t="shared" si="350"/>
        <v>39.29784824462061</v>
      </c>
      <c r="CJ102" s="44"/>
      <c r="CK102" s="44"/>
      <c r="CL102" s="58">
        <f>SUM(CL97:CL98)</f>
        <v>272</v>
      </c>
      <c r="CM102" s="183">
        <f t="shared" si="351"/>
        <v>39.19308357348703</v>
      </c>
      <c r="CN102" s="44"/>
      <c r="CO102" s="44"/>
      <c r="CP102" s="58">
        <f>SUM(CP97:CP98)</f>
        <v>302</v>
      </c>
      <c r="CQ102" s="183">
        <f t="shared" si="352"/>
        <v>38.817480719794347</v>
      </c>
      <c r="CR102" s="44"/>
      <c r="CS102" s="44"/>
      <c r="CT102" s="58">
        <f>SUM(CT97:CT98)</f>
        <v>397</v>
      </c>
      <c r="CU102" s="183">
        <f t="shared" si="353"/>
        <v>38.431752178121975</v>
      </c>
      <c r="CV102" s="44"/>
      <c r="CW102" s="44"/>
      <c r="CX102" s="58">
        <f>SUM(CX97:CX98)</f>
        <v>366</v>
      </c>
      <c r="CY102" s="183">
        <f t="shared" si="354"/>
        <v>39.102564102564102</v>
      </c>
      <c r="CZ102" s="44"/>
      <c r="DA102" s="44"/>
      <c r="DB102" s="58">
        <f>SUM(DB97:DB98)</f>
        <v>313.53999999999996</v>
      </c>
      <c r="DC102" s="183">
        <f>DB102/DB92*100</f>
        <v>37.82147165259348</v>
      </c>
      <c r="DD102" s="44"/>
      <c r="DE102" s="44"/>
      <c r="DF102" s="58">
        <f>SUM(DF97:DF98)</f>
        <v>252</v>
      </c>
      <c r="DG102" s="183">
        <f>DF102/DF92*100</f>
        <v>40.842787682333878</v>
      </c>
      <c r="DH102" s="44"/>
      <c r="DI102" s="44"/>
      <c r="DJ102" s="58">
        <f>SUM(DJ97:DJ98)</f>
        <v>238.68</v>
      </c>
      <c r="DK102" s="183">
        <f t="shared" si="355"/>
        <v>38.936378466557912</v>
      </c>
      <c r="DL102" s="44"/>
      <c r="DM102" s="44"/>
      <c r="DN102" s="169">
        <f>SUM(DN97:DN98)</f>
        <v>158.27445869322548</v>
      </c>
      <c r="DO102" s="181">
        <f>DN102/DN92*100</f>
        <v>26.000000000000007</v>
      </c>
      <c r="DP102" s="57"/>
      <c r="DQ102" s="44"/>
      <c r="DR102" s="44"/>
      <c r="DS102" s="44"/>
      <c r="DT102" s="44"/>
      <c r="DU102" s="44"/>
      <c r="DV102" s="44"/>
      <c r="DW102" s="44"/>
      <c r="DX102" s="44"/>
      <c r="DY102" s="44"/>
      <c r="DZ102" s="44"/>
      <c r="EA102" s="44"/>
      <c r="EB102" s="44"/>
      <c r="EC102" s="44"/>
      <c r="ED102" s="44"/>
    </row>
    <row r="103" spans="1:134" hidden="1" outlineLevel="1">
      <c r="A103" s="57" t="str">
        <f>$A$16</f>
        <v>9 Mos</v>
      </c>
      <c r="B103" s="57"/>
      <c r="C103" s="57"/>
      <c r="D103" s="169"/>
      <c r="E103" s="57"/>
      <c r="F103" s="169">
        <f>SUM(F97:F99)</f>
        <v>56.289000000000001</v>
      </c>
      <c r="G103" s="181">
        <f>F103/F$10*100</f>
        <v>13.989432559249245</v>
      </c>
      <c r="H103" s="57"/>
      <c r="I103" s="57"/>
      <c r="J103" s="169">
        <f>SUM(J97:J99)</f>
        <v>89.441000000000003</v>
      </c>
      <c r="K103" s="181">
        <f>J103/J$10*100</f>
        <v>18.242096675504794</v>
      </c>
      <c r="L103" s="57"/>
      <c r="M103" s="57"/>
      <c r="N103" s="169">
        <f>SUM(N97:N99)</f>
        <v>88.850999999999999</v>
      </c>
      <c r="O103" s="181">
        <f>N103/N$10*100</f>
        <v>15.088543364851645</v>
      </c>
      <c r="P103" s="57"/>
      <c r="Q103" s="57"/>
      <c r="R103" s="169">
        <f>SUM(R97:R99)</f>
        <v>95.072000000000003</v>
      </c>
      <c r="S103" s="181">
        <f>R103/R$10*100</f>
        <v>14.772367071692718</v>
      </c>
      <c r="T103" s="57"/>
      <c r="U103" s="57"/>
      <c r="V103" s="169">
        <f>SUM(V97:V99)</f>
        <v>131.542845</v>
      </c>
      <c r="W103" s="181">
        <f>V103/V$10*100</f>
        <v>17.500079157076907</v>
      </c>
      <c r="X103" s="57"/>
      <c r="Y103" s="57"/>
      <c r="Z103" s="169">
        <f>SUM(Z97:Z99)</f>
        <v>130.18600000000001</v>
      </c>
      <c r="AA103" s="181">
        <f t="shared" si="335"/>
        <v>39.49961770452807</v>
      </c>
      <c r="AB103" s="57"/>
      <c r="AC103" s="57"/>
      <c r="AD103" s="169">
        <f>SUM(AD97:AD99)</f>
        <v>183.90299999999999</v>
      </c>
      <c r="AE103" s="181">
        <f t="shared" si="336"/>
        <v>39.500103098097817</v>
      </c>
      <c r="AF103" s="57"/>
      <c r="AG103" s="57"/>
      <c r="AH103" s="169">
        <f>SUM(AH97:AH99)</f>
        <v>190.971</v>
      </c>
      <c r="AI103" s="181">
        <f t="shared" si="337"/>
        <v>37.5</v>
      </c>
      <c r="AJ103" s="57"/>
      <c r="AK103" s="57"/>
      <c r="AL103" s="169">
        <f>SUM(AL97:AL99)</f>
        <v>306.41300000000001</v>
      </c>
      <c r="AM103" s="181">
        <f t="shared" si="338"/>
        <v>37.499969404064615</v>
      </c>
      <c r="AN103" s="57"/>
      <c r="AO103" s="57"/>
      <c r="AP103" s="169">
        <f>SUM(AP97:AP99)</f>
        <v>419.99099999999999</v>
      </c>
      <c r="AQ103" s="181">
        <f t="shared" si="339"/>
        <v>37.062160752625076</v>
      </c>
      <c r="AR103" s="57"/>
      <c r="AS103" s="57"/>
      <c r="AT103" s="169">
        <f>SUM(AT97:AT99)</f>
        <v>348.18399999999997</v>
      </c>
      <c r="AU103" s="181">
        <f t="shared" si="340"/>
        <v>36.500029352320084</v>
      </c>
      <c r="AV103" s="57"/>
      <c r="AW103" s="57"/>
      <c r="AX103" s="169">
        <f>SUM(AX97:AX99)</f>
        <v>282.22199999999998</v>
      </c>
      <c r="AY103" s="181">
        <f t="shared" si="341"/>
        <v>91.447624232055375</v>
      </c>
      <c r="AZ103" s="57"/>
      <c r="BA103" s="57"/>
      <c r="BB103" s="169">
        <f>SUM(BB97:BB99)</f>
        <v>202.834</v>
      </c>
      <c r="BC103" s="181">
        <f t="shared" si="342"/>
        <v>46.999967559701702</v>
      </c>
      <c r="BD103" s="57"/>
      <c r="BE103" s="57"/>
      <c r="BF103" s="169">
        <f>SUM(BF97:BF99)</f>
        <v>431.13900000000001</v>
      </c>
      <c r="BG103" s="181">
        <f t="shared" si="343"/>
        <v>38.987713334653598</v>
      </c>
      <c r="BH103" s="57"/>
      <c r="BI103" s="57"/>
      <c r="BJ103" s="169">
        <f>SUM(BJ97:BJ99)</f>
        <v>492.47199999999998</v>
      </c>
      <c r="BK103" s="181">
        <f t="shared" si="344"/>
        <v>38.933178171514939</v>
      </c>
      <c r="BL103" s="57"/>
      <c r="BM103" s="57"/>
      <c r="BN103" s="169">
        <f>SUM(BN97:BN99)</f>
        <v>486.517</v>
      </c>
      <c r="BO103" s="181">
        <f t="shared" si="345"/>
        <v>38.554903354595247</v>
      </c>
      <c r="BP103" s="57"/>
      <c r="BQ103" s="44"/>
      <c r="BR103" s="58">
        <f>SUM(BR97:BR99)</f>
        <v>345</v>
      </c>
      <c r="BS103" s="183">
        <f t="shared" si="346"/>
        <v>37.329945866168359</v>
      </c>
      <c r="BT103" s="44"/>
      <c r="BU103" s="44"/>
      <c r="BV103" s="58">
        <f>SUM(BV97:BV99)</f>
        <v>371</v>
      </c>
      <c r="BW103" s="183">
        <f t="shared" si="347"/>
        <v>37.025948103792416</v>
      </c>
      <c r="BX103" s="44"/>
      <c r="BY103" s="44"/>
      <c r="BZ103" s="58">
        <f>SUM(BZ97:BZ99)</f>
        <v>459</v>
      </c>
      <c r="CA103" s="183">
        <f t="shared" si="348"/>
        <v>38.799661876584949</v>
      </c>
      <c r="CB103" s="44"/>
      <c r="CC103" s="44"/>
      <c r="CD103" s="58">
        <f>SUM(CD97:CD99)</f>
        <v>479</v>
      </c>
      <c r="CE103" s="183">
        <f t="shared" si="349"/>
        <v>38.974776240846218</v>
      </c>
      <c r="CF103" s="44"/>
      <c r="CG103" s="44"/>
      <c r="CH103" s="58">
        <f>SUM(CH97:CH99)</f>
        <v>546</v>
      </c>
      <c r="CI103" s="183">
        <f t="shared" si="350"/>
        <v>39.422382671480143</v>
      </c>
      <c r="CJ103" s="44"/>
      <c r="CK103" s="44"/>
      <c r="CL103" s="58">
        <f>SUM(CL97:CL99)</f>
        <v>404</v>
      </c>
      <c r="CM103" s="183">
        <f t="shared" si="351"/>
        <v>39.646712463199215</v>
      </c>
      <c r="CN103" s="44"/>
      <c r="CO103" s="44"/>
      <c r="CP103" s="58">
        <f>SUM(CP97:CP99)</f>
        <v>493</v>
      </c>
      <c r="CQ103" s="183">
        <f t="shared" si="352"/>
        <v>38.606108065779168</v>
      </c>
      <c r="CR103" s="44"/>
      <c r="CS103" s="44"/>
      <c r="CT103" s="58">
        <f>SUM(CT97:CT99)</f>
        <v>616</v>
      </c>
      <c r="CU103" s="183">
        <f t="shared" si="353"/>
        <v>38.766519823788549</v>
      </c>
      <c r="CV103" s="44"/>
      <c r="CW103" s="44"/>
      <c r="CX103" s="58">
        <f>SUM(CX97:CX99)</f>
        <v>551</v>
      </c>
      <c r="CY103" s="183">
        <f t="shared" si="354"/>
        <v>37.432065217391305</v>
      </c>
      <c r="CZ103" s="44"/>
      <c r="DA103" s="44"/>
      <c r="DB103" s="58">
        <f>SUM(DB97:DB99)</f>
        <v>465.98999999999995</v>
      </c>
      <c r="DC103" s="183">
        <f>DB103/DB93*100</f>
        <v>37.640549273020994</v>
      </c>
      <c r="DD103" s="44"/>
      <c r="DE103" s="44"/>
      <c r="DF103" s="58">
        <f>SUM(DF97:DF99)</f>
        <v>415</v>
      </c>
      <c r="DG103" s="183">
        <f>DF103/DF93*100</f>
        <v>40.766208251473479</v>
      </c>
      <c r="DH103" s="44"/>
      <c r="DI103" s="44"/>
      <c r="DJ103" s="58">
        <f>SUM(DJ97:DJ99)</f>
        <v>373.68</v>
      </c>
      <c r="DK103" s="183">
        <f t="shared" si="355"/>
        <v>38.247697031729786</v>
      </c>
      <c r="DL103" s="44"/>
      <c r="DM103" s="44"/>
      <c r="DN103" s="169">
        <f>SUM(DN97:DN99)</f>
        <v>250.04523116479737</v>
      </c>
      <c r="DO103" s="181">
        <f>DN103/DN93*100</f>
        <v>26</v>
      </c>
      <c r="DP103" s="57"/>
      <c r="DQ103" s="44"/>
      <c r="DR103" s="44"/>
      <c r="DS103" s="44"/>
      <c r="DT103" s="44"/>
      <c r="DU103" s="44"/>
      <c r="DV103" s="44"/>
      <c r="DW103" s="44"/>
      <c r="DX103" s="44"/>
      <c r="DY103" s="44"/>
      <c r="DZ103" s="44"/>
      <c r="EA103" s="44"/>
      <c r="EB103" s="44"/>
      <c r="EC103" s="44"/>
      <c r="ED103" s="44"/>
    </row>
    <row r="104" spans="1:134" ht="12" customHeight="1" collapsed="1">
      <c r="A104" s="57"/>
      <c r="B104" s="57"/>
      <c r="C104" s="57"/>
      <c r="D104" s="57"/>
      <c r="E104" s="57"/>
      <c r="F104" s="57"/>
      <c r="G104" s="57"/>
      <c r="H104" s="57"/>
      <c r="I104" s="57"/>
      <c r="J104" s="57"/>
      <c r="K104" s="57"/>
      <c r="L104" s="57"/>
      <c r="M104" s="57"/>
      <c r="N104" s="57"/>
      <c r="O104" s="57"/>
      <c r="P104" s="57"/>
      <c r="Q104" s="57"/>
      <c r="R104" s="57"/>
      <c r="S104" s="57"/>
      <c r="T104" s="57"/>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7"/>
      <c r="AZ104" s="57"/>
      <c r="BA104" s="57"/>
      <c r="BB104" s="57"/>
      <c r="BC104" s="57"/>
      <c r="BD104" s="57"/>
      <c r="BE104" s="57"/>
      <c r="BF104" s="57"/>
      <c r="BG104" s="57"/>
      <c r="BH104" s="57"/>
      <c r="BI104" s="57"/>
      <c r="BJ104" s="57"/>
      <c r="BK104" s="57"/>
      <c r="BL104" s="57"/>
      <c r="BM104" s="57"/>
      <c r="BN104" s="57"/>
      <c r="BO104" s="57"/>
      <c r="BP104" s="57"/>
      <c r="BQ104" s="44"/>
      <c r="BR104" s="44"/>
      <c r="BS104" s="44"/>
      <c r="BT104" s="44"/>
      <c r="BU104" s="44"/>
      <c r="BV104" s="44"/>
      <c r="BW104" s="53"/>
      <c r="BX104" s="44"/>
      <c r="BY104" s="44"/>
      <c r="BZ104" s="44"/>
      <c r="CA104" s="140">
        <f>CA100-BW100</f>
        <v>0.60242004688048212</v>
      </c>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57"/>
      <c r="DO104" s="57"/>
      <c r="DP104" s="57"/>
      <c r="DQ104" s="44"/>
      <c r="DR104" s="44"/>
      <c r="DS104" s="44"/>
      <c r="DT104" s="44"/>
      <c r="DU104" s="44"/>
      <c r="DV104" s="44"/>
      <c r="DW104" s="44"/>
      <c r="DX104" s="44"/>
      <c r="DY104" s="44"/>
      <c r="DZ104" s="44"/>
      <c r="EA104" s="44"/>
      <c r="EB104" s="44"/>
      <c r="EC104" s="44"/>
      <c r="ED104" s="44"/>
    </row>
    <row r="105" spans="1:134">
      <c r="A105" s="57"/>
      <c r="B105" s="57"/>
      <c r="C105" s="205"/>
      <c r="D105" s="205"/>
      <c r="E105" s="205" t="str">
        <f>AH105</f>
        <v>8.  Net Earnings   (% Change)</v>
      </c>
      <c r="F105" s="205"/>
      <c r="G105" s="57"/>
      <c r="H105" s="57"/>
      <c r="I105" s="57"/>
      <c r="J105" s="205"/>
      <c r="K105" s="57"/>
      <c r="L105" s="57"/>
      <c r="M105" s="57"/>
      <c r="N105" s="205"/>
      <c r="O105" s="57"/>
      <c r="P105" s="57"/>
      <c r="Q105" s="57"/>
      <c r="R105" s="205"/>
      <c r="S105" s="57"/>
      <c r="T105" s="57"/>
      <c r="U105" s="57"/>
      <c r="V105" s="205"/>
      <c r="W105" s="57"/>
      <c r="X105" s="57"/>
      <c r="Y105" s="57"/>
      <c r="Z105" s="57"/>
      <c r="AA105" s="134"/>
      <c r="AB105" s="134"/>
      <c r="AC105" s="134"/>
      <c r="AD105" s="175"/>
      <c r="AE105" s="134"/>
      <c r="AF105" s="134"/>
      <c r="AG105" s="134"/>
      <c r="AH105" s="175" t="s">
        <v>90</v>
      </c>
      <c r="AI105" s="175"/>
      <c r="AJ105" s="175"/>
      <c r="AK105" s="175"/>
      <c r="AL105" s="44"/>
      <c r="AM105" s="175"/>
      <c r="AN105" s="175"/>
      <c r="AO105" s="175"/>
      <c r="AP105" s="44"/>
      <c r="AQ105" s="175"/>
      <c r="AR105" s="175"/>
      <c r="AS105" s="175"/>
      <c r="AT105" s="44"/>
      <c r="AU105" s="175"/>
      <c r="AV105" s="175"/>
      <c r="AW105" s="175"/>
      <c r="AX105" s="175"/>
      <c r="AY105" s="175"/>
      <c r="AZ105" s="136"/>
      <c r="BA105" s="175"/>
      <c r="BB105" s="175"/>
      <c r="BC105" s="175"/>
      <c r="BD105" s="175"/>
      <c r="BE105" s="134"/>
      <c r="BF105" s="175"/>
      <c r="BG105" s="134"/>
      <c r="BH105" s="134"/>
      <c r="BI105" s="134"/>
      <c r="BJ105" s="175" t="s">
        <v>90</v>
      </c>
      <c r="BK105" s="134"/>
      <c r="BL105" s="134"/>
      <c r="BM105" s="134"/>
      <c r="BN105" s="175"/>
      <c r="BO105" s="134"/>
      <c r="BP105" s="134"/>
      <c r="BQ105" s="136"/>
      <c r="BR105" s="137"/>
      <c r="BS105" s="136"/>
      <c r="BT105" s="136"/>
      <c r="BU105" s="136"/>
      <c r="BV105" s="175" t="s">
        <v>90</v>
      </c>
      <c r="BW105" s="136"/>
      <c r="BX105" s="136"/>
      <c r="BY105" s="136"/>
      <c r="BZ105" s="256"/>
      <c r="CA105" s="136"/>
      <c r="CB105" s="136"/>
      <c r="CC105" s="136"/>
      <c r="CD105" s="256"/>
      <c r="CE105" s="136"/>
      <c r="CF105" s="136"/>
      <c r="CG105" s="136"/>
      <c r="CH105" s="245" t="str">
        <f>+BV105</f>
        <v>8.  Net Earnings   (% Change)</v>
      </c>
      <c r="CI105" s="136"/>
      <c r="CJ105" s="136"/>
      <c r="CK105" s="136"/>
      <c r="CL105" s="256"/>
      <c r="CM105" s="136"/>
      <c r="CN105" s="136"/>
      <c r="CO105" s="136"/>
      <c r="CP105" s="256"/>
      <c r="CQ105" s="136"/>
      <c r="CR105" s="136"/>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57"/>
      <c r="DO105" s="57"/>
      <c r="DP105" s="57"/>
      <c r="DQ105" s="44"/>
      <c r="DR105" s="44"/>
      <c r="DS105" s="44"/>
      <c r="DT105" s="44"/>
      <c r="DU105" s="44"/>
      <c r="DV105" s="44"/>
      <c r="DW105" s="44"/>
      <c r="DX105" s="44"/>
      <c r="DY105" s="44"/>
      <c r="DZ105" s="44"/>
      <c r="EA105" s="44"/>
      <c r="EB105" s="44"/>
      <c r="EC105" s="44"/>
      <c r="ED105" s="44"/>
    </row>
    <row r="106" spans="1:134">
      <c r="A106" s="57"/>
      <c r="B106" s="57"/>
      <c r="C106" s="57"/>
      <c r="D106" s="57"/>
      <c r="E106" s="57"/>
      <c r="F106" s="57"/>
      <c r="G106" s="57"/>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7"/>
      <c r="AZ106" s="57"/>
      <c r="BA106" s="57"/>
      <c r="BB106" s="57"/>
      <c r="BC106" s="57"/>
      <c r="BD106" s="57"/>
      <c r="BE106" s="57"/>
      <c r="BF106" s="57"/>
      <c r="BG106" s="57"/>
      <c r="BH106" s="57"/>
      <c r="BI106" s="57"/>
      <c r="BJ106" s="57"/>
      <c r="BK106" s="57"/>
      <c r="BL106" s="57"/>
      <c r="BM106" s="57"/>
      <c r="BN106" s="57"/>
      <c r="BO106" s="57"/>
      <c r="BP106" s="57"/>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57"/>
      <c r="DO106" s="57"/>
      <c r="DP106" s="57"/>
      <c r="DQ106" s="44"/>
      <c r="DR106" s="44"/>
      <c r="DS106" s="44"/>
      <c r="DT106" s="44"/>
      <c r="DU106" s="44"/>
      <c r="DV106" s="44"/>
      <c r="DW106" s="44"/>
      <c r="DX106" s="44"/>
      <c r="DY106" s="44"/>
      <c r="DZ106" s="44"/>
      <c r="EA106" s="44"/>
      <c r="EB106" s="44"/>
      <c r="EC106" s="44"/>
      <c r="ED106" s="44"/>
    </row>
    <row r="107" spans="1:134">
      <c r="A107" s="57" t="str">
        <f>$A$10</f>
        <v>1Q</v>
      </c>
      <c r="B107" s="57" t="str">
        <f>$B$10</f>
        <v>Apr</v>
      </c>
      <c r="C107" s="57"/>
      <c r="D107" s="167"/>
      <c r="E107" s="57"/>
      <c r="F107" s="167">
        <f>F87-F97</f>
        <v>21.153999999999989</v>
      </c>
      <c r="G107" s="191"/>
      <c r="H107" s="57"/>
      <c r="I107" s="57"/>
      <c r="J107" s="167">
        <f>J87-J97</f>
        <v>40.913000000000025</v>
      </c>
      <c r="K107" s="191">
        <f t="shared" ref="K107:K113" si="358">IF(F107&lt;0,"       NM",(J107/F107-1)*100)</f>
        <v>93.40550250543653</v>
      </c>
      <c r="L107" s="57"/>
      <c r="M107" s="57"/>
      <c r="N107" s="167">
        <f>N87-N97</f>
        <v>45.251000000000005</v>
      </c>
      <c r="O107" s="191">
        <f t="shared" ref="O107:O113" si="359">IF(J107&lt;0,"       NM",(N107/J107-1)*100)</f>
        <v>10.602986825703265</v>
      </c>
      <c r="P107" s="57"/>
      <c r="Q107" s="57"/>
      <c r="R107" s="167">
        <f>R87-R97</f>
        <v>41.505000000000017</v>
      </c>
      <c r="S107" s="191">
        <f t="shared" ref="S107:S113" si="360">IF(N107&lt;0,"       NM",(R107/N107-1)*100)</f>
        <v>-8.278270093478568</v>
      </c>
      <c r="T107" s="57"/>
      <c r="U107" s="57"/>
      <c r="V107" s="167">
        <f>V87-V97</f>
        <v>63.477809999999984</v>
      </c>
      <c r="W107" s="191">
        <f t="shared" ref="W107:W113" si="361">IF(R107&lt;0,"       NM",(V107/R107-1)*100)</f>
        <v>52.94015178894098</v>
      </c>
      <c r="X107" s="57"/>
      <c r="Y107" s="57"/>
      <c r="Z107" s="167">
        <f>Z87-Z97</f>
        <v>50.113000000000028</v>
      </c>
      <c r="AA107" s="191">
        <f t="shared" ref="AA107:AA113" si="362">IF(V107&lt;0,"       NM",(Z107/V107-1)*100)</f>
        <v>-21.054302282955195</v>
      </c>
      <c r="AB107" s="191"/>
      <c r="AC107" s="57"/>
      <c r="AD107" s="167">
        <f>AD87-AD97</f>
        <v>81.573000000000008</v>
      </c>
      <c r="AE107" s="191">
        <f t="shared" ref="AE107:AE113" si="363">IF(Z107&lt;0,"       NM",(AD107/Z107-1)*100)</f>
        <v>62.77812144553301</v>
      </c>
      <c r="AF107" s="57"/>
      <c r="AG107" s="57"/>
      <c r="AH107" s="167">
        <f>AH87-AH97</f>
        <v>84.303999999999945</v>
      </c>
      <c r="AI107" s="191">
        <f t="shared" ref="AI107:AI113" si="364">IF(AD107&lt;0,"       NM",(AH107/AD107-1)*100)</f>
        <v>3.3479214936313895</v>
      </c>
      <c r="AJ107" s="57"/>
      <c r="AK107" s="57"/>
      <c r="AL107" s="167">
        <f>AL87-AL97</f>
        <v>136.06600000000009</v>
      </c>
      <c r="AM107" s="191">
        <f t="shared" ref="AM107:AM113" si="365">IF(AH107&lt;0,"       NM",(AL107/AH107-1)*100)</f>
        <v>61.399221863731455</v>
      </c>
      <c r="AN107" s="57"/>
      <c r="AO107" s="57"/>
      <c r="AP107" s="167">
        <f>AP87-AP97</f>
        <v>202.36999999999998</v>
      </c>
      <c r="AQ107" s="191">
        <f t="shared" ref="AQ107:AQ113" si="366">IF(AL107&lt;0,"       NM",(AP107/AL107-1)*100)</f>
        <v>48.729293137153903</v>
      </c>
      <c r="AR107" s="57"/>
      <c r="AS107" s="57"/>
      <c r="AT107" s="167">
        <f>AT87-AT97</f>
        <v>235.47599999999983</v>
      </c>
      <c r="AU107" s="191">
        <f t="shared" ref="AU107:AU113" si="367">IF(AP107&lt;0,"       NM",(AT107/AP107-1)*100)</f>
        <v>16.359144141918193</v>
      </c>
      <c r="AV107" s="57"/>
      <c r="AW107" s="57"/>
      <c r="AX107" s="167">
        <f>AX87-AX97</f>
        <v>115.47999999999995</v>
      </c>
      <c r="AY107" s="191">
        <f t="shared" ref="AY107:AY113" si="368">IF(AT107&lt;0,"       NM",(AX107/AT107-1)*100)</f>
        <v>-50.958908763525777</v>
      </c>
      <c r="AZ107" s="57"/>
      <c r="BA107" s="57"/>
      <c r="BB107" s="167">
        <f>BB87-BB97</f>
        <v>36.678000000000175</v>
      </c>
      <c r="BC107" s="191">
        <f t="shared" ref="BC107:BC113" si="369">IF(AX107&lt;0,"       NM",(BB107/AX107-1)*100)</f>
        <v>-68.238656044336523</v>
      </c>
      <c r="BD107" s="57"/>
      <c r="BE107" s="57"/>
      <c r="BF107" s="167">
        <f>BF87-BF97</f>
        <v>203.03800000000012</v>
      </c>
      <c r="BG107" s="191">
        <f t="shared" ref="BG107:BG113" si="370">IF(BB107&lt;0,"       NM",(BF107/BB107-1)*100)</f>
        <v>453.56889688641468</v>
      </c>
      <c r="BH107" s="57"/>
      <c r="BI107" s="57"/>
      <c r="BJ107" s="167">
        <f>BJ87-BJ97</f>
        <v>312.30200000000008</v>
      </c>
      <c r="BK107" s="191">
        <f t="shared" ref="BK107:BK113" si="371">IF(BF107&lt;0,"       NM",(BJ107/BF107-1)*100)</f>
        <v>53.814556880977889</v>
      </c>
      <c r="BL107" s="57"/>
      <c r="BM107" s="57"/>
      <c r="BN107" s="167">
        <f>BN87-BN97</f>
        <v>291.35200000000037</v>
      </c>
      <c r="BO107" s="191">
        <f t="shared" ref="BO107:BO113" si="372">IF(BJ107&lt;0,"       NM",(BN107/BJ107-1)*100)</f>
        <v>-6.7082503474200301</v>
      </c>
      <c r="BP107" s="57"/>
      <c r="BQ107" s="44"/>
      <c r="BR107" s="66">
        <f>BR87-BR97</f>
        <v>248.22199999999998</v>
      </c>
      <c r="BS107" s="55">
        <f t="shared" ref="BS107:BS113" si="373">IF(BN107&lt;0,"       NM",(BR107/BN107-1)*100)</f>
        <v>-14.80339932452852</v>
      </c>
      <c r="BT107" s="44"/>
      <c r="BU107" s="44"/>
      <c r="BV107" s="66">
        <f>BV87-BV97-((40+5)*0.37)+(0.03*BV145)</f>
        <v>212.91046</v>
      </c>
      <c r="BW107" s="55">
        <f t="shared" ref="BW107:BW113" si="374">IF(BR107&lt;0,"       NM",(BV107/BR107-1)*100)</f>
        <v>-14.225789817179779</v>
      </c>
      <c r="BX107" s="44">
        <f>45*0.37</f>
        <v>16.649999999999999</v>
      </c>
      <c r="BY107" s="44"/>
      <c r="BZ107" s="66">
        <f>BZ87-BZ97+BZ168</f>
        <v>249</v>
      </c>
      <c r="CA107" s="55">
        <f t="shared" ref="CA107:CA113" si="375">IF(BV107&lt;0,"       NM",(BZ107/BV107-1)*100)</f>
        <v>16.950571615880207</v>
      </c>
      <c r="CB107" s="44"/>
      <c r="CC107" s="44"/>
      <c r="CD107" s="66">
        <f>CD87-CD97+CD168</f>
        <v>215</v>
      </c>
      <c r="CE107" s="55">
        <f t="shared" ref="CE107:CE113" si="376">IF(BZ107&lt;0,"       NM",(CD107/BZ107-1)*100)</f>
        <v>-13.654618473895585</v>
      </c>
      <c r="CF107" s="44"/>
      <c r="CG107" s="44"/>
      <c r="CH107" s="66">
        <f>CH87-CH97+CH168</f>
        <v>302</v>
      </c>
      <c r="CI107" s="55">
        <f t="shared" ref="CI107:CI113" si="377">IF(CD107&lt;0,"       NM",(CH107/CD107-1)*100)</f>
        <v>40.465116279069768</v>
      </c>
      <c r="CJ107" s="44"/>
      <c r="CK107" s="44"/>
      <c r="CL107" s="66">
        <f>CL87-CL97+CL168</f>
        <v>233</v>
      </c>
      <c r="CM107" s="55">
        <f t="shared" ref="CM107:CM113" si="378">IF(CH107&lt;0,"       NM",(CL107/CH107-1)*100)</f>
        <v>-22.847682119205292</v>
      </c>
      <c r="CN107" s="44"/>
      <c r="CO107" s="44"/>
      <c r="CP107" s="66">
        <f>CP87-CP97+CP168</f>
        <v>233</v>
      </c>
      <c r="CQ107" s="55">
        <f t="shared" ref="CQ107:CQ113" si="379">IF(CL107&lt;0,"       NM",(CP107/CL107-1)*100)</f>
        <v>0</v>
      </c>
      <c r="CR107" s="44"/>
      <c r="CS107" s="44"/>
      <c r="CT107" s="66">
        <f>CT87-CT97+CT168</f>
        <v>333</v>
      </c>
      <c r="CU107" s="55">
        <f>IF(CP107&lt;0,"       NM",(CT107/CP107-1)*100)</f>
        <v>42.918454935622321</v>
      </c>
      <c r="CV107" s="44"/>
      <c r="CW107" s="44"/>
      <c r="CX107" s="66">
        <f>CX87-CX97+CX168</f>
        <v>260</v>
      </c>
      <c r="CY107" s="55">
        <f>IF(CT107&lt;0,"       NM",(CX107/CT107-1)*100)</f>
        <v>-21.921921921921928</v>
      </c>
      <c r="CZ107" s="44"/>
      <c r="DA107" s="44"/>
      <c r="DB107" s="66">
        <f>DB87-DB97+DB168</f>
        <v>246.22</v>
      </c>
      <c r="DC107" s="55">
        <f>IF(CX107&lt;0,"       NM",(DB107/CX107-1)*100)</f>
        <v>-5.3000000000000043</v>
      </c>
      <c r="DD107" s="44"/>
      <c r="DE107" s="44"/>
      <c r="DF107" s="66">
        <f>DF87-DF97+DF168</f>
        <v>127</v>
      </c>
      <c r="DG107" s="55">
        <f>IF(DB107&lt;0,"       NM",(DF107/DB107-1)*100)</f>
        <v>-48.420112094874504</v>
      </c>
      <c r="DH107" s="44"/>
      <c r="DI107" s="44"/>
      <c r="DJ107" s="66">
        <f>DJ87-DJ97+DJ168</f>
        <v>143</v>
      </c>
      <c r="DK107" s="55">
        <f>IF(DF107&lt;0,"       NM",(DJ107/DF107-1)*100)</f>
        <v>12.598425196850393</v>
      </c>
      <c r="DL107" s="44"/>
      <c r="DM107" s="44"/>
      <c r="DN107" s="167">
        <f>DN87-DN97+DN168</f>
        <v>185.60052581756122</v>
      </c>
      <c r="DO107" s="191">
        <f>IF(DJ107&lt;0,"       NM",(DN107/DJ107-1)*100)</f>
        <v>29.790577494798054</v>
      </c>
      <c r="DP107" s="57"/>
      <c r="DQ107" s="44"/>
      <c r="DR107" s="44"/>
      <c r="DS107" s="44"/>
      <c r="DT107" s="44"/>
      <c r="DU107" s="44"/>
      <c r="DV107" s="44"/>
      <c r="DW107" s="44"/>
      <c r="DX107" s="44"/>
      <c r="DY107" s="44"/>
      <c r="DZ107" s="44"/>
      <c r="EA107" s="44"/>
      <c r="EB107" s="44"/>
      <c r="EC107" s="44"/>
      <c r="ED107" s="44"/>
    </row>
    <row r="108" spans="1:134">
      <c r="A108" s="57" t="str">
        <f>$A$11</f>
        <v>2Q</v>
      </c>
      <c r="B108" s="57" t="str">
        <f>$B$11</f>
        <v>Jul</v>
      </c>
      <c r="C108" s="57"/>
      <c r="D108" s="169"/>
      <c r="E108" s="57"/>
      <c r="F108" s="169">
        <f>F88-F98</f>
        <v>19.16199999999996</v>
      </c>
      <c r="G108" s="191"/>
      <c r="H108" s="57"/>
      <c r="I108" s="57"/>
      <c r="J108" s="169">
        <f>J88-J98</f>
        <v>34.222000000000065</v>
      </c>
      <c r="K108" s="191">
        <f t="shared" si="358"/>
        <v>78.593048742303196</v>
      </c>
      <c r="L108" s="57"/>
      <c r="M108" s="57"/>
      <c r="N108" s="169">
        <f>N88-N98</f>
        <v>37.705000000000027</v>
      </c>
      <c r="O108" s="191">
        <f t="shared" si="359"/>
        <v>10.177663491321232</v>
      </c>
      <c r="P108" s="57"/>
      <c r="Q108" s="57"/>
      <c r="R108" s="169">
        <f>R88-R98</f>
        <v>28.659000000000034</v>
      </c>
      <c r="S108" s="191">
        <f t="shared" si="360"/>
        <v>-23.991513061928092</v>
      </c>
      <c r="T108" s="57"/>
      <c r="U108" s="57"/>
      <c r="V108" s="169">
        <f>V88-V98</f>
        <v>44.351999999999997</v>
      </c>
      <c r="W108" s="191">
        <f t="shared" si="361"/>
        <v>54.757667748351111</v>
      </c>
      <c r="X108" s="57"/>
      <c r="Y108" s="57"/>
      <c r="Z108" s="169">
        <f>Z88-Z98</f>
        <v>32.413999999999973</v>
      </c>
      <c r="AA108" s="191">
        <f t="shared" si="362"/>
        <v>-26.916486291486351</v>
      </c>
      <c r="AB108" s="191"/>
      <c r="AC108" s="57"/>
      <c r="AD108" s="169">
        <f>AD88-AD98</f>
        <v>65.790000000000106</v>
      </c>
      <c r="AE108" s="191">
        <f t="shared" si="363"/>
        <v>102.96785339668095</v>
      </c>
      <c r="AF108" s="57"/>
      <c r="AG108" s="57"/>
      <c r="AH108" s="169">
        <f>AH88-AH98</f>
        <v>69.457999999999998</v>
      </c>
      <c r="AI108" s="191">
        <f t="shared" si="364"/>
        <v>5.5753153974766434</v>
      </c>
      <c r="AJ108" s="57"/>
      <c r="AK108" s="57"/>
      <c r="AL108" s="169">
        <f>AL88-AL98</f>
        <v>136.87400000000002</v>
      </c>
      <c r="AM108" s="191">
        <f t="shared" si="365"/>
        <v>97.060093869676663</v>
      </c>
      <c r="AN108" s="57"/>
      <c r="AO108" s="57"/>
      <c r="AP108" s="167">
        <f>AP88-AP98</f>
        <v>195.82899999999984</v>
      </c>
      <c r="AQ108" s="191">
        <f t="shared" si="366"/>
        <v>43.072460803366461</v>
      </c>
      <c r="AR108" s="57"/>
      <c r="AS108" s="57"/>
      <c r="AT108" s="169">
        <f>AT88-AT98</f>
        <v>183.9199999999999</v>
      </c>
      <c r="AU108" s="191">
        <f t="shared" si="367"/>
        <v>-6.0813260548743813</v>
      </c>
      <c r="AV108" s="57"/>
      <c r="AW108" s="57"/>
      <c r="AX108" s="169">
        <f>AX88-AX98</f>
        <v>89.750999999999834</v>
      </c>
      <c r="AY108" s="191">
        <f t="shared" si="368"/>
        <v>-51.201065680730821</v>
      </c>
      <c r="AZ108" s="57"/>
      <c r="BA108" s="57"/>
      <c r="BB108" s="169">
        <f>BB88-BB98</f>
        <v>56.780000000000271</v>
      </c>
      <c r="BC108" s="191">
        <f t="shared" si="369"/>
        <v>-36.736080935030948</v>
      </c>
      <c r="BD108" s="57"/>
      <c r="BE108" s="57"/>
      <c r="BF108" s="169">
        <f>BF88-BF98</f>
        <v>209.63099999999994</v>
      </c>
      <c r="BG108" s="191">
        <f t="shared" si="370"/>
        <v>269.1986615005265</v>
      </c>
      <c r="BH108" s="57"/>
      <c r="BI108" s="57"/>
      <c r="BJ108" s="169">
        <f>BJ88-BJ98</f>
        <v>194.99200000000008</v>
      </c>
      <c r="BK108" s="191">
        <f t="shared" si="371"/>
        <v>-6.9832229011929865</v>
      </c>
      <c r="BL108" s="57"/>
      <c r="BM108" s="57"/>
      <c r="BN108" s="169">
        <f>BN88-BN98</f>
        <v>271.70799999999969</v>
      </c>
      <c r="BO108" s="191">
        <f t="shared" si="372"/>
        <v>39.343152539591152</v>
      </c>
      <c r="BP108" s="57"/>
      <c r="BQ108" s="44"/>
      <c r="BR108" s="58">
        <f>BR88-BR98</f>
        <v>134</v>
      </c>
      <c r="BS108" s="55">
        <f t="shared" si="373"/>
        <v>-50.68235017003542</v>
      </c>
      <c r="BT108" s="44"/>
      <c r="BU108" s="44"/>
      <c r="BV108" s="58">
        <f>BV88-BV98-((20+9)*0.4)</f>
        <v>175.4</v>
      </c>
      <c r="BW108" s="55">
        <f t="shared" si="374"/>
        <v>30.895522388059703</v>
      </c>
      <c r="BX108" s="44">
        <f>29*0.4</f>
        <v>11.600000000000001</v>
      </c>
      <c r="BY108" s="44"/>
      <c r="BZ108" s="58">
        <f>BZ88-BZ98+BZ169</f>
        <v>229</v>
      </c>
      <c r="CA108" s="55">
        <f t="shared" si="375"/>
        <v>30.558722919042182</v>
      </c>
      <c r="CB108" s="44"/>
      <c r="CC108" s="44"/>
      <c r="CD108" s="58">
        <f>CD88-CD98+CD169</f>
        <v>228</v>
      </c>
      <c r="CE108" s="55">
        <f t="shared" si="376"/>
        <v>-0.4366812227074246</v>
      </c>
      <c r="CF108" s="44"/>
      <c r="CG108" s="44"/>
      <c r="CH108" s="58">
        <f>CH88-CH98+CH169</f>
        <v>234</v>
      </c>
      <c r="CI108" s="55">
        <f t="shared" si="377"/>
        <v>2.6315789473684292</v>
      </c>
      <c r="CJ108" s="44"/>
      <c r="CK108" s="44"/>
      <c r="CL108" s="58">
        <f>CL88-CL98+CL169</f>
        <v>189</v>
      </c>
      <c r="CM108" s="55">
        <f t="shared" si="378"/>
        <v>-19.23076923076923</v>
      </c>
      <c r="CN108" s="44"/>
      <c r="CO108" s="44"/>
      <c r="CP108" s="58">
        <f>CP88-CP98+CP169</f>
        <v>243</v>
      </c>
      <c r="CQ108" s="55">
        <f t="shared" si="379"/>
        <v>28.57142857142858</v>
      </c>
      <c r="CR108" s="44"/>
      <c r="CS108" s="44"/>
      <c r="CT108" s="58">
        <f>CT88-CT98+CT169</f>
        <v>303</v>
      </c>
      <c r="CU108" s="55">
        <f t="shared" ref="CU108:CU113" si="380">IF(CP108&lt;0,"       NM",(CT108/CP108-1)*100)</f>
        <v>24.691358024691358</v>
      </c>
      <c r="CV108" s="44"/>
      <c r="CW108" s="44"/>
      <c r="CX108" s="58">
        <f>CX88-CX98+CX169</f>
        <v>310</v>
      </c>
      <c r="CY108" s="55">
        <f t="shared" ref="CY108:CY113" si="381">IF(CT108&lt;0,"       NM",(CX108/CT108-1)*100)</f>
        <v>2.3102310231023049</v>
      </c>
      <c r="CZ108" s="44"/>
      <c r="DA108" s="44"/>
      <c r="DB108" s="58">
        <f>DB88-DB98+DB169</f>
        <v>269.24</v>
      </c>
      <c r="DC108" s="55">
        <f t="shared" ref="DC108:DC113" si="382">IF(CX108&lt;0,"       NM",(DB108/CX108-1)*100)</f>
        <v>-13.148387096774194</v>
      </c>
      <c r="DD108" s="44"/>
      <c r="DE108" s="44"/>
      <c r="DF108" s="58">
        <f>DF88-DF98+DF169</f>
        <v>238</v>
      </c>
      <c r="DG108" s="55">
        <f t="shared" ref="DG108:DG113" si="383">IF(DB108&lt;0,"       NM",(DF108/DB108-1)*100)</f>
        <v>-11.603030753231325</v>
      </c>
      <c r="DH108" s="44"/>
      <c r="DI108" s="44"/>
      <c r="DJ108" s="58">
        <f>DJ88-DJ98+DJ169</f>
        <v>231.32</v>
      </c>
      <c r="DK108" s="55">
        <f t="shared" ref="DK108:DK113" si="384">IF(DF108&lt;0,"       NM",(DJ108/DF108-1)*100)</f>
        <v>-2.8067226890756358</v>
      </c>
      <c r="DL108" s="44"/>
      <c r="DM108" s="44"/>
      <c r="DN108" s="169">
        <f>DN88-DN98+DN169</f>
        <v>264.87293354008045</v>
      </c>
      <c r="DO108" s="191">
        <f t="shared" ref="DO108:DO113" si="385">IF(DJ108&lt;0,"       NM",(DN108/DJ108-1)*100)</f>
        <v>14.504985967525696</v>
      </c>
      <c r="DP108" s="57"/>
      <c r="DR108" s="66"/>
      <c r="DS108" s="44"/>
      <c r="DT108" s="44"/>
      <c r="DU108" s="44"/>
      <c r="DV108" s="44"/>
      <c r="DW108" s="44"/>
      <c r="DX108" s="44"/>
      <c r="DY108" s="44"/>
      <c r="DZ108" s="44"/>
      <c r="EA108" s="44"/>
      <c r="EB108" s="44"/>
      <c r="EC108" s="44"/>
      <c r="ED108" s="44"/>
    </row>
    <row r="109" spans="1:134">
      <c r="A109" s="57" t="str">
        <f>$A$12</f>
        <v>3Q</v>
      </c>
      <c r="B109" s="57" t="str">
        <f>$B$12</f>
        <v>Oct</v>
      </c>
      <c r="C109" s="57"/>
      <c r="D109" s="169"/>
      <c r="E109" s="57"/>
      <c r="F109" s="169">
        <f>F89-F99</f>
        <v>47.726000000000013</v>
      </c>
      <c r="G109" s="191"/>
      <c r="H109" s="57"/>
      <c r="I109" s="57"/>
      <c r="J109" s="169">
        <f>J89-J99</f>
        <v>70.795999999999992</v>
      </c>
      <c r="K109" s="191">
        <f t="shared" si="358"/>
        <v>48.338431881992982</v>
      </c>
      <c r="L109" s="57"/>
      <c r="M109" s="57"/>
      <c r="N109" s="169">
        <f>N89-N99</f>
        <v>62.011999999999979</v>
      </c>
      <c r="O109" s="191">
        <f t="shared" si="359"/>
        <v>-12.407480648624237</v>
      </c>
      <c r="P109" s="57"/>
      <c r="Q109" s="57"/>
      <c r="R109" s="169">
        <f>R89-R99</f>
        <v>78.914999999999992</v>
      </c>
      <c r="S109" s="191">
        <f t="shared" si="360"/>
        <v>27.25762755595693</v>
      </c>
      <c r="T109" s="57"/>
      <c r="U109" s="57"/>
      <c r="V109" s="169">
        <f>V89-V99</f>
        <v>93.647344999999945</v>
      </c>
      <c r="W109" s="191">
        <f t="shared" si="361"/>
        <v>18.668624469365724</v>
      </c>
      <c r="X109" s="57"/>
      <c r="Y109" s="57"/>
      <c r="Z109" s="169">
        <f>Z89-Z99</f>
        <v>116.87500000000004</v>
      </c>
      <c r="AA109" s="191">
        <f t="shared" si="362"/>
        <v>24.803324643106663</v>
      </c>
      <c r="AB109" s="191"/>
      <c r="AC109" s="57"/>
      <c r="AD109" s="169">
        <f>AD89-AD99</f>
        <v>134.31000000000009</v>
      </c>
      <c r="AE109" s="191">
        <f t="shared" si="363"/>
        <v>14.917647058823569</v>
      </c>
      <c r="AF109" s="57"/>
      <c r="AG109" s="57"/>
      <c r="AH109" s="169">
        <f>AH89-AH99</f>
        <v>164.52300000000008</v>
      </c>
      <c r="AI109" s="191">
        <f t="shared" si="364"/>
        <v>22.494974313156103</v>
      </c>
      <c r="AJ109" s="57"/>
      <c r="AK109" s="57"/>
      <c r="AL109" s="169">
        <f>AL89-AL99</f>
        <v>237.74899999999974</v>
      </c>
      <c r="AM109" s="191">
        <f t="shared" si="365"/>
        <v>44.508062702479066</v>
      </c>
      <c r="AN109" s="57"/>
      <c r="AO109" s="57"/>
      <c r="AP109" s="167">
        <f>AP89-AP99</f>
        <v>315.01699999999994</v>
      </c>
      <c r="AQ109" s="191">
        <f t="shared" si="366"/>
        <v>32.499821240047396</v>
      </c>
      <c r="AR109" s="57"/>
      <c r="AS109" s="57"/>
      <c r="AT109" s="169">
        <f>AT89-AT99</f>
        <v>186.34800000000038</v>
      </c>
      <c r="AU109" s="191">
        <f t="shared" si="367"/>
        <v>-40.845097248719775</v>
      </c>
      <c r="AV109" s="57"/>
      <c r="AW109" s="57"/>
      <c r="AX109" s="169">
        <f>AX89-AX99</f>
        <v>-178.83699999999982</v>
      </c>
      <c r="AY109" s="191">
        <f t="shared" si="368"/>
        <v>-195.9693691373127</v>
      </c>
      <c r="AZ109" s="57"/>
      <c r="BA109" s="57"/>
      <c r="BB109" s="169">
        <f>BB89-BB99</f>
        <v>135.2699999999999</v>
      </c>
      <c r="BC109" s="191" t="str">
        <f t="shared" si="369"/>
        <v xml:space="preserve">       NM</v>
      </c>
      <c r="BD109" s="57"/>
      <c r="BE109" s="57"/>
      <c r="BF109" s="169">
        <f>BF89-BF99</f>
        <v>262.02499999999998</v>
      </c>
      <c r="BG109" s="191">
        <f t="shared" si="370"/>
        <v>93.705182228136437</v>
      </c>
      <c r="BH109" s="57"/>
      <c r="BI109" s="57"/>
      <c r="BJ109" s="169">
        <f>BJ89-BJ99</f>
        <v>265.15000000000009</v>
      </c>
      <c r="BK109" s="191">
        <f t="shared" si="371"/>
        <v>1.1926342906211751</v>
      </c>
      <c r="BL109" s="57"/>
      <c r="BM109" s="57"/>
      <c r="BN109" s="169">
        <f>BN89-BN99</f>
        <v>212.30399999999992</v>
      </c>
      <c r="BO109" s="191">
        <f t="shared" si="372"/>
        <v>-19.930605317744732</v>
      </c>
      <c r="BP109" s="57"/>
      <c r="BQ109" s="44"/>
      <c r="BR109" s="58">
        <f>BR89-BR99</f>
        <v>196.96899999999999</v>
      </c>
      <c r="BS109" s="55">
        <f t="shared" si="373"/>
        <v>-7.2231328660787959</v>
      </c>
      <c r="BT109" s="44"/>
      <c r="BU109" s="44"/>
      <c r="BV109" s="169">
        <f>BV89-BV99</f>
        <v>239</v>
      </c>
      <c r="BW109" s="55">
        <f t="shared" si="374"/>
        <v>21.338890891460082</v>
      </c>
      <c r="BX109" s="44">
        <f>SUM(BX107:BX108)</f>
        <v>28.25</v>
      </c>
      <c r="BY109" s="44"/>
      <c r="BZ109" s="58">
        <f>BZ89-BZ99+BZ170</f>
        <v>246</v>
      </c>
      <c r="CA109" s="55">
        <f t="shared" si="375"/>
        <v>2.9288702928870203</v>
      </c>
      <c r="CB109" s="44"/>
      <c r="CC109" s="44"/>
      <c r="CD109" s="58">
        <f>CD89-CD99+CD170</f>
        <v>307</v>
      </c>
      <c r="CE109" s="55">
        <f t="shared" si="376"/>
        <v>24.796747967479682</v>
      </c>
      <c r="CF109" s="44"/>
      <c r="CG109" s="44"/>
      <c r="CH109" s="58">
        <f>CH89-CH99+CH170</f>
        <v>303</v>
      </c>
      <c r="CI109" s="55">
        <f t="shared" si="377"/>
        <v>-1.3029315960912058</v>
      </c>
      <c r="CJ109" s="44"/>
      <c r="CK109" s="44"/>
      <c r="CL109" s="58">
        <f>CL89-CL99+CL170</f>
        <v>193</v>
      </c>
      <c r="CM109" s="55">
        <f t="shared" si="378"/>
        <v>-36.303630363036298</v>
      </c>
      <c r="CN109" s="44"/>
      <c r="CO109" s="44"/>
      <c r="CP109" s="58">
        <f>CP89-CP99+CP170</f>
        <v>308</v>
      </c>
      <c r="CQ109" s="55">
        <f t="shared" si="379"/>
        <v>59.585492227979266</v>
      </c>
      <c r="CR109" s="44"/>
      <c r="CS109" s="44"/>
      <c r="CT109" s="58">
        <f>CT89-CT99+CT170</f>
        <v>337</v>
      </c>
      <c r="CU109" s="55">
        <f t="shared" si="380"/>
        <v>9.4155844155844104</v>
      </c>
      <c r="CV109" s="44"/>
      <c r="CW109" s="44"/>
      <c r="CX109" s="58">
        <f>CX89-CX99+CX170</f>
        <v>351</v>
      </c>
      <c r="CY109" s="55">
        <f t="shared" si="381"/>
        <v>4.1543026706231556</v>
      </c>
      <c r="CZ109" s="44"/>
      <c r="DA109" s="44"/>
      <c r="DB109" s="58">
        <f>DB89-DB99+DB170</f>
        <v>256.55</v>
      </c>
      <c r="DC109" s="55">
        <f t="shared" si="382"/>
        <v>-26.90883190883191</v>
      </c>
      <c r="DD109" s="44"/>
      <c r="DE109" s="44"/>
      <c r="DF109" s="58">
        <f>DF89-DF99+DF170</f>
        <v>238</v>
      </c>
      <c r="DG109" s="55">
        <f t="shared" si="383"/>
        <v>-7.2305593451568946</v>
      </c>
      <c r="DH109" s="44"/>
      <c r="DI109" s="44"/>
      <c r="DJ109" s="58">
        <f>DJ89-DJ99+DJ170</f>
        <v>229</v>
      </c>
      <c r="DK109" s="55">
        <f t="shared" si="384"/>
        <v>-3.7815126050420145</v>
      </c>
      <c r="DL109" s="44"/>
      <c r="DM109" s="44"/>
      <c r="DN109" s="169">
        <f>DN89-DN99+DN170</f>
        <v>261.19373703447383</v>
      </c>
      <c r="DO109" s="191">
        <f t="shared" si="385"/>
        <v>14.058400451735299</v>
      </c>
      <c r="DP109" s="57"/>
      <c r="DQ109" s="44"/>
      <c r="DR109" s="66"/>
      <c r="DS109" s="44"/>
      <c r="DT109" s="44"/>
      <c r="DU109" s="44"/>
      <c r="DV109" s="44"/>
      <c r="DW109" s="44"/>
      <c r="DX109" s="44"/>
      <c r="DY109" s="44"/>
      <c r="DZ109" s="58"/>
      <c r="EA109" s="44"/>
      <c r="EB109" s="44"/>
      <c r="EC109" s="44"/>
      <c r="ED109" s="44"/>
    </row>
    <row r="110" spans="1:134">
      <c r="A110" s="57" t="str">
        <f>$A$13</f>
        <v>4Q</v>
      </c>
      <c r="B110" s="57" t="str">
        <f>$B$13</f>
        <v>Jan</v>
      </c>
      <c r="C110" s="60"/>
      <c r="D110" s="250"/>
      <c r="E110" s="60"/>
      <c r="F110" s="250">
        <f>F90-F100</f>
        <v>56.480000000000025</v>
      </c>
      <c r="G110" s="191"/>
      <c r="H110" s="57"/>
      <c r="I110" s="57"/>
      <c r="J110" s="250">
        <f>J90-J100</f>
        <v>83.942000000000021</v>
      </c>
      <c r="K110" s="191">
        <f t="shared" si="358"/>
        <v>48.622521246458895</v>
      </c>
      <c r="L110" s="57"/>
      <c r="M110" s="57"/>
      <c r="N110" s="250">
        <f>N90-N100</f>
        <v>65.732999999999876</v>
      </c>
      <c r="O110" s="191">
        <f t="shared" si="359"/>
        <v>-21.692359009792639</v>
      </c>
      <c r="P110" s="57"/>
      <c r="Q110" s="57"/>
      <c r="R110" s="250">
        <f>R90-R100</f>
        <v>109.34500000000003</v>
      </c>
      <c r="S110" s="191">
        <f t="shared" si="360"/>
        <v>66.347192429982258</v>
      </c>
      <c r="T110" s="57"/>
      <c r="U110" s="57"/>
      <c r="V110" s="250">
        <f>V90-V100</f>
        <v>118.76270999999988</v>
      </c>
      <c r="W110" s="191">
        <f t="shared" si="361"/>
        <v>8.6128400932826032</v>
      </c>
      <c r="X110" s="57"/>
      <c r="Y110" s="57"/>
      <c r="Z110" s="250">
        <f>Z90-Z100</f>
        <v>154.63700000000006</v>
      </c>
      <c r="AA110" s="191">
        <f t="shared" si="362"/>
        <v>30.206695350754643</v>
      </c>
      <c r="AB110" s="191"/>
      <c r="AC110" s="57"/>
      <c r="AD110" s="250">
        <f>AD90-AD100</f>
        <v>171.18599999999992</v>
      </c>
      <c r="AE110" s="191">
        <f t="shared" si="363"/>
        <v>10.70183720584328</v>
      </c>
      <c r="AF110" s="57"/>
      <c r="AG110" s="57"/>
      <c r="AH110" s="250">
        <f>AH90-AH100</f>
        <v>215.61599999999981</v>
      </c>
      <c r="AI110" s="191">
        <f t="shared" si="364"/>
        <v>25.954225228698569</v>
      </c>
      <c r="AJ110" s="57"/>
      <c r="AK110" s="57"/>
      <c r="AL110" s="250">
        <f>AL90-AL100</f>
        <v>313.84999999999985</v>
      </c>
      <c r="AM110" s="191">
        <f t="shared" si="365"/>
        <v>45.559698723656929</v>
      </c>
      <c r="AN110" s="57"/>
      <c r="AO110" s="57"/>
      <c r="AP110" s="251">
        <f>AP90-AP100</f>
        <v>413.84899999999959</v>
      </c>
      <c r="AQ110" s="191">
        <f t="shared" si="366"/>
        <v>31.86203600446067</v>
      </c>
      <c r="AR110" s="57"/>
      <c r="AS110" s="57"/>
      <c r="AT110" s="250">
        <f>AT90-AT100</f>
        <v>271.75299999999964</v>
      </c>
      <c r="AU110" s="191">
        <f t="shared" si="367"/>
        <v>-34.335228549543451</v>
      </c>
      <c r="AV110" s="57"/>
      <c r="AW110" s="57"/>
      <c r="AX110" s="250">
        <f>AX90-AX100</f>
        <v>-34.158000000000108</v>
      </c>
      <c r="AY110" s="191">
        <f t="shared" si="368"/>
        <v>-112.56950245259488</v>
      </c>
      <c r="AZ110" s="57"/>
      <c r="BA110" s="57"/>
      <c r="BB110" s="250">
        <f>BB90-BB100</f>
        <v>248.72899999999998</v>
      </c>
      <c r="BC110" s="191" t="str">
        <f t="shared" si="369"/>
        <v xml:space="preserve">       NM</v>
      </c>
      <c r="BD110" s="57"/>
      <c r="BE110" s="57"/>
      <c r="BF110" s="250">
        <f>BF90-BF100</f>
        <v>356.02800000000013</v>
      </c>
      <c r="BG110" s="191">
        <f t="shared" si="370"/>
        <v>43.138918260436121</v>
      </c>
      <c r="BH110" s="57"/>
      <c r="BI110" s="57"/>
      <c r="BJ110" s="250">
        <f>BJ90-BJ100</f>
        <v>377.89699999999993</v>
      </c>
      <c r="BK110" s="191">
        <f t="shared" si="371"/>
        <v>6.1424944105519241</v>
      </c>
      <c r="BL110" s="57"/>
      <c r="BM110" s="57"/>
      <c r="BN110" s="250">
        <f>BN90-BN100</f>
        <v>337.25799999999987</v>
      </c>
      <c r="BO110" s="191">
        <f t="shared" si="372"/>
        <v>-10.753988520681579</v>
      </c>
      <c r="BP110" s="57"/>
      <c r="BQ110" s="44"/>
      <c r="BR110" s="252">
        <f>BR90-BR100</f>
        <v>230</v>
      </c>
      <c r="BS110" s="55">
        <f t="shared" si="373"/>
        <v>-31.802952042649814</v>
      </c>
      <c r="BT110" s="44"/>
      <c r="BU110" s="44"/>
      <c r="BV110" s="252">
        <f>BV90-BV100</f>
        <v>265</v>
      </c>
      <c r="BW110" s="55">
        <f t="shared" si="374"/>
        <v>15.217391304347828</v>
      </c>
      <c r="BX110" s="44"/>
      <c r="BY110" s="44"/>
      <c r="BZ110" s="252">
        <f>BZ90-BZ100+BZ171</f>
        <v>243</v>
      </c>
      <c r="CA110" s="55">
        <f t="shared" si="375"/>
        <v>-8.3018867924528283</v>
      </c>
      <c r="CB110" s="44"/>
      <c r="CC110" s="44"/>
      <c r="CD110" s="252">
        <f>CD90-CD100+CD171</f>
        <v>352</v>
      </c>
      <c r="CE110" s="55">
        <f t="shared" si="376"/>
        <v>44.855967078189309</v>
      </c>
      <c r="CF110" s="44"/>
      <c r="CG110" s="44"/>
      <c r="CH110" s="252">
        <f>CH90-CH100+CH171</f>
        <v>365</v>
      </c>
      <c r="CI110" s="55">
        <f t="shared" si="377"/>
        <v>3.6931818181818121</v>
      </c>
      <c r="CJ110" s="44"/>
      <c r="CK110" s="44"/>
      <c r="CL110" s="252">
        <f>CL90-CL100+CL171</f>
        <v>218</v>
      </c>
      <c r="CM110" s="55">
        <f t="shared" si="378"/>
        <v>-40.273972602739725</v>
      </c>
      <c r="CN110" s="44"/>
      <c r="CO110" s="44"/>
      <c r="CP110" s="252">
        <f>CP90-CP100+CP171</f>
        <v>351</v>
      </c>
      <c r="CQ110" s="55">
        <f t="shared" si="379"/>
        <v>61.009174311926607</v>
      </c>
      <c r="CR110" s="44"/>
      <c r="CS110" s="44"/>
      <c r="CT110" s="252">
        <f>CT90-CT100+CT171</f>
        <v>307</v>
      </c>
      <c r="CU110" s="55">
        <f t="shared" si="380"/>
        <v>-12.53561253561254</v>
      </c>
      <c r="CV110" s="44"/>
      <c r="CW110" s="44"/>
      <c r="CX110" s="252">
        <f>CX90-CX100+CX171</f>
        <v>319</v>
      </c>
      <c r="CY110" s="55">
        <f t="shared" si="381"/>
        <v>3.9087947882736174</v>
      </c>
      <c r="CZ110" s="44"/>
      <c r="DA110" s="44"/>
      <c r="DB110" s="252">
        <f>DB90-DB100+DB171</f>
        <v>229.875</v>
      </c>
      <c r="DC110" s="55">
        <f t="shared" si="382"/>
        <v>-27.938871473354233</v>
      </c>
      <c r="DD110" s="44"/>
      <c r="DE110" s="44"/>
      <c r="DF110" s="252">
        <f>DF90-DF100+DF171</f>
        <v>206.17000000000002</v>
      </c>
      <c r="DG110" s="55">
        <f t="shared" si="383"/>
        <v>-10.312126155519296</v>
      </c>
      <c r="DH110" s="44"/>
      <c r="DI110" s="44"/>
      <c r="DJ110" s="252">
        <f>DJ90-DJ100+DJ171</f>
        <v>239</v>
      </c>
      <c r="DK110" s="55">
        <f t="shared" si="384"/>
        <v>15.923752243294365</v>
      </c>
      <c r="DL110" s="44"/>
      <c r="DM110" s="44"/>
      <c r="DN110" s="250">
        <f>DN90-DN100+DN171</f>
        <v>270.98406774596162</v>
      </c>
      <c r="DO110" s="191">
        <f t="shared" si="385"/>
        <v>13.382455123833314</v>
      </c>
      <c r="DP110" s="57"/>
      <c r="DQ110" s="44"/>
      <c r="DR110" s="44"/>
      <c r="DS110" s="44"/>
      <c r="DT110" s="44"/>
      <c r="DU110" s="44"/>
      <c r="DV110" s="44"/>
      <c r="DW110" s="44"/>
      <c r="DX110" s="44"/>
      <c r="DY110" s="44"/>
      <c r="DZ110" s="44"/>
      <c r="EA110" s="44"/>
      <c r="EB110" s="44"/>
      <c r="EC110" s="44"/>
      <c r="ED110" s="44"/>
    </row>
    <row r="111" spans="1:134">
      <c r="A111" s="57"/>
      <c r="B111" s="57" t="str">
        <f>$B$14</f>
        <v>Year</v>
      </c>
      <c r="C111" s="57"/>
      <c r="D111" s="167"/>
      <c r="E111" s="57"/>
      <c r="F111" s="167">
        <f>SUM(F107:F110)</f>
        <v>144.52199999999999</v>
      </c>
      <c r="G111" s="191"/>
      <c r="H111" s="57"/>
      <c r="I111" s="57"/>
      <c r="J111" s="167">
        <f>SUM(J107:J110)</f>
        <v>229.8730000000001</v>
      </c>
      <c r="K111" s="191">
        <f t="shared" si="358"/>
        <v>59.057444541315583</v>
      </c>
      <c r="L111" s="57"/>
      <c r="M111" s="57"/>
      <c r="N111" s="167">
        <f>SUM(N107:N110)</f>
        <v>210.70099999999991</v>
      </c>
      <c r="O111" s="191">
        <f t="shared" si="359"/>
        <v>-8.340257446503152</v>
      </c>
      <c r="P111" s="57"/>
      <c r="Q111" s="57"/>
      <c r="R111" s="167">
        <f>SUM(R107:R110)</f>
        <v>258.42400000000009</v>
      </c>
      <c r="S111" s="191">
        <f t="shared" si="360"/>
        <v>22.649631468289289</v>
      </c>
      <c r="T111" s="57"/>
      <c r="U111" s="57"/>
      <c r="V111" s="167">
        <f>SUM(V107:V110)</f>
        <v>320.23986499999978</v>
      </c>
      <c r="W111" s="191">
        <f t="shared" si="361"/>
        <v>23.920326672445146</v>
      </c>
      <c r="X111" s="57"/>
      <c r="Y111" s="57"/>
      <c r="Z111" s="167">
        <f>SUM(Z107:Z110)</f>
        <v>354.0390000000001</v>
      </c>
      <c r="AA111" s="191">
        <f t="shared" si="362"/>
        <v>10.55431840130221</v>
      </c>
      <c r="AB111" s="191"/>
      <c r="AC111" s="57"/>
      <c r="AD111" s="167">
        <f>SUM(AD107:AD110)</f>
        <v>452.85900000000015</v>
      </c>
      <c r="AE111" s="191">
        <f t="shared" si="363"/>
        <v>27.912179166701989</v>
      </c>
      <c r="AF111" s="57"/>
      <c r="AG111" s="57"/>
      <c r="AH111" s="167">
        <f>SUM(AH107:AH110)</f>
        <v>533.90099999999984</v>
      </c>
      <c r="AI111" s="191">
        <f t="shared" si="364"/>
        <v>17.895636390134605</v>
      </c>
      <c r="AJ111" s="57"/>
      <c r="AK111" s="57"/>
      <c r="AL111" s="167">
        <f>SUM(AL107:AL110)</f>
        <v>824.53899999999976</v>
      </c>
      <c r="AM111" s="191">
        <f t="shared" si="365"/>
        <v>54.436683954515907</v>
      </c>
      <c r="AN111" s="57"/>
      <c r="AO111" s="57"/>
      <c r="AP111" s="167">
        <f>SUM(AP107:AP110)</f>
        <v>1127.0649999999994</v>
      </c>
      <c r="AQ111" s="191">
        <f t="shared" si="366"/>
        <v>36.690320288063958</v>
      </c>
      <c r="AR111" s="57"/>
      <c r="AS111" s="57"/>
      <c r="AT111" s="167">
        <f>SUM(AT107:AT110)</f>
        <v>877.49699999999984</v>
      </c>
      <c r="AU111" s="191">
        <f t="shared" si="367"/>
        <v>-22.143177190312869</v>
      </c>
      <c r="AV111" s="57"/>
      <c r="AW111" s="57"/>
      <c r="AX111" s="167">
        <f>SUM(AX107:AX110)</f>
        <v>-7.7640000000001592</v>
      </c>
      <c r="AY111" s="191">
        <f t="shared" si="368"/>
        <v>-100.88478934970719</v>
      </c>
      <c r="AZ111" s="57"/>
      <c r="BA111" s="57"/>
      <c r="BB111" s="167">
        <f>SUM(BB107:BB110)</f>
        <v>477.45700000000033</v>
      </c>
      <c r="BC111" s="191" t="str">
        <f t="shared" si="369"/>
        <v xml:space="preserve">       NM</v>
      </c>
      <c r="BD111" s="57"/>
      <c r="BE111" s="57"/>
      <c r="BF111" s="167">
        <f>SUM(BF107:BF110)</f>
        <v>1030.7220000000002</v>
      </c>
      <c r="BG111" s="191">
        <f t="shared" si="370"/>
        <v>115.8774507442554</v>
      </c>
      <c r="BH111" s="57"/>
      <c r="BI111" s="57"/>
      <c r="BJ111" s="167">
        <f>SUM(BJ107:BJ110)</f>
        <v>1150.3410000000001</v>
      </c>
      <c r="BK111" s="191">
        <f t="shared" si="371"/>
        <v>11.60536012620279</v>
      </c>
      <c r="BL111" s="57"/>
      <c r="BM111" s="57"/>
      <c r="BN111" s="167">
        <f>SUM(BN107:BN110)</f>
        <v>1112.6219999999998</v>
      </c>
      <c r="BO111" s="191">
        <f t="shared" si="372"/>
        <v>-3.2789407662597636</v>
      </c>
      <c r="BP111" s="57"/>
      <c r="BQ111" s="44"/>
      <c r="BR111" s="66">
        <f>SUM(BR107:BR110)</f>
        <v>809.19100000000003</v>
      </c>
      <c r="BS111" s="55">
        <f t="shared" si="373"/>
        <v>-27.271705934270564</v>
      </c>
      <c r="BT111" s="44"/>
      <c r="BU111" s="44"/>
      <c r="BV111" s="66">
        <f>SUM(BV107:BV110)</f>
        <v>892.31046000000003</v>
      </c>
      <c r="BW111" s="55">
        <f t="shared" si="374"/>
        <v>10.271920967979131</v>
      </c>
      <c r="BX111" s="44"/>
      <c r="BY111" s="44"/>
      <c r="BZ111" s="66">
        <f>SUM(BZ107:BZ110)</f>
        <v>967</v>
      </c>
      <c r="CA111" s="55">
        <f t="shared" si="375"/>
        <v>8.3703535202310562</v>
      </c>
      <c r="CB111" s="44"/>
      <c r="CC111" s="44"/>
      <c r="CD111" s="66">
        <f>SUM(CD107:CD110)</f>
        <v>1102</v>
      </c>
      <c r="CE111" s="55">
        <f t="shared" si="376"/>
        <v>13.960703205791102</v>
      </c>
      <c r="CF111" s="44"/>
      <c r="CG111" s="44"/>
      <c r="CH111" s="66">
        <f>SUM(CH107:CH110)</f>
        <v>1204</v>
      </c>
      <c r="CI111" s="55">
        <f t="shared" si="377"/>
        <v>9.2558983666061643</v>
      </c>
      <c r="CJ111" s="44"/>
      <c r="CK111" s="44"/>
      <c r="CL111" s="66">
        <f>SUM(CL107:CL110)</f>
        <v>833</v>
      </c>
      <c r="CM111" s="55">
        <f t="shared" si="378"/>
        <v>-30.813953488372093</v>
      </c>
      <c r="CN111" s="44"/>
      <c r="CO111" s="44"/>
      <c r="CP111" s="66">
        <f>SUM(CP107:CP110)</f>
        <v>1135</v>
      </c>
      <c r="CQ111" s="55">
        <f t="shared" si="379"/>
        <v>36.254501800720298</v>
      </c>
      <c r="CR111" s="44"/>
      <c r="CS111" s="44"/>
      <c r="CT111" s="66">
        <f>SUM(CT107:CT110)</f>
        <v>1280</v>
      </c>
      <c r="CU111" s="55">
        <f t="shared" si="380"/>
        <v>12.775330396475781</v>
      </c>
      <c r="CV111" s="44"/>
      <c r="CW111" s="44"/>
      <c r="CX111" s="66">
        <f>SUM(CX107:CX110)</f>
        <v>1240</v>
      </c>
      <c r="CY111" s="55">
        <f t="shared" si="381"/>
        <v>-3.125</v>
      </c>
      <c r="CZ111" s="44"/>
      <c r="DA111" s="44"/>
      <c r="DB111" s="66">
        <f>SUM(DB107:DB110)</f>
        <v>1001.885</v>
      </c>
      <c r="DC111" s="55">
        <f t="shared" si="382"/>
        <v>-19.202822580645162</v>
      </c>
      <c r="DD111" s="44"/>
      <c r="DE111" s="44"/>
      <c r="DF111" s="66">
        <f>SUM(DF107:DF110)</f>
        <v>809.17000000000007</v>
      </c>
      <c r="DG111" s="55">
        <f t="shared" si="383"/>
        <v>-19.235241569641214</v>
      </c>
      <c r="DH111" s="44"/>
      <c r="DI111" s="44"/>
      <c r="DJ111" s="66">
        <f>SUM(DJ107:DJ110)</f>
        <v>842.31999999999994</v>
      </c>
      <c r="DK111" s="55">
        <f t="shared" si="384"/>
        <v>4.0967905384529546</v>
      </c>
      <c r="DL111" s="44"/>
      <c r="DM111" s="44"/>
      <c r="DN111" s="167">
        <f>SUM(DN107:DN110)</f>
        <v>982.65126413807718</v>
      </c>
      <c r="DO111" s="191">
        <f t="shared" si="385"/>
        <v>16.66008929362679</v>
      </c>
      <c r="DP111" s="57"/>
      <c r="DQ111" s="44"/>
      <c r="DR111" s="44"/>
      <c r="DS111" s="44"/>
      <c r="DT111" s="44"/>
      <c r="DU111" s="44"/>
      <c r="DV111" s="44"/>
      <c r="DW111" s="44"/>
      <c r="DX111" s="44"/>
      <c r="DY111" s="44"/>
      <c r="DZ111" s="44"/>
      <c r="EA111" s="44"/>
      <c r="EB111" s="44"/>
      <c r="EC111" s="44"/>
      <c r="ED111" s="44"/>
    </row>
    <row r="112" spans="1:134" hidden="1" outlineLevel="1">
      <c r="A112" s="57" t="str">
        <f>$A$15</f>
        <v>6 Mos</v>
      </c>
      <c r="B112" s="57"/>
      <c r="C112" s="57"/>
      <c r="D112" s="169"/>
      <c r="E112" s="57"/>
      <c r="F112" s="169">
        <f>SUM(F107:F108)</f>
        <v>40.315999999999946</v>
      </c>
      <c r="G112" s="191"/>
      <c r="H112" s="57"/>
      <c r="I112" s="57"/>
      <c r="J112" s="169">
        <f>SUM(J107:J108)</f>
        <v>75.13500000000009</v>
      </c>
      <c r="K112" s="191">
        <f t="shared" si="358"/>
        <v>86.365214803056347</v>
      </c>
      <c r="L112" s="57"/>
      <c r="M112" s="57"/>
      <c r="N112" s="169">
        <f>SUM(N107:N108)</f>
        <v>82.956000000000031</v>
      </c>
      <c r="O112" s="191">
        <f t="shared" si="359"/>
        <v>10.409263326013086</v>
      </c>
      <c r="P112" s="57"/>
      <c r="Q112" s="57"/>
      <c r="R112" s="169">
        <f>SUM(R107:R108)</f>
        <v>70.164000000000044</v>
      </c>
      <c r="S112" s="191">
        <f t="shared" si="360"/>
        <v>-15.420222768696634</v>
      </c>
      <c r="T112" s="57"/>
      <c r="U112" s="57"/>
      <c r="V112" s="169">
        <f>SUM(V107:V108)</f>
        <v>107.82980999999998</v>
      </c>
      <c r="W112" s="191">
        <f t="shared" si="361"/>
        <v>53.682529502308761</v>
      </c>
      <c r="X112" s="57"/>
      <c r="Y112" s="57"/>
      <c r="Z112" s="169">
        <f>SUM(Z107:Z108)</f>
        <v>82.527000000000001</v>
      </c>
      <c r="AA112" s="191">
        <f t="shared" si="362"/>
        <v>-23.465505503533745</v>
      </c>
      <c r="AB112" s="191"/>
      <c r="AC112" s="57"/>
      <c r="AD112" s="169">
        <f>SUM(AD107:AD108)</f>
        <v>147.36300000000011</v>
      </c>
      <c r="AE112" s="191">
        <f t="shared" si="363"/>
        <v>78.563379257697605</v>
      </c>
      <c r="AF112" s="57"/>
      <c r="AG112" s="57"/>
      <c r="AH112" s="169">
        <f>SUM(AH107:AH108)</f>
        <v>153.76199999999994</v>
      </c>
      <c r="AI112" s="191">
        <f t="shared" si="364"/>
        <v>4.3423383074447708</v>
      </c>
      <c r="AJ112" s="57"/>
      <c r="AK112" s="57"/>
      <c r="AL112" s="169">
        <f>SUM(AL107:AL108)</f>
        <v>272.94000000000011</v>
      </c>
      <c r="AM112" s="191">
        <f t="shared" si="365"/>
        <v>77.508096929020326</v>
      </c>
      <c r="AN112" s="57"/>
      <c r="AO112" s="57"/>
      <c r="AP112" s="169">
        <f>SUM(AP107:AP108)</f>
        <v>398.19899999999984</v>
      </c>
      <c r="AQ112" s="191">
        <f t="shared" si="366"/>
        <v>45.892503846999233</v>
      </c>
      <c r="AR112" s="57"/>
      <c r="AS112" s="57"/>
      <c r="AT112" s="169">
        <f>SUM(AT107:AT108)</f>
        <v>419.39599999999973</v>
      </c>
      <c r="AU112" s="191">
        <f t="shared" si="367"/>
        <v>5.3232177880908615</v>
      </c>
      <c r="AV112" s="57"/>
      <c r="AW112" s="57"/>
      <c r="AX112" s="169">
        <f>SUM(AX107:AX108)</f>
        <v>205.23099999999977</v>
      </c>
      <c r="AY112" s="191">
        <f t="shared" si="368"/>
        <v>-51.065103148337151</v>
      </c>
      <c r="AZ112" s="57"/>
      <c r="BA112" s="57"/>
      <c r="BB112" s="169">
        <f>SUM(BB107:BB108)</f>
        <v>93.458000000000453</v>
      </c>
      <c r="BC112" s="191">
        <f t="shared" si="369"/>
        <v>-54.462045207595075</v>
      </c>
      <c r="BD112" s="57"/>
      <c r="BE112" s="57"/>
      <c r="BF112" s="169">
        <f>SUM(BF107:BF108)</f>
        <v>412.6690000000001</v>
      </c>
      <c r="BG112" s="191">
        <f t="shared" si="370"/>
        <v>341.55556506665891</v>
      </c>
      <c r="BH112" s="57"/>
      <c r="BI112" s="57"/>
      <c r="BJ112" s="169">
        <f>SUM(BJ107:BJ108)</f>
        <v>507.29400000000015</v>
      </c>
      <c r="BK112" s="191">
        <f t="shared" si="371"/>
        <v>22.929999588047579</v>
      </c>
      <c r="BL112" s="57"/>
      <c r="BM112" s="57"/>
      <c r="BN112" s="169">
        <f>SUM(BN107:BN108)</f>
        <v>563.06000000000006</v>
      </c>
      <c r="BO112" s="191">
        <f t="shared" si="372"/>
        <v>10.992836501121616</v>
      </c>
      <c r="BP112" s="57"/>
      <c r="BQ112" s="44"/>
      <c r="BR112" s="58">
        <f>SUM(BR107:BR108)</f>
        <v>382.22199999999998</v>
      </c>
      <c r="BS112" s="55">
        <f t="shared" si="373"/>
        <v>-32.117003516499146</v>
      </c>
      <c r="BT112" s="44"/>
      <c r="BU112" s="44"/>
      <c r="BV112" s="58">
        <f>SUM(BV107:BV108)</f>
        <v>388.31046000000003</v>
      </c>
      <c r="BW112" s="55">
        <f t="shared" si="374"/>
        <v>1.5929119726232566</v>
      </c>
      <c r="BX112" s="44"/>
      <c r="BY112" s="44"/>
      <c r="BZ112" s="58">
        <f>SUM(BZ107:BZ108)</f>
        <v>478</v>
      </c>
      <c r="CA112" s="55">
        <f t="shared" si="375"/>
        <v>23.097379349502955</v>
      </c>
      <c r="CB112" s="44"/>
      <c r="CC112" s="44"/>
      <c r="CD112" s="58">
        <f>SUM(CD107:CD108)</f>
        <v>443</v>
      </c>
      <c r="CE112" s="55">
        <f t="shared" si="376"/>
        <v>-7.3221757322175733</v>
      </c>
      <c r="CF112" s="44"/>
      <c r="CG112" s="44"/>
      <c r="CH112" s="58">
        <f>SUM(CH107:CH108)</f>
        <v>536</v>
      </c>
      <c r="CI112" s="55">
        <f t="shared" si="377"/>
        <v>20.993227990970652</v>
      </c>
      <c r="CJ112" s="44"/>
      <c r="CK112" s="44"/>
      <c r="CL112" s="58">
        <f>SUM(CL107:CL108)</f>
        <v>422</v>
      </c>
      <c r="CM112" s="55">
        <f t="shared" si="378"/>
        <v>-21.268656716417912</v>
      </c>
      <c r="CN112" s="44"/>
      <c r="CO112" s="44"/>
      <c r="CP112" s="58">
        <f>SUM(CP107:CP108)</f>
        <v>476</v>
      </c>
      <c r="CQ112" s="55">
        <f t="shared" si="379"/>
        <v>12.796208530805696</v>
      </c>
      <c r="CR112" s="44"/>
      <c r="CS112" s="44"/>
      <c r="CT112" s="58">
        <f>SUM(CT107:CT108)</f>
        <v>636</v>
      </c>
      <c r="CU112" s="55">
        <f t="shared" si="380"/>
        <v>33.613445378151255</v>
      </c>
      <c r="CV112" s="44"/>
      <c r="CW112" s="44"/>
      <c r="CX112" s="58">
        <f>SUM(CX107:CX108)</f>
        <v>570</v>
      </c>
      <c r="CY112" s="55">
        <f t="shared" si="381"/>
        <v>-10.377358490566035</v>
      </c>
      <c r="CZ112" s="44"/>
      <c r="DA112" s="44"/>
      <c r="DB112" s="58">
        <f>SUM(DB107:DB108)</f>
        <v>515.46</v>
      </c>
      <c r="DC112" s="55">
        <f t="shared" si="382"/>
        <v>-9.5684210526315709</v>
      </c>
      <c r="DD112" s="44"/>
      <c r="DE112" s="44"/>
      <c r="DF112" s="58">
        <f>SUM(DF107:DF108)</f>
        <v>365</v>
      </c>
      <c r="DG112" s="55">
        <f t="shared" si="383"/>
        <v>-29.189461839909992</v>
      </c>
      <c r="DH112" s="44"/>
      <c r="DI112" s="44"/>
      <c r="DJ112" s="58">
        <f>SUM(DJ107:DJ108)</f>
        <v>374.32</v>
      </c>
      <c r="DK112" s="55">
        <f t="shared" si="384"/>
        <v>2.5534246575342534</v>
      </c>
      <c r="DL112" s="44"/>
      <c r="DM112" s="44"/>
      <c r="DN112" s="1570">
        <f>SUM(DN107:DN108)</f>
        <v>450.47345935764167</v>
      </c>
      <c r="DO112" s="1572">
        <f t="shared" si="385"/>
        <v>20.34448048665358</v>
      </c>
      <c r="DP112" s="1569"/>
      <c r="DQ112" s="44"/>
      <c r="DR112" s="44"/>
      <c r="DS112" s="44"/>
      <c r="DT112" s="44"/>
      <c r="DU112" s="44"/>
      <c r="DV112" s="44"/>
      <c r="DW112" s="44"/>
      <c r="DX112" s="44"/>
      <c r="DY112" s="44"/>
      <c r="DZ112" s="44"/>
      <c r="EA112" s="44"/>
      <c r="EB112" s="44"/>
      <c r="EC112" s="44"/>
      <c r="ED112" s="44"/>
    </row>
    <row r="113" spans="1:134" hidden="1" outlineLevel="1">
      <c r="A113" s="57" t="str">
        <f>$A$16</f>
        <v>9 Mos</v>
      </c>
      <c r="B113" s="57"/>
      <c r="C113" s="57"/>
      <c r="D113" s="169"/>
      <c r="E113" s="57"/>
      <c r="F113" s="169">
        <f>SUM(F107:F109)</f>
        <v>88.041999999999959</v>
      </c>
      <c r="G113" s="191"/>
      <c r="H113" s="57"/>
      <c r="I113" s="57"/>
      <c r="J113" s="169">
        <f>SUM(J107:J109)</f>
        <v>145.9310000000001</v>
      </c>
      <c r="K113" s="191">
        <f t="shared" si="358"/>
        <v>65.751573112832702</v>
      </c>
      <c r="L113" s="57"/>
      <c r="M113" s="57"/>
      <c r="N113" s="169">
        <f>SUM(N107:N109)</f>
        <v>144.96800000000002</v>
      </c>
      <c r="O113" s="191">
        <f t="shared" si="359"/>
        <v>-0.65990091207493995</v>
      </c>
      <c r="P113" s="57"/>
      <c r="Q113" s="57"/>
      <c r="R113" s="169">
        <f>SUM(R107:R109)</f>
        <v>149.07900000000004</v>
      </c>
      <c r="S113" s="191">
        <f t="shared" si="360"/>
        <v>2.8357982451299613</v>
      </c>
      <c r="T113" s="57"/>
      <c r="U113" s="57"/>
      <c r="V113" s="169">
        <f>SUM(V107:V109)</f>
        <v>201.47715499999993</v>
      </c>
      <c r="W113" s="191">
        <f t="shared" si="361"/>
        <v>35.147911510004668</v>
      </c>
      <c r="X113" s="57"/>
      <c r="Y113" s="57"/>
      <c r="Z113" s="169">
        <f>SUM(Z107:Z109)</f>
        <v>199.40200000000004</v>
      </c>
      <c r="AA113" s="191">
        <f t="shared" si="362"/>
        <v>-1.0299703705861307</v>
      </c>
      <c r="AB113" s="191"/>
      <c r="AC113" s="57"/>
      <c r="AD113" s="169">
        <f>SUM(AD107:AD109)</f>
        <v>281.67300000000023</v>
      </c>
      <c r="AE113" s="191">
        <f t="shared" si="363"/>
        <v>41.258864003370157</v>
      </c>
      <c r="AF113" s="57"/>
      <c r="AG113" s="57"/>
      <c r="AH113" s="169">
        <f>SUM(AH107:AH109)</f>
        <v>318.28500000000003</v>
      </c>
      <c r="AI113" s="191">
        <f t="shared" si="364"/>
        <v>12.998050931399096</v>
      </c>
      <c r="AJ113" s="57"/>
      <c r="AK113" s="57"/>
      <c r="AL113" s="169">
        <f>SUM(AL107:AL109)</f>
        <v>510.68899999999985</v>
      </c>
      <c r="AM113" s="191">
        <f t="shared" si="365"/>
        <v>60.450225426897219</v>
      </c>
      <c r="AN113" s="57"/>
      <c r="AO113" s="57"/>
      <c r="AP113" s="169">
        <f>SUM(AP107:AP109)</f>
        <v>713.21599999999978</v>
      </c>
      <c r="AQ113" s="191">
        <f t="shared" si="366"/>
        <v>39.657599830816807</v>
      </c>
      <c r="AR113" s="57"/>
      <c r="AS113" s="57"/>
      <c r="AT113" s="169">
        <f>SUM(AT107:AT109)</f>
        <v>605.74400000000014</v>
      </c>
      <c r="AU113" s="191">
        <f t="shared" si="367"/>
        <v>-15.06864680545581</v>
      </c>
      <c r="AV113" s="57"/>
      <c r="AW113" s="57"/>
      <c r="AX113" s="169">
        <f>SUM(AX107:AX109)</f>
        <v>26.393999999999949</v>
      </c>
      <c r="AY113" s="191">
        <f t="shared" si="368"/>
        <v>-95.642713753664921</v>
      </c>
      <c r="AZ113" s="57"/>
      <c r="BA113" s="57"/>
      <c r="BB113" s="169">
        <f>SUM(BB107:BB109)</f>
        <v>228.72800000000035</v>
      </c>
      <c r="BC113" s="191">
        <f t="shared" si="369"/>
        <v>766.59089186936717</v>
      </c>
      <c r="BD113" s="57"/>
      <c r="BE113" s="57"/>
      <c r="BF113" s="169">
        <f>SUM(BF107:BF109)</f>
        <v>674.69400000000007</v>
      </c>
      <c r="BG113" s="191">
        <f t="shared" si="370"/>
        <v>194.97656605225379</v>
      </c>
      <c r="BH113" s="57"/>
      <c r="BI113" s="57"/>
      <c r="BJ113" s="169">
        <f>SUM(BJ107:BJ109)</f>
        <v>772.44400000000019</v>
      </c>
      <c r="BK113" s="191">
        <f t="shared" si="371"/>
        <v>14.488049397208226</v>
      </c>
      <c r="BL113" s="57"/>
      <c r="BM113" s="57"/>
      <c r="BN113" s="169">
        <f>SUM(BN107:BN109)</f>
        <v>775.36400000000003</v>
      </c>
      <c r="BO113" s="191">
        <f t="shared" si="372"/>
        <v>0.37802093096714895</v>
      </c>
      <c r="BP113" s="57"/>
      <c r="BQ113" s="44"/>
      <c r="BR113" s="58">
        <f>SUM(BR107:BR109)</f>
        <v>579.19100000000003</v>
      </c>
      <c r="BS113" s="55">
        <f t="shared" si="373"/>
        <v>-25.300761964703035</v>
      </c>
      <c r="BT113" s="44"/>
      <c r="BU113" s="44"/>
      <c r="BV113" s="58">
        <f>SUM(BV107:BV109)</f>
        <v>627.31046000000003</v>
      </c>
      <c r="BW113" s="55">
        <f t="shared" si="374"/>
        <v>8.308046913712408</v>
      </c>
      <c r="BX113" s="44"/>
      <c r="BY113" s="44"/>
      <c r="BZ113" s="58">
        <f>SUM(BZ107:BZ109)</f>
        <v>724</v>
      </c>
      <c r="CA113" s="55">
        <f t="shared" si="375"/>
        <v>15.413347324066606</v>
      </c>
      <c r="CB113" s="44"/>
      <c r="CC113" s="44"/>
      <c r="CD113" s="58">
        <f>SUM(CD107:CD109)</f>
        <v>750</v>
      </c>
      <c r="CE113" s="55">
        <f t="shared" si="376"/>
        <v>3.5911602209944826</v>
      </c>
      <c r="CF113" s="44"/>
      <c r="CG113" s="44"/>
      <c r="CH113" s="58">
        <f>SUM(CH107:CH109)</f>
        <v>839</v>
      </c>
      <c r="CI113" s="55">
        <f t="shared" si="377"/>
        <v>11.866666666666671</v>
      </c>
      <c r="CJ113" s="44"/>
      <c r="CK113" s="44"/>
      <c r="CL113" s="58">
        <f>SUM(CL107:CL109)</f>
        <v>615</v>
      </c>
      <c r="CM113" s="55">
        <f t="shared" si="378"/>
        <v>-26.698450536352802</v>
      </c>
      <c r="CN113" s="44"/>
      <c r="CO113" s="44"/>
      <c r="CP113" s="58">
        <f>SUM(CP107:CP109)</f>
        <v>784</v>
      </c>
      <c r="CQ113" s="55">
        <f t="shared" si="379"/>
        <v>27.479674796747979</v>
      </c>
      <c r="CR113" s="44"/>
      <c r="CS113" s="44"/>
      <c r="CT113" s="58">
        <f>SUM(CT107:CT109)</f>
        <v>973</v>
      </c>
      <c r="CU113" s="55">
        <f t="shared" si="380"/>
        <v>24.107142857142861</v>
      </c>
      <c r="CV113" s="44"/>
      <c r="CW113" s="44"/>
      <c r="CX113" s="58">
        <f>SUM(CX107:CX109)</f>
        <v>921</v>
      </c>
      <c r="CY113" s="55">
        <f t="shared" si="381"/>
        <v>-5.3442959917780026</v>
      </c>
      <c r="CZ113" s="44"/>
      <c r="DA113" s="44"/>
      <c r="DB113" s="58">
        <f>SUM(DB107:DB109)</f>
        <v>772.01</v>
      </c>
      <c r="DC113" s="55">
        <f t="shared" si="382"/>
        <v>-16.176981541802395</v>
      </c>
      <c r="DD113" s="44"/>
      <c r="DE113" s="44"/>
      <c r="DF113" s="58">
        <f>SUM(DF107:DF109)</f>
        <v>603</v>
      </c>
      <c r="DG113" s="55">
        <f t="shared" si="383"/>
        <v>-21.892203468866978</v>
      </c>
      <c r="DH113" s="44"/>
      <c r="DI113" s="44"/>
      <c r="DJ113" s="58">
        <f>SUM(DJ107:DJ109)</f>
        <v>603.31999999999994</v>
      </c>
      <c r="DK113" s="55">
        <f t="shared" si="384"/>
        <v>5.30679933664846E-2</v>
      </c>
      <c r="DL113" s="44"/>
      <c r="DM113" s="44"/>
      <c r="DN113" s="1570">
        <f>SUM(DN107:DN109)</f>
        <v>711.66719639211556</v>
      </c>
      <c r="DO113" s="1572">
        <f t="shared" si="385"/>
        <v>17.958495722355572</v>
      </c>
      <c r="DP113" s="1569"/>
      <c r="DQ113" s="44"/>
      <c r="DR113" s="44"/>
      <c r="DS113" s="44"/>
      <c r="DT113" s="44"/>
      <c r="DU113" s="44"/>
      <c r="DV113" s="44"/>
      <c r="DW113" s="44"/>
      <c r="DX113" s="44"/>
      <c r="DY113" s="44"/>
      <c r="DZ113" s="44"/>
      <c r="EA113" s="44"/>
      <c r="EB113" s="44"/>
      <c r="EC113" s="44"/>
      <c r="ED113" s="44"/>
    </row>
    <row r="114" spans="1:134" ht="12" customHeight="1" collapsed="1">
      <c r="A114" s="59"/>
      <c r="B114" s="59"/>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c r="BN114" s="60"/>
      <c r="BO114" s="60"/>
      <c r="BP114" s="60"/>
      <c r="BQ114" s="59"/>
      <c r="BR114" s="59"/>
      <c r="BS114" s="59"/>
      <c r="BT114" s="59"/>
      <c r="BU114" s="59"/>
      <c r="BV114" s="59"/>
      <c r="BW114" s="59"/>
      <c r="BX114" s="59"/>
      <c r="BY114" s="59"/>
      <c r="BZ114" s="59"/>
      <c r="CA114" s="59"/>
      <c r="CB114" s="59"/>
      <c r="CC114" s="59"/>
      <c r="CD114" s="59"/>
      <c r="CE114" s="59"/>
      <c r="CF114" s="59"/>
      <c r="CG114" s="59"/>
      <c r="CH114" s="59"/>
      <c r="CI114" s="59"/>
      <c r="CJ114" s="59"/>
      <c r="CK114" s="59"/>
      <c r="CL114" s="59"/>
      <c r="CM114" s="59"/>
      <c r="CN114" s="59"/>
      <c r="CO114" s="59"/>
      <c r="CP114" s="59"/>
      <c r="CQ114" s="59"/>
      <c r="CR114" s="59"/>
      <c r="CS114" s="59"/>
      <c r="CT114" s="59"/>
      <c r="CU114" s="59"/>
      <c r="CV114" s="59"/>
      <c r="CW114" s="59"/>
      <c r="CX114" s="59"/>
      <c r="CY114" s="59"/>
      <c r="CZ114" s="59"/>
      <c r="DA114" s="59"/>
      <c r="DB114" s="59"/>
      <c r="DC114" s="59"/>
      <c r="DD114" s="59"/>
      <c r="DE114" s="59"/>
      <c r="DF114" s="59"/>
      <c r="DG114" s="59"/>
      <c r="DH114" s="59"/>
      <c r="DI114" s="59"/>
      <c r="DJ114" s="59"/>
      <c r="DK114" s="59"/>
      <c r="DL114" s="59"/>
      <c r="DM114" s="59"/>
      <c r="DN114" s="60"/>
      <c r="DO114" s="60"/>
      <c r="DP114" s="60"/>
      <c r="DQ114" s="59"/>
      <c r="DR114" s="59"/>
      <c r="DS114" s="59"/>
      <c r="DT114" s="59"/>
      <c r="DU114" s="59"/>
      <c r="DV114" s="59"/>
      <c r="DW114" s="59"/>
      <c r="DX114" s="59"/>
      <c r="DY114" s="59"/>
      <c r="DZ114" s="59"/>
      <c r="EA114" s="59"/>
      <c r="EB114" s="59"/>
      <c r="EC114" s="59"/>
      <c r="ED114" s="59"/>
    </row>
    <row r="115" spans="1:134" ht="13.5" outlineLevel="1">
      <c r="A115" s="57"/>
      <c r="B115" s="57"/>
      <c r="C115" s="205"/>
      <c r="D115" s="205"/>
      <c r="E115" s="205" t="str">
        <f>AH115</f>
        <v>8.  Net Earnings   (% Change)</v>
      </c>
      <c r="F115" s="205"/>
      <c r="G115" s="57"/>
      <c r="H115" s="57"/>
      <c r="I115" s="57"/>
      <c r="J115" s="205"/>
      <c r="K115" s="57"/>
      <c r="L115" s="57"/>
      <c r="M115" s="57"/>
      <c r="N115" s="205"/>
      <c r="O115" s="57"/>
      <c r="P115" s="57"/>
      <c r="Q115" s="57"/>
      <c r="R115" s="205"/>
      <c r="S115" s="57"/>
      <c r="T115" s="57"/>
      <c r="U115" s="57"/>
      <c r="V115" s="205"/>
      <c r="W115" s="57"/>
      <c r="X115" s="57"/>
      <c r="Y115" s="57"/>
      <c r="Z115" s="57"/>
      <c r="AA115" s="134"/>
      <c r="AB115" s="134"/>
      <c r="AC115" s="134"/>
      <c r="AD115" s="175"/>
      <c r="AE115" s="134"/>
      <c r="AF115" s="134"/>
      <c r="AG115" s="134"/>
      <c r="AH115" s="175" t="s">
        <v>90</v>
      </c>
      <c r="AI115" s="175"/>
      <c r="AJ115" s="175"/>
      <c r="AK115" s="175"/>
      <c r="AL115" s="44"/>
      <c r="AM115" s="175"/>
      <c r="AN115" s="175"/>
      <c r="AO115" s="175"/>
      <c r="AP115" s="44"/>
      <c r="AQ115" s="175"/>
      <c r="AR115" s="175"/>
      <c r="AS115" s="175"/>
      <c r="AT115" s="44"/>
      <c r="AU115" s="175"/>
      <c r="AV115" s="175"/>
      <c r="AW115" s="175"/>
      <c r="AX115" s="175"/>
      <c r="AY115" s="175"/>
      <c r="AZ115" s="136"/>
      <c r="BA115" s="175"/>
      <c r="BB115" s="175"/>
      <c r="BC115" s="175"/>
      <c r="BD115" s="175"/>
      <c r="BE115" s="134"/>
      <c r="BF115" s="175"/>
      <c r="BG115" s="134"/>
      <c r="BH115" s="134"/>
      <c r="BI115" s="134"/>
      <c r="BJ115" s="175" t="s">
        <v>182</v>
      </c>
      <c r="BK115" s="134"/>
      <c r="BL115" s="134"/>
      <c r="BM115" s="134"/>
      <c r="BN115" s="175"/>
      <c r="BO115" s="134"/>
      <c r="BP115" s="134"/>
      <c r="BQ115" s="136"/>
      <c r="BR115" s="137"/>
      <c r="BS115" s="136"/>
      <c r="BT115" s="136"/>
      <c r="BU115" s="136"/>
      <c r="BV115" s="175" t="s">
        <v>182</v>
      </c>
      <c r="BW115" s="136"/>
      <c r="BX115" s="270"/>
      <c r="BY115" s="136"/>
      <c r="BZ115" s="256"/>
      <c r="CA115" s="136"/>
      <c r="CB115" s="136"/>
      <c r="CC115" s="136"/>
      <c r="CD115" s="256"/>
      <c r="CE115" s="136"/>
      <c r="CF115" s="136"/>
      <c r="CG115" s="136"/>
      <c r="CH115" s="245" t="str">
        <f>+BV115</f>
        <v>8.  GAAP Net Earnings   (% Change)</v>
      </c>
      <c r="CI115" s="136"/>
      <c r="CJ115" s="136"/>
      <c r="CK115" s="136"/>
      <c r="CL115" s="256"/>
      <c r="CM115" s="136"/>
      <c r="CN115" s="136"/>
      <c r="CO115" s="136"/>
      <c r="CP115" s="256"/>
      <c r="CQ115" s="136"/>
      <c r="CR115" s="136"/>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57"/>
      <c r="DO115" s="57"/>
      <c r="DP115" s="57"/>
      <c r="DQ115" s="44"/>
      <c r="DR115" s="44"/>
      <c r="DS115" s="44"/>
      <c r="DT115" s="44"/>
      <c r="DU115" s="44"/>
      <c r="DV115" s="44"/>
      <c r="DW115" s="44"/>
      <c r="DX115" s="44"/>
      <c r="DY115" s="44"/>
      <c r="DZ115" s="44"/>
      <c r="EA115" s="44"/>
      <c r="EB115" s="44"/>
      <c r="EC115" s="44"/>
      <c r="ED115" s="44"/>
    </row>
    <row r="116" spans="1:134" outlineLevel="1">
      <c r="A116" s="57"/>
      <c r="B116" s="57"/>
      <c r="C116" s="205"/>
      <c r="D116" s="205"/>
      <c r="E116" s="205"/>
      <c r="F116" s="205"/>
      <c r="G116" s="57"/>
      <c r="H116" s="57"/>
      <c r="I116" s="57"/>
      <c r="J116" s="205"/>
      <c r="K116" s="57"/>
      <c r="L116" s="57"/>
      <c r="M116" s="57"/>
      <c r="N116" s="205"/>
      <c r="O116" s="57"/>
      <c r="P116" s="57"/>
      <c r="Q116" s="57"/>
      <c r="R116" s="205"/>
      <c r="S116" s="57"/>
      <c r="T116" s="57"/>
      <c r="U116" s="57"/>
      <c r="V116" s="205"/>
      <c r="W116" s="57"/>
      <c r="X116" s="57"/>
      <c r="Y116" s="57"/>
      <c r="Z116" s="57"/>
      <c r="AA116" s="134"/>
      <c r="AB116" s="134"/>
      <c r="AC116" s="134"/>
      <c r="AD116" s="175"/>
      <c r="AE116" s="134"/>
      <c r="AF116" s="134"/>
      <c r="AG116" s="134"/>
      <c r="AH116" s="175"/>
      <c r="AI116" s="175"/>
      <c r="AJ116" s="175"/>
      <c r="AK116" s="175"/>
      <c r="AL116" s="44"/>
      <c r="AM116" s="175"/>
      <c r="AN116" s="175"/>
      <c r="AO116" s="175"/>
      <c r="AP116" s="44"/>
      <c r="AQ116" s="175"/>
      <c r="AR116" s="175"/>
      <c r="AS116" s="175"/>
      <c r="AT116" s="175"/>
      <c r="AU116" s="175"/>
      <c r="AV116" s="175"/>
      <c r="AW116" s="175"/>
      <c r="AX116" s="175"/>
      <c r="AY116" s="175"/>
      <c r="AZ116" s="136"/>
      <c r="BA116" s="175"/>
      <c r="BB116" s="175"/>
      <c r="BC116" s="175"/>
      <c r="BD116" s="175"/>
      <c r="BE116" s="134"/>
      <c r="BF116" s="175"/>
      <c r="BG116" s="134"/>
      <c r="BH116" s="134"/>
      <c r="BI116" s="134"/>
      <c r="BJ116" s="175"/>
      <c r="BK116" s="134"/>
      <c r="BL116" s="134"/>
      <c r="BM116" s="134"/>
      <c r="BN116" s="175"/>
      <c r="BO116" s="134"/>
      <c r="BP116" s="134"/>
      <c r="BQ116" s="136"/>
      <c r="BR116" s="137"/>
      <c r="BS116" s="136"/>
      <c r="BT116" s="136"/>
      <c r="BU116" s="44"/>
      <c r="BV116" s="66">
        <f>BV87-BV69-105+6</f>
        <v>178</v>
      </c>
      <c r="BW116" s="55"/>
      <c r="BX116" s="136"/>
      <c r="BY116" s="44"/>
      <c r="BZ116" s="66"/>
      <c r="CA116" s="136"/>
      <c r="CB116" s="136"/>
      <c r="CC116" s="44"/>
      <c r="CD116" s="66"/>
      <c r="CE116" s="136"/>
      <c r="CF116" s="136"/>
      <c r="CG116" s="44"/>
      <c r="CH116" s="66"/>
      <c r="CI116" s="136"/>
      <c r="CJ116" s="136"/>
      <c r="CK116" s="44"/>
      <c r="CL116" s="66"/>
      <c r="CM116" s="136"/>
      <c r="CN116" s="136"/>
      <c r="CO116" s="44"/>
      <c r="CP116" s="66"/>
      <c r="CQ116" s="136"/>
      <c r="CR116" s="136"/>
      <c r="CS116" s="44"/>
      <c r="CT116" s="66"/>
      <c r="CU116" s="44"/>
      <c r="CV116" s="44"/>
      <c r="CW116" s="44"/>
      <c r="CX116" s="124">
        <f>CX107</f>
        <v>260</v>
      </c>
      <c r="CY116" s="44"/>
      <c r="CZ116" s="44"/>
      <c r="DA116" s="44"/>
      <c r="DB116" s="66">
        <f>DB107-10.5*(1-0.36)</f>
        <v>239.5</v>
      </c>
      <c r="DC116" s="44"/>
      <c r="DD116" s="44"/>
      <c r="DE116" s="44"/>
      <c r="DF116" s="66">
        <f>DF107</f>
        <v>127</v>
      </c>
      <c r="DG116" s="44"/>
      <c r="DH116" s="44"/>
      <c r="DI116" s="44"/>
      <c r="DJ116" s="66">
        <f>DJ107</f>
        <v>143</v>
      </c>
      <c r="DK116" s="44"/>
      <c r="DL116" s="44"/>
      <c r="DM116" s="44"/>
      <c r="DN116" s="167">
        <f>DN107</f>
        <v>185.60052581756122</v>
      </c>
      <c r="DO116" s="57"/>
      <c r="DP116" s="57"/>
      <c r="DQ116" s="44"/>
      <c r="DR116" s="44"/>
      <c r="DS116" s="44"/>
      <c r="DT116" s="44"/>
      <c r="DU116" s="44"/>
      <c r="DV116" s="44"/>
      <c r="DW116" s="44"/>
      <c r="DX116" s="44"/>
      <c r="DY116" s="44"/>
      <c r="DZ116" s="44"/>
      <c r="EA116" s="44"/>
      <c r="EB116" s="44"/>
      <c r="EC116" s="44"/>
      <c r="ED116" s="44"/>
    </row>
    <row r="117" spans="1:134" outlineLevel="1">
      <c r="A117" s="57"/>
      <c r="B117" s="57"/>
      <c r="C117" s="205"/>
      <c r="D117" s="205"/>
      <c r="E117" s="205"/>
      <c r="F117" s="205"/>
      <c r="G117" s="57"/>
      <c r="H117" s="57"/>
      <c r="I117" s="57"/>
      <c r="J117" s="205"/>
      <c r="K117" s="57"/>
      <c r="L117" s="57"/>
      <c r="M117" s="57"/>
      <c r="N117" s="205"/>
      <c r="O117" s="57"/>
      <c r="P117" s="57"/>
      <c r="Q117" s="57"/>
      <c r="R117" s="205"/>
      <c r="S117" s="57"/>
      <c r="T117" s="57"/>
      <c r="U117" s="57"/>
      <c r="V117" s="205"/>
      <c r="W117" s="57"/>
      <c r="X117" s="57"/>
      <c r="Y117" s="57"/>
      <c r="Z117" s="57"/>
      <c r="AA117" s="134"/>
      <c r="AB117" s="134"/>
      <c r="AC117" s="134"/>
      <c r="AD117" s="175"/>
      <c r="AE117" s="134"/>
      <c r="AF117" s="134"/>
      <c r="AG117" s="134"/>
      <c r="AH117" s="175"/>
      <c r="AI117" s="175"/>
      <c r="AJ117" s="175"/>
      <c r="AK117" s="175"/>
      <c r="AL117" s="44"/>
      <c r="AM117" s="175"/>
      <c r="AN117" s="175"/>
      <c r="AO117" s="175"/>
      <c r="AP117" s="44"/>
      <c r="AQ117" s="175"/>
      <c r="AR117" s="175"/>
      <c r="AS117" s="175"/>
      <c r="AT117" s="175"/>
      <c r="AU117" s="175"/>
      <c r="AV117" s="175"/>
      <c r="AW117" s="175"/>
      <c r="AX117" s="175"/>
      <c r="AY117" s="175"/>
      <c r="AZ117" s="136"/>
      <c r="BA117" s="175"/>
      <c r="BB117" s="175"/>
      <c r="BC117" s="175"/>
      <c r="BD117" s="175"/>
      <c r="BE117" s="134"/>
      <c r="BF117" s="175"/>
      <c r="BG117" s="134"/>
      <c r="BH117" s="134"/>
      <c r="BI117" s="134"/>
      <c r="BJ117" s="175"/>
      <c r="BK117" s="134"/>
      <c r="BL117" s="134"/>
      <c r="BM117" s="134"/>
      <c r="BN117" s="175"/>
      <c r="BO117" s="134"/>
      <c r="BP117" s="134"/>
      <c r="BQ117" s="136"/>
      <c r="BR117" s="137"/>
      <c r="BS117" s="136"/>
      <c r="BT117" s="136"/>
      <c r="BU117" s="44"/>
      <c r="BV117" s="58">
        <f>BV88-BV70-93-6</f>
        <v>152</v>
      </c>
      <c r="BW117" s="55"/>
      <c r="BX117" s="136"/>
      <c r="BY117" s="44"/>
      <c r="BZ117" s="58"/>
      <c r="CA117" s="136"/>
      <c r="CB117" s="136"/>
      <c r="CC117" s="44"/>
      <c r="CD117" s="58"/>
      <c r="CE117" s="136"/>
      <c r="CF117" s="136"/>
      <c r="CG117" s="44"/>
      <c r="CH117" s="58"/>
      <c r="CI117" s="136"/>
      <c r="CJ117" s="136"/>
      <c r="CK117" s="44"/>
      <c r="CL117" s="58"/>
      <c r="CM117" s="136"/>
      <c r="CN117" s="136"/>
      <c r="CO117" s="44"/>
      <c r="CP117" s="58"/>
      <c r="CQ117" s="136"/>
      <c r="CR117" s="136"/>
      <c r="CS117" s="44"/>
      <c r="CT117" s="58"/>
      <c r="CU117" s="44"/>
      <c r="CV117" s="44"/>
      <c r="CW117" s="44"/>
      <c r="CX117" s="66">
        <f>CX108+(39)*(1-0.43)</f>
        <v>332.23</v>
      </c>
      <c r="CY117" s="44"/>
      <c r="CZ117" s="44"/>
      <c r="DA117" s="44"/>
      <c r="DB117" s="58">
        <f>DB108-(84*(1-0.39))</f>
        <v>218</v>
      </c>
      <c r="DC117" s="44"/>
      <c r="DD117" s="44"/>
      <c r="DE117" s="44"/>
      <c r="DF117" s="58">
        <f>DF108-26+63-150</f>
        <v>125</v>
      </c>
      <c r="DG117" s="44"/>
      <c r="DH117" s="44"/>
      <c r="DI117" s="44"/>
      <c r="DJ117" s="58">
        <f>DJ108+(64*0.62)</f>
        <v>271</v>
      </c>
      <c r="DK117" s="44"/>
      <c r="DL117" s="44"/>
      <c r="DM117" s="44"/>
      <c r="DN117" s="169">
        <f>DN108+(64*0.62)</f>
        <v>304.55293354008046</v>
      </c>
      <c r="DO117" s="57"/>
      <c r="DP117" s="57"/>
      <c r="DQ117" s="44"/>
      <c r="DR117" s="44"/>
      <c r="DS117" s="44"/>
      <c r="DT117" s="44"/>
      <c r="DU117" s="44"/>
      <c r="DV117" s="44"/>
      <c r="DW117" s="44"/>
      <c r="DX117" s="44"/>
      <c r="DY117" s="44"/>
      <c r="DZ117" s="44"/>
      <c r="EA117" s="44"/>
      <c r="EB117" s="44"/>
      <c r="EC117" s="44"/>
      <c r="ED117" s="44"/>
    </row>
    <row r="118" spans="1:134" outlineLevel="1">
      <c r="A118" s="57"/>
      <c r="B118" s="57"/>
      <c r="C118" s="205"/>
      <c r="D118" s="205"/>
      <c r="E118" s="205"/>
      <c r="F118" s="205"/>
      <c r="G118" s="57"/>
      <c r="H118" s="57"/>
      <c r="I118" s="57"/>
      <c r="J118" s="205"/>
      <c r="K118" s="57"/>
      <c r="L118" s="57"/>
      <c r="M118" s="57"/>
      <c r="N118" s="205"/>
      <c r="O118" s="57"/>
      <c r="P118" s="57"/>
      <c r="Q118" s="57"/>
      <c r="R118" s="205"/>
      <c r="S118" s="57"/>
      <c r="T118" s="57"/>
      <c r="U118" s="57"/>
      <c r="V118" s="205"/>
      <c r="W118" s="57"/>
      <c r="X118" s="57"/>
      <c r="Y118" s="57"/>
      <c r="Z118" s="57"/>
      <c r="AA118" s="134"/>
      <c r="AB118" s="134"/>
      <c r="AC118" s="134"/>
      <c r="AD118" s="175"/>
      <c r="AE118" s="134"/>
      <c r="AF118" s="134"/>
      <c r="AG118" s="134"/>
      <c r="AH118" s="175"/>
      <c r="AI118" s="175"/>
      <c r="AJ118" s="175"/>
      <c r="AK118" s="175"/>
      <c r="AL118" s="44"/>
      <c r="AM118" s="175"/>
      <c r="AN118" s="175"/>
      <c r="AO118" s="175"/>
      <c r="AP118" s="44"/>
      <c r="AQ118" s="175"/>
      <c r="AR118" s="175"/>
      <c r="AS118" s="175"/>
      <c r="AT118" s="175"/>
      <c r="AU118" s="175"/>
      <c r="AV118" s="175"/>
      <c r="AW118" s="175"/>
      <c r="AX118" s="175"/>
      <c r="AY118" s="175"/>
      <c r="AZ118" s="136"/>
      <c r="BA118" s="175"/>
      <c r="BB118" s="175"/>
      <c r="BC118" s="175"/>
      <c r="BD118" s="175"/>
      <c r="BE118" s="134"/>
      <c r="BF118" s="175"/>
      <c r="BG118" s="134"/>
      <c r="BH118" s="134"/>
      <c r="BI118" s="134"/>
      <c r="BJ118" s="175"/>
      <c r="BK118" s="134"/>
      <c r="BL118" s="134"/>
      <c r="BM118" s="134"/>
      <c r="BN118" s="175"/>
      <c r="BO118" s="134"/>
      <c r="BP118" s="134"/>
      <c r="BQ118" s="136"/>
      <c r="BR118" s="137"/>
      <c r="BS118" s="136"/>
      <c r="BT118" s="136"/>
      <c r="BU118" s="44"/>
      <c r="BV118" s="58">
        <f>BV89-BV99-1</f>
        <v>238</v>
      </c>
      <c r="BW118" s="55"/>
      <c r="BX118" s="136"/>
      <c r="BY118" s="44"/>
      <c r="BZ118" s="58"/>
      <c r="CA118" s="136"/>
      <c r="CB118" s="136"/>
      <c r="CC118" s="44"/>
      <c r="CD118" s="58"/>
      <c r="CE118" s="136"/>
      <c r="CF118" s="136"/>
      <c r="CG118" s="44"/>
      <c r="CH118" s="58"/>
      <c r="CI118" s="136"/>
      <c r="CJ118" s="136"/>
      <c r="CK118" s="44"/>
      <c r="CL118" s="58"/>
      <c r="CM118" s="136"/>
      <c r="CN118" s="136"/>
      <c r="CO118" s="44"/>
      <c r="CP118" s="58"/>
      <c r="CQ118" s="136"/>
      <c r="CR118" s="136"/>
      <c r="CS118" s="44"/>
      <c r="CT118" s="58"/>
      <c r="CU118" s="44"/>
      <c r="CV118" s="44"/>
      <c r="CW118" s="44"/>
      <c r="CX118" s="58">
        <f>CX109</f>
        <v>351</v>
      </c>
      <c r="CY118" s="44"/>
      <c r="CZ118" s="44"/>
      <c r="DA118" s="44"/>
      <c r="DB118" s="58">
        <f>DB109-(12.5*(1-0.356))</f>
        <v>248.5</v>
      </c>
      <c r="DC118" s="44"/>
      <c r="DD118" s="44"/>
      <c r="DE118" s="44"/>
      <c r="DF118" s="58">
        <f>DF109-17+12-29</f>
        <v>204</v>
      </c>
      <c r="DG118" s="44"/>
      <c r="DH118" s="44"/>
      <c r="DI118" s="44"/>
      <c r="DJ118" s="58">
        <f>DJ109</f>
        <v>229</v>
      </c>
      <c r="DK118" s="44"/>
      <c r="DL118" s="44"/>
      <c r="DM118" s="44"/>
      <c r="DN118" s="169">
        <f>DN109</f>
        <v>261.19373703447383</v>
      </c>
      <c r="DO118" s="57"/>
      <c r="DP118" s="57"/>
      <c r="DQ118" s="44"/>
      <c r="DR118" s="44"/>
      <c r="DS118" s="44"/>
      <c r="DT118" s="44"/>
      <c r="DU118" s="44"/>
      <c r="DV118" s="44"/>
      <c r="DW118" s="44"/>
      <c r="DX118" s="44"/>
      <c r="DY118" s="44"/>
      <c r="DZ118" s="44"/>
      <c r="EA118" s="44"/>
      <c r="EB118" s="44"/>
      <c r="EC118" s="44"/>
      <c r="ED118" s="44"/>
    </row>
    <row r="119" spans="1:134" outlineLevel="1">
      <c r="A119" s="57"/>
      <c r="B119" s="57"/>
      <c r="C119" s="205"/>
      <c r="D119" s="205"/>
      <c r="E119" s="205"/>
      <c r="F119" s="205"/>
      <c r="G119" s="57"/>
      <c r="H119" s="57"/>
      <c r="I119" s="57"/>
      <c r="J119" s="205"/>
      <c r="K119" s="57"/>
      <c r="L119" s="57"/>
      <c r="M119" s="57"/>
      <c r="N119" s="205"/>
      <c r="O119" s="57"/>
      <c r="P119" s="57"/>
      <c r="Q119" s="57"/>
      <c r="R119" s="205"/>
      <c r="S119" s="57"/>
      <c r="T119" s="57"/>
      <c r="U119" s="57"/>
      <c r="V119" s="205"/>
      <c r="W119" s="57"/>
      <c r="X119" s="57"/>
      <c r="Y119" s="57"/>
      <c r="Z119" s="57"/>
      <c r="AA119" s="134"/>
      <c r="AB119" s="134"/>
      <c r="AC119" s="134"/>
      <c r="AD119" s="175"/>
      <c r="AE119" s="134"/>
      <c r="AF119" s="134"/>
      <c r="AG119" s="134"/>
      <c r="AH119" s="175"/>
      <c r="AI119" s="175"/>
      <c r="AJ119" s="175"/>
      <c r="AK119" s="175"/>
      <c r="AL119" s="44"/>
      <c r="AM119" s="175"/>
      <c r="AN119" s="175"/>
      <c r="AO119" s="175"/>
      <c r="AP119" s="44"/>
      <c r="AQ119" s="175"/>
      <c r="AR119" s="175"/>
      <c r="AS119" s="175"/>
      <c r="AT119" s="175"/>
      <c r="AU119" s="175"/>
      <c r="AV119" s="175"/>
      <c r="AW119" s="175"/>
      <c r="AX119" s="175"/>
      <c r="AY119" s="175"/>
      <c r="AZ119" s="136"/>
      <c r="BA119" s="175"/>
      <c r="BB119" s="175"/>
      <c r="BC119" s="175"/>
      <c r="BD119" s="175"/>
      <c r="BE119" s="134"/>
      <c r="BF119" s="175"/>
      <c r="BG119" s="134"/>
      <c r="BH119" s="134"/>
      <c r="BI119" s="134"/>
      <c r="BJ119" s="175"/>
      <c r="BK119" s="134"/>
      <c r="BL119" s="134"/>
      <c r="BM119" s="134"/>
      <c r="BN119" s="175"/>
      <c r="BO119" s="134"/>
      <c r="BP119" s="134"/>
      <c r="BQ119" s="136"/>
      <c r="BR119" s="137"/>
      <c r="BS119" s="136"/>
      <c r="BT119" s="136"/>
      <c r="BU119" s="44"/>
      <c r="BV119" s="252">
        <f>BV110</f>
        <v>265</v>
      </c>
      <c r="BW119" s="55"/>
      <c r="BX119" s="136"/>
      <c r="BY119" s="44"/>
      <c r="BZ119" s="252"/>
      <c r="CA119" s="136"/>
      <c r="CB119" s="136"/>
      <c r="CC119" s="44"/>
      <c r="CD119" s="252"/>
      <c r="CE119" s="136"/>
      <c r="CF119" s="136"/>
      <c r="CG119" s="44"/>
      <c r="CH119" s="252"/>
      <c r="CI119" s="136"/>
      <c r="CJ119" s="136"/>
      <c r="CK119" s="44"/>
      <c r="CL119" s="252"/>
      <c r="CM119" s="136"/>
      <c r="CN119" s="136"/>
      <c r="CO119" s="44"/>
      <c r="CP119" s="252"/>
      <c r="CQ119" s="136"/>
      <c r="CR119" s="136"/>
      <c r="CS119" s="44"/>
      <c r="CT119" s="252"/>
      <c r="CU119" s="44"/>
      <c r="CV119" s="44"/>
      <c r="CW119" s="44"/>
      <c r="CX119" s="252">
        <f>CX110</f>
        <v>319</v>
      </c>
      <c r="CY119" s="44"/>
      <c r="CZ119" s="44"/>
      <c r="DA119" s="44"/>
      <c r="DB119" s="252">
        <f>DB110-(25*(1-0.365))</f>
        <v>214</v>
      </c>
      <c r="DC119" s="44"/>
      <c r="DD119" s="44"/>
      <c r="DE119" s="44"/>
      <c r="DF119" s="252">
        <f>DF110+57-28+73-71-2+6-18-3</f>
        <v>220.17000000000002</v>
      </c>
      <c r="DG119" s="44"/>
      <c r="DH119" s="44"/>
      <c r="DI119" s="44"/>
      <c r="DJ119" s="252">
        <f>DJ110-34</f>
        <v>205</v>
      </c>
      <c r="DK119" s="44"/>
      <c r="DL119" s="44"/>
      <c r="DM119" s="44"/>
      <c r="DN119" s="250">
        <f>DN110</f>
        <v>270.98406774596162</v>
      </c>
      <c r="DO119" s="57"/>
      <c r="DP119" s="57"/>
      <c r="DQ119" s="44"/>
      <c r="DR119" s="44"/>
      <c r="DS119" s="44"/>
      <c r="DT119" s="44"/>
      <c r="DU119" s="44"/>
      <c r="DV119" s="44"/>
      <c r="DW119" s="44"/>
      <c r="DX119" s="44"/>
      <c r="DY119" s="44"/>
      <c r="DZ119" s="44"/>
      <c r="EA119" s="44"/>
      <c r="EB119" s="44"/>
      <c r="EC119" s="44"/>
      <c r="ED119" s="44"/>
    </row>
    <row r="120" spans="1:134" outlineLevel="1">
      <c r="A120" s="57"/>
      <c r="B120" s="57"/>
      <c r="C120" s="205"/>
      <c r="D120" s="205"/>
      <c r="E120" s="205"/>
      <c r="F120" s="205"/>
      <c r="G120" s="57"/>
      <c r="H120" s="57"/>
      <c r="I120" s="57"/>
      <c r="J120" s="205"/>
      <c r="K120" s="57"/>
      <c r="L120" s="57"/>
      <c r="M120" s="57"/>
      <c r="N120" s="205"/>
      <c r="O120" s="57"/>
      <c r="P120" s="57"/>
      <c r="Q120" s="57"/>
      <c r="R120" s="205"/>
      <c r="S120" s="57"/>
      <c r="T120" s="57"/>
      <c r="U120" s="57"/>
      <c r="V120" s="205"/>
      <c r="W120" s="57"/>
      <c r="X120" s="57"/>
      <c r="Y120" s="57"/>
      <c r="Z120" s="57"/>
      <c r="AA120" s="134"/>
      <c r="AB120" s="134"/>
      <c r="AC120" s="134"/>
      <c r="AD120" s="175"/>
      <c r="AE120" s="134"/>
      <c r="AF120" s="134"/>
      <c r="AG120" s="134"/>
      <c r="AH120" s="175"/>
      <c r="AI120" s="175"/>
      <c r="AJ120" s="175"/>
      <c r="AK120" s="175"/>
      <c r="AL120" s="44"/>
      <c r="AM120" s="175"/>
      <c r="AN120" s="175"/>
      <c r="AO120" s="175"/>
      <c r="AP120" s="44"/>
      <c r="AQ120" s="175"/>
      <c r="AR120" s="175"/>
      <c r="AS120" s="175"/>
      <c r="AT120" s="175"/>
      <c r="AU120" s="175"/>
      <c r="AV120" s="175"/>
      <c r="AW120" s="175"/>
      <c r="AX120" s="175"/>
      <c r="AY120" s="175"/>
      <c r="AZ120" s="136"/>
      <c r="BA120" s="175"/>
      <c r="BB120" s="175"/>
      <c r="BC120" s="175"/>
      <c r="BD120" s="175"/>
      <c r="BE120" s="134"/>
      <c r="BF120" s="175"/>
      <c r="BG120" s="134"/>
      <c r="BH120" s="134"/>
      <c r="BI120" s="134"/>
      <c r="BJ120" s="175"/>
      <c r="BK120" s="134"/>
      <c r="BL120" s="134"/>
      <c r="BM120" s="134"/>
      <c r="BN120" s="175"/>
      <c r="BO120" s="134"/>
      <c r="BP120" s="134"/>
      <c r="BQ120" s="136"/>
      <c r="BR120" s="137"/>
      <c r="BS120" s="136"/>
      <c r="BT120" s="136"/>
      <c r="BU120" s="44"/>
      <c r="BV120" s="66">
        <f>SUM(BV116:BV119)</f>
        <v>833</v>
      </c>
      <c r="BW120" s="55"/>
      <c r="BX120" s="136"/>
      <c r="BY120" s="44"/>
      <c r="BZ120" s="66"/>
      <c r="CA120" s="136"/>
      <c r="CB120" s="136"/>
      <c r="CC120" s="44"/>
      <c r="CD120" s="66"/>
      <c r="CE120" s="136"/>
      <c r="CF120" s="136"/>
      <c r="CG120" s="44"/>
      <c r="CH120" s="66"/>
      <c r="CI120" s="136"/>
      <c r="CJ120" s="136"/>
      <c r="CK120" s="44"/>
      <c r="CL120" s="66"/>
      <c r="CM120" s="136"/>
      <c r="CN120" s="136"/>
      <c r="CO120" s="44"/>
      <c r="CP120" s="66"/>
      <c r="CQ120" s="136"/>
      <c r="CR120" s="136"/>
      <c r="CS120" s="44"/>
      <c r="CT120" s="66"/>
      <c r="CU120" s="44"/>
      <c r="CV120" s="44"/>
      <c r="CW120" s="44"/>
      <c r="CX120" s="66">
        <f>SUM(CX116:CX119)</f>
        <v>1262.23</v>
      </c>
      <c r="CY120" s="44"/>
      <c r="CZ120" s="44"/>
      <c r="DA120" s="44"/>
      <c r="DB120" s="66">
        <f>SUM(DB116:DB119)</f>
        <v>920</v>
      </c>
      <c r="DC120" s="44"/>
      <c r="DD120" s="44"/>
      <c r="DE120" s="44"/>
      <c r="DF120" s="66">
        <f>SUM(DF116:DF119)</f>
        <v>676.17000000000007</v>
      </c>
      <c r="DG120" s="44"/>
      <c r="DH120" s="44"/>
      <c r="DI120" s="44"/>
      <c r="DJ120" s="66">
        <f>SUM(DJ116:DJ119)</f>
        <v>848</v>
      </c>
      <c r="DK120" s="44"/>
      <c r="DL120" s="44"/>
      <c r="DM120" s="44"/>
      <c r="DN120" s="167">
        <f>SUM(DN116:DN119)</f>
        <v>1022.3312641380771</v>
      </c>
      <c r="DO120" s="57"/>
      <c r="DP120" s="57"/>
      <c r="DQ120" s="44"/>
      <c r="DR120" s="44"/>
      <c r="DS120" s="44"/>
      <c r="DT120" s="44"/>
      <c r="DU120" s="44"/>
      <c r="DV120" s="44"/>
      <c r="DW120" s="44"/>
      <c r="DX120" s="44"/>
      <c r="DY120" s="44"/>
      <c r="DZ120" s="44"/>
      <c r="EA120" s="44"/>
      <c r="EB120" s="44"/>
      <c r="EC120" s="44"/>
      <c r="ED120" s="44"/>
    </row>
    <row r="121" spans="1:134" outlineLevel="1">
      <c r="A121" s="57"/>
      <c r="B121" s="57"/>
      <c r="C121" s="205"/>
      <c r="D121" s="205"/>
      <c r="E121" s="205"/>
      <c r="F121" s="205"/>
      <c r="G121" s="57"/>
      <c r="H121" s="57"/>
      <c r="I121" s="57"/>
      <c r="J121" s="205"/>
      <c r="K121" s="57"/>
      <c r="L121" s="57"/>
      <c r="M121" s="57"/>
      <c r="N121" s="205"/>
      <c r="O121" s="57"/>
      <c r="P121" s="57"/>
      <c r="Q121" s="57"/>
      <c r="R121" s="205"/>
      <c r="S121" s="57"/>
      <c r="T121" s="57"/>
      <c r="U121" s="57"/>
      <c r="V121" s="205"/>
      <c r="W121" s="57"/>
      <c r="X121" s="57"/>
      <c r="Y121" s="57"/>
      <c r="Z121" s="57"/>
      <c r="AA121" s="134"/>
      <c r="AB121" s="134"/>
      <c r="AC121" s="134"/>
      <c r="AD121" s="175"/>
      <c r="AE121" s="134"/>
      <c r="AF121" s="134"/>
      <c r="AG121" s="134"/>
      <c r="AH121" s="175"/>
      <c r="AI121" s="175"/>
      <c r="AJ121" s="175"/>
      <c r="AK121" s="175"/>
      <c r="AL121" s="44"/>
      <c r="AM121" s="175"/>
      <c r="AN121" s="175"/>
      <c r="AO121" s="175"/>
      <c r="AP121" s="44"/>
      <c r="AQ121" s="175"/>
      <c r="AR121" s="175"/>
      <c r="AS121" s="175"/>
      <c r="AT121" s="175"/>
      <c r="AU121" s="175"/>
      <c r="AV121" s="175"/>
      <c r="AW121" s="175"/>
      <c r="AX121" s="175"/>
      <c r="AY121" s="175"/>
      <c r="AZ121" s="136"/>
      <c r="BA121" s="175"/>
      <c r="BB121" s="175"/>
      <c r="BC121" s="175"/>
      <c r="BD121" s="175"/>
      <c r="BE121" s="134"/>
      <c r="BF121" s="175"/>
      <c r="BG121" s="134"/>
      <c r="BH121" s="134"/>
      <c r="BI121" s="134"/>
      <c r="BJ121" s="175"/>
      <c r="BK121" s="134"/>
      <c r="BL121" s="134"/>
      <c r="BM121" s="134"/>
      <c r="BN121" s="175"/>
      <c r="BO121" s="134"/>
      <c r="BP121" s="134"/>
      <c r="BQ121" s="136"/>
      <c r="BR121" s="137"/>
      <c r="BS121" s="136"/>
      <c r="BT121" s="136"/>
      <c r="BU121" s="44"/>
      <c r="BV121" s="271"/>
      <c r="BW121" s="136"/>
      <c r="BX121" s="136"/>
      <c r="BY121" s="44"/>
      <c r="BZ121" s="256"/>
      <c r="CA121" s="136"/>
      <c r="CB121" s="136"/>
      <c r="CC121" s="44"/>
      <c r="CD121" s="256"/>
      <c r="CE121" s="136"/>
      <c r="CF121" s="136"/>
      <c r="CG121" s="44"/>
      <c r="CH121" s="256"/>
      <c r="CI121" s="136"/>
      <c r="CJ121" s="136"/>
      <c r="CK121" s="44"/>
      <c r="CL121" s="256"/>
      <c r="CM121" s="136"/>
      <c r="CN121" s="136"/>
      <c r="CO121" s="44"/>
      <c r="CP121" s="256"/>
      <c r="CQ121" s="136"/>
      <c r="CR121" s="136"/>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57"/>
      <c r="DO121" s="57"/>
      <c r="DP121" s="57"/>
      <c r="DQ121" s="44"/>
      <c r="DR121" s="44"/>
      <c r="DS121" s="44"/>
      <c r="DT121" s="44"/>
      <c r="DU121" s="44"/>
      <c r="DV121" s="44"/>
      <c r="DW121" s="44"/>
      <c r="DX121" s="44"/>
      <c r="DY121" s="44"/>
      <c r="DZ121" s="44"/>
      <c r="EA121" s="44"/>
      <c r="EB121" s="44"/>
      <c r="EC121" s="44"/>
      <c r="ED121" s="44"/>
    </row>
    <row r="122" spans="1:134" outlineLevel="1">
      <c r="A122" s="57"/>
      <c r="B122" s="57"/>
      <c r="C122" s="205"/>
      <c r="D122" s="205"/>
      <c r="E122" s="205"/>
      <c r="F122" s="205"/>
      <c r="G122" s="57"/>
      <c r="H122" s="57"/>
      <c r="I122" s="57"/>
      <c r="J122" s="205"/>
      <c r="K122" s="57"/>
      <c r="L122" s="57"/>
      <c r="M122" s="57"/>
      <c r="N122" s="205"/>
      <c r="O122" s="57"/>
      <c r="P122" s="57"/>
      <c r="Q122" s="57"/>
      <c r="R122" s="205"/>
      <c r="S122" s="57"/>
      <c r="T122" s="57"/>
      <c r="U122" s="57"/>
      <c r="V122" s="205"/>
      <c r="W122" s="57"/>
      <c r="X122" s="57"/>
      <c r="Y122" s="57"/>
      <c r="Z122" s="57"/>
      <c r="AA122" s="134"/>
      <c r="AB122" s="134"/>
      <c r="AC122" s="134"/>
      <c r="AD122" s="175"/>
      <c r="AE122" s="134"/>
      <c r="AF122" s="134"/>
      <c r="AG122" s="134"/>
      <c r="AH122" s="175"/>
      <c r="AI122" s="175"/>
      <c r="AJ122" s="175"/>
      <c r="AK122" s="175"/>
      <c r="AL122" s="44"/>
      <c r="AM122" s="175"/>
      <c r="AN122" s="175"/>
      <c r="AO122" s="175"/>
      <c r="AP122" s="44"/>
      <c r="AQ122" s="175"/>
      <c r="AR122" s="175"/>
      <c r="AS122" s="175"/>
      <c r="AT122" s="175"/>
      <c r="AU122" s="175"/>
      <c r="AV122" s="175"/>
      <c r="AW122" s="175"/>
      <c r="AX122" s="175"/>
      <c r="AY122" s="175"/>
      <c r="AZ122" s="136"/>
      <c r="BA122" s="175"/>
      <c r="BB122" s="175"/>
      <c r="BC122" s="175"/>
      <c r="BD122" s="175"/>
      <c r="BE122" s="134"/>
      <c r="BF122" s="175"/>
      <c r="BG122" s="134"/>
      <c r="BH122" s="134"/>
      <c r="BI122" s="134"/>
      <c r="BJ122" s="175"/>
      <c r="BK122" s="134"/>
      <c r="BL122" s="134"/>
      <c r="BM122" s="134"/>
      <c r="BN122" s="175"/>
      <c r="BO122" s="134"/>
      <c r="BP122" s="134"/>
      <c r="BQ122" s="136"/>
      <c r="BR122" s="137"/>
      <c r="BS122" s="136"/>
      <c r="BT122" s="136"/>
      <c r="BU122" s="44"/>
      <c r="BV122" s="271"/>
      <c r="BW122" s="136"/>
      <c r="BX122" s="136"/>
      <c r="BY122" s="44"/>
      <c r="BZ122" s="256"/>
      <c r="CA122" s="136"/>
      <c r="CB122" s="136"/>
      <c r="CC122" s="44"/>
      <c r="CD122" s="256"/>
      <c r="CE122" s="136"/>
      <c r="CF122" s="136"/>
      <c r="CG122" s="44"/>
      <c r="CH122" s="256"/>
      <c r="CI122" s="136"/>
      <c r="CJ122" s="136"/>
      <c r="CK122" s="44"/>
      <c r="CL122" s="256"/>
      <c r="CM122" s="136"/>
      <c r="CN122" s="136"/>
      <c r="CO122" s="44"/>
      <c r="CP122" s="256"/>
      <c r="CQ122" s="136"/>
      <c r="CR122" s="136"/>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57"/>
      <c r="DO122" s="57"/>
      <c r="DP122" s="57"/>
      <c r="DQ122" s="44"/>
      <c r="DR122" s="44"/>
      <c r="DS122" s="44"/>
      <c r="DT122" s="44"/>
      <c r="DU122" s="44"/>
      <c r="DV122" s="44"/>
      <c r="DW122" s="44"/>
      <c r="DX122" s="44"/>
      <c r="DY122" s="44"/>
      <c r="DZ122" s="44"/>
      <c r="EA122" s="44"/>
      <c r="EB122" s="44"/>
      <c r="EC122" s="44"/>
      <c r="ED122" s="44"/>
    </row>
    <row r="123" spans="1:134" ht="12" customHeight="1" outlineLevel="1">
      <c r="A123" s="49"/>
      <c r="B123" s="49"/>
      <c r="C123" s="272"/>
      <c r="D123" s="272"/>
      <c r="E123" s="272"/>
      <c r="F123" s="272"/>
      <c r="G123" s="272"/>
      <c r="H123" s="272"/>
      <c r="I123" s="272"/>
      <c r="J123" s="272"/>
      <c r="K123" s="272"/>
      <c r="L123" s="272"/>
      <c r="M123" s="272"/>
      <c r="N123" s="272"/>
      <c r="O123" s="272"/>
      <c r="P123" s="272"/>
      <c r="Q123" s="272"/>
      <c r="R123" s="272"/>
      <c r="S123" s="272"/>
      <c r="T123" s="272"/>
      <c r="U123" s="272"/>
      <c r="V123" s="272"/>
      <c r="W123" s="272"/>
      <c r="X123" s="272"/>
      <c r="Y123" s="272"/>
      <c r="Z123" s="272"/>
      <c r="AA123" s="272"/>
      <c r="AB123" s="272"/>
      <c r="AC123" s="272"/>
      <c r="AD123" s="272"/>
      <c r="AE123" s="272"/>
      <c r="AF123" s="272"/>
      <c r="AG123" s="272"/>
      <c r="AH123" s="272"/>
      <c r="AI123" s="272"/>
      <c r="AJ123" s="272"/>
      <c r="AK123" s="272"/>
      <c r="AL123" s="272"/>
      <c r="AM123" s="272"/>
      <c r="AN123" s="272"/>
      <c r="AO123" s="272"/>
      <c r="AP123" s="272"/>
      <c r="AQ123" s="272"/>
      <c r="AR123" s="272"/>
      <c r="AS123" s="272"/>
      <c r="AT123" s="272"/>
      <c r="AU123" s="272"/>
      <c r="AV123" s="272"/>
      <c r="AW123" s="272"/>
      <c r="AX123" s="272"/>
      <c r="AY123" s="272"/>
      <c r="AZ123" s="272"/>
      <c r="BA123" s="272"/>
      <c r="BB123" s="272"/>
      <c r="BC123" s="272"/>
      <c r="BD123" s="272"/>
      <c r="BE123" s="272"/>
      <c r="BF123" s="272"/>
      <c r="BG123" s="272"/>
      <c r="BH123" s="272"/>
      <c r="BI123" s="272"/>
      <c r="BJ123" s="272"/>
      <c r="BK123" s="272"/>
      <c r="BL123" s="272"/>
      <c r="BM123" s="272"/>
      <c r="BN123" s="272"/>
      <c r="BO123" s="272"/>
      <c r="BP123" s="272"/>
      <c r="BQ123" s="49"/>
      <c r="BR123" s="49"/>
      <c r="BS123" s="49"/>
      <c r="BT123" s="49"/>
      <c r="BU123" s="49"/>
      <c r="BV123" s="49"/>
      <c r="BW123" s="49"/>
      <c r="BX123" s="49"/>
      <c r="BY123" s="49"/>
      <c r="BZ123" s="49"/>
      <c r="CA123" s="49"/>
      <c r="CB123" s="49"/>
      <c r="CC123" s="49"/>
      <c r="CD123" s="49"/>
      <c r="CE123" s="49"/>
      <c r="CF123" s="49"/>
      <c r="CG123" s="49"/>
      <c r="CH123" s="49"/>
      <c r="CI123" s="49"/>
      <c r="CJ123" s="49"/>
      <c r="CK123" s="49"/>
      <c r="CL123" s="49"/>
      <c r="CM123" s="49"/>
      <c r="CN123" s="49"/>
      <c r="CO123" s="49"/>
      <c r="CP123" s="49"/>
      <c r="CQ123" s="49"/>
      <c r="CR123" s="49"/>
      <c r="CS123" s="49"/>
      <c r="CT123" s="49"/>
      <c r="CU123" s="49"/>
      <c r="CV123" s="49"/>
      <c r="CW123" s="49"/>
      <c r="CX123" s="49"/>
      <c r="CY123" s="49"/>
      <c r="CZ123" s="49"/>
      <c r="DA123" s="49"/>
      <c r="DB123" s="49"/>
      <c r="DC123" s="49"/>
      <c r="DD123" s="49"/>
      <c r="DE123" s="49"/>
      <c r="DF123" s="49"/>
      <c r="DG123" s="49"/>
      <c r="DH123" s="49"/>
      <c r="DI123" s="59"/>
      <c r="DJ123" s="49"/>
      <c r="DK123" s="49"/>
      <c r="DL123" s="49"/>
      <c r="DM123" s="59"/>
      <c r="DN123" s="272"/>
      <c r="DO123" s="272"/>
      <c r="DP123" s="272"/>
      <c r="DQ123" s="59"/>
      <c r="DR123" s="59"/>
      <c r="DS123" s="59"/>
      <c r="DT123" s="59"/>
      <c r="DU123" s="59"/>
      <c r="DV123" s="59"/>
      <c r="DW123" s="59"/>
      <c r="DX123" s="59"/>
      <c r="DY123" s="59"/>
      <c r="DZ123" s="59"/>
      <c r="EA123" s="59"/>
      <c r="EB123" s="59"/>
      <c r="EC123" s="59"/>
      <c r="ED123" s="59"/>
    </row>
    <row r="124" spans="1:134">
      <c r="A124" s="273"/>
      <c r="B124" s="273"/>
      <c r="C124" s="274"/>
      <c r="D124" s="274"/>
      <c r="E124" s="274" t="str">
        <f>AH124</f>
        <v>9.  Earnings Per Share -- Fully Diluted   (% Change)</v>
      </c>
      <c r="F124" s="274"/>
      <c r="G124" s="273"/>
      <c r="H124" s="273"/>
      <c r="I124" s="273"/>
      <c r="J124" s="274"/>
      <c r="K124" s="273"/>
      <c r="L124" s="273"/>
      <c r="M124" s="273"/>
      <c r="N124" s="274"/>
      <c r="O124" s="273"/>
      <c r="P124" s="273"/>
      <c r="Q124" s="273"/>
      <c r="R124" s="274"/>
      <c r="S124" s="273"/>
      <c r="T124" s="273"/>
      <c r="U124" s="273"/>
      <c r="V124" s="274"/>
      <c r="W124" s="273"/>
      <c r="X124" s="273"/>
      <c r="Y124" s="273"/>
      <c r="Z124" s="273"/>
      <c r="AA124" s="275"/>
      <c r="AB124" s="275"/>
      <c r="AC124" s="275"/>
      <c r="AD124" s="276"/>
      <c r="AE124" s="275"/>
      <c r="AF124" s="275"/>
      <c r="AG124" s="275"/>
      <c r="AH124" s="276" t="s">
        <v>91</v>
      </c>
      <c r="AI124" s="276"/>
      <c r="AJ124" s="276"/>
      <c r="AK124" s="276"/>
      <c r="AL124" s="273"/>
      <c r="AM124" s="276"/>
      <c r="AN124" s="276"/>
      <c r="AO124" s="276"/>
      <c r="AP124" s="273"/>
      <c r="AQ124" s="276"/>
      <c r="AR124" s="276"/>
      <c r="AS124" s="276"/>
      <c r="AT124" s="273"/>
      <c r="AU124" s="276"/>
      <c r="AV124" s="276"/>
      <c r="AW124" s="276"/>
      <c r="AX124" s="276"/>
      <c r="AY124" s="276"/>
      <c r="AZ124" s="275"/>
      <c r="BA124" s="276"/>
      <c r="BB124" s="276"/>
      <c r="BC124" s="276"/>
      <c r="BD124" s="276"/>
      <c r="BE124" s="275"/>
      <c r="BF124" s="276"/>
      <c r="BG124" s="275"/>
      <c r="BH124" s="275"/>
      <c r="BI124" s="275"/>
      <c r="BJ124" s="276" t="s">
        <v>91</v>
      </c>
      <c r="BK124" s="275"/>
      <c r="BL124" s="275"/>
      <c r="BM124" s="275"/>
      <c r="BN124" s="276"/>
      <c r="BO124" s="275"/>
      <c r="BP124" s="275"/>
      <c r="BQ124" s="275"/>
      <c r="BR124" s="276"/>
      <c r="BS124" s="275"/>
      <c r="BT124" s="275"/>
      <c r="BU124" s="275"/>
      <c r="BV124" s="276" t="s">
        <v>91</v>
      </c>
      <c r="BW124" s="275"/>
      <c r="BX124" s="275"/>
      <c r="BY124" s="275"/>
      <c r="BZ124" s="276"/>
      <c r="CA124" s="275"/>
      <c r="CB124" s="275"/>
      <c r="CC124" s="275"/>
      <c r="CD124" s="277"/>
      <c r="CE124" s="275"/>
      <c r="CF124" s="275"/>
      <c r="CG124" s="278"/>
      <c r="CH124" s="279" t="str">
        <f>+BV124</f>
        <v>9.  Earnings Per Share -- Fully Diluted   (% Change)</v>
      </c>
      <c r="CI124" s="275"/>
      <c r="CJ124" s="275"/>
      <c r="CK124" s="275"/>
      <c r="CL124" s="277"/>
      <c r="CM124" s="275"/>
      <c r="CN124" s="275"/>
      <c r="CO124" s="275"/>
      <c r="CP124" s="277"/>
      <c r="CQ124" s="275"/>
      <c r="CR124" s="275"/>
      <c r="CS124" s="275"/>
      <c r="CT124" s="275"/>
      <c r="CU124" s="275"/>
      <c r="CV124" s="275"/>
      <c r="CW124" s="275"/>
      <c r="CX124" s="275"/>
      <c r="CY124" s="275"/>
      <c r="CZ124" s="275"/>
      <c r="DA124" s="275"/>
      <c r="DB124" s="275"/>
      <c r="DC124" s="275"/>
      <c r="DD124" s="275"/>
      <c r="DE124" s="275"/>
      <c r="DF124" s="275"/>
      <c r="DG124" s="275"/>
      <c r="DH124" s="275"/>
      <c r="DI124" s="1033"/>
      <c r="DJ124" s="275"/>
      <c r="DK124" s="275"/>
      <c r="DL124" s="275"/>
      <c r="DM124" s="1033"/>
      <c r="DN124" s="275"/>
      <c r="DO124" s="275"/>
      <c r="DP124" s="275"/>
      <c r="DQ124" s="280"/>
      <c r="DR124" s="280"/>
      <c r="DS124" s="280"/>
      <c r="DT124" s="280"/>
      <c r="DU124" s="280"/>
      <c r="DV124" s="280"/>
      <c r="DW124" s="280"/>
      <c r="DX124" s="280"/>
      <c r="DY124" s="280"/>
      <c r="DZ124" s="280"/>
      <c r="EA124" s="280"/>
      <c r="EB124" s="280"/>
      <c r="EC124" s="280"/>
      <c r="ED124" s="280"/>
    </row>
    <row r="125" spans="1:134">
      <c r="A125" s="44"/>
      <c r="B125" s="44"/>
      <c r="C125" s="57"/>
      <c r="D125" s="57"/>
      <c r="E125" s="57"/>
      <c r="F125" s="57"/>
      <c r="G125" s="57"/>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c r="AE125" s="57"/>
      <c r="AF125" s="57"/>
      <c r="AG125" s="57"/>
      <c r="AH125" s="57"/>
      <c r="AI125" s="57"/>
      <c r="AJ125" s="57"/>
      <c r="AK125" s="57"/>
      <c r="AL125" s="57"/>
      <c r="AM125" s="57"/>
      <c r="AN125" s="57"/>
      <c r="AO125" s="57"/>
      <c r="AP125" s="57"/>
      <c r="AQ125" s="57"/>
      <c r="AR125" s="57"/>
      <c r="AS125" s="57"/>
      <c r="AT125" s="57"/>
      <c r="AU125" s="57"/>
      <c r="AV125" s="57"/>
      <c r="AW125" s="57"/>
      <c r="AX125" s="57"/>
      <c r="AY125" s="57"/>
      <c r="AZ125" s="57"/>
      <c r="BA125" s="57"/>
      <c r="BB125" s="57"/>
      <c r="BC125" s="57"/>
      <c r="BD125" s="57"/>
      <c r="BE125" s="57"/>
      <c r="BF125" s="57"/>
      <c r="BG125" s="57"/>
      <c r="BH125" s="281" t="s">
        <v>289</v>
      </c>
      <c r="BI125" s="229"/>
      <c r="BJ125" s="57"/>
      <c r="BK125" s="57"/>
      <c r="BL125" s="281" t="s">
        <v>289</v>
      </c>
      <c r="BM125" s="229"/>
      <c r="BN125" s="57"/>
      <c r="BO125" s="57"/>
      <c r="BP125" s="282"/>
      <c r="BQ125" s="44"/>
      <c r="BR125" s="193"/>
      <c r="BS125" s="44"/>
      <c r="BT125" s="282"/>
      <c r="BU125" s="44"/>
      <c r="BV125" s="44" t="s">
        <v>186</v>
      </c>
      <c r="BW125" s="44"/>
      <c r="BX125" s="282"/>
      <c r="BY125" s="44"/>
      <c r="BZ125" s="44"/>
      <c r="CA125" s="44"/>
      <c r="CB125" s="283"/>
      <c r="CC125" s="44"/>
      <c r="CD125" s="44"/>
      <c r="CE125" s="44"/>
      <c r="CF125" s="283"/>
      <c r="CG125" s="44"/>
      <c r="CH125" s="44"/>
      <c r="CI125" s="44"/>
      <c r="CJ125" s="283"/>
      <c r="CK125" s="44"/>
      <c r="CL125" s="44"/>
      <c r="CM125" s="44"/>
      <c r="CN125" s="283"/>
      <c r="CO125" s="44"/>
      <c r="CP125" s="44"/>
      <c r="CQ125" s="44"/>
      <c r="CR125" s="283"/>
      <c r="CS125" s="59"/>
      <c r="CT125" s="59"/>
      <c r="CU125" s="59"/>
      <c r="CV125" s="59"/>
      <c r="CW125" s="59"/>
      <c r="CX125" s="59"/>
      <c r="CY125" s="59"/>
      <c r="CZ125" s="59"/>
      <c r="DA125" s="59"/>
      <c r="DB125" s="59"/>
      <c r="DC125" s="59"/>
      <c r="DD125" s="59"/>
      <c r="DE125" s="59"/>
      <c r="DF125" s="292"/>
      <c r="DG125" s="59"/>
      <c r="DH125" s="59"/>
      <c r="DI125" s="59"/>
      <c r="DJ125" s="59"/>
      <c r="DK125" s="59"/>
      <c r="DL125" s="59"/>
      <c r="DM125" s="59"/>
      <c r="DN125" s="60"/>
      <c r="DO125" s="60"/>
      <c r="DP125" s="60"/>
      <c r="DQ125" s="59"/>
      <c r="DR125" s="59"/>
      <c r="DS125" s="59"/>
      <c r="DT125" s="59"/>
      <c r="DU125" s="59"/>
      <c r="DV125" s="59"/>
      <c r="DW125" s="59"/>
      <c r="DX125" s="59"/>
      <c r="DY125" s="59"/>
      <c r="DZ125" s="60"/>
      <c r="EA125" s="59"/>
      <c r="EB125" s="284"/>
      <c r="EC125" s="284"/>
      <c r="ED125" s="284"/>
    </row>
    <row r="126" spans="1:134">
      <c r="A126" s="44" t="str">
        <f>$A$10</f>
        <v>1Q</v>
      </c>
      <c r="B126" s="44" t="str">
        <f>$B$10</f>
        <v>Apr</v>
      </c>
      <c r="C126" s="57"/>
      <c r="D126" s="285"/>
      <c r="E126" s="57"/>
      <c r="F126" s="285">
        <f>F107/F145</f>
        <v>2.2208626603685867E-2</v>
      </c>
      <c r="G126" s="191"/>
      <c r="H126" s="57"/>
      <c r="I126" s="57"/>
      <c r="J126" s="285">
        <f>J107/J145</f>
        <v>4.2808003285438163E-2</v>
      </c>
      <c r="K126" s="191">
        <f t="shared" ref="K126:K132" si="386">IF(F126&lt;0,"       NM",(J126/F126-1)*100)</f>
        <v>92.753942192596057</v>
      </c>
      <c r="L126" s="57"/>
      <c r="M126" s="57"/>
      <c r="N126" s="285">
        <f>N107/N145</f>
        <v>4.722862795257203E-2</v>
      </c>
      <c r="O126" s="191">
        <f t="shared" ref="O126:O132" si="387">IF(J126&lt;0,"       NM",(N126/J126-1)*100)</f>
        <v>10.326631302230371</v>
      </c>
      <c r="P126" s="57"/>
      <c r="Q126" s="57"/>
      <c r="R126" s="285">
        <f>R107/R145</f>
        <v>4.3221577361078262E-2</v>
      </c>
      <c r="S126" s="191">
        <f t="shared" ref="S126:S132" si="388">IF(N126&lt;0,"       NM",(R126/N126-1)*100)</f>
        <v>-8.4843679886651202</v>
      </c>
      <c r="T126" s="57"/>
      <c r="U126" s="57"/>
      <c r="V126" s="285">
        <f>V107/V145</f>
        <v>6.5321207125690547E-2</v>
      </c>
      <c r="W126" s="191">
        <f t="shared" ref="W126:W132" si="389">IF(R126&lt;0,"       NM",(V126/R126-1)*100)</f>
        <v>51.131011670373148</v>
      </c>
      <c r="X126" s="57"/>
      <c r="Y126" s="57"/>
      <c r="Z126" s="285">
        <f>Z107/Z145</f>
        <v>5.2394286531287172E-2</v>
      </c>
      <c r="AA126" s="191">
        <f t="shared" ref="AA126:AA132" si="390">IF(V126&lt;0,"       NM",(Z126/V126-1)*100)</f>
        <v>-19.789776036333041</v>
      </c>
      <c r="AB126" s="57"/>
      <c r="AC126" s="57"/>
      <c r="AD126" s="285">
        <f>AD107/AD145</f>
        <v>8.3684764100895079E-2</v>
      </c>
      <c r="AE126" s="191">
        <f t="shared" ref="AE126:AE132" si="391">IF(Z126&lt;0,"       NM",(AD126/Z126-1)*100)</f>
        <v>59.721163587031278</v>
      </c>
      <c r="AF126" s="57"/>
      <c r="AG126" s="57"/>
      <c r="AH126" s="285">
        <f>AH107/AH145</f>
        <v>9.065326395407973E-2</v>
      </c>
      <c r="AI126" s="191">
        <f t="shared" ref="AI126:AI132" si="392">IF(AD126&lt;0,"       NM",(AH126/AD126-1)*100)</f>
        <v>8.3270831053344772</v>
      </c>
      <c r="AJ126" s="57"/>
      <c r="AK126" s="57"/>
      <c r="AL126" s="285">
        <f>AL107/AL145</f>
        <v>0.14931796982167361</v>
      </c>
      <c r="AM126" s="191">
        <f t="shared" ref="AM126:AM132" si="393">IF(AH126&lt;0,"       NM",(AL126/AH126-1)*100)</f>
        <v>64.713285886000094</v>
      </c>
      <c r="AN126" s="57"/>
      <c r="AO126" s="57"/>
      <c r="AP126" s="285">
        <f>AP107/AP145</f>
        <v>0.22484462848135237</v>
      </c>
      <c r="AQ126" s="191">
        <f t="shared" ref="AQ126:AQ132" si="394">IF(AL126&lt;0,"       NM",(AP126/AL126-1)*100)</f>
        <v>50.58109131129909</v>
      </c>
      <c r="AR126" s="57"/>
      <c r="AS126" s="57"/>
      <c r="AT126" s="285">
        <f>AT107/AT145</f>
        <v>0.26516965381617225</v>
      </c>
      <c r="AU126" s="191">
        <f t="shared" ref="AU126:AU132" si="395">IF(AP126&lt;0,"       NM",(AT126/AP126-1)*100)</f>
        <v>17.934618054780117</v>
      </c>
      <c r="AV126" s="57"/>
      <c r="AW126" s="57"/>
      <c r="AX126" s="285">
        <f>AX107/AX145</f>
        <v>0.13184559861989117</v>
      </c>
      <c r="AY126" s="191">
        <f t="shared" ref="AY126:AY132" si="396">IF(AT126&lt;0,"       NM",(AX126/AT126-1)*100)</f>
        <v>-50.278775598020509</v>
      </c>
      <c r="AZ126" s="57"/>
      <c r="BA126" s="57"/>
      <c r="BB126" s="285">
        <f>BB107/BB145</f>
        <v>4.1965094940186624E-2</v>
      </c>
      <c r="BC126" s="191">
        <f t="shared" ref="BC126:BC132" si="397">IF(AX126&lt;0,"       NM",(BB126/AX126-1)*100)</f>
        <v>-68.171030827376072</v>
      </c>
      <c r="BD126" s="57"/>
      <c r="BE126" s="57"/>
      <c r="BF126" s="285">
        <f>(BF107+$BF$193)/BF145</f>
        <v>0.21999974576313022</v>
      </c>
      <c r="BG126" s="191">
        <f t="shared" ref="BG126:BG132" si="398">IF(BB126&lt;0,"       NM",(BF126/BB126-1)*100)</f>
        <v>424.2446039421539</v>
      </c>
      <c r="BH126" s="286">
        <f>+BF168</f>
        <v>0.21999974576313022</v>
      </c>
      <c r="BI126" s="229" t="str">
        <f>BG168</f>
        <v>Y</v>
      </c>
      <c r="BJ126" s="285">
        <f>(BJ107+$BF$193)/BJ145</f>
        <v>0.32597499143003128</v>
      </c>
      <c r="BK126" s="191">
        <f t="shared" ref="BK126:BK132" si="399">IF(BF126&lt;0,"       NM",(BJ126/BF126-1)*100)</f>
        <v>48.170621879264665</v>
      </c>
      <c r="BL126" s="286">
        <f>+BJ168</f>
        <v>0.32597499143003128</v>
      </c>
      <c r="BM126" s="287">
        <f>+BJ107/BJ181</f>
        <v>0.34774346639947495</v>
      </c>
      <c r="BN126" s="285">
        <f>(BN107)/BN145</f>
        <v>0.30608638647198899</v>
      </c>
      <c r="BO126" s="191">
        <f t="shared" ref="BO126:BO132" si="400">IF(BJ126&lt;0,"       NM",(BN126/BJ126-1)*100)</f>
        <v>-6.101267115858267</v>
      </c>
      <c r="BP126" s="288"/>
      <c r="BQ126" s="44"/>
      <c r="BR126" s="285">
        <f>(BR107)/BR145</f>
        <v>0.28840185852830486</v>
      </c>
      <c r="BS126" s="55">
        <f t="shared" ref="BS126:BS132" si="401">IF(BN126&lt;0,"       NM",(BR126/BN126-1)*100)</f>
        <v>-5.7776264235464447</v>
      </c>
      <c r="BT126" s="288"/>
      <c r="BU126" s="44"/>
      <c r="BV126" s="285">
        <f>(BV107)/BV145</f>
        <v>0.26006490920772657</v>
      </c>
      <c r="BW126" s="55">
        <f t="shared" ref="BW126:BW132" si="402">IF(BR126&lt;0,"       NM",(BV126/BR126-1)*100)</f>
        <v>-9.8255085682109726</v>
      </c>
      <c r="BX126" s="288"/>
      <c r="BY126" s="44"/>
      <c r="BZ126" s="285">
        <f>(BZ107)/BZ145</f>
        <v>0.33831521739130432</v>
      </c>
      <c r="CA126" s="55">
        <f t="shared" ref="CA126:CA132" si="403">IF(BV126&lt;0,"       NM",(BZ126/BV126-1)*100)</f>
        <v>30.088760695152228</v>
      </c>
      <c r="CB126" s="289"/>
      <c r="CC126" s="67"/>
      <c r="CD126" s="285">
        <f>(CD107)/CD145</f>
        <v>0.3084648493543759</v>
      </c>
      <c r="CE126" s="55">
        <f t="shared" ref="CE126:CE132" si="404">IF(BZ126&lt;0,"       NM",(CD126/BZ126-1)*100)</f>
        <v>-8.823241315333064</v>
      </c>
      <c r="CF126" s="289"/>
      <c r="CG126" s="67"/>
      <c r="CH126" s="285">
        <f>(CH107)/CH145</f>
        <v>0.44674556213017752</v>
      </c>
      <c r="CI126" s="55">
        <f t="shared" ref="CI126:CI132" si="405">IF(CD126&lt;0,"       NM",(CH126/CD126-1)*100)</f>
        <v>44.828677583597077</v>
      </c>
      <c r="CJ126" s="289"/>
      <c r="CK126" s="67"/>
      <c r="CL126" s="285">
        <f>(CL107)/CL145</f>
        <v>0.39625850340136054</v>
      </c>
      <c r="CM126" s="55">
        <f t="shared" ref="CM126:CM132" si="406">IF(CH126&lt;0,"       NM",(CL126/CH126-1)*100)</f>
        <v>-11.301076722079561</v>
      </c>
      <c r="CN126" s="290">
        <v>40</v>
      </c>
      <c r="CO126" s="67"/>
      <c r="CP126" s="285">
        <f>(CP107)/CP145</f>
        <v>0.47165991902834009</v>
      </c>
      <c r="CQ126" s="55">
        <f t="shared" ref="CQ126:CQ132" si="407">IF(CL126&lt;0,"       NM",(CP126/CL126-1)*100)</f>
        <v>19.028340080971674</v>
      </c>
      <c r="CR126" s="290">
        <v>40</v>
      </c>
      <c r="CS126" s="290"/>
      <c r="CT126" s="285">
        <f>(CT107)/CT145</f>
        <v>0.70700636942675155</v>
      </c>
      <c r="CU126" s="55">
        <f>IF(CP126&lt;0,"       NM",(CT126/CP126-1)*100)</f>
        <v>49.897487766873503</v>
      </c>
      <c r="CV126" s="290">
        <v>40</v>
      </c>
      <c r="CW126" s="290"/>
      <c r="CX126" s="285">
        <f>(CX107)/CX145</f>
        <v>0.57649667405764971</v>
      </c>
      <c r="CY126" s="55">
        <f>IF(CT126&lt;0,"       NM",(CX126/CT126-1)*100)</f>
        <v>-18.459479435089175</v>
      </c>
      <c r="CZ126" s="290">
        <v>40</v>
      </c>
      <c r="DA126" s="290"/>
      <c r="DB126" s="296">
        <f>(DB107)/DB145</f>
        <v>0.58070754716981132</v>
      </c>
      <c r="DC126" s="55">
        <f>IF(CX126&lt;0,"       NM",(DB126/CX126-1)*100)</f>
        <v>0.73042452830187621</v>
      </c>
      <c r="DD126" s="290">
        <v>40</v>
      </c>
      <c r="DE126" s="290"/>
      <c r="DF126" s="777">
        <f>(DF107)/DF145</f>
        <v>0.31829573934837091</v>
      </c>
      <c r="DG126" s="55">
        <f>IF(DB126&lt;0,"       NM",(DF126/DB126-1)*100)</f>
        <v>-45.188289544428052</v>
      </c>
      <c r="DH126" s="290"/>
      <c r="DI126" s="290"/>
      <c r="DJ126" s="777">
        <f>(DJ107)/DJ145</f>
        <v>0.35749999999999998</v>
      </c>
      <c r="DK126" s="55">
        <f>IF(DF126&lt;0,"       NM",(DJ126/DF126-1)*100)</f>
        <v>12.316929133858267</v>
      </c>
      <c r="DL126" s="1558">
        <f>DJ126+DJ127</f>
        <v>0.941641414141414</v>
      </c>
      <c r="DM126" s="290"/>
      <c r="DN126" s="2026">
        <f>(DN107)/DN145</f>
        <v>0.476305883193057</v>
      </c>
      <c r="DO126" s="191">
        <f>IF(DJ126&lt;0,"       NM",(DN126/DJ126-1)*100)</f>
        <v>33.232414879176787</v>
      </c>
      <c r="DP126" s="1558">
        <f>DN126+DN127</f>
        <v>1.161913131355474</v>
      </c>
      <c r="DQ126" s="410"/>
      <c r="DR126" s="410">
        <f>DF126+DF127</f>
        <v>0.91478696741854626</v>
      </c>
      <c r="DS126" s="410">
        <f>DJ126+DJ127</f>
        <v>0.941641414141414</v>
      </c>
      <c r="DT126" s="291"/>
      <c r="DU126" s="291"/>
      <c r="DV126" s="292"/>
      <c r="DW126" s="59"/>
      <c r="DX126" s="59"/>
      <c r="DY126" s="59"/>
      <c r="DZ126" s="293"/>
      <c r="EA126" s="294"/>
      <c r="EB126" s="295"/>
      <c r="EC126" s="295"/>
      <c r="ED126" s="295"/>
    </row>
    <row r="127" spans="1:134">
      <c r="A127" s="44" t="str">
        <f>$A$11</f>
        <v>2Q</v>
      </c>
      <c r="B127" s="44" t="str">
        <f>$B$11</f>
        <v>Jul</v>
      </c>
      <c r="C127" s="57"/>
      <c r="D127" s="296"/>
      <c r="E127" s="57"/>
      <c r="F127" s="296">
        <f>F108/F146</f>
        <v>2.0072934875833896E-2</v>
      </c>
      <c r="G127" s="191"/>
      <c r="H127" s="57"/>
      <c r="I127" s="57"/>
      <c r="J127" s="296">
        <f>J108/J146</f>
        <v>3.566151261835248E-2</v>
      </c>
      <c r="K127" s="191">
        <f t="shared" si="386"/>
        <v>77.659683743038016</v>
      </c>
      <c r="L127" s="57"/>
      <c r="M127" s="57"/>
      <c r="N127" s="296">
        <f>N108/N146</f>
        <v>3.9403549088796223E-2</v>
      </c>
      <c r="O127" s="191">
        <f t="shared" si="387"/>
        <v>10.493207370340141</v>
      </c>
      <c r="P127" s="57"/>
      <c r="Q127" s="57"/>
      <c r="R127" s="296">
        <f>R108/R146</f>
        <v>2.9741570873621712E-2</v>
      </c>
      <c r="S127" s="191">
        <f t="shared" si="388"/>
        <v>-24.520578573775587</v>
      </c>
      <c r="T127" s="57"/>
      <c r="U127" s="57"/>
      <c r="V127" s="296">
        <f>V108/V146</f>
        <v>4.5595011195203643E-2</v>
      </c>
      <c r="W127" s="191">
        <f t="shared" si="389"/>
        <v>53.303977752037987</v>
      </c>
      <c r="X127" s="57"/>
      <c r="Y127" s="57"/>
      <c r="Z127" s="296">
        <f>Z108/Z146</f>
        <v>3.3804964419737821E-2</v>
      </c>
      <c r="AA127" s="191">
        <f t="shared" si="390"/>
        <v>-25.858194715622908</v>
      </c>
      <c r="AB127" s="57"/>
      <c r="AC127" s="57"/>
      <c r="AD127" s="296">
        <f>AD108/AD146</f>
        <v>6.7700856679787105E-2</v>
      </c>
      <c r="AE127" s="191">
        <f t="shared" si="391"/>
        <v>100.26897777256166</v>
      </c>
      <c r="AF127" s="57"/>
      <c r="AG127" s="57"/>
      <c r="AH127" s="296">
        <f>AH108/AH146</f>
        <v>7.5276333657379846E-2</v>
      </c>
      <c r="AI127" s="191">
        <f t="shared" si="392"/>
        <v>11.189632375589253</v>
      </c>
      <c r="AJ127" s="57"/>
      <c r="AK127" s="57"/>
      <c r="AL127" s="296">
        <f>AL108/AL146</f>
        <v>0.14966022097937273</v>
      </c>
      <c r="AM127" s="191">
        <f t="shared" si="393"/>
        <v>98.814439689040995</v>
      </c>
      <c r="AN127" s="57"/>
      <c r="AO127" s="57"/>
      <c r="AP127" s="296">
        <f>AP108/AP146</f>
        <v>0.21783199164396511</v>
      </c>
      <c r="AQ127" s="191">
        <f t="shared" si="394"/>
        <v>45.551029003216769</v>
      </c>
      <c r="AR127" s="57"/>
      <c r="AS127" s="57"/>
      <c r="AT127" s="296">
        <f>AT108/AT146</f>
        <v>0.20897156205748374</v>
      </c>
      <c r="AU127" s="191">
        <f t="shared" si="395"/>
        <v>-4.0675520246646224</v>
      </c>
      <c r="AV127" s="57"/>
      <c r="AW127" s="57"/>
      <c r="AX127" s="296">
        <f>AX108/AX146</f>
        <v>0.10156702008872311</v>
      </c>
      <c r="AY127" s="191">
        <f t="shared" si="396"/>
        <v>-51.396726382901733</v>
      </c>
      <c r="AZ127" s="57"/>
      <c r="BA127" s="57"/>
      <c r="BB127" s="296">
        <f>BB108/BB146</f>
        <v>6.4772253842495062E-2</v>
      </c>
      <c r="BC127" s="191">
        <f t="shared" si="397"/>
        <v>-36.227080615426402</v>
      </c>
      <c r="BD127" s="57"/>
      <c r="BE127" s="57"/>
      <c r="BF127" s="296">
        <f>(BF108+$BF$193)/BF146</f>
        <v>0.22491484613479198</v>
      </c>
      <c r="BG127" s="191">
        <f t="shared" si="398"/>
        <v>247.23949344376891</v>
      </c>
      <c r="BH127" s="297">
        <f>+BF170</f>
        <v>0.22491484613479198</v>
      </c>
      <c r="BI127" s="229" t="str">
        <f>BG170</f>
        <v>Y</v>
      </c>
      <c r="BJ127" s="296">
        <f>(BJ108+$BF$193)/BJ146</f>
        <v>0.20690003145617594</v>
      </c>
      <c r="BK127" s="191">
        <f t="shared" si="399"/>
        <v>-8.0096156337406512</v>
      </c>
      <c r="BL127" s="297">
        <f>+BJ170</f>
        <v>0.20690003145617594</v>
      </c>
      <c r="BM127" s="287">
        <f>+BJ108/BJ183</f>
        <v>0.21618164682830804</v>
      </c>
      <c r="BN127" s="296">
        <f>(BN108)/BN146</f>
        <v>0.30016681580662585</v>
      </c>
      <c r="BO127" s="191">
        <f t="shared" si="400"/>
        <v>45.078187612651476</v>
      </c>
      <c r="BP127" s="298"/>
      <c r="BQ127" s="44"/>
      <c r="BR127" s="296">
        <f>(BR108)/BR146</f>
        <v>0.15915604537610117</v>
      </c>
      <c r="BS127" s="55">
        <f t="shared" si="401"/>
        <v>-46.977468196007031</v>
      </c>
      <c r="BT127" s="298"/>
      <c r="BU127" s="44"/>
      <c r="BV127" s="296">
        <f>(BV108)/BV146</f>
        <v>0.21474965259285109</v>
      </c>
      <c r="BW127" s="55">
        <f t="shared" si="402"/>
        <v>34.930251681848979</v>
      </c>
      <c r="BX127" s="288"/>
      <c r="BY127" s="44"/>
      <c r="BZ127" s="296">
        <f>(BZ108)/BZ146</f>
        <v>0.31849791376912379</v>
      </c>
      <c r="CA127" s="55">
        <f t="shared" si="403"/>
        <v>48.311259144605678</v>
      </c>
      <c r="CB127" s="299"/>
      <c r="CC127" s="67"/>
      <c r="CD127" s="296">
        <f>(CD108)/CD146</f>
        <v>0.31710709318497915</v>
      </c>
      <c r="CE127" s="55">
        <f t="shared" si="404"/>
        <v>-0.4366812227074246</v>
      </c>
      <c r="CF127" s="289"/>
      <c r="CG127" s="67"/>
      <c r="CH127" s="296">
        <f>(CH108)/CH146</f>
        <v>0.35944700460829493</v>
      </c>
      <c r="CI127" s="55">
        <f t="shared" si="405"/>
        <v>13.351928207615815</v>
      </c>
      <c r="CJ127" s="289"/>
      <c r="CK127" s="67"/>
      <c r="CL127" s="296">
        <f>(CL108)/CL146</f>
        <v>0.34678899082568809</v>
      </c>
      <c r="CM127" s="55">
        <f t="shared" si="406"/>
        <v>-3.5215243472124125</v>
      </c>
      <c r="CN127" s="290">
        <v>35</v>
      </c>
      <c r="CO127" s="67"/>
      <c r="CP127" s="296">
        <f>(CP108)/CP146</f>
        <v>0.49490835030549896</v>
      </c>
      <c r="CQ127" s="55">
        <f t="shared" si="407"/>
        <v>42.711667151585672</v>
      </c>
      <c r="CR127" s="290">
        <v>36</v>
      </c>
      <c r="CS127" s="290"/>
      <c r="CT127" s="296">
        <f>(CT108)/CT146</f>
        <v>0.64059196617336156</v>
      </c>
      <c r="CU127" s="55">
        <f t="shared" ref="CU127:CU132" si="408">IF(CP127&lt;0,"       NM",(CT127/CP127-1)*100)</f>
        <v>29.43648370004961</v>
      </c>
      <c r="CV127" s="290">
        <v>36</v>
      </c>
      <c r="CW127" s="290"/>
      <c r="CX127" s="296">
        <f>(CX108)/CX146</f>
        <v>0.69977426636568851</v>
      </c>
      <c r="CY127" s="55">
        <f t="shared" ref="CY127:CY132" si="409">IF(CT127&lt;0,"       NM",(CX127/CT127-1)*100)</f>
        <v>9.2386891059309093</v>
      </c>
      <c r="CZ127" s="290">
        <v>36</v>
      </c>
      <c r="DA127" s="290"/>
      <c r="DB127" s="296">
        <f>(DB108)/DB146</f>
        <v>0.6441148325358852</v>
      </c>
      <c r="DC127" s="55">
        <f t="shared" ref="DC127:DC132" si="410">IF(CX127&lt;0,"       NM",(DB127/CX127-1)*100)</f>
        <v>-7.9539126408396328</v>
      </c>
      <c r="DD127" s="290">
        <v>36</v>
      </c>
      <c r="DE127" s="290"/>
      <c r="DF127" s="777">
        <f>(DF108)/DF146</f>
        <v>0.59649122807017541</v>
      </c>
      <c r="DG127" s="55">
        <f t="shared" ref="DG127:DG132" si="411">IF(DB127&lt;0,"       NM",(DF127/DB127-1)*100)</f>
        <v>-7.3936512652899573</v>
      </c>
      <c r="DH127" s="290"/>
      <c r="DI127" s="290"/>
      <c r="DJ127" s="777">
        <f>(DJ108)/DJ146</f>
        <v>0.58414141414141407</v>
      </c>
      <c r="DK127" s="55">
        <f t="shared" ref="DK127:DK132" si="412">IF(DF127&lt;0,"       NM",(DJ127/DF127-1)*100)</f>
        <v>-2.0704099821746924</v>
      </c>
      <c r="DL127" s="290"/>
      <c r="DM127" s="290"/>
      <c r="DN127" s="2026">
        <f>(DN108)/DN146</f>
        <v>0.68560724816241703</v>
      </c>
      <c r="DO127" s="191">
        <f t="shared" ref="DO127:DO132" si="413">IF(DJ127&lt;0,"       NM",(DN127/DJ127-1)*100)</f>
        <v>17.370080525815833</v>
      </c>
      <c r="DP127" s="290"/>
      <c r="DQ127" s="410"/>
      <c r="DR127" s="410"/>
      <c r="DS127" s="1429">
        <f>DS126/DR126-1</f>
        <v>2.9355956828559515E-2</v>
      </c>
      <c r="DT127" s="291"/>
      <c r="DU127" s="291"/>
      <c r="DV127" s="292"/>
      <c r="DW127" s="59"/>
      <c r="DX127" s="59"/>
      <c r="DY127" s="59"/>
      <c r="DZ127" s="293"/>
      <c r="EA127" s="292"/>
      <c r="EB127" s="295"/>
      <c r="EC127" s="295"/>
      <c r="ED127" s="295"/>
    </row>
    <row r="128" spans="1:134">
      <c r="A128" s="44" t="str">
        <f>$A$12</f>
        <v>3Q</v>
      </c>
      <c r="B128" s="44" t="str">
        <f>$B$12</f>
        <v>Oct</v>
      </c>
      <c r="C128" s="57"/>
      <c r="D128" s="296"/>
      <c r="E128" s="57"/>
      <c r="F128" s="296">
        <f>F109/F147</f>
        <v>4.9959148979823634E-2</v>
      </c>
      <c r="G128" s="191"/>
      <c r="H128" s="57"/>
      <c r="I128" s="57"/>
      <c r="J128" s="296">
        <f>J109/J147</f>
        <v>7.3686366133164927E-2</v>
      </c>
      <c r="K128" s="191">
        <f t="shared" si="386"/>
        <v>47.493237250545839</v>
      </c>
      <c r="L128" s="57"/>
      <c r="M128" s="57"/>
      <c r="N128" s="296">
        <f>N109/N147</f>
        <v>6.4812855127925728E-2</v>
      </c>
      <c r="O128" s="191">
        <f t="shared" si="387"/>
        <v>-12.042269785977933</v>
      </c>
      <c r="P128" s="57"/>
      <c r="Q128" s="57"/>
      <c r="R128" s="296">
        <f>R109/R147</f>
        <v>8.1860207474625815E-2</v>
      </c>
      <c r="S128" s="191">
        <f t="shared" si="388"/>
        <v>26.302424593165231</v>
      </c>
      <c r="T128" s="57"/>
      <c r="U128" s="57"/>
      <c r="V128" s="296">
        <f>V109/V147</f>
        <v>9.6347458435798589E-2</v>
      </c>
      <c r="W128" s="191">
        <f t="shared" si="389"/>
        <v>17.697549771863684</v>
      </c>
      <c r="X128" s="57"/>
      <c r="Y128" s="57"/>
      <c r="Z128" s="296">
        <f>Z109/Z147</f>
        <v>0.12150406174433574</v>
      </c>
      <c r="AA128" s="191">
        <f t="shared" si="390"/>
        <v>26.110292598221818</v>
      </c>
      <c r="AB128" s="57"/>
      <c r="AC128" s="57"/>
      <c r="AD128" s="296">
        <f>AD109/AD147</f>
        <v>0.14043408467293877</v>
      </c>
      <c r="AE128" s="191">
        <f t="shared" si="391"/>
        <v>15.579744954069819</v>
      </c>
      <c r="AF128" s="57"/>
      <c r="AG128" s="57"/>
      <c r="AH128" s="296">
        <f>AH109/AH147</f>
        <v>0.17879912688670563</v>
      </c>
      <c r="AI128" s="191">
        <f t="shared" si="392"/>
        <v>27.318896479523747</v>
      </c>
      <c r="AJ128" s="57"/>
      <c r="AK128" s="57"/>
      <c r="AL128" s="296">
        <f>AL109/AL147</f>
        <v>0.26530104402397786</v>
      </c>
      <c r="AM128" s="191">
        <f t="shared" si="393"/>
        <v>48.379384532500168</v>
      </c>
      <c r="AN128" s="57"/>
      <c r="AO128" s="57"/>
      <c r="AP128" s="296">
        <f>AP109/AP147</f>
        <v>0.35342551818921258</v>
      </c>
      <c r="AQ128" s="191">
        <f t="shared" si="394"/>
        <v>33.216783782151296</v>
      </c>
      <c r="AR128" s="57"/>
      <c r="AS128" s="57"/>
      <c r="AT128" s="296">
        <f>AT109/AT147</f>
        <v>0.21380709611694676</v>
      </c>
      <c r="AU128" s="191">
        <f t="shared" si="395"/>
        <v>-39.504341052566176</v>
      </c>
      <c r="AV128" s="57"/>
      <c r="AW128" s="57"/>
      <c r="AX128" s="296">
        <f>AX109/AX147</f>
        <v>-0.20736646738504508</v>
      </c>
      <c r="AY128" s="191">
        <f t="shared" si="396"/>
        <v>-196.98764500857408</v>
      </c>
      <c r="AZ128" s="57"/>
      <c r="BA128" s="57"/>
      <c r="BB128" s="296">
        <f>+(BB109+(1-0.47)*((0.0575*1380)/4))/968.163722</f>
        <v>0.15057770879789267</v>
      </c>
      <c r="BC128" s="191" t="str">
        <f t="shared" si="397"/>
        <v xml:space="preserve">       NM</v>
      </c>
      <c r="BD128" s="57"/>
      <c r="BE128" s="57"/>
      <c r="BF128" s="296">
        <f>(BF109+$BF$193)/BF147</f>
        <v>0.27726760473445838</v>
      </c>
      <c r="BG128" s="191">
        <f t="shared" si="398"/>
        <v>84.135890330626893</v>
      </c>
      <c r="BH128" s="297">
        <f>+BF172</f>
        <v>0.27726760473445838</v>
      </c>
      <c r="BI128" s="229" t="str">
        <f>+BG172</f>
        <v>Y</v>
      </c>
      <c r="BJ128" s="296">
        <f>(BJ109+$BF$193)/BJ147</f>
        <v>0.27828781259969565</v>
      </c>
      <c r="BK128" s="191">
        <f t="shared" si="399"/>
        <v>0.36795061803716056</v>
      </c>
      <c r="BL128" s="297">
        <f>+BJ172</f>
        <v>0.27828781259969565</v>
      </c>
      <c r="BM128" s="287">
        <f>+BJ109/BJ185</f>
        <v>0.29394510922575673</v>
      </c>
      <c r="BN128" s="296">
        <f>(BN109)/BN147</f>
        <v>0.2407855608507973</v>
      </c>
      <c r="BO128" s="191">
        <f t="shared" si="400"/>
        <v>-13.476066881464055</v>
      </c>
      <c r="BP128" s="298"/>
      <c r="BQ128" s="44"/>
      <c r="BR128" s="296">
        <f>(BR109)/BR147</f>
        <v>0.23661787406824558</v>
      </c>
      <c r="BS128" s="55">
        <f t="shared" si="401"/>
        <v>-1.7308707248995803</v>
      </c>
      <c r="BT128" s="298"/>
      <c r="BU128" s="44"/>
      <c r="BV128" s="296">
        <f>(BV109)/BV147</f>
        <v>0.30214917825537296</v>
      </c>
      <c r="BW128" s="55">
        <f t="shared" si="402"/>
        <v>27.69499322279718</v>
      </c>
      <c r="BX128" s="288"/>
      <c r="BY128" s="44"/>
      <c r="BZ128" s="296">
        <f>(BZ109)/BZ147</f>
        <v>0.3455056179775281</v>
      </c>
      <c r="CA128" s="55">
        <f t="shared" si="403"/>
        <v>14.349348878755119</v>
      </c>
      <c r="CB128" s="299"/>
      <c r="CC128" s="67"/>
      <c r="CD128" s="296">
        <f>(CD109)/CD147</f>
        <v>0.43607954545454547</v>
      </c>
      <c r="CE128" s="55">
        <f t="shared" si="404"/>
        <v>26.214892830746493</v>
      </c>
      <c r="CF128" s="289"/>
      <c r="CG128" s="67"/>
      <c r="CH128" s="296">
        <f>(CH109)/CH147</f>
        <v>0.48402555910543132</v>
      </c>
      <c r="CI128" s="55">
        <f t="shared" si="405"/>
        <v>10.994786192255269</v>
      </c>
      <c r="CJ128" s="289"/>
      <c r="CK128" s="67"/>
      <c r="CL128" s="296">
        <f>(CL109)/CL147</f>
        <v>0.38217821782178218</v>
      </c>
      <c r="CM128" s="55">
        <f t="shared" si="406"/>
        <v>-21.041727935169753</v>
      </c>
      <c r="CN128" s="290">
        <v>38</v>
      </c>
      <c r="CO128" s="67"/>
      <c r="CP128" s="296">
        <f>(CP109)/CP147</f>
        <v>0.63114754098360659</v>
      </c>
      <c r="CQ128" s="55">
        <f t="shared" si="407"/>
        <v>65.144822899855612</v>
      </c>
      <c r="CR128" s="290">
        <v>47</v>
      </c>
      <c r="CS128" s="290"/>
      <c r="CT128" s="296">
        <f>(CT109)/CT147</f>
        <v>0.72008547008547008</v>
      </c>
      <c r="CU128" s="55">
        <f t="shared" si="408"/>
        <v>14.09146409146409</v>
      </c>
      <c r="CV128" s="290">
        <v>47</v>
      </c>
      <c r="CW128" s="290"/>
      <c r="CX128" s="296">
        <f>(CX109)/CX147</f>
        <v>0.80320366132723109</v>
      </c>
      <c r="CY128" s="55">
        <f t="shared" si="409"/>
        <v>11.542822997372149</v>
      </c>
      <c r="CZ128" s="290">
        <v>47</v>
      </c>
      <c r="DA128" s="290"/>
      <c r="DB128" s="296">
        <f>(DB109)/DB147</f>
        <v>0.62879901960784312</v>
      </c>
      <c r="DC128" s="55">
        <f t="shared" si="410"/>
        <v>-21.713626333724367</v>
      </c>
      <c r="DD128" s="290">
        <v>47</v>
      </c>
      <c r="DE128" s="290"/>
      <c r="DF128" s="777">
        <f>(DF109)/DF147</f>
        <v>0.59499999999999997</v>
      </c>
      <c r="DG128" s="55">
        <f t="shared" si="411"/>
        <v>-5.3751705320600252</v>
      </c>
      <c r="DH128" s="290"/>
      <c r="DI128" s="290"/>
      <c r="DJ128" s="777">
        <v>0.57999999999999996</v>
      </c>
      <c r="DK128" s="55">
        <f t="shared" si="412"/>
        <v>-2.5210084033613467</v>
      </c>
      <c r="DL128" s="1558">
        <f>DF127+DF126</f>
        <v>0.91478696741854626</v>
      </c>
      <c r="DM128" s="290"/>
      <c r="DN128" s="2026">
        <v>0.57999999999999996</v>
      </c>
      <c r="DO128" s="191">
        <f t="shared" si="413"/>
        <v>0</v>
      </c>
      <c r="DP128" s="1558">
        <f>DJ127+DJ126</f>
        <v>0.941641414141414</v>
      </c>
      <c r="DQ128" s="410"/>
      <c r="DR128" s="410"/>
      <c r="DS128" s="55"/>
      <c r="DT128" s="291"/>
      <c r="DU128" s="291"/>
      <c r="DV128" s="292"/>
      <c r="DW128" s="59"/>
      <c r="DX128" s="59"/>
      <c r="DY128" s="59"/>
      <c r="DZ128" s="300"/>
      <c r="EA128" s="292"/>
      <c r="EB128" s="295"/>
      <c r="EC128" s="295"/>
      <c r="ED128" s="295"/>
    </row>
    <row r="129" spans="1:134">
      <c r="A129" s="44" t="str">
        <f>$A$13</f>
        <v>4Q</v>
      </c>
      <c r="B129" s="44" t="str">
        <f>$B$13</f>
        <v>Jan</v>
      </c>
      <c r="C129" s="60"/>
      <c r="D129" s="301"/>
      <c r="E129" s="60"/>
      <c r="F129" s="301">
        <f>F110/F148</f>
        <v>5.9133203351265443E-2</v>
      </c>
      <c r="G129" s="191"/>
      <c r="H129" s="57"/>
      <c r="I129" s="57"/>
      <c r="J129" s="301">
        <f>J110/J148</f>
        <v>8.7291188313200915E-2</v>
      </c>
      <c r="K129" s="191">
        <f t="shared" si="386"/>
        <v>47.617892091301513</v>
      </c>
      <c r="L129" s="57"/>
      <c r="M129" s="57"/>
      <c r="N129" s="301">
        <f>N110/N148</f>
        <v>6.8487391674676157E-2</v>
      </c>
      <c r="O129" s="191">
        <f t="shared" si="387"/>
        <v>-21.541460257198818</v>
      </c>
      <c r="P129" s="57"/>
      <c r="Q129" s="57"/>
      <c r="R129" s="301">
        <f>R110/R148</f>
        <v>0.11281161636209494</v>
      </c>
      <c r="S129" s="191">
        <f t="shared" si="388"/>
        <v>64.718809701447682</v>
      </c>
      <c r="T129" s="57"/>
      <c r="U129" s="57"/>
      <c r="V129" s="301">
        <f>V110/V148</f>
        <v>0.12261983967687567</v>
      </c>
      <c r="W129" s="191">
        <f t="shared" si="389"/>
        <v>8.6943380753440991</v>
      </c>
      <c r="X129" s="57"/>
      <c r="Y129" s="57"/>
      <c r="Z129" s="301">
        <f>Z110/Z148</f>
        <v>0.16030984438581999</v>
      </c>
      <c r="AA129" s="191">
        <f t="shared" si="390"/>
        <v>30.73728102097013</v>
      </c>
      <c r="AB129" s="57"/>
      <c r="AC129" s="57"/>
      <c r="AD129" s="301">
        <f>AD110/AD148</f>
        <v>0.18174420224942761</v>
      </c>
      <c r="AE129" s="191">
        <f t="shared" si="391"/>
        <v>13.370581167817264</v>
      </c>
      <c r="AF129" s="57"/>
      <c r="AG129" s="57"/>
      <c r="AH129" s="301">
        <f>AH110/AH148</f>
        <v>0.23699287590287726</v>
      </c>
      <c r="AI129" s="191">
        <f t="shared" si="392"/>
        <v>30.399139543183786</v>
      </c>
      <c r="AJ129" s="57"/>
      <c r="AK129" s="57"/>
      <c r="AL129" s="301">
        <f>AL110/AL148</f>
        <v>0.35048035845730685</v>
      </c>
      <c r="AM129" s="191">
        <f t="shared" si="393"/>
        <v>47.886453178001112</v>
      </c>
      <c r="AN129" s="57"/>
      <c r="AO129" s="57"/>
      <c r="AP129" s="301">
        <f>AP110/AP148</f>
        <v>0.46577784851180404</v>
      </c>
      <c r="AQ129" s="191">
        <f t="shared" si="394"/>
        <v>32.896990451047479</v>
      </c>
      <c r="AR129" s="57"/>
      <c r="AS129" s="57"/>
      <c r="AT129" s="301">
        <f>AT110/AT148</f>
        <v>0.31117068748650317</v>
      </c>
      <c r="AU129" s="191">
        <f t="shared" si="395"/>
        <v>-33.193326286186128</v>
      </c>
      <c r="AV129" s="57"/>
      <c r="AW129" s="57"/>
      <c r="AX129" s="301">
        <f>AX110/AX148</f>
        <v>-3.9507211942188057E-2</v>
      </c>
      <c r="AY129" s="191">
        <f t="shared" si="396"/>
        <v>-112.69631540853335</v>
      </c>
      <c r="AZ129" s="57"/>
      <c r="BA129" s="57"/>
      <c r="BB129" s="301">
        <f>+(BB110+$BB$193)/BB186</f>
        <v>0.26539731234413988</v>
      </c>
      <c r="BC129" s="191" t="str">
        <f t="shared" si="397"/>
        <v xml:space="preserve">       NM</v>
      </c>
      <c r="BD129" s="57"/>
      <c r="BE129" s="57"/>
      <c r="BF129" s="301">
        <f>(BF110+$BF$193)/BF148</f>
        <v>0.37044680174167766</v>
      </c>
      <c r="BG129" s="191">
        <f t="shared" si="398"/>
        <v>39.581971825442011</v>
      </c>
      <c r="BH129" s="297">
        <f>+BF174</f>
        <v>0.37044680174167766</v>
      </c>
      <c r="BI129" s="229" t="str">
        <f>+BG174</f>
        <v>Y</v>
      </c>
      <c r="BJ129" s="301">
        <f>(BJ110+$BF$193)/BJ148</f>
        <v>0.40329518604327791</v>
      </c>
      <c r="BK129" s="191">
        <f t="shared" si="399"/>
        <v>8.86723387735071</v>
      </c>
      <c r="BL129" s="297">
        <f>+BJ174</f>
        <v>0.40329518604327791</v>
      </c>
      <c r="BM129" s="287">
        <f>+BJ110/BJ187</f>
        <v>0.43370418529927157</v>
      </c>
      <c r="BN129" s="301">
        <f>(BN110)/BN148</f>
        <v>0.38744356497064786</v>
      </c>
      <c r="BO129" s="191">
        <f t="shared" si="400"/>
        <v>-3.930525734301471</v>
      </c>
      <c r="BP129" s="298"/>
      <c r="BQ129" s="44"/>
      <c r="BR129" s="301">
        <f>(BR110)/BR148</f>
        <v>0.28132491804882825</v>
      </c>
      <c r="BS129" s="55">
        <f t="shared" si="401"/>
        <v>-27.389446235830238</v>
      </c>
      <c r="BT129" s="298"/>
      <c r="BU129" s="44"/>
      <c r="BV129" s="301">
        <f>(BV110)/BV148</f>
        <v>0.35380507343124168</v>
      </c>
      <c r="BW129" s="55">
        <f t="shared" si="402"/>
        <v>25.763859058454752</v>
      </c>
      <c r="BX129" s="302"/>
      <c r="BY129" s="44"/>
      <c r="BZ129" s="301">
        <f>(BZ110)/BZ148</f>
        <v>0.34419263456090654</v>
      </c>
      <c r="CA129" s="55">
        <f t="shared" si="403"/>
        <v>-2.7168742316532102</v>
      </c>
      <c r="CB129" s="303"/>
      <c r="CC129" s="67"/>
      <c r="CD129" s="301">
        <f>(CD110)/CD148</f>
        <v>0.50793650793650791</v>
      </c>
      <c r="CE129" s="55">
        <f t="shared" si="404"/>
        <v>47.573322881964828</v>
      </c>
      <c r="CF129" s="289"/>
      <c r="CG129" s="67"/>
      <c r="CH129" s="301">
        <f>(CH110)/CH148</f>
        <v>0.59640522875816993</v>
      </c>
      <c r="CI129" s="55">
        <f t="shared" si="405"/>
        <v>17.417279411764717</v>
      </c>
      <c r="CJ129" s="289"/>
      <c r="CK129" s="67"/>
      <c r="CL129" s="301">
        <f>(CL110)/CL148</f>
        <v>0.44308943089430897</v>
      </c>
      <c r="CM129" s="55">
        <f t="shared" si="406"/>
        <v>-25.706648847310387</v>
      </c>
      <c r="CN129" s="290">
        <v>42</v>
      </c>
      <c r="CO129" s="67"/>
      <c r="CP129" s="301">
        <f>(CP110)/CP148</f>
        <v>0.73277661795407101</v>
      </c>
      <c r="CQ129" s="55">
        <f t="shared" si="407"/>
        <v>65.378943134588496</v>
      </c>
      <c r="CR129" s="290">
        <v>62</v>
      </c>
      <c r="CS129" s="290"/>
      <c r="CT129" s="301">
        <f>(CT110)/CT148</f>
        <v>0.67621145374449343</v>
      </c>
      <c r="CU129" s="55">
        <f t="shared" si="408"/>
        <v>-7.7192916399964844</v>
      </c>
      <c r="CV129" s="290">
        <v>62</v>
      </c>
      <c r="CW129" s="290"/>
      <c r="CX129" s="301">
        <f>(CX110)/CX148</f>
        <v>0.74532710280373837</v>
      </c>
      <c r="CY129" s="55">
        <f t="shared" si="409"/>
        <v>10.221011294103333</v>
      </c>
      <c r="CZ129" s="290">
        <v>62</v>
      </c>
      <c r="DA129" s="290"/>
      <c r="DB129" s="301">
        <f>(DB110)/DB148</f>
        <v>0.57182835820895528</v>
      </c>
      <c r="DC129" s="55">
        <f t="shared" si="410"/>
        <v>-23.278201469143312</v>
      </c>
      <c r="DD129" s="290">
        <v>62</v>
      </c>
      <c r="DE129" s="290"/>
      <c r="DF129" s="1427">
        <f>(DF110)/DF148</f>
        <v>0.51413965087281799</v>
      </c>
      <c r="DG129" s="55">
        <f t="shared" si="411"/>
        <v>-10.088465622241305</v>
      </c>
      <c r="DH129"/>
      <c r="DI129" s="1018"/>
      <c r="DJ129" s="1427">
        <f>(DJ110)/DJ148</f>
        <v>0.6081424936386769</v>
      </c>
      <c r="DK129" s="55">
        <f t="shared" si="412"/>
        <v>18.28352328132581</v>
      </c>
      <c r="DL129" s="1018"/>
      <c r="DM129" s="1566"/>
      <c r="DN129" s="1427">
        <f>(DN110)/DN148</f>
        <v>0.71374205727645712</v>
      </c>
      <c r="DO129" s="191">
        <f t="shared" si="413"/>
        <v>17.364279711149642</v>
      </c>
      <c r="DP129" s="69"/>
      <c r="DQ129" s="1004"/>
      <c r="DR129" s="410"/>
      <c r="DS129" s="298"/>
      <c r="DT129" s="291"/>
      <c r="DU129" s="291"/>
      <c r="DV129" s="292"/>
      <c r="DW129" s="59"/>
      <c r="DX129" s="59"/>
      <c r="DY129" s="59"/>
      <c r="DZ129" s="304"/>
      <c r="EA129" s="305"/>
      <c r="EB129" s="295"/>
      <c r="EC129" s="295"/>
      <c r="ED129" s="295"/>
    </row>
    <row r="130" spans="1:134">
      <c r="A130" s="44"/>
      <c r="B130" s="44" t="str">
        <f>$B$14</f>
        <v>Year</v>
      </c>
      <c r="C130" s="57"/>
      <c r="D130" s="285"/>
      <c r="E130" s="57"/>
      <c r="F130" s="285">
        <f>F111/F149</f>
        <v>0.15131213191990575</v>
      </c>
      <c r="G130" s="191"/>
      <c r="H130" s="57"/>
      <c r="I130" s="57"/>
      <c r="J130" s="285">
        <f>J111/J149</f>
        <v>0.23958955437779142</v>
      </c>
      <c r="K130" s="191">
        <f t="shared" si="386"/>
        <v>58.341272003631332</v>
      </c>
      <c r="L130" s="57"/>
      <c r="M130" s="57"/>
      <c r="N130" s="285">
        <f>N111/N149</f>
        <v>0.21926368544395733</v>
      </c>
      <c r="O130" s="191">
        <f t="shared" si="387"/>
        <v>-8.4836206597653678</v>
      </c>
      <c r="P130" s="57"/>
      <c r="Q130" s="57"/>
      <c r="R130" s="285">
        <f>R111/R149</f>
        <v>0.26776622987730431</v>
      </c>
      <c r="S130" s="191">
        <f t="shared" si="388"/>
        <v>22.120646351054774</v>
      </c>
      <c r="T130" s="57"/>
      <c r="U130" s="57"/>
      <c r="V130" s="285">
        <f>V111/V149</f>
        <v>0.32975265194136733</v>
      </c>
      <c r="W130" s="191">
        <f t="shared" si="389"/>
        <v>23.149454691305316</v>
      </c>
      <c r="X130" s="57"/>
      <c r="Y130" s="57"/>
      <c r="Z130" s="285">
        <f>Z111/Z149</f>
        <v>0.36785445122787114</v>
      </c>
      <c r="AA130" s="191">
        <f t="shared" si="390"/>
        <v>11.554660459039656</v>
      </c>
      <c r="AB130" s="57"/>
      <c r="AC130" s="57"/>
      <c r="AD130" s="285">
        <f>AD111/AD149</f>
        <v>0.47106507882038484</v>
      </c>
      <c r="AE130" s="191">
        <f t="shared" si="391"/>
        <v>28.057463284188678</v>
      </c>
      <c r="AF130" s="57"/>
      <c r="AG130" s="57"/>
      <c r="AH130" s="285">
        <f>AH111/AH149</f>
        <v>0.57846758924435837</v>
      </c>
      <c r="AI130" s="191">
        <f t="shared" si="392"/>
        <v>22.7999304667043</v>
      </c>
      <c r="AJ130" s="57"/>
      <c r="AK130" s="57"/>
      <c r="AL130" s="285">
        <f>AL111/AL149</f>
        <v>0.91173549688305255</v>
      </c>
      <c r="AM130" s="191">
        <f t="shared" si="393"/>
        <v>57.612200551120928</v>
      </c>
      <c r="AN130" s="57"/>
      <c r="AO130" s="57"/>
      <c r="AP130" s="285">
        <f>AP111/AP149</f>
        <v>1.252233587979124</v>
      </c>
      <c r="AQ130" s="191">
        <f t="shared" si="394"/>
        <v>37.34614833579819</v>
      </c>
      <c r="AR130" s="57"/>
      <c r="AS130" s="57"/>
      <c r="AT130" s="285">
        <f>AT111/AT149</f>
        <v>0.9991326113018667</v>
      </c>
      <c r="AU130" s="191">
        <f t="shared" si="395"/>
        <v>-20.211961977933846</v>
      </c>
      <c r="AV130" s="57"/>
      <c r="AW130" s="57"/>
      <c r="AX130" s="285">
        <f>AX111/AX149</f>
        <v>-8.9168924741822118E-3</v>
      </c>
      <c r="AY130" s="191">
        <f t="shared" si="396"/>
        <v>-100.89246336005021</v>
      </c>
      <c r="AZ130" s="57"/>
      <c r="BA130" s="57"/>
      <c r="BB130" s="285">
        <f>BB111/BB149</f>
        <v>0.54165510729181254</v>
      </c>
      <c r="BC130" s="191" t="str">
        <f t="shared" si="397"/>
        <v xml:space="preserve">       NM</v>
      </c>
      <c r="BD130" s="57"/>
      <c r="BE130" s="57"/>
      <c r="BF130" s="285">
        <f>(BF111+BF193*4)/BF149</f>
        <v>1.0935522490379741</v>
      </c>
      <c r="BG130" s="191">
        <f t="shared" si="398"/>
        <v>101.89087748208587</v>
      </c>
      <c r="BH130" s="286">
        <f>SUM(BH126:BH129)</f>
        <v>1.0926289983740582</v>
      </c>
      <c r="BI130" s="229" t="str">
        <f>+BG176</f>
        <v>Y</v>
      </c>
      <c r="BJ130" s="285">
        <f>(BJ111+$BF$193*4)/BJ149</f>
        <v>1.2109944833732347</v>
      </c>
      <c r="BK130" s="191">
        <f t="shared" si="399"/>
        <v>10.739517424848932</v>
      </c>
      <c r="BL130" s="286">
        <f>SUM(BL126:BL129)</f>
        <v>1.2144580215291807</v>
      </c>
      <c r="BM130" s="287">
        <f>SUM(BM126:BM129)</f>
        <v>1.2915744077528113</v>
      </c>
      <c r="BN130" s="285">
        <f>(BN111)/BN149</f>
        <v>1.2330872231814924</v>
      </c>
      <c r="BO130" s="191">
        <f>IF(BJ130&lt;0,"       NM",(BN130/BJ130-1)*100)</f>
        <v>1.8243468580235289</v>
      </c>
      <c r="BP130" s="296"/>
      <c r="BQ130" s="44"/>
      <c r="BR130" s="285">
        <f>(BR111)/BR149</f>
        <v>0.96793181818181817</v>
      </c>
      <c r="BS130" s="55">
        <f t="shared" si="401"/>
        <v>-21.503377864507101</v>
      </c>
      <c r="BT130" s="223"/>
      <c r="BU130" s="44"/>
      <c r="BV130" s="285">
        <f>(BV111)/BV149</f>
        <v>1.1238167002518893</v>
      </c>
      <c r="BW130" s="55">
        <f t="shared" si="402"/>
        <v>16.104944495252592</v>
      </c>
      <c r="BX130" s="306"/>
      <c r="BY130" s="44"/>
      <c r="BZ130" s="285">
        <f>(BZ111)/BZ149</f>
        <v>1.344923504867872</v>
      </c>
      <c r="CA130" s="55">
        <f t="shared" si="403"/>
        <v>19.674632399253756</v>
      </c>
      <c r="CB130" s="303"/>
      <c r="CC130" s="67"/>
      <c r="CD130" s="285">
        <f>(CD111)/CD149</f>
        <v>1.5765379113018598</v>
      </c>
      <c r="CE130" s="55">
        <f t="shared" si="404"/>
        <v>17.221381409104165</v>
      </c>
      <c r="CF130" s="303"/>
      <c r="CG130" s="67"/>
      <c r="CH130" s="285">
        <f>(CH111)/CH149</f>
        <v>1.8783151326053042</v>
      </c>
      <c r="CI130" s="55">
        <f t="shared" si="405"/>
        <v>19.14176748558145</v>
      </c>
      <c r="CJ130" s="303"/>
      <c r="CK130" s="67"/>
      <c r="CL130" s="285">
        <f>(CL111)/CL149</f>
        <v>1.5628517823639776</v>
      </c>
      <c r="CM130" s="55">
        <f t="shared" si="406"/>
        <v>-16.795017234608835</v>
      </c>
      <c r="CN130" s="307">
        <f>SUM(CN126:CN129)</f>
        <v>155</v>
      </c>
      <c r="CO130" s="67"/>
      <c r="CP130" s="285">
        <f>(CP111)/CP149</f>
        <v>2.3258196721311477</v>
      </c>
      <c r="CQ130" s="55">
        <f t="shared" si="407"/>
        <v>48.818953811032607</v>
      </c>
      <c r="CR130" s="307">
        <f>SUM(CR126:CR129)</f>
        <v>185</v>
      </c>
      <c r="CS130" s="307"/>
      <c r="CT130" s="285">
        <f>(CT111)/CT149</f>
        <v>2.7438370846730975</v>
      </c>
      <c r="CU130" s="55">
        <f t="shared" si="408"/>
        <v>17.972907252904967</v>
      </c>
      <c r="CV130" s="307">
        <f>SUM(CV126:CV129)</f>
        <v>185</v>
      </c>
      <c r="CW130" s="307"/>
      <c r="CX130" s="285">
        <f>(CX111)/CX149</f>
        <v>2.8213879408418658</v>
      </c>
      <c r="CY130" s="55">
        <f t="shared" si="409"/>
        <v>2.8263651877133089</v>
      </c>
      <c r="CZ130" s="307">
        <f>SUM(CZ126:CZ129)</f>
        <v>185</v>
      </c>
      <c r="DA130" s="307"/>
      <c r="DB130" s="285">
        <f>(DB111)/DB149</f>
        <v>2.425871670702179</v>
      </c>
      <c r="DC130" s="55">
        <f t="shared" si="410"/>
        <v>-14.018500058580031</v>
      </c>
      <c r="DD130" s="307">
        <f>SUM(DD126:DD129)</f>
        <v>185</v>
      </c>
      <c r="DE130" s="307"/>
      <c r="DF130" s="777">
        <f>(DF111)/DF149</f>
        <v>2.0229250000000003</v>
      </c>
      <c r="DG130" s="55">
        <f t="shared" si="411"/>
        <v>-16.610386920654552</v>
      </c>
      <c r="DH130" s="307"/>
      <c r="DI130" s="307"/>
      <c r="DJ130" s="777">
        <f>(DJ111)/DJ149</f>
        <v>2.1297597977243994</v>
      </c>
      <c r="DK130" s="55">
        <f t="shared" si="412"/>
        <v>5.281204084402491</v>
      </c>
      <c r="DL130" s="307"/>
      <c r="DM130" s="307"/>
      <c r="DN130" s="2026">
        <f>(DN111)/DN149</f>
        <v>2.554552679735036</v>
      </c>
      <c r="DO130" s="191">
        <f t="shared" si="413"/>
        <v>19.945577077026154</v>
      </c>
      <c r="DP130" s="307"/>
      <c r="DQ130" s="411"/>
      <c r="DR130" s="411"/>
      <c r="DS130" s="285"/>
      <c r="DT130" s="411"/>
      <c r="DU130" s="308"/>
      <c r="DV130" s="292"/>
      <c r="DW130" s="59"/>
      <c r="DX130" s="59"/>
      <c r="DY130" s="59"/>
      <c r="DZ130" s="288"/>
      <c r="EA130" s="309"/>
      <c r="EB130" s="295"/>
      <c r="EC130" s="295"/>
      <c r="ED130" s="295"/>
    </row>
    <row r="131" spans="1:134" hidden="1" outlineLevel="1">
      <c r="A131" s="44" t="str">
        <f>$A$15</f>
        <v>6 Mos</v>
      </c>
      <c r="B131" s="44"/>
      <c r="C131" s="57"/>
      <c r="D131" s="296"/>
      <c r="E131" s="57"/>
      <c r="F131" s="296">
        <f>SUM(F126:F127)</f>
        <v>4.2281561479519766E-2</v>
      </c>
      <c r="G131" s="191"/>
      <c r="H131" s="57"/>
      <c r="I131" s="57"/>
      <c r="J131" s="296">
        <f>SUM(J126:J127)</f>
        <v>7.8469515903790643E-2</v>
      </c>
      <c r="K131" s="191">
        <f t="shared" si="386"/>
        <v>85.588027400074878</v>
      </c>
      <c r="L131" s="57"/>
      <c r="M131" s="57"/>
      <c r="N131" s="296">
        <f>SUM(N126:N127)</f>
        <v>8.6632177041368247E-2</v>
      </c>
      <c r="O131" s="191">
        <f t="shared" si="387"/>
        <v>10.402334006476632</v>
      </c>
      <c r="P131" s="57"/>
      <c r="Q131" s="57"/>
      <c r="R131" s="296">
        <f>SUM(R126:R127)</f>
        <v>7.2963148234699973E-2</v>
      </c>
      <c r="S131" s="191">
        <f t="shared" si="388"/>
        <v>-15.77823537799482</v>
      </c>
      <c r="T131" s="57"/>
      <c r="U131" s="57"/>
      <c r="V131" s="296">
        <f>SUM(V126:V127)</f>
        <v>0.11091621832089418</v>
      </c>
      <c r="W131" s="191">
        <f t="shared" si="389"/>
        <v>52.016766003724072</v>
      </c>
      <c r="X131" s="57"/>
      <c r="Y131" s="57"/>
      <c r="Z131" s="296">
        <f>SUM(Z126:Z127)</f>
        <v>8.6199250951024986E-2</v>
      </c>
      <c r="AA131" s="191">
        <f t="shared" si="390"/>
        <v>-22.284358179576579</v>
      </c>
      <c r="AB131" s="57"/>
      <c r="AC131" s="57"/>
      <c r="AD131" s="296">
        <f>SUM(AD126:AD127)</f>
        <v>0.15138562078068218</v>
      </c>
      <c r="AE131" s="191">
        <f t="shared" si="391"/>
        <v>75.622895919006908</v>
      </c>
      <c r="AF131" s="57"/>
      <c r="AG131" s="57"/>
      <c r="AH131" s="296">
        <f>SUM(AH126:AH127)</f>
        <v>0.16592959761145959</v>
      </c>
      <c r="AI131" s="191">
        <f t="shared" si="392"/>
        <v>9.6072379634045912</v>
      </c>
      <c r="AJ131" s="57"/>
      <c r="AK131" s="57"/>
      <c r="AL131" s="296">
        <f>SUM(AL126:AL127)</f>
        <v>0.29897819080104637</v>
      </c>
      <c r="AM131" s="191">
        <f t="shared" si="393"/>
        <v>80.183761730763138</v>
      </c>
      <c r="AN131" s="57"/>
      <c r="AO131" s="57"/>
      <c r="AP131" s="296">
        <f>SUM(AP126:AP127)</f>
        <v>0.4426766201253175</v>
      </c>
      <c r="AQ131" s="191">
        <f t="shared" si="394"/>
        <v>48.063181110054472</v>
      </c>
      <c r="AR131" s="57"/>
      <c r="AS131" s="57"/>
      <c r="AT131" s="296">
        <f>SUM(AT126:AT127)</f>
        <v>0.47414121587365599</v>
      </c>
      <c r="AU131" s="191">
        <f t="shared" si="395"/>
        <v>7.1078060864003145</v>
      </c>
      <c r="AV131" s="57"/>
      <c r="AW131" s="57"/>
      <c r="AX131" s="296">
        <f>SUM(AX126:AX127)</f>
        <v>0.23341261870861429</v>
      </c>
      <c r="AY131" s="191">
        <f t="shared" si="396"/>
        <v>-50.771497837721924</v>
      </c>
      <c r="AZ131" s="57"/>
      <c r="BA131" s="57"/>
      <c r="BB131" s="296">
        <f>SUM(BB126:BB127)</f>
        <v>0.10673734878268168</v>
      </c>
      <c r="BC131" s="191">
        <f t="shared" si="397"/>
        <v>-54.270960424839089</v>
      </c>
      <c r="BD131" s="57"/>
      <c r="BE131" s="57"/>
      <c r="BF131" s="296">
        <f>SUM(BF126:BF127)</f>
        <v>0.44491459189792221</v>
      </c>
      <c r="BG131" s="191">
        <f t="shared" si="398"/>
        <v>316.83121884896428</v>
      </c>
      <c r="BH131" s="286">
        <f>+BF176</f>
        <v>1.1047438420195455</v>
      </c>
      <c r="BI131" s="229" t="s">
        <v>285</v>
      </c>
      <c r="BJ131" s="296">
        <f>SUM(BJ126:BJ127)</f>
        <v>0.53287502288620725</v>
      </c>
      <c r="BK131" s="191">
        <f t="shared" si="399"/>
        <v>19.770183444211685</v>
      </c>
      <c r="BL131" s="286">
        <f>+BJ176</f>
        <v>1.2260331830397257</v>
      </c>
      <c r="BM131" s="229"/>
      <c r="BN131" s="296">
        <f>SUM(BN126:BN127)</f>
        <v>0.6062532022786149</v>
      </c>
      <c r="BO131" s="191">
        <f t="shared" si="400"/>
        <v>13.770241846759856</v>
      </c>
      <c r="BP131" s="288"/>
      <c r="BQ131" s="44"/>
      <c r="BR131" s="310">
        <f>SUM(BR126:BR127)</f>
        <v>0.44755790390440603</v>
      </c>
      <c r="BS131" s="55">
        <f t="shared" si="401"/>
        <v>-26.176405795095082</v>
      </c>
      <c r="BT131" s="288"/>
      <c r="BU131" s="44"/>
      <c r="BV131" s="310">
        <f>SUM(BV126:BV127)</f>
        <v>0.47481456180057768</v>
      </c>
      <c r="BW131" s="55">
        <f t="shared" si="402"/>
        <v>6.0900852511797998</v>
      </c>
      <c r="BX131" s="288"/>
      <c r="BY131" s="44"/>
      <c r="BZ131" s="310">
        <f>SUM(BZ126:BZ127)</f>
        <v>0.65681313116042817</v>
      </c>
      <c r="CA131" s="55">
        <f t="shared" si="403"/>
        <v>38.330452349582721</v>
      </c>
      <c r="CB131" s="288"/>
      <c r="CC131" s="44"/>
      <c r="CD131" s="310">
        <f>SUM(CD126:CD127)</f>
        <v>0.62557194253935511</v>
      </c>
      <c r="CE131" s="55">
        <f t="shared" si="404"/>
        <v>-4.75648051765919</v>
      </c>
      <c r="CF131" s="288"/>
      <c r="CG131" s="44"/>
      <c r="CH131" s="310">
        <f>SUM(CH126:CH127)</f>
        <v>0.80619256673847239</v>
      </c>
      <c r="CI131" s="55">
        <f t="shared" si="405"/>
        <v>28.872878068337336</v>
      </c>
      <c r="CJ131" s="288"/>
      <c r="CK131" s="44"/>
      <c r="CL131" s="310">
        <f>SUM(CL126:CL127)</f>
        <v>0.74304749422704863</v>
      </c>
      <c r="CM131" s="55">
        <f t="shared" si="406"/>
        <v>-7.832504927065143</v>
      </c>
      <c r="CN131" s="288"/>
      <c r="CO131" s="44"/>
      <c r="CP131" s="310">
        <f>SUM(CP126:CP127)</f>
        <v>0.9665682693338391</v>
      </c>
      <c r="CQ131" s="55">
        <f t="shared" si="407"/>
        <v>30.081626927402105</v>
      </c>
      <c r="CR131" s="288"/>
      <c r="CS131" s="59"/>
      <c r="CT131" s="310">
        <f>SUM(CT126:CT127)</f>
        <v>1.3475983356001131</v>
      </c>
      <c r="CU131" s="55">
        <f t="shared" si="408"/>
        <v>39.420916075476043</v>
      </c>
      <c r="CV131" s="288"/>
      <c r="CW131" s="59"/>
      <c r="CX131" s="310">
        <f>SUM(CX126:CX127)</f>
        <v>1.2762709404233381</v>
      </c>
      <c r="CY131" s="55">
        <f t="shared" si="409"/>
        <v>-5.2929269272962927</v>
      </c>
      <c r="CZ131" s="288"/>
      <c r="DA131" s="59"/>
      <c r="DB131" s="310">
        <f>SUM(DB126:DB127)</f>
        <v>1.2248223797056965</v>
      </c>
      <c r="DC131" s="55">
        <f t="shared" si="410"/>
        <v>-4.031162905000107</v>
      </c>
      <c r="DD131" s="288"/>
      <c r="DE131" s="59"/>
      <c r="DF131" s="310">
        <f>SUM(DF126:DF127)</f>
        <v>0.91478696741854626</v>
      </c>
      <c r="DG131" s="55">
        <f t="shared" si="411"/>
        <v>-25.312683489800889</v>
      </c>
      <c r="DH131" s="288"/>
      <c r="DI131" s="288"/>
      <c r="DJ131" s="310">
        <f>SUM(DJ126:DJ127)</f>
        <v>0.941641414141414</v>
      </c>
      <c r="DK131" s="55">
        <f t="shared" si="412"/>
        <v>2.9355956828559515</v>
      </c>
      <c r="DL131" s="288"/>
      <c r="DM131" s="288"/>
      <c r="DN131" s="296">
        <f>SUM(DN126:DN127)</f>
        <v>1.161913131355474</v>
      </c>
      <c r="DO131" s="191">
        <f t="shared" si="413"/>
        <v>23.392314091761058</v>
      </c>
      <c r="DP131" s="288"/>
      <c r="DQ131" s="59"/>
      <c r="DR131" s="59"/>
      <c r="DS131" s="59"/>
      <c r="DT131" s="59"/>
      <c r="DU131" s="59"/>
      <c r="DV131" s="59"/>
      <c r="DW131" s="59"/>
      <c r="DX131" s="59"/>
      <c r="DY131" s="59"/>
      <c r="DZ131" s="60"/>
      <c r="EA131" s="63"/>
      <c r="EB131" s="311"/>
      <c r="EC131" s="311"/>
      <c r="ED131" s="311"/>
    </row>
    <row r="132" spans="1:134" hidden="1" outlineLevel="1">
      <c r="A132" s="44" t="str">
        <f>$A$16</f>
        <v>9 Mos</v>
      </c>
      <c r="B132" s="44"/>
      <c r="C132" s="57"/>
      <c r="D132" s="296"/>
      <c r="E132" s="57"/>
      <c r="F132" s="296">
        <f>SUM(F126:F128)</f>
        <v>9.22407104593434E-2</v>
      </c>
      <c r="G132" s="191"/>
      <c r="H132" s="57"/>
      <c r="I132" s="57"/>
      <c r="J132" s="296">
        <f>SUM(J126:J128)</f>
        <v>0.15215588203695557</v>
      </c>
      <c r="K132" s="191">
        <f t="shared" si="386"/>
        <v>64.955236445214453</v>
      </c>
      <c r="L132" s="57"/>
      <c r="M132" s="57"/>
      <c r="N132" s="296">
        <f>SUM(N126:N128)</f>
        <v>0.15144503216929397</v>
      </c>
      <c r="O132" s="191">
        <f t="shared" si="387"/>
        <v>-0.46718526957041373</v>
      </c>
      <c r="P132" s="57"/>
      <c r="Q132" s="57"/>
      <c r="R132" s="296">
        <f>SUM(R126:R128)</f>
        <v>0.15482335570932579</v>
      </c>
      <c r="S132" s="191">
        <f t="shared" si="388"/>
        <v>2.230725888885754</v>
      </c>
      <c r="T132" s="57"/>
      <c r="U132" s="57"/>
      <c r="V132" s="296">
        <f>SUM(V126:V128)</f>
        <v>0.20726367675669277</v>
      </c>
      <c r="W132" s="191">
        <f t="shared" si="389"/>
        <v>33.871066033358318</v>
      </c>
      <c r="X132" s="57"/>
      <c r="Y132" s="57"/>
      <c r="Z132" s="296">
        <f>SUM(Z126:Z128)</f>
        <v>0.20770331269536074</v>
      </c>
      <c r="AA132" s="191">
        <f t="shared" si="390"/>
        <v>0.21211432005234787</v>
      </c>
      <c r="AB132" s="57"/>
      <c r="AC132" s="57"/>
      <c r="AD132" s="296">
        <f>SUM(AD126:AD128)</f>
        <v>0.29181970545362096</v>
      </c>
      <c r="AE132" s="191">
        <f t="shared" si="391"/>
        <v>40.498339514514178</v>
      </c>
      <c r="AF132" s="57"/>
      <c r="AG132" s="57"/>
      <c r="AH132" s="296">
        <f>SUM(AH126:AH128)</f>
        <v>0.34472872449816522</v>
      </c>
      <c r="AI132" s="191">
        <f t="shared" si="392"/>
        <v>18.130721831241491</v>
      </c>
      <c r="AJ132" s="57"/>
      <c r="AK132" s="57"/>
      <c r="AL132" s="296">
        <f>SUM(AL126:AL128)</f>
        <v>0.56427923482502429</v>
      </c>
      <c r="AM132" s="191">
        <f t="shared" si="393"/>
        <v>63.687907251264633</v>
      </c>
      <c r="AN132" s="57"/>
      <c r="AO132" s="57"/>
      <c r="AP132" s="296">
        <f>SUM(AP126:AP128)</f>
        <v>0.79610213831453014</v>
      </c>
      <c r="AQ132" s="191">
        <f t="shared" si="394"/>
        <v>41.083011598218945</v>
      </c>
      <c r="AR132" s="57"/>
      <c r="AS132" s="57"/>
      <c r="AT132" s="296">
        <f>SUM(AT126:AT128)</f>
        <v>0.68794831199060269</v>
      </c>
      <c r="AU132" s="191">
        <f t="shared" si="395"/>
        <v>-13.58542090502427</v>
      </c>
      <c r="AV132" s="57"/>
      <c r="AW132" s="57"/>
      <c r="AX132" s="296">
        <f>SUM(AX126:AX128)</f>
        <v>2.6046151323569217E-2</v>
      </c>
      <c r="AY132" s="191">
        <f t="shared" si="396"/>
        <v>-96.213937752357623</v>
      </c>
      <c r="AZ132" s="57"/>
      <c r="BA132" s="57"/>
      <c r="BB132" s="296">
        <f>SUM(BB126:BB128)</f>
        <v>0.25731505758057438</v>
      </c>
      <c r="BC132" s="191">
        <f t="shared" si="397"/>
        <v>887.91969064438877</v>
      </c>
      <c r="BD132" s="57"/>
      <c r="BE132" s="57"/>
      <c r="BF132" s="296">
        <f>SUM(BF126:BF128)</f>
        <v>0.72218219663238059</v>
      </c>
      <c r="BG132" s="191">
        <f t="shared" si="398"/>
        <v>180.66068244227799</v>
      </c>
      <c r="BH132" s="57"/>
      <c r="BI132" s="57"/>
      <c r="BJ132" s="296">
        <f>SUM(BJ126:BJ128)</f>
        <v>0.81116283548590284</v>
      </c>
      <c r="BK132" s="191">
        <f t="shared" si="399"/>
        <v>12.321078983731425</v>
      </c>
      <c r="BL132" s="57"/>
      <c r="BM132" s="57"/>
      <c r="BN132" s="296">
        <f>SUM(BN126:BN128)</f>
        <v>0.84703876312941218</v>
      </c>
      <c r="BO132" s="191">
        <f t="shared" si="400"/>
        <v>4.4227775329498398</v>
      </c>
      <c r="BP132" s="57"/>
      <c r="BQ132" s="44"/>
      <c r="BR132" s="310">
        <f>SUM(BR126:BR128)</f>
        <v>0.68417577797265161</v>
      </c>
      <c r="BS132" s="55">
        <f t="shared" si="401"/>
        <v>-19.227335541889246</v>
      </c>
      <c r="BT132" s="44"/>
      <c r="BU132" s="44"/>
      <c r="BV132" s="310">
        <f>SUM(BV126:BV128)</f>
        <v>0.77696374005595059</v>
      </c>
      <c r="BW132" s="55">
        <f t="shared" si="402"/>
        <v>13.562006295845208</v>
      </c>
      <c r="BX132" s="44"/>
      <c r="BY132" s="44"/>
      <c r="BZ132" s="310">
        <f>SUM(BZ126:BZ128)</f>
        <v>1.0023187491379564</v>
      </c>
      <c r="CA132" s="55">
        <f t="shared" si="403"/>
        <v>29.004572216687684</v>
      </c>
      <c r="CB132" s="44"/>
      <c r="CC132" s="44"/>
      <c r="CD132" s="310">
        <f>SUM(CD126:CD128)</f>
        <v>1.0616514879939005</v>
      </c>
      <c r="CE132" s="55">
        <f t="shared" si="404"/>
        <v>5.9195479389139605</v>
      </c>
      <c r="CF132" s="44"/>
      <c r="CG132" s="44"/>
      <c r="CH132" s="310">
        <f>SUM(CH126:CH128)</f>
        <v>1.2902181258439036</v>
      </c>
      <c r="CI132" s="55">
        <f t="shared" si="405"/>
        <v>21.529347477476168</v>
      </c>
      <c r="CJ132" s="44"/>
      <c r="CK132" s="44"/>
      <c r="CL132" s="310">
        <f>SUM(CL126:CL128)</f>
        <v>1.1252257120488309</v>
      </c>
      <c r="CM132" s="55">
        <f t="shared" si="406"/>
        <v>-12.787947285049551</v>
      </c>
      <c r="CN132" s="44"/>
      <c r="CO132" s="44"/>
      <c r="CP132" s="310">
        <f>SUM(CP126:CP128)</f>
        <v>1.5977158103174456</v>
      </c>
      <c r="CQ132" s="55">
        <f t="shared" si="407"/>
        <v>41.990695129806113</v>
      </c>
      <c r="CR132" s="44"/>
      <c r="CS132" s="59"/>
      <c r="CT132" s="310">
        <f>SUM(CT126:CT128)</f>
        <v>2.0676838056855833</v>
      </c>
      <c r="CU132" s="55">
        <f t="shared" si="408"/>
        <v>29.414993100353758</v>
      </c>
      <c r="CV132" s="44"/>
      <c r="CW132" s="59"/>
      <c r="CX132" s="310">
        <f>SUM(CX126:CX128)</f>
        <v>2.0794746017505692</v>
      </c>
      <c r="CY132" s="55">
        <f t="shared" si="409"/>
        <v>0.5702417377630109</v>
      </c>
      <c r="CZ132" s="44"/>
      <c r="DA132" s="59"/>
      <c r="DB132" s="310">
        <f>SUM(DB126:DB128)</f>
        <v>1.8536213993135395</v>
      </c>
      <c r="DC132" s="55">
        <f t="shared" si="410"/>
        <v>-10.861070495734793</v>
      </c>
      <c r="DD132" s="44"/>
      <c r="DE132" s="59"/>
      <c r="DF132" s="310">
        <f>SUM(DF126:DF128)</f>
        <v>1.5097869674185462</v>
      </c>
      <c r="DG132" s="55">
        <f t="shared" si="411"/>
        <v>-18.549334401422378</v>
      </c>
      <c r="DH132" s="44"/>
      <c r="DI132" s="44"/>
      <c r="DJ132" s="310">
        <f>SUM(DJ126:DJ128)</f>
        <v>1.5216414141414139</v>
      </c>
      <c r="DK132" s="55">
        <f t="shared" si="412"/>
        <v>0.78517347007813765</v>
      </c>
      <c r="DL132" s="44"/>
      <c r="DM132" s="44"/>
      <c r="DN132" s="296">
        <f>SUM(DN126:DN128)</f>
        <v>1.7419131313554739</v>
      </c>
      <c r="DO132" s="191">
        <f t="shared" si="413"/>
        <v>14.475928110720382</v>
      </c>
      <c r="DP132" s="57"/>
      <c r="DQ132" s="59"/>
      <c r="DR132" s="59"/>
      <c r="DS132" s="59"/>
      <c r="DT132" s="59"/>
      <c r="DU132" s="59"/>
      <c r="DV132" s="59"/>
      <c r="DW132" s="59"/>
      <c r="DX132" s="59"/>
      <c r="DY132" s="59"/>
      <c r="DZ132" s="59"/>
      <c r="EA132" s="63"/>
      <c r="EB132" s="311"/>
      <c r="EC132" s="311"/>
      <c r="ED132" s="311"/>
    </row>
    <row r="133" spans="1:134" ht="12" customHeight="1" collapsed="1">
      <c r="A133" s="44"/>
      <c r="B133" s="44"/>
      <c r="C133" s="57"/>
      <c r="D133" s="57"/>
      <c r="E133" s="57"/>
      <c r="F133" s="57"/>
      <c r="G133" s="57"/>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c r="AE133" s="57"/>
      <c r="AF133" s="57"/>
      <c r="AG133" s="57"/>
      <c r="AH133" s="57"/>
      <c r="AI133" s="57"/>
      <c r="AJ133" s="57"/>
      <c r="AK133" s="57"/>
      <c r="AL133" s="57"/>
      <c r="AM133" s="57"/>
      <c r="AN133" s="57"/>
      <c r="AO133" s="57"/>
      <c r="AP133" s="57"/>
      <c r="AQ133" s="57"/>
      <c r="AR133" s="57"/>
      <c r="AS133" s="57"/>
      <c r="AT133" s="57"/>
      <c r="AU133" s="57"/>
      <c r="AV133" s="57"/>
      <c r="AW133" s="57"/>
      <c r="AX133" s="57"/>
      <c r="AY133" s="57"/>
      <c r="AZ133" s="57"/>
      <c r="BA133" s="57"/>
      <c r="BB133" s="296">
        <f>+(BB110+(1-0.47)*((0.0575*1380)/4))/BB148</f>
        <v>0.26539731234413988</v>
      </c>
      <c r="BC133" s="57"/>
      <c r="BD133" s="57"/>
      <c r="BE133" s="57"/>
      <c r="BF133" s="57"/>
      <c r="BG133" s="57"/>
      <c r="BH133" s="57"/>
      <c r="BI133" s="57"/>
      <c r="BJ133" s="57"/>
      <c r="BK133" s="57"/>
      <c r="BL133" s="57"/>
      <c r="BM133" s="57"/>
      <c r="BN133" s="312"/>
      <c r="BO133" s="57"/>
      <c r="BP133" s="57"/>
      <c r="BQ133" s="44"/>
      <c r="BR133" s="54"/>
      <c r="BS133" s="44"/>
      <c r="BT133" s="310"/>
      <c r="BU133" s="44"/>
      <c r="BV133" s="285"/>
      <c r="BW133" s="223"/>
      <c r="BX133" s="44"/>
      <c r="BY133" s="44"/>
      <c r="BZ133" s="285"/>
      <c r="CA133" s="223"/>
      <c r="CB133" s="44"/>
      <c r="CC133" s="44"/>
      <c r="CD133" s="285"/>
      <c r="CE133" s="223"/>
      <c r="CF133" s="44"/>
      <c r="CG133" s="44"/>
      <c r="CH133" s="313"/>
      <c r="CI133" s="223"/>
      <c r="CJ133" s="44"/>
      <c r="CK133" s="44"/>
      <c r="CL133" s="55"/>
      <c r="CM133" s="223"/>
      <c r="CN133" s="44"/>
      <c r="CO133" s="44"/>
      <c r="CP133" s="285"/>
      <c r="CQ133" s="223"/>
      <c r="CR133" s="44"/>
      <c r="CS133" s="59"/>
      <c r="CT133" s="314"/>
      <c r="CU133" s="59"/>
      <c r="CV133" s="59"/>
      <c r="CW133" s="59"/>
      <c r="CX133" s="314"/>
      <c r="CY133" s="59"/>
      <c r="CZ133" s="59"/>
      <c r="DA133" s="59"/>
      <c r="DB133" s="314"/>
      <c r="DC133" s="59"/>
      <c r="DD133" s="59"/>
      <c r="DE133" s="59"/>
      <c r="DF133" s="314"/>
      <c r="DG133" s="59"/>
      <c r="DH133" s="59"/>
      <c r="DI133" s="59"/>
      <c r="DJ133" s="314"/>
      <c r="DK133" s="59"/>
      <c r="DL133" s="59"/>
      <c r="DM133" s="59"/>
      <c r="DN133" s="288"/>
      <c r="DO133" s="60"/>
      <c r="DP133" s="60"/>
      <c r="DQ133" s="59"/>
      <c r="DR133" s="59"/>
      <c r="DS133" s="59"/>
      <c r="DT133" s="59"/>
      <c r="DU133" s="59"/>
      <c r="DV133" s="59"/>
      <c r="DW133" s="59"/>
      <c r="DX133" s="59"/>
      <c r="DY133" s="59"/>
      <c r="DZ133" s="59"/>
      <c r="EA133" s="63"/>
      <c r="EB133" s="295"/>
      <c r="EC133" s="295"/>
      <c r="ED133" s="295"/>
    </row>
    <row r="134" spans="1:134" hidden="1" outlineLevel="1">
      <c r="A134" s="60"/>
      <c r="B134" s="60"/>
      <c r="C134" s="315"/>
      <c r="D134" s="315"/>
      <c r="E134" s="315"/>
      <c r="F134" s="315"/>
      <c r="G134" s="60"/>
      <c r="H134" s="60"/>
      <c r="I134" s="60"/>
      <c r="J134" s="315"/>
      <c r="K134" s="60"/>
      <c r="L134" s="60"/>
      <c r="M134" s="60"/>
      <c r="N134" s="315"/>
      <c r="O134" s="60"/>
      <c r="P134" s="60"/>
      <c r="Q134" s="60"/>
      <c r="R134" s="315"/>
      <c r="S134" s="60"/>
      <c r="T134" s="60"/>
      <c r="U134" s="60"/>
      <c r="V134" s="315"/>
      <c r="W134" s="60"/>
      <c r="X134" s="60"/>
      <c r="Y134" s="60"/>
      <c r="Z134" s="60"/>
      <c r="AA134" s="316"/>
      <c r="AB134" s="316"/>
      <c r="AC134" s="316"/>
      <c r="AD134" s="317"/>
      <c r="AE134" s="316"/>
      <c r="AF134" s="316"/>
      <c r="AG134" s="316"/>
      <c r="AH134" s="317"/>
      <c r="AI134" s="317"/>
      <c r="AJ134" s="317"/>
      <c r="AK134" s="317"/>
      <c r="AL134" s="60"/>
      <c r="AM134" s="317"/>
      <c r="AN134" s="317"/>
      <c r="AO134" s="317"/>
      <c r="AP134" s="60"/>
      <c r="AQ134" s="317"/>
      <c r="AR134" s="317"/>
      <c r="AS134" s="317"/>
      <c r="AT134" s="60"/>
      <c r="AU134" s="317"/>
      <c r="AV134" s="317"/>
      <c r="AW134" s="317"/>
      <c r="AX134" s="317"/>
      <c r="AY134" s="317"/>
      <c r="AZ134" s="316"/>
      <c r="BA134" s="317"/>
      <c r="BB134" s="317"/>
      <c r="BC134" s="317"/>
      <c r="BD134" s="317"/>
      <c r="BE134" s="316"/>
      <c r="BF134" s="317"/>
      <c r="BG134" s="316"/>
      <c r="BH134" s="316"/>
      <c r="BI134" s="316"/>
      <c r="BJ134" s="317" t="s">
        <v>181</v>
      </c>
      <c r="BK134" s="316"/>
      <c r="BL134" s="316"/>
      <c r="BM134" s="316"/>
      <c r="BN134" s="317"/>
      <c r="BO134" s="316"/>
      <c r="BP134" s="316"/>
      <c r="BQ134" s="316"/>
      <c r="BR134" s="317"/>
      <c r="BS134" s="316"/>
      <c r="BT134" s="316"/>
      <c r="BU134" s="316"/>
      <c r="BV134" s="317"/>
      <c r="BW134" s="316"/>
      <c r="BX134" s="316"/>
      <c r="BY134" s="316"/>
      <c r="BZ134" s="317"/>
      <c r="CA134" s="316"/>
      <c r="CB134" s="316"/>
      <c r="CC134" s="316"/>
      <c r="CD134" s="317"/>
      <c r="CE134" s="316"/>
      <c r="CF134" s="316"/>
      <c r="CG134" s="316"/>
      <c r="CH134" s="317"/>
      <c r="CI134" s="316"/>
      <c r="CJ134" s="316"/>
      <c r="CK134" s="316"/>
      <c r="CL134" s="317"/>
      <c r="CM134" s="316"/>
      <c r="CN134" s="316"/>
      <c r="CO134" s="316"/>
      <c r="CP134" s="317"/>
      <c r="CQ134" s="316"/>
      <c r="CR134" s="316"/>
      <c r="CS134" s="60"/>
      <c r="CT134" s="60"/>
      <c r="CU134" s="60"/>
      <c r="CV134" s="60"/>
      <c r="CW134" s="60"/>
      <c r="CX134" s="60"/>
      <c r="CY134" s="60"/>
      <c r="CZ134" s="60"/>
      <c r="DA134" s="60"/>
      <c r="DB134" s="60"/>
      <c r="DC134" s="60"/>
      <c r="DD134" s="60"/>
      <c r="DE134" s="60"/>
      <c r="DF134" s="60"/>
      <c r="DG134" s="60"/>
      <c r="DH134" s="60"/>
      <c r="DI134" s="60"/>
      <c r="DJ134" s="60"/>
      <c r="DK134" s="60"/>
      <c r="DL134" s="60"/>
      <c r="DM134" s="60"/>
      <c r="DN134" s="60"/>
      <c r="DO134" s="60"/>
      <c r="DP134" s="60"/>
      <c r="DQ134" s="60"/>
      <c r="DR134" s="60"/>
      <c r="DS134" s="60"/>
      <c r="DT134" s="60"/>
      <c r="DU134" s="60"/>
      <c r="DV134" s="60"/>
      <c r="DW134" s="60"/>
      <c r="DX134" s="60"/>
      <c r="DY134" s="60"/>
      <c r="DZ134" s="60"/>
      <c r="EA134" s="60"/>
      <c r="EB134" s="60"/>
      <c r="EC134" s="60"/>
      <c r="ED134" s="60"/>
    </row>
    <row r="135" spans="1:134" ht="12" hidden="1" customHeight="1" outlineLevel="1">
      <c r="A135" s="44"/>
      <c r="B135" s="44"/>
      <c r="C135" s="57"/>
      <c r="D135" s="57"/>
      <c r="E135" s="57"/>
      <c r="F135" s="57"/>
      <c r="G135" s="57"/>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c r="AE135" s="57"/>
      <c r="AF135" s="57"/>
      <c r="AG135" s="57"/>
      <c r="AH135" s="57"/>
      <c r="AI135" s="57"/>
      <c r="AJ135" s="57"/>
      <c r="AK135" s="57"/>
      <c r="AL135" s="57"/>
      <c r="AM135" s="57"/>
      <c r="AN135" s="57"/>
      <c r="AO135" s="57"/>
      <c r="AP135" s="57"/>
      <c r="AQ135" s="57"/>
      <c r="AR135" s="57"/>
      <c r="AS135" s="57"/>
      <c r="AT135" s="57"/>
      <c r="AU135" s="57"/>
      <c r="AV135" s="57"/>
      <c r="AW135" s="57"/>
      <c r="AX135" s="57"/>
      <c r="AY135" s="57"/>
      <c r="AZ135" s="57"/>
      <c r="BA135" s="57"/>
      <c r="BB135" s="296"/>
      <c r="BC135" s="57"/>
      <c r="BD135" s="57"/>
      <c r="BE135" s="57"/>
      <c r="BF135" s="57"/>
      <c r="BG135" s="57"/>
      <c r="BH135" s="57"/>
      <c r="BI135" s="57"/>
      <c r="BJ135" s="57"/>
      <c r="BK135" s="57"/>
      <c r="BL135" s="57"/>
      <c r="BM135" s="57"/>
      <c r="BN135" s="312"/>
      <c r="BO135" s="57"/>
      <c r="BP135" s="57"/>
      <c r="BQ135" s="44"/>
      <c r="BR135" s="54"/>
      <c r="BS135" s="44"/>
      <c r="BT135" s="310"/>
      <c r="BU135" s="44"/>
      <c r="BV135" s="285">
        <f>BV116/BV145</f>
        <v>0.21742263784961682</v>
      </c>
      <c r="BW135" s="223"/>
      <c r="BX135" s="44"/>
      <c r="BY135" s="44"/>
      <c r="BZ135" s="285"/>
      <c r="CA135" s="44"/>
      <c r="CB135" s="44"/>
      <c r="CC135" s="44"/>
      <c r="CD135" s="285"/>
      <c r="CE135" s="44"/>
      <c r="CF135" s="53"/>
      <c r="CG135" s="44"/>
      <c r="CH135" s="285"/>
      <c r="CI135" s="44"/>
      <c r="CJ135" s="53"/>
      <c r="CK135" s="44"/>
      <c r="CL135" s="285"/>
      <c r="CM135" s="44"/>
      <c r="CN135" s="53"/>
      <c r="CO135" s="44"/>
      <c r="CP135" s="285"/>
      <c r="CQ135" s="44"/>
      <c r="CR135" s="53"/>
      <c r="CS135" s="44"/>
      <c r="CT135" s="285"/>
      <c r="CU135" s="44"/>
      <c r="CV135" s="44"/>
      <c r="CW135" s="44"/>
      <c r="CX135" s="285">
        <f>CX116/CX145</f>
        <v>0.57649667405764971</v>
      </c>
      <c r="CY135" s="44"/>
      <c r="CZ135" s="44"/>
      <c r="DA135" s="44"/>
      <c r="DB135" s="285">
        <f>DB116/DB145</f>
        <v>0.56485849056603776</v>
      </c>
      <c r="DC135" s="44"/>
      <c r="DD135" s="44"/>
      <c r="DE135" s="44"/>
      <c r="DF135" s="285">
        <f>DF116/DF145</f>
        <v>0.31829573934837091</v>
      </c>
      <c r="DG135" s="44"/>
      <c r="DH135" s="44"/>
      <c r="DI135" s="44"/>
      <c r="DJ135" s="285">
        <f>DJ116/DJ145</f>
        <v>0.35749999999999998</v>
      </c>
      <c r="DK135" s="44"/>
      <c r="DL135" s="44"/>
      <c r="DM135" s="44"/>
      <c r="DN135" s="285">
        <f>DN116/DN145</f>
        <v>0.476305883193057</v>
      </c>
      <c r="DO135" s="57"/>
      <c r="DP135" s="57"/>
      <c r="DQ135" s="44"/>
      <c r="DR135" s="44"/>
      <c r="DS135" s="44"/>
      <c r="DT135" s="44"/>
      <c r="DU135" s="44"/>
      <c r="DV135" s="44"/>
      <c r="DW135" s="44"/>
      <c r="DX135" s="44"/>
      <c r="DY135" s="44"/>
      <c r="DZ135" s="44"/>
      <c r="EA135" s="309"/>
      <c r="EB135" s="309"/>
      <c r="EC135" s="318"/>
      <c r="ED135" s="295"/>
    </row>
    <row r="136" spans="1:134" ht="12" hidden="1" customHeight="1" outlineLevel="1">
      <c r="A136" s="44"/>
      <c r="B136" s="44"/>
      <c r="C136" s="57"/>
      <c r="D136" s="57"/>
      <c r="E136" s="57"/>
      <c r="F136" s="57"/>
      <c r="G136" s="57"/>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c r="AE136" s="57"/>
      <c r="AF136" s="57"/>
      <c r="AG136" s="57"/>
      <c r="AH136" s="57"/>
      <c r="AI136" s="57"/>
      <c r="AJ136" s="57"/>
      <c r="AK136" s="57"/>
      <c r="AL136" s="57"/>
      <c r="AM136" s="57"/>
      <c r="AN136" s="57"/>
      <c r="AO136" s="57"/>
      <c r="AP136" s="57"/>
      <c r="AQ136" s="57"/>
      <c r="AR136" s="57"/>
      <c r="AS136" s="57"/>
      <c r="AT136" s="57"/>
      <c r="AU136" s="57"/>
      <c r="AV136" s="57"/>
      <c r="AW136" s="57"/>
      <c r="AX136" s="57"/>
      <c r="AY136" s="57"/>
      <c r="AZ136" s="57"/>
      <c r="BA136" s="57"/>
      <c r="BB136" s="296"/>
      <c r="BC136" s="57"/>
      <c r="BD136" s="57"/>
      <c r="BE136" s="57"/>
      <c r="BF136" s="57"/>
      <c r="BG136" s="57"/>
      <c r="BH136" s="57"/>
      <c r="BI136" s="57"/>
      <c r="BJ136" s="57"/>
      <c r="BK136" s="57"/>
      <c r="BL136" s="57"/>
      <c r="BM136" s="57"/>
      <c r="BN136" s="312"/>
      <c r="BO136" s="57"/>
      <c r="BP136" s="57"/>
      <c r="BQ136" s="44"/>
      <c r="BR136" s="54"/>
      <c r="BS136" s="44"/>
      <c r="BT136" s="310"/>
      <c r="BU136" s="44"/>
      <c r="BV136" s="296">
        <f>BV117/BV146</f>
        <v>0.18610004101546956</v>
      </c>
      <c r="BW136" s="223"/>
      <c r="BX136" s="44"/>
      <c r="BY136" s="44"/>
      <c r="BZ136" s="285"/>
      <c r="CA136" s="44"/>
      <c r="CB136" s="44"/>
      <c r="CC136" s="44"/>
      <c r="CD136" s="285"/>
      <c r="CE136" s="44"/>
      <c r="CF136" s="53"/>
      <c r="CG136" s="44"/>
      <c r="CH136" s="285"/>
      <c r="CI136" s="44"/>
      <c r="CJ136" s="53"/>
      <c r="CK136" s="44"/>
      <c r="CL136" s="1429"/>
      <c r="CM136" s="44"/>
      <c r="CN136" s="53"/>
      <c r="CO136" s="44"/>
      <c r="CP136" s="296"/>
      <c r="CQ136" s="44"/>
      <c r="CR136" s="53"/>
      <c r="CS136" s="44"/>
      <c r="CT136" s="296"/>
      <c r="CU136" s="44"/>
      <c r="CV136" s="44"/>
      <c r="CW136" s="44"/>
      <c r="CX136" s="296">
        <f>CX117/CX146</f>
        <v>0.74995485327313771</v>
      </c>
      <c r="CY136" s="44"/>
      <c r="CZ136" s="44"/>
      <c r="DA136" s="44"/>
      <c r="DB136" s="296">
        <f>DB117/DB146</f>
        <v>0.52153110047846885</v>
      </c>
      <c r="DC136" s="44"/>
      <c r="DD136" s="44"/>
      <c r="DE136" s="44"/>
      <c r="DF136" s="296">
        <f>DF117/DF146</f>
        <v>0.31328320802005011</v>
      </c>
      <c r="DG136" s="44"/>
      <c r="DH136" s="44"/>
      <c r="DI136" s="44"/>
      <c r="DJ136" s="296">
        <f>DJ117/DJ146</f>
        <v>0.68434343434343436</v>
      </c>
      <c r="DK136" s="44"/>
      <c r="DL136" s="44"/>
      <c r="DM136" s="44"/>
      <c r="DN136" s="296">
        <f>DN117/DN146</f>
        <v>0.78831648025905199</v>
      </c>
      <c r="DO136" s="57"/>
      <c r="DP136" s="57"/>
      <c r="DQ136" s="44"/>
      <c r="DR136" s="44"/>
      <c r="DS136" s="44"/>
      <c r="DT136" s="44"/>
      <c r="DU136" s="44"/>
      <c r="DV136" s="44"/>
      <c r="DW136" s="44"/>
      <c r="DX136" s="44"/>
      <c r="DY136" s="44"/>
      <c r="DZ136" s="44"/>
      <c r="EA136" s="309"/>
      <c r="EB136" s="309"/>
      <c r="EC136" s="318"/>
      <c r="ED136" s="295"/>
    </row>
    <row r="137" spans="1:134" ht="12" hidden="1" customHeight="1" outlineLevel="1">
      <c r="A137" s="44"/>
      <c r="B137" s="44"/>
      <c r="C137" s="57"/>
      <c r="D137" s="57"/>
      <c r="E137" s="57"/>
      <c r="F137" s="57"/>
      <c r="G137" s="57"/>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c r="AE137" s="57"/>
      <c r="AF137" s="57"/>
      <c r="AG137" s="57"/>
      <c r="AH137" s="57"/>
      <c r="AI137" s="57"/>
      <c r="AJ137" s="57"/>
      <c r="AK137" s="57"/>
      <c r="AL137" s="57"/>
      <c r="AM137" s="57"/>
      <c r="AN137" s="57"/>
      <c r="AO137" s="57"/>
      <c r="AP137" s="57"/>
      <c r="AQ137" s="57"/>
      <c r="AR137" s="57"/>
      <c r="AS137" s="57"/>
      <c r="AT137" s="57"/>
      <c r="AU137" s="57"/>
      <c r="AV137" s="57"/>
      <c r="AW137" s="57"/>
      <c r="AX137" s="57"/>
      <c r="AY137" s="57"/>
      <c r="AZ137" s="57"/>
      <c r="BA137" s="57"/>
      <c r="BB137" s="296"/>
      <c r="BC137" s="57"/>
      <c r="BD137" s="57"/>
      <c r="BE137" s="57"/>
      <c r="BF137" s="57"/>
      <c r="BG137" s="57"/>
      <c r="BH137" s="57"/>
      <c r="BI137" s="57"/>
      <c r="BJ137" s="57"/>
      <c r="BK137" s="57"/>
      <c r="BL137" s="57"/>
      <c r="BM137" s="57"/>
      <c r="BN137" s="312"/>
      <c r="BO137" s="57"/>
      <c r="BP137" s="57"/>
      <c r="BQ137" s="44"/>
      <c r="BR137" s="54"/>
      <c r="BS137" s="44"/>
      <c r="BT137" s="310"/>
      <c r="BU137" s="44"/>
      <c r="BV137" s="296">
        <f>BV128</f>
        <v>0.30214917825537296</v>
      </c>
      <c r="BW137" s="223"/>
      <c r="BX137" s="44"/>
      <c r="BY137" s="44"/>
      <c r="BZ137" s="285"/>
      <c r="CA137" s="44"/>
      <c r="CB137" s="44"/>
      <c r="CC137" s="44"/>
      <c r="CD137" s="285"/>
      <c r="CE137" s="44"/>
      <c r="CF137" s="44"/>
      <c r="CG137" s="44"/>
      <c r="CH137" s="285"/>
      <c r="CI137" s="44"/>
      <c r="CJ137" s="44"/>
      <c r="CK137" s="44"/>
      <c r="CL137" s="285"/>
      <c r="CM137" s="44"/>
      <c r="CN137" s="44"/>
      <c r="CO137" s="44"/>
      <c r="CP137" s="296"/>
      <c r="CQ137" s="44"/>
      <c r="CR137" s="44"/>
      <c r="CS137" s="44"/>
      <c r="CT137" s="296"/>
      <c r="CU137" s="44"/>
      <c r="CV137" s="44"/>
      <c r="CW137" s="44"/>
      <c r="CX137" s="296">
        <f>CX128</f>
        <v>0.80320366132723109</v>
      </c>
      <c r="CY137" s="44"/>
      <c r="CZ137" s="44"/>
      <c r="DA137" s="44"/>
      <c r="DB137" s="296">
        <f>DB118/DB147</f>
        <v>0.60906862745098034</v>
      </c>
      <c r="DC137" s="44"/>
      <c r="DD137" s="44"/>
      <c r="DE137" s="44"/>
      <c r="DF137" s="296">
        <f>DF118/DF147</f>
        <v>0.51</v>
      </c>
      <c r="DG137" s="44"/>
      <c r="DH137" s="44"/>
      <c r="DI137" s="44"/>
      <c r="DJ137" s="296">
        <f>DJ118/DJ147</f>
        <v>0.58269720101781175</v>
      </c>
      <c r="DK137" s="44"/>
      <c r="DL137" s="44"/>
      <c r="DM137" s="44"/>
      <c r="DN137" s="296">
        <f>DN118/DN147</f>
        <v>0.68196798181324747</v>
      </c>
      <c r="DO137" s="57"/>
      <c r="DP137" s="57"/>
      <c r="DQ137" s="44"/>
      <c r="DR137" s="44"/>
      <c r="DS137" s="44"/>
      <c r="DT137" s="44"/>
      <c r="DU137" s="44"/>
      <c r="DV137" s="44"/>
      <c r="DW137" s="44"/>
      <c r="DX137" s="44"/>
      <c r="DY137" s="44"/>
      <c r="DZ137" s="44"/>
      <c r="EA137" s="309"/>
      <c r="EB137" s="309"/>
      <c r="EC137" s="318"/>
      <c r="ED137" s="295"/>
    </row>
    <row r="138" spans="1:134" ht="12" hidden="1" customHeight="1" outlineLevel="1">
      <c r="A138" s="44"/>
      <c r="B138" s="44"/>
      <c r="C138" s="57"/>
      <c r="D138" s="57"/>
      <c r="E138" s="57"/>
      <c r="F138" s="57"/>
      <c r="G138" s="57"/>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c r="AE138" s="57"/>
      <c r="AF138" s="57"/>
      <c r="AG138" s="57"/>
      <c r="AH138" s="57"/>
      <c r="AI138" s="57"/>
      <c r="AJ138" s="57"/>
      <c r="AK138" s="57"/>
      <c r="AL138" s="57"/>
      <c r="AM138" s="57"/>
      <c r="AN138" s="57"/>
      <c r="AO138" s="57"/>
      <c r="AP138" s="57"/>
      <c r="AQ138" s="57"/>
      <c r="AR138" s="57"/>
      <c r="AS138" s="57"/>
      <c r="AT138" s="57"/>
      <c r="AU138" s="57"/>
      <c r="AV138" s="57"/>
      <c r="AW138" s="57"/>
      <c r="AX138" s="57"/>
      <c r="AY138" s="57"/>
      <c r="AZ138" s="57"/>
      <c r="BA138" s="57"/>
      <c r="BB138" s="296"/>
      <c r="BC138" s="57"/>
      <c r="BD138" s="57"/>
      <c r="BE138" s="57"/>
      <c r="BF138" s="57"/>
      <c r="BG138" s="57"/>
      <c r="BH138" s="57"/>
      <c r="BI138" s="57"/>
      <c r="BJ138" s="57"/>
      <c r="BK138" s="57"/>
      <c r="BL138" s="57"/>
      <c r="BM138" s="57"/>
      <c r="BN138" s="312"/>
      <c r="BO138" s="57"/>
      <c r="BP138" s="57"/>
      <c r="BQ138" s="44"/>
      <c r="BR138" s="54"/>
      <c r="BS138" s="44"/>
      <c r="BT138" s="310"/>
      <c r="BU138" s="44"/>
      <c r="BV138" s="319">
        <f>BV129</f>
        <v>0.35380507343124168</v>
      </c>
      <c r="BW138" s="223"/>
      <c r="BX138" s="44"/>
      <c r="BY138" s="44"/>
      <c r="BZ138" s="320">
        <f>BZ145-BV148</f>
        <v>-13</v>
      </c>
      <c r="CA138" s="44"/>
      <c r="CB138" s="44"/>
      <c r="CC138" s="44"/>
      <c r="CD138" s="285"/>
      <c r="CE138" s="44"/>
      <c r="CF138" s="44"/>
      <c r="CG138" s="44"/>
      <c r="CH138" s="285"/>
      <c r="CI138" s="44"/>
      <c r="CJ138" s="44"/>
      <c r="CK138" s="44"/>
      <c r="CL138" s="285"/>
      <c r="CM138" s="44"/>
      <c r="CN138" s="44"/>
      <c r="CO138" s="44"/>
      <c r="CP138" s="319"/>
      <c r="CQ138" s="44"/>
      <c r="CR138" s="44"/>
      <c r="CS138" s="44"/>
      <c r="CT138" s="319"/>
      <c r="CU138" s="44"/>
      <c r="CV138" s="44"/>
      <c r="CW138" s="44"/>
      <c r="CX138" s="319">
        <f>CX129</f>
        <v>0.74532710280373837</v>
      </c>
      <c r="CY138" s="44"/>
      <c r="CZ138" s="44"/>
      <c r="DA138" s="44"/>
      <c r="DB138" s="319">
        <f>DB119/DB148</f>
        <v>0.53233830845771146</v>
      </c>
      <c r="DC138" s="44"/>
      <c r="DD138" s="44"/>
      <c r="DE138" s="44"/>
      <c r="DF138" s="319">
        <f>DF119/DF148</f>
        <v>0.54905236907730681</v>
      </c>
      <c r="DG138" s="44"/>
      <c r="DH138" s="44"/>
      <c r="DI138" s="44"/>
      <c r="DJ138" s="319">
        <f>DJ119/DJ148</f>
        <v>0.52162849872773542</v>
      </c>
      <c r="DK138" s="44"/>
      <c r="DL138" s="44"/>
      <c r="DM138" s="44"/>
      <c r="DN138" s="319">
        <f>DN119/DN148</f>
        <v>0.71374205727645712</v>
      </c>
      <c r="DO138" s="57"/>
      <c r="DP138" s="57"/>
      <c r="DQ138" s="44"/>
      <c r="DR138" s="44"/>
      <c r="DS138" s="44"/>
      <c r="DT138" s="44"/>
      <c r="DU138" s="44"/>
      <c r="DV138" s="44"/>
      <c r="DW138" s="44"/>
      <c r="DX138" s="44"/>
      <c r="DY138" s="44"/>
      <c r="DZ138" s="44"/>
      <c r="EA138" s="309"/>
      <c r="EB138" s="309"/>
      <c r="EC138" s="318"/>
      <c r="ED138" s="295"/>
    </row>
    <row r="139" spans="1:134" ht="12" hidden="1" customHeight="1" outlineLevel="1">
      <c r="A139" s="44"/>
      <c r="B139" s="44"/>
      <c r="C139" s="57"/>
      <c r="D139" s="57"/>
      <c r="E139" s="57"/>
      <c r="F139" s="57"/>
      <c r="G139" s="57"/>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c r="AE139" s="57"/>
      <c r="AF139" s="57"/>
      <c r="AG139" s="57"/>
      <c r="AH139" s="57"/>
      <c r="AI139" s="57"/>
      <c r="AJ139" s="57"/>
      <c r="AK139" s="57"/>
      <c r="AL139" s="57"/>
      <c r="AM139" s="57"/>
      <c r="AN139" s="57"/>
      <c r="AO139" s="57"/>
      <c r="AP139" s="57"/>
      <c r="AQ139" s="57"/>
      <c r="AR139" s="57"/>
      <c r="AS139" s="57"/>
      <c r="AT139" s="57"/>
      <c r="AU139" s="57"/>
      <c r="AV139" s="57"/>
      <c r="AW139" s="57"/>
      <c r="AX139" s="57"/>
      <c r="AY139" s="57"/>
      <c r="AZ139" s="57"/>
      <c r="BA139" s="57"/>
      <c r="BB139" s="296"/>
      <c r="BC139" s="57"/>
      <c r="BD139" s="57"/>
      <c r="BE139" s="57"/>
      <c r="BF139" s="57"/>
      <c r="BG139" s="57"/>
      <c r="BH139" s="57"/>
      <c r="BI139" s="57"/>
      <c r="BJ139" s="57"/>
      <c r="BK139" s="57"/>
      <c r="BL139" s="57"/>
      <c r="BM139" s="57"/>
      <c r="BN139" s="312"/>
      <c r="BO139" s="57"/>
      <c r="BP139" s="57"/>
      <c r="BQ139" s="44"/>
      <c r="BR139" s="54"/>
      <c r="BS139" s="44"/>
      <c r="BT139" s="310"/>
      <c r="BU139" s="44"/>
      <c r="BV139" s="285">
        <f>0.22+0.19+0.3+0.35</f>
        <v>1.06</v>
      </c>
      <c r="BW139" s="223"/>
      <c r="BX139" s="44"/>
      <c r="BY139" s="44"/>
      <c r="BZ139" s="321">
        <f>BZ146-BZ145</f>
        <v>-17</v>
      </c>
      <c r="CA139" s="44"/>
      <c r="CB139" s="44"/>
      <c r="CC139" s="44"/>
      <c r="CD139" s="285"/>
      <c r="CE139" s="44"/>
      <c r="CF139" s="44"/>
      <c r="CG139" s="44"/>
      <c r="CH139" s="285"/>
      <c r="CI139" s="44"/>
      <c r="CJ139" s="44"/>
      <c r="CK139" s="44"/>
      <c r="CL139" s="285"/>
      <c r="CM139" s="44"/>
      <c r="CN139" s="44"/>
      <c r="CO139" s="44"/>
      <c r="CP139" s="285"/>
      <c r="CQ139" s="44"/>
      <c r="CR139" s="44"/>
      <c r="CS139" s="44"/>
      <c r="CT139" s="285"/>
      <c r="CU139" s="44"/>
      <c r="CV139" s="44"/>
      <c r="CW139" s="44"/>
      <c r="CX139" s="285">
        <f>SUM(CX135:CX138)</f>
        <v>2.8749822914617571</v>
      </c>
      <c r="CY139" s="44"/>
      <c r="CZ139" s="44"/>
      <c r="DA139" s="44"/>
      <c r="DB139" s="285">
        <f>SUM(DB135:DB138)</f>
        <v>2.2277965269531985</v>
      </c>
      <c r="DC139" s="44"/>
      <c r="DD139" s="44"/>
      <c r="DE139" s="44"/>
      <c r="DF139" s="285">
        <f>SUM(DF135:DF138)</f>
        <v>1.6906313164457278</v>
      </c>
      <c r="DG139" s="44"/>
      <c r="DH139" s="44"/>
      <c r="DI139" s="44"/>
      <c r="DJ139" s="285">
        <f>SUM(DJ135:DJ138)</f>
        <v>2.1461691340889817</v>
      </c>
      <c r="DK139" s="44"/>
      <c r="DL139" s="44"/>
      <c r="DM139" s="44"/>
      <c r="DN139" s="285">
        <f>SUM(DN135:DN138)</f>
        <v>2.6603324025418136</v>
      </c>
      <c r="DO139" s="57"/>
      <c r="DP139" s="57"/>
      <c r="DQ139" s="44"/>
      <c r="DR139" s="44"/>
      <c r="DS139" s="44"/>
      <c r="DT139" s="44"/>
      <c r="DU139" s="44"/>
      <c r="DV139" s="44"/>
      <c r="DW139" s="44"/>
      <c r="DX139" s="44"/>
      <c r="DY139" s="44"/>
      <c r="DZ139" s="44"/>
      <c r="EA139" s="309"/>
      <c r="EB139" s="309"/>
      <c r="EC139" s="318"/>
      <c r="ED139" s="295"/>
    </row>
    <row r="140" spans="1:134" ht="12" hidden="1" customHeight="1" outlineLevel="1">
      <c r="A140" s="44"/>
      <c r="B140" s="44"/>
      <c r="C140" s="57"/>
      <c r="D140" s="57"/>
      <c r="E140" s="57"/>
      <c r="F140" s="57"/>
      <c r="G140" s="57"/>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c r="AE140" s="57"/>
      <c r="AF140" s="57"/>
      <c r="AG140" s="57"/>
      <c r="AH140" s="57"/>
      <c r="AI140" s="57"/>
      <c r="AJ140" s="57"/>
      <c r="AK140" s="57"/>
      <c r="AL140" s="57"/>
      <c r="AM140" s="57"/>
      <c r="AN140" s="57"/>
      <c r="AO140" s="57"/>
      <c r="AP140" s="57"/>
      <c r="AQ140" s="57"/>
      <c r="AR140" s="57"/>
      <c r="AS140" s="57"/>
      <c r="AT140" s="57"/>
      <c r="AU140" s="57"/>
      <c r="AV140" s="57"/>
      <c r="AW140" s="57"/>
      <c r="AX140" s="57"/>
      <c r="AY140" s="57"/>
      <c r="AZ140" s="57"/>
      <c r="BA140" s="57"/>
      <c r="BB140" s="296"/>
      <c r="BC140" s="57"/>
      <c r="BD140" s="57"/>
      <c r="BE140" s="57"/>
      <c r="BF140" s="57"/>
      <c r="BG140" s="57"/>
      <c r="BH140" s="57"/>
      <c r="BI140" s="57"/>
      <c r="BJ140" s="57"/>
      <c r="BK140" s="57"/>
      <c r="BL140" s="57"/>
      <c r="BM140" s="57"/>
      <c r="BN140" s="312"/>
      <c r="BO140" s="57"/>
      <c r="BP140" s="57"/>
      <c r="BQ140" s="44"/>
      <c r="BR140" s="54"/>
      <c r="BS140" s="44"/>
      <c r="BT140" s="310"/>
      <c r="BU140" s="44"/>
      <c r="BV140" s="285"/>
      <c r="BW140" s="223"/>
      <c r="BX140" s="44"/>
      <c r="BY140" s="44"/>
      <c r="BZ140" s="321">
        <f>BZ147-BZ146</f>
        <v>-7</v>
      </c>
      <c r="CA140" s="44"/>
      <c r="CB140" s="44"/>
      <c r="CC140" s="44"/>
      <c r="CD140" s="285"/>
      <c r="CE140" s="44"/>
      <c r="CF140" s="44"/>
      <c r="CG140" s="44"/>
      <c r="CH140" s="285"/>
      <c r="CI140" s="44"/>
      <c r="CJ140" s="44"/>
      <c r="CK140" s="44"/>
      <c r="CL140" s="285"/>
      <c r="CM140" s="44"/>
      <c r="CN140" s="44"/>
      <c r="CO140" s="44"/>
      <c r="CP140" s="285"/>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57"/>
      <c r="DO140" s="57"/>
      <c r="DP140" s="57"/>
      <c r="DQ140" s="44"/>
      <c r="DR140" s="44"/>
      <c r="DS140" s="44"/>
      <c r="DT140" s="44"/>
      <c r="DU140" s="44"/>
      <c r="DV140" s="44"/>
      <c r="DW140" s="44"/>
      <c r="DX140" s="44"/>
      <c r="DY140" s="44"/>
      <c r="DZ140" s="44"/>
      <c r="EA140" s="309"/>
      <c r="EB140" s="309"/>
      <c r="EC140" s="318"/>
      <c r="ED140" s="295"/>
    </row>
    <row r="141" spans="1:134" ht="12" hidden="1" customHeight="1" outlineLevel="1">
      <c r="A141" s="44"/>
      <c r="B141" s="44"/>
      <c r="C141" s="57"/>
      <c r="D141" s="57"/>
      <c r="E141" s="57"/>
      <c r="F141" s="57"/>
      <c r="G141" s="57"/>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c r="AE141" s="57"/>
      <c r="AF141" s="57"/>
      <c r="AG141" s="57"/>
      <c r="AH141" s="57"/>
      <c r="AI141" s="57"/>
      <c r="AJ141" s="57"/>
      <c r="AK141" s="57"/>
      <c r="AL141" s="57"/>
      <c r="AM141" s="57"/>
      <c r="AN141" s="57"/>
      <c r="AO141" s="57"/>
      <c r="AP141" s="57"/>
      <c r="AQ141" s="57"/>
      <c r="AR141" s="57"/>
      <c r="AS141" s="57"/>
      <c r="AT141" s="57"/>
      <c r="AU141" s="57"/>
      <c r="AV141" s="57"/>
      <c r="AW141" s="57"/>
      <c r="AX141" s="57"/>
      <c r="AY141" s="57"/>
      <c r="AZ141" s="57"/>
      <c r="BA141" s="57"/>
      <c r="BB141" s="296"/>
      <c r="BC141" s="57"/>
      <c r="BD141" s="57"/>
      <c r="BE141" s="57"/>
      <c r="BF141" s="57"/>
      <c r="BG141" s="57"/>
      <c r="BH141" s="57"/>
      <c r="BI141" s="57"/>
      <c r="BJ141" s="57"/>
      <c r="BK141" s="57"/>
      <c r="BL141" s="57"/>
      <c r="BM141" s="57"/>
      <c r="BN141" s="312"/>
      <c r="BO141" s="57"/>
      <c r="BP141" s="57"/>
      <c r="BQ141" s="44"/>
      <c r="BR141" s="54"/>
      <c r="BS141" s="44"/>
      <c r="BT141" s="310"/>
      <c r="BU141" s="44"/>
      <c r="BV141" s="285"/>
      <c r="BW141" s="223"/>
      <c r="BX141" s="44"/>
      <c r="BY141" s="44"/>
      <c r="BZ141" s="322">
        <f>BZ148-BZ147</f>
        <v>-6</v>
      </c>
      <c r="CA141" s="44"/>
      <c r="CB141" s="44"/>
      <c r="CC141" s="44"/>
      <c r="CD141" s="285"/>
      <c r="CE141" s="44"/>
      <c r="CF141" s="44"/>
      <c r="CG141" s="44"/>
      <c r="CH141" s="285"/>
      <c r="CI141" s="44"/>
      <c r="CJ141" s="44"/>
      <c r="CK141" s="44"/>
      <c r="CL141" s="285"/>
      <c r="CM141" s="44"/>
      <c r="CN141" s="44"/>
      <c r="CO141" s="44"/>
      <c r="CP141" s="285"/>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57"/>
      <c r="DO141" s="57"/>
      <c r="DP141" s="57"/>
      <c r="DQ141" s="44"/>
      <c r="DR141" s="44"/>
      <c r="DS141" s="44"/>
      <c r="DT141" s="44"/>
      <c r="DU141" s="44"/>
      <c r="DV141" s="44"/>
      <c r="DW141" s="44"/>
      <c r="DX141" s="44"/>
      <c r="DY141" s="44"/>
      <c r="DZ141" s="44"/>
      <c r="EA141" s="309"/>
      <c r="EB141" s="309"/>
      <c r="EC141" s="318"/>
      <c r="ED141" s="295"/>
    </row>
    <row r="142" spans="1:134" ht="12" hidden="1" customHeight="1" outlineLevel="1" collapsed="1">
      <c r="A142" s="44"/>
      <c r="B142" s="44"/>
      <c r="C142" s="57"/>
      <c r="D142" s="57"/>
      <c r="E142" s="57"/>
      <c r="F142" s="57"/>
      <c r="G142" s="57"/>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c r="AE142" s="57"/>
      <c r="AF142" s="57"/>
      <c r="AG142" s="57"/>
      <c r="AH142" s="57"/>
      <c r="AI142" s="57"/>
      <c r="AJ142" s="57"/>
      <c r="AK142" s="57"/>
      <c r="AL142" s="57"/>
      <c r="AM142" s="57"/>
      <c r="AN142" s="57"/>
      <c r="AO142" s="57"/>
      <c r="AP142" s="57"/>
      <c r="AQ142" s="57"/>
      <c r="AR142" s="57"/>
      <c r="AS142" s="57"/>
      <c r="AT142" s="57"/>
      <c r="AU142" s="57"/>
      <c r="AV142" s="57"/>
      <c r="AW142" s="57"/>
      <c r="AX142" s="57"/>
      <c r="AY142" s="57"/>
      <c r="AZ142" s="57"/>
      <c r="BA142" s="57"/>
      <c r="BB142" s="296"/>
      <c r="BC142" s="57"/>
      <c r="BD142" s="57"/>
      <c r="BE142" s="57"/>
      <c r="BF142" s="57"/>
      <c r="BG142" s="57"/>
      <c r="BH142" s="57"/>
      <c r="BI142" s="57"/>
      <c r="BJ142" s="57"/>
      <c r="BK142" s="57"/>
      <c r="BL142" s="57"/>
      <c r="BM142" s="57"/>
      <c r="BN142" s="312"/>
      <c r="BO142" s="57"/>
      <c r="BP142" s="57"/>
      <c r="BQ142" s="44"/>
      <c r="BR142" s="54"/>
      <c r="BS142" s="44"/>
      <c r="BT142" s="310"/>
      <c r="BU142" s="44"/>
      <c r="BV142" s="285"/>
      <c r="BW142" s="223"/>
      <c r="BX142" s="44"/>
      <c r="BY142" s="44"/>
      <c r="BZ142" s="285"/>
      <c r="CA142" s="44"/>
      <c r="CB142" s="44"/>
      <c r="CC142" s="44"/>
      <c r="CD142" s="285"/>
      <c r="CE142" s="44"/>
      <c r="CF142" s="44"/>
      <c r="CG142" s="44"/>
      <c r="CH142" s="285"/>
      <c r="CI142" s="44"/>
      <c r="CJ142" s="44"/>
      <c r="CK142" s="44"/>
      <c r="CL142" s="285"/>
      <c r="CM142" s="44"/>
      <c r="CN142" s="44"/>
      <c r="CO142" s="44"/>
      <c r="CP142" s="285"/>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57"/>
      <c r="DO142" s="57"/>
      <c r="DP142" s="57"/>
      <c r="DQ142" s="44"/>
      <c r="DR142" s="44"/>
      <c r="DS142" s="44"/>
      <c r="DT142" s="44"/>
      <c r="DU142" s="44"/>
      <c r="DV142" s="44"/>
      <c r="DW142" s="44"/>
      <c r="DX142" s="44"/>
      <c r="DY142" s="44"/>
      <c r="DZ142" s="44"/>
      <c r="EA142" s="309"/>
      <c r="EB142" s="309"/>
      <c r="EC142" s="318"/>
      <c r="ED142" s="295"/>
    </row>
    <row r="143" spans="1:134" collapsed="1">
      <c r="A143" s="44"/>
      <c r="B143" s="44"/>
      <c r="C143" s="205"/>
      <c r="D143" s="206"/>
      <c r="E143" s="205" t="str">
        <f>AH143</f>
        <v>10.  Average Shares Outstanding -- Fully Diluted</v>
      </c>
      <c r="F143" s="206"/>
      <c r="G143" s="57"/>
      <c r="H143" s="57"/>
      <c r="I143" s="57"/>
      <c r="J143" s="206"/>
      <c r="K143" s="57"/>
      <c r="L143" s="57"/>
      <c r="M143" s="57"/>
      <c r="N143" s="206"/>
      <c r="O143" s="57"/>
      <c r="P143" s="57"/>
      <c r="Q143" s="57"/>
      <c r="R143" s="206"/>
      <c r="S143" s="57"/>
      <c r="T143" s="57"/>
      <c r="U143" s="57"/>
      <c r="V143" s="206"/>
      <c r="W143" s="57"/>
      <c r="X143" s="57"/>
      <c r="Y143" s="57"/>
      <c r="Z143" s="57"/>
      <c r="AA143" s="134"/>
      <c r="AB143" s="134"/>
      <c r="AC143" s="134"/>
      <c r="AD143" s="135"/>
      <c r="AE143" s="134"/>
      <c r="AF143" s="134"/>
      <c r="AG143" s="134"/>
      <c r="AH143" s="135" t="s">
        <v>268</v>
      </c>
      <c r="AI143" s="135"/>
      <c r="AJ143" s="135"/>
      <c r="AK143" s="135"/>
      <c r="AL143" s="44"/>
      <c r="AM143" s="135"/>
      <c r="AN143" s="135"/>
      <c r="AO143" s="135"/>
      <c r="AP143" s="44"/>
      <c r="AQ143" s="135"/>
      <c r="AR143" s="135"/>
      <c r="AS143" s="135"/>
      <c r="AT143" s="44"/>
      <c r="AU143" s="135"/>
      <c r="AV143" s="135"/>
      <c r="AW143" s="135"/>
      <c r="AX143" s="135"/>
      <c r="AY143" s="135"/>
      <c r="AZ143" s="265"/>
      <c r="BA143" s="135"/>
      <c r="BB143" s="135"/>
      <c r="BC143" s="135"/>
      <c r="BD143" s="135"/>
      <c r="BE143" s="266"/>
      <c r="BF143" s="135"/>
      <c r="BG143" s="266"/>
      <c r="BH143" s="266"/>
      <c r="BI143" s="266"/>
      <c r="BJ143" s="135" t="s">
        <v>268</v>
      </c>
      <c r="BK143" s="266"/>
      <c r="BL143" s="266"/>
      <c r="BM143" s="266"/>
      <c r="BN143" s="135"/>
      <c r="BO143" s="266"/>
      <c r="BP143" s="266"/>
      <c r="BQ143" s="265"/>
      <c r="BR143" s="137"/>
      <c r="BS143" s="265"/>
      <c r="BT143" s="265"/>
      <c r="BU143" s="136"/>
      <c r="BV143" s="135" t="s">
        <v>268</v>
      </c>
      <c r="BW143" s="323"/>
      <c r="BX143" s="136"/>
      <c r="BY143" s="136"/>
      <c r="BZ143" s="137"/>
      <c r="CA143" s="136"/>
      <c r="CB143" s="136"/>
      <c r="CC143" s="136"/>
      <c r="CD143" s="137"/>
      <c r="CE143" s="136"/>
      <c r="CF143" s="136"/>
      <c r="CG143" s="136"/>
      <c r="CH143" s="139" t="str">
        <f>+BV143</f>
        <v>10.  Average Shares Outstanding -- Fully Diluted</v>
      </c>
      <c r="CI143" s="136"/>
      <c r="CJ143" s="136"/>
      <c r="CK143" s="136"/>
      <c r="CL143" s="137"/>
      <c r="CM143" s="136"/>
      <c r="CN143" s="136"/>
      <c r="CO143" s="136"/>
      <c r="CP143" s="137"/>
      <c r="CQ143" s="136"/>
      <c r="CR143" s="136"/>
      <c r="CS143" s="44"/>
      <c r="CT143" s="53"/>
      <c r="CU143" s="54"/>
      <c r="CV143" s="44"/>
      <c r="CW143" s="44"/>
      <c r="CX143" s="117"/>
      <c r="CY143" s="313"/>
      <c r="CZ143" s="117"/>
      <c r="DA143" s="44"/>
      <c r="DB143" s="117"/>
      <c r="DC143" s="313"/>
      <c r="DD143" s="117"/>
      <c r="DE143" s="44"/>
      <c r="DF143" s="117"/>
      <c r="DG143" s="313"/>
      <c r="DH143" s="117"/>
      <c r="DI143" s="117"/>
      <c r="DJ143" s="117"/>
      <c r="DK143" s="313"/>
      <c r="DL143" s="117"/>
      <c r="DM143" s="117"/>
      <c r="DN143" s="1429"/>
      <c r="DO143" s="312"/>
      <c r="DP143" s="1429"/>
      <c r="DQ143" s="44"/>
      <c r="DR143" s="44"/>
      <c r="DS143" s="44"/>
      <c r="DT143" s="44"/>
      <c r="DU143" s="44"/>
      <c r="DV143" s="44"/>
      <c r="DW143" s="44"/>
      <c r="DX143" s="44"/>
      <c r="DY143" s="44"/>
      <c r="DZ143" s="44"/>
      <c r="EA143" s="309"/>
      <c r="EB143" s="309"/>
      <c r="EC143" s="318"/>
      <c r="ED143" s="311"/>
    </row>
    <row r="144" spans="1:134">
      <c r="A144" s="44"/>
      <c r="B144" s="44"/>
      <c r="C144" s="57"/>
      <c r="D144" s="57"/>
      <c r="E144" s="57"/>
      <c r="F144" s="57"/>
      <c r="G144" s="57"/>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c r="AE144" s="57"/>
      <c r="AF144" s="57"/>
      <c r="AG144" s="57"/>
      <c r="AH144" s="57"/>
      <c r="AI144" s="57"/>
      <c r="AJ144" s="57"/>
      <c r="AK144" s="57"/>
      <c r="AL144" s="57"/>
      <c r="AM144" s="57"/>
      <c r="AN144" s="57"/>
      <c r="AO144" s="57"/>
      <c r="AP144" s="57"/>
      <c r="AQ144" s="57"/>
      <c r="AR144" s="57"/>
      <c r="AS144" s="57"/>
      <c r="AT144" s="57"/>
      <c r="AU144" s="57"/>
      <c r="AV144" s="57"/>
      <c r="AW144" s="57"/>
      <c r="AX144" s="57"/>
      <c r="AY144" s="57"/>
      <c r="AZ144" s="57"/>
      <c r="BA144" s="57"/>
      <c r="BB144" s="57"/>
      <c r="BC144" s="57"/>
      <c r="BD144" s="57"/>
      <c r="BE144" s="57"/>
      <c r="BF144" s="57"/>
      <c r="BG144" s="57"/>
      <c r="BH144" s="57"/>
      <c r="BI144" s="57"/>
      <c r="BJ144" s="57"/>
      <c r="BK144" s="57"/>
      <c r="BL144" s="57"/>
      <c r="BM144" s="57"/>
      <c r="BN144" s="57"/>
      <c r="BO144" s="57"/>
      <c r="BP144" s="57"/>
      <c r="BQ144" s="44"/>
      <c r="BR144" s="44"/>
      <c r="BS144" s="44"/>
      <c r="BT144" s="44"/>
      <c r="BU144" s="44"/>
      <c r="BV144" s="44"/>
      <c r="BW144" s="44"/>
      <c r="BX144" s="44"/>
      <c r="BY144" s="44"/>
      <c r="BZ144" s="119"/>
      <c r="CA144" s="119"/>
      <c r="CB144" s="44"/>
      <c r="CC144" s="44"/>
      <c r="CD144" s="119"/>
      <c r="CE144" s="119"/>
      <c r="CF144" s="44"/>
      <c r="CG144" s="44"/>
      <c r="CH144" s="119"/>
      <c r="CI144" s="119"/>
      <c r="CJ144" s="44"/>
      <c r="CK144" s="44"/>
      <c r="CL144" s="119"/>
      <c r="CM144" s="119"/>
      <c r="CN144" s="44"/>
      <c r="CO144" s="44"/>
      <c r="CP144" s="119"/>
      <c r="CQ144" s="119"/>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57"/>
      <c r="DO144" s="57"/>
      <c r="DP144" s="57"/>
      <c r="DQ144" s="44"/>
      <c r="DR144" s="44"/>
      <c r="DS144" s="44"/>
      <c r="DT144" s="44"/>
      <c r="DU144" s="44"/>
      <c r="DV144" s="44"/>
      <c r="DW144" s="44"/>
      <c r="DX144" s="44"/>
      <c r="DY144" s="44"/>
      <c r="DZ144" s="44"/>
      <c r="EA144" s="44"/>
      <c r="EB144" s="44"/>
      <c r="EC144" s="44"/>
      <c r="ED144" s="44"/>
    </row>
    <row r="145" spans="1:134">
      <c r="A145" s="44" t="str">
        <f>$A$10</f>
        <v>1Q</v>
      </c>
      <c r="B145" s="44" t="str">
        <f>$B$10</f>
        <v>Apr</v>
      </c>
      <c r="C145" s="57"/>
      <c r="D145" s="156"/>
      <c r="E145" s="57"/>
      <c r="F145" s="156">
        <f>141.113*2*1.5*1.5*1.5</f>
        <v>952.5127500000001</v>
      </c>
      <c r="G145" s="324"/>
      <c r="H145" s="324"/>
      <c r="I145" s="57"/>
      <c r="J145" s="156">
        <f>141.59*2*1.5*1.5*1.5</f>
        <v>955.73249999999996</v>
      </c>
      <c r="K145" s="324"/>
      <c r="L145" s="324"/>
      <c r="M145" s="57"/>
      <c r="N145" s="156">
        <f>425.834*1.5*1.5</f>
        <v>958.12649999999996</v>
      </c>
      <c r="O145" s="324"/>
      <c r="P145" s="324"/>
      <c r="Q145" s="57"/>
      <c r="R145" s="156">
        <f>426.793*1.5*1.5</f>
        <v>960.28424999999993</v>
      </c>
      <c r="S145" s="324"/>
      <c r="T145" s="324"/>
      <c r="U145" s="57"/>
      <c r="V145" s="156">
        <f>431.902*1.5*1.5</f>
        <v>971.77949999999987</v>
      </c>
      <c r="W145" s="324"/>
      <c r="X145" s="324"/>
      <c r="Y145" s="57"/>
      <c r="Z145" s="156">
        <f>425.093*1.5*1.5</f>
        <v>956.45925</v>
      </c>
      <c r="AA145" s="324"/>
      <c r="AB145" s="324"/>
      <c r="AC145" s="57"/>
      <c r="AD145" s="156">
        <f>433.229*1.5*1.5</f>
        <v>974.76524999999992</v>
      </c>
      <c r="AE145" s="324"/>
      <c r="AF145" s="324"/>
      <c r="AG145" s="57"/>
      <c r="AH145" s="156">
        <f>619.974*1.5</f>
        <v>929.96100000000001</v>
      </c>
      <c r="AI145" s="324"/>
      <c r="AJ145" s="324"/>
      <c r="AK145" s="57"/>
      <c r="AL145" s="156">
        <f>607.5*1.5</f>
        <v>911.25</v>
      </c>
      <c r="AM145" s="324"/>
      <c r="AN145" s="324"/>
      <c r="AO145" s="324"/>
      <c r="AP145" s="156">
        <f>600.029159*1.5</f>
        <v>900.04373850000002</v>
      </c>
      <c r="AQ145" s="57"/>
      <c r="AR145" s="57"/>
      <c r="AS145" s="57"/>
      <c r="AT145" s="156">
        <v>888.02016600000002</v>
      </c>
      <c r="AU145" s="325">
        <f>(AT145/AP145-1)*100</f>
        <v>-1.3358875780901891</v>
      </c>
      <c r="AV145" s="57"/>
      <c r="AW145" s="57"/>
      <c r="AX145" s="156">
        <v>875.87300000000005</v>
      </c>
      <c r="AY145" s="325">
        <f>(AX145/AT145-1)*100</f>
        <v>-1.3678930349876772</v>
      </c>
      <c r="AZ145" s="57"/>
      <c r="BA145" s="57"/>
      <c r="BB145" s="156">
        <v>874.01208199999996</v>
      </c>
      <c r="BC145" s="325">
        <f>(BB145/AX145-1)*100</f>
        <v>-0.21246436412586389</v>
      </c>
      <c r="BD145" s="57"/>
      <c r="BE145" s="57"/>
      <c r="BF145" s="156">
        <v>979.60826199999997</v>
      </c>
      <c r="BG145" s="325">
        <f>(BF145/BB145-1)*100</f>
        <v>12.081775775726644</v>
      </c>
      <c r="BH145" s="57"/>
      <c r="BI145" s="57"/>
      <c r="BJ145" s="225">
        <f>+BJ180</f>
        <v>996.32664199999999</v>
      </c>
      <c r="BK145" s="325">
        <f>(BJ145/BF145-1)*100</f>
        <v>1.7066393423292636</v>
      </c>
      <c r="BL145" s="57"/>
      <c r="BM145" s="57"/>
      <c r="BN145" s="156">
        <v>951.86199999999997</v>
      </c>
      <c r="BO145" s="325">
        <f>(BN145/BJ145-1)*100</f>
        <v>-4.4628578746768071</v>
      </c>
      <c r="BP145" s="57"/>
      <c r="BQ145" s="44"/>
      <c r="BR145" s="156">
        <v>860.68100000000004</v>
      </c>
      <c r="BS145" s="325">
        <f>(BR145/BN145-1)*100</f>
        <v>-9.5792247195496731</v>
      </c>
      <c r="BT145" s="44"/>
      <c r="BU145" s="44"/>
      <c r="BV145" s="156">
        <v>818.68200000000002</v>
      </c>
      <c r="BW145" s="325">
        <f>(BV145/BR145-1)*100</f>
        <v>-4.8797405775194314</v>
      </c>
      <c r="BX145" s="44"/>
      <c r="BY145" s="44"/>
      <c r="BZ145" s="156">
        <v>736</v>
      </c>
      <c r="CA145" s="325">
        <f>(BZ145/BV145-1)*100</f>
        <v>-10.099403675664053</v>
      </c>
      <c r="CB145" s="326" t="s">
        <v>141</v>
      </c>
      <c r="CC145" s="44"/>
      <c r="CD145" s="156">
        <v>697</v>
      </c>
      <c r="CE145" s="325">
        <v>2</v>
      </c>
      <c r="CF145" s="292"/>
      <c r="CG145" s="44"/>
      <c r="CH145" s="156">
        <v>676</v>
      </c>
      <c r="CI145" s="325"/>
      <c r="CJ145" s="327"/>
      <c r="CK145" s="44"/>
      <c r="CL145" s="156">
        <v>588</v>
      </c>
      <c r="CM145" s="325">
        <v>548</v>
      </c>
      <c r="CN145" s="292">
        <f>+CM145/22.5</f>
        <v>24.355555555555554</v>
      </c>
      <c r="CO145" s="44"/>
      <c r="CP145" s="156">
        <v>494</v>
      </c>
      <c r="CQ145" s="10">
        <f>CP145/CP209</f>
        <v>1.0102249488752557</v>
      </c>
      <c r="CR145" s="292"/>
      <c r="CT145" s="156">
        <v>471</v>
      </c>
      <c r="CU145" s="10">
        <f>CT145/CT209</f>
        <v>1.0150862068965518</v>
      </c>
      <c r="CX145" s="156">
        <v>451</v>
      </c>
      <c r="CY145" s="10">
        <f>CX145/CT145-1</f>
        <v>-4.2462845010615702E-2</v>
      </c>
      <c r="DB145" s="156">
        <v>424</v>
      </c>
      <c r="DC145"/>
      <c r="DF145" s="156">
        <v>399</v>
      </c>
      <c r="DG145"/>
      <c r="DJ145" s="232">
        <v>400</v>
      </c>
      <c r="DK145" s="1018"/>
      <c r="DN145" s="2027">
        <f>DJ148-(100/30)</f>
        <v>389.66666666666669</v>
      </c>
      <c r="DO145" s="69"/>
      <c r="DX145" s="44"/>
      <c r="DY145" s="44"/>
      <c r="DZ145" s="44"/>
      <c r="EA145" s="44"/>
      <c r="EB145" s="44"/>
      <c r="EC145" s="44"/>
      <c r="ED145" s="44"/>
    </row>
    <row r="146" spans="1:134">
      <c r="A146" s="44" t="str">
        <f>$A$11</f>
        <v>2Q</v>
      </c>
      <c r="B146" s="44" t="str">
        <f>$B$11</f>
        <v>Jul</v>
      </c>
      <c r="C146" s="57"/>
      <c r="D146" s="156"/>
      <c r="E146" s="57"/>
      <c r="F146" s="156">
        <f>141.425*2*1.5*1.5*1.5</f>
        <v>954.61875000000009</v>
      </c>
      <c r="G146" s="324"/>
      <c r="H146" s="324"/>
      <c r="I146" s="57"/>
      <c r="J146" s="156">
        <f>142.168*2*1.5*1.5*1.5</f>
        <v>959.63400000000013</v>
      </c>
      <c r="K146" s="324"/>
      <c r="L146" s="324"/>
      <c r="M146" s="57"/>
      <c r="N146" s="156">
        <f>425.286*1.5*1.5</f>
        <v>956.8934999999999</v>
      </c>
      <c r="O146" s="324"/>
      <c r="P146" s="324"/>
      <c r="Q146" s="57"/>
      <c r="R146" s="156">
        <f>428.267*1.5*1.5</f>
        <v>963.60074999999995</v>
      </c>
      <c r="S146" s="324"/>
      <c r="T146" s="324"/>
      <c r="U146" s="57"/>
      <c r="V146" s="156">
        <f>432.328*1.5*1.5</f>
        <v>972.73799999999994</v>
      </c>
      <c r="W146" s="324"/>
      <c r="X146" s="324"/>
      <c r="Y146" s="57"/>
      <c r="Z146" s="156">
        <f>426.157*1.5*1.5</f>
        <v>958.85325</v>
      </c>
      <c r="AA146" s="324"/>
      <c r="AB146" s="324"/>
      <c r="AC146" s="57"/>
      <c r="AD146" s="156">
        <f>431.9*1.5*1.5</f>
        <v>971.77499999999986</v>
      </c>
      <c r="AE146" s="324"/>
      <c r="AF146" s="324"/>
      <c r="AG146" s="57"/>
      <c r="AH146" s="156">
        <f>615.138*1.5</f>
        <v>922.70700000000011</v>
      </c>
      <c r="AI146" s="324"/>
      <c r="AJ146" s="324"/>
      <c r="AK146" s="57"/>
      <c r="AL146" s="156">
        <f>609.71*1.5</f>
        <v>914.56500000000005</v>
      </c>
      <c r="AM146" s="324"/>
      <c r="AN146" s="324"/>
      <c r="AO146" s="324"/>
      <c r="AP146" s="156">
        <v>898.99099999999999</v>
      </c>
      <c r="AQ146" s="57"/>
      <c r="AR146" s="57"/>
      <c r="AS146" s="57"/>
      <c r="AT146" s="156">
        <v>880.11975500000005</v>
      </c>
      <c r="AU146" s="325">
        <f>(AT146/AP146-1)*100</f>
        <v>-2.0991583897947752</v>
      </c>
      <c r="AV146" s="57"/>
      <c r="AW146" s="57"/>
      <c r="AX146" s="156">
        <v>883.662826</v>
      </c>
      <c r="AY146" s="325">
        <f>(AX146/AT146-1)*100</f>
        <v>0.4025669211344951</v>
      </c>
      <c r="AZ146" s="57"/>
      <c r="BA146" s="57"/>
      <c r="BB146" s="156">
        <v>876.609916</v>
      </c>
      <c r="BC146" s="325">
        <f>(BB146/AX146-1)*100</f>
        <v>-0.798144925019173</v>
      </c>
      <c r="BD146" s="57"/>
      <c r="BE146" s="57"/>
      <c r="BF146" s="156">
        <f>+BF182</f>
        <v>987.51404100000002</v>
      </c>
      <c r="BG146" s="325">
        <f>(BF146/BB146-1)*100</f>
        <v>12.651479634871032</v>
      </c>
      <c r="BH146" s="57"/>
      <c r="BI146" s="57"/>
      <c r="BJ146" s="225">
        <f>+BJ182</f>
        <v>1002.74305</v>
      </c>
      <c r="BK146" s="325">
        <f>(BJ146/BF146-1)*100</f>
        <v>1.5421561990732302</v>
      </c>
      <c r="BL146" s="57"/>
      <c r="BM146" s="57"/>
      <c r="BN146" s="156">
        <v>905.19</v>
      </c>
      <c r="BO146" s="325">
        <f>(BN146/BJ146-1)*100</f>
        <v>-9.7286189118937276</v>
      </c>
      <c r="BP146" s="57"/>
      <c r="BQ146" s="44"/>
      <c r="BR146" s="156">
        <v>841.94100000000003</v>
      </c>
      <c r="BS146" s="325">
        <f>(BR146/BN146-1)*100</f>
        <v>-6.9873728167567091</v>
      </c>
      <c r="BT146" s="44"/>
      <c r="BU146" s="44"/>
      <c r="BV146" s="156">
        <v>816.76499999999999</v>
      </c>
      <c r="BW146" s="325">
        <f>(BV146/BR146-1)*100</f>
        <v>-2.9902332823796507</v>
      </c>
      <c r="BX146" s="225"/>
      <c r="BY146" s="44"/>
      <c r="BZ146" s="156">
        <v>719</v>
      </c>
      <c r="CA146" s="325">
        <f>(BZ146/BV146-1)*100</f>
        <v>-11.969783230182484</v>
      </c>
      <c r="CB146" s="328">
        <v>2</v>
      </c>
      <c r="CC146" s="44"/>
      <c r="CD146" s="156">
        <v>719</v>
      </c>
      <c r="CE146" s="325">
        <v>2</v>
      </c>
      <c r="CF146" s="327"/>
      <c r="CG146" s="44"/>
      <c r="CH146" s="156">
        <v>651</v>
      </c>
      <c r="CI146" s="325"/>
      <c r="CJ146" s="327"/>
      <c r="CK146" s="44"/>
      <c r="CL146" s="156">
        <v>545</v>
      </c>
      <c r="CM146" s="325">
        <v>700</v>
      </c>
      <c r="CN146" s="292">
        <f>+CM146/18.5</f>
        <v>37.837837837837839</v>
      </c>
      <c r="CO146" s="44"/>
      <c r="CP146" s="156">
        <v>491</v>
      </c>
      <c r="CQ146" s="10">
        <f>CP146/CP210</f>
        <v>1.0102880658436213</v>
      </c>
      <c r="CR146" s="292"/>
      <c r="CT146" s="263">
        <v>473</v>
      </c>
      <c r="CU146" s="10">
        <f>CT146/CT210</f>
        <v>1.0106837606837606</v>
      </c>
      <c r="CX146" s="156">
        <v>443</v>
      </c>
      <c r="CY146" s="10">
        <f>CX146/CT146-1</f>
        <v>-6.3424947145877431E-2</v>
      </c>
      <c r="DB146" s="156">
        <v>418</v>
      </c>
      <c r="DC146"/>
      <c r="DF146" s="156">
        <v>399</v>
      </c>
      <c r="DG146"/>
      <c r="DJ146" s="232">
        <v>396</v>
      </c>
      <c r="DK146" s="1018"/>
      <c r="DN146" s="2027">
        <f>DN145-(100/30)</f>
        <v>386.33333333333337</v>
      </c>
      <c r="DO146" s="69"/>
      <c r="DX146" s="44"/>
      <c r="DY146" s="44"/>
      <c r="DZ146" s="44"/>
      <c r="EA146" s="44"/>
      <c r="EB146" s="44"/>
      <c r="EC146" s="44"/>
      <c r="ED146" s="52"/>
    </row>
    <row r="147" spans="1:134">
      <c r="A147" s="44" t="str">
        <f>$A$12</f>
        <v>3Q</v>
      </c>
      <c r="B147" s="44" t="str">
        <f>$B$12</f>
        <v>Oct</v>
      </c>
      <c r="C147" s="57"/>
      <c r="D147" s="156"/>
      <c r="E147" s="57"/>
      <c r="F147" s="156">
        <f>141.526*2*1.5*1.5*1.5</f>
        <v>955.30050000000006</v>
      </c>
      <c r="G147" s="324"/>
      <c r="H147" s="324"/>
      <c r="I147" s="57"/>
      <c r="J147" s="156">
        <f>142.337*2*1.5*1.5*1.5</f>
        <v>960.77474999999993</v>
      </c>
      <c r="K147" s="324"/>
      <c r="L147" s="324"/>
      <c r="M147" s="57"/>
      <c r="N147" s="156">
        <f>425.238*1.5*1.5</f>
        <v>956.78549999999996</v>
      </c>
      <c r="O147" s="324"/>
      <c r="P147" s="324"/>
      <c r="Q147" s="57"/>
      <c r="R147" s="156">
        <f>428.454*1.5*1.5</f>
        <v>964.02150000000006</v>
      </c>
      <c r="S147" s="324"/>
      <c r="T147" s="324"/>
      <c r="U147" s="57"/>
      <c r="V147" s="156">
        <f>431.989*1.5*1.5</f>
        <v>971.97524999999996</v>
      </c>
      <c r="W147" s="324"/>
      <c r="X147" s="324"/>
      <c r="Y147" s="57"/>
      <c r="Z147" s="156">
        <f>427.512*1.5*1.5</f>
        <v>961.90200000000004</v>
      </c>
      <c r="AA147" s="324"/>
      <c r="AB147" s="324"/>
      <c r="AC147" s="57"/>
      <c r="AD147" s="156">
        <f>425.063*1.5*1.5</f>
        <v>956.39174999999989</v>
      </c>
      <c r="AE147" s="324"/>
      <c r="AF147" s="324"/>
      <c r="AG147" s="57"/>
      <c r="AH147" s="156">
        <f>613.437*1.5</f>
        <v>920.15550000000007</v>
      </c>
      <c r="AI147" s="324"/>
      <c r="AJ147" s="324"/>
      <c r="AK147" s="57"/>
      <c r="AL147" s="156">
        <f>597.432*1.5</f>
        <v>896.14800000000002</v>
      </c>
      <c r="AM147" s="324"/>
      <c r="AN147" s="324"/>
      <c r="AO147" s="324"/>
      <c r="AP147" s="156">
        <v>891.32500000000005</v>
      </c>
      <c r="AQ147" s="57"/>
      <c r="AR147" s="57" t="s">
        <v>59</v>
      </c>
      <c r="AS147" s="57"/>
      <c r="AT147" s="156">
        <v>871.57069799999999</v>
      </c>
      <c r="AU147" s="325">
        <f>(AT147/AP147-1)*100</f>
        <v>-2.2162849690068209</v>
      </c>
      <c r="AV147" s="57"/>
      <c r="AW147" s="57"/>
      <c r="AX147" s="156">
        <v>862.42005400000005</v>
      </c>
      <c r="AY147" s="325">
        <f>(AX147/AT147-1)*100</f>
        <v>-1.049902666645175</v>
      </c>
      <c r="AZ147" s="57"/>
      <c r="BA147" s="57"/>
      <c r="BB147" s="156">
        <v>968.16372200000001</v>
      </c>
      <c r="BC147" s="325">
        <f>(BB147/AX147-1)*100</f>
        <v>12.261271930024019</v>
      </c>
      <c r="BD147" s="57"/>
      <c r="BE147" s="57"/>
      <c r="BF147" s="156">
        <f>+BF184</f>
        <v>990.02034100000003</v>
      </c>
      <c r="BG147" s="325">
        <f>(BF147/BB147-1)*100</f>
        <v>2.2575333596315028</v>
      </c>
      <c r="BH147" s="57"/>
      <c r="BI147" s="57"/>
      <c r="BJ147" s="225">
        <f>+BJ184</f>
        <v>997.62029099999995</v>
      </c>
      <c r="BK147" s="325">
        <f>(BJ147/BF147-1)*100</f>
        <v>0.7676559445559894</v>
      </c>
      <c r="BL147" s="225"/>
      <c r="BM147" s="57"/>
      <c r="BN147" s="156">
        <v>881.71400000000006</v>
      </c>
      <c r="BO147" s="325">
        <f>(BN147/BJ147-1)*100</f>
        <v>-11.618277218862216</v>
      </c>
      <c r="BP147" s="57"/>
      <c r="BQ147" s="44"/>
      <c r="BR147" s="156">
        <v>832.43499999999995</v>
      </c>
      <c r="BS147" s="325">
        <f>(BR147/BN147-1)*100</f>
        <v>-5.5890005149062061</v>
      </c>
      <c r="BT147" s="57"/>
      <c r="BU147" s="44"/>
      <c r="BV147" s="156">
        <v>791</v>
      </c>
      <c r="BW147" s="325">
        <f>(BV147/BR147-1)*100</f>
        <v>-4.9775658159495917</v>
      </c>
      <c r="BX147" s="225">
        <f>BV147-BR148</f>
        <v>-26.559999999999945</v>
      </c>
      <c r="BY147" s="119">
        <f>BZ146-BZ147</f>
        <v>7</v>
      </c>
      <c r="BZ147" s="156">
        <v>712</v>
      </c>
      <c r="CA147" s="325">
        <f>(BZ147/BV147-1)*100</f>
        <v>-9.9873577749683982</v>
      </c>
      <c r="CB147" s="329"/>
      <c r="CC147" s="44"/>
      <c r="CD147" s="156">
        <v>704</v>
      </c>
      <c r="CE147" s="325">
        <v>6</v>
      </c>
      <c r="CF147" s="330"/>
      <c r="CG147" s="44"/>
      <c r="CH147" s="156">
        <v>626</v>
      </c>
      <c r="CI147" s="325"/>
      <c r="CJ147" s="327"/>
      <c r="CK147" s="44"/>
      <c r="CL147" s="156">
        <v>505</v>
      </c>
      <c r="CM147" s="325">
        <v>550</v>
      </c>
      <c r="CN147" s="292">
        <f>+CM147/19</f>
        <v>28.94736842105263</v>
      </c>
      <c r="CO147" s="44"/>
      <c r="CP147" s="156">
        <v>488</v>
      </c>
      <c r="CQ147" s="10">
        <f>CP147/CP211</f>
        <v>1.0145530145530146</v>
      </c>
      <c r="CR147" s="292"/>
      <c r="CT147" s="156">
        <v>468</v>
      </c>
      <c r="CU147" s="10">
        <f>CT147/CT211</f>
        <v>1.0107991360691144</v>
      </c>
      <c r="CX147" s="156">
        <v>437</v>
      </c>
      <c r="CY147" s="10">
        <f>CX147/CT147-1</f>
        <v>-6.6239316239316226E-2</v>
      </c>
      <c r="DB147" s="156">
        <v>408</v>
      </c>
      <c r="DC147"/>
      <c r="DF147" s="156">
        <v>400</v>
      </c>
      <c r="DG147"/>
      <c r="DJ147" s="232">
        <v>393</v>
      </c>
      <c r="DK147" s="1018"/>
      <c r="DN147" s="2027">
        <f>DN146-(100/30)</f>
        <v>383.00000000000006</v>
      </c>
      <c r="DO147" s="69"/>
      <c r="DX147" s="44"/>
      <c r="DY147" s="44"/>
      <c r="DZ147" s="57"/>
      <c r="EA147" s="44"/>
      <c r="EB147" s="44"/>
      <c r="EC147" s="44"/>
      <c r="ED147" s="52"/>
    </row>
    <row r="148" spans="1:134">
      <c r="A148" s="44" t="str">
        <f>$A$13</f>
        <v>4Q</v>
      </c>
      <c r="B148" s="44" t="str">
        <f>$B$13</f>
        <v>Jan</v>
      </c>
      <c r="C148" s="60"/>
      <c r="D148" s="163"/>
      <c r="E148" s="60"/>
      <c r="F148" s="163">
        <f>141.501*2*1.5*1.5*1.5</f>
        <v>955.13175000000001</v>
      </c>
      <c r="G148" s="324"/>
      <c r="H148" s="324"/>
      <c r="I148" s="57"/>
      <c r="J148" s="163">
        <f>142.464*2*1.5*1.5*1.5</f>
        <v>961.63199999999995</v>
      </c>
      <c r="K148" s="324"/>
      <c r="L148" s="324"/>
      <c r="M148" s="57"/>
      <c r="N148" s="163">
        <f>426.57*1.5*1.5</f>
        <v>959.78250000000003</v>
      </c>
      <c r="O148" s="324"/>
      <c r="P148" s="324"/>
      <c r="Q148" s="57"/>
      <c r="R148" s="163">
        <f>430.787*1.5*1.5</f>
        <v>969.27074999999991</v>
      </c>
      <c r="S148" s="324"/>
      <c r="T148" s="324"/>
      <c r="U148" s="57"/>
      <c r="V148" s="163">
        <f>430.464*1.5*1.5</f>
        <v>968.5440000000001</v>
      </c>
      <c r="W148" s="324"/>
      <c r="X148" s="324"/>
      <c r="Y148" s="57"/>
      <c r="Z148" s="163">
        <f>428.717*1.5*1.5</f>
        <v>964.61324999999988</v>
      </c>
      <c r="AA148" s="324"/>
      <c r="AB148" s="324"/>
      <c r="AC148" s="57"/>
      <c r="AD148" s="163">
        <f>418.625*1.5*1.5</f>
        <v>941.90625</v>
      </c>
      <c r="AE148" s="324"/>
      <c r="AF148" s="324"/>
      <c r="AG148" s="57"/>
      <c r="AH148" s="163">
        <f>606.533*1.5</f>
        <v>909.79950000000008</v>
      </c>
      <c r="AI148" s="324"/>
      <c r="AJ148" s="324"/>
      <c r="AK148" s="57"/>
      <c r="AL148" s="163">
        <f>596.990183*1.5</f>
        <v>895.48527450000006</v>
      </c>
      <c r="AM148" s="324"/>
      <c r="AN148" s="324"/>
      <c r="AO148" s="324"/>
      <c r="AP148" s="163">
        <v>888.51155400000005</v>
      </c>
      <c r="AQ148" s="57"/>
      <c r="AR148" s="57"/>
      <c r="AS148" s="57"/>
      <c r="AT148" s="163">
        <v>873.32454800000005</v>
      </c>
      <c r="AU148" s="325">
        <f>(AT148/AP148-1)*100</f>
        <v>-1.7092637604575245</v>
      </c>
      <c r="AV148" s="57"/>
      <c r="AW148" s="57"/>
      <c r="AX148" s="163">
        <v>864.60163399999999</v>
      </c>
      <c r="AY148" s="325">
        <f>(AX148/AT148-1)*100</f>
        <v>-0.99881699420637515</v>
      </c>
      <c r="AZ148" s="57"/>
      <c r="BA148" s="57"/>
      <c r="BB148" s="163">
        <v>976.81047599999999</v>
      </c>
      <c r="BC148" s="325">
        <f>(BB148/AX148-1)*100</f>
        <v>12.978097378890684</v>
      </c>
      <c r="BD148" s="57"/>
      <c r="BE148" s="57"/>
      <c r="BF148" s="163">
        <f>+BF186</f>
        <v>994.75435300000004</v>
      </c>
      <c r="BG148" s="325">
        <f>(BF148/BB148-1)*100</f>
        <v>1.8369865435390764</v>
      </c>
      <c r="BH148" s="57"/>
      <c r="BI148" s="57"/>
      <c r="BJ148" s="234">
        <f>+BJ186</f>
        <v>967.95742199999995</v>
      </c>
      <c r="BK148" s="325">
        <f>(BJ148/BF148-1)*100</f>
        <v>-2.6938239495193361</v>
      </c>
      <c r="BL148" s="225"/>
      <c r="BM148" s="57"/>
      <c r="BN148" s="163">
        <v>870.47</v>
      </c>
      <c r="BO148" s="325">
        <f>(BN148/BJ148-1)*100</f>
        <v>-10.071457667897288</v>
      </c>
      <c r="BP148" s="57"/>
      <c r="BQ148" s="44"/>
      <c r="BR148" s="163">
        <v>817.56</v>
      </c>
      <c r="BS148" s="325">
        <f>(BR148/BN148-1)*100</f>
        <v>-6.0783255023148524</v>
      </c>
      <c r="BT148" s="57"/>
      <c r="BU148" s="44"/>
      <c r="BV148" s="163">
        <v>749</v>
      </c>
      <c r="BW148" s="325">
        <f>(BV148/BR148-1)*100</f>
        <v>-8.3859288614902781</v>
      </c>
      <c r="BX148" s="331">
        <f>751.203743+(791-788)</f>
        <v>754.20374300000003</v>
      </c>
      <c r="BY148" s="44"/>
      <c r="BZ148" s="163">
        <v>706</v>
      </c>
      <c r="CA148" s="325">
        <f>(BZ148/BV148-1)*100</f>
        <v>-5.7409879839786404</v>
      </c>
      <c r="CB148" s="332"/>
      <c r="CC148" s="119">
        <f>CD148-CD147</f>
        <v>-11</v>
      </c>
      <c r="CD148" s="163">
        <v>693</v>
      </c>
      <c r="CE148" s="325">
        <v>6</v>
      </c>
      <c r="CF148" s="333"/>
      <c r="CG148" s="44"/>
      <c r="CH148" s="163">
        <v>612</v>
      </c>
      <c r="CI148" s="325"/>
      <c r="CJ148" s="327"/>
      <c r="CK148" s="44"/>
      <c r="CL148" s="163">
        <v>492</v>
      </c>
      <c r="CM148" s="325">
        <v>550</v>
      </c>
      <c r="CN148" s="292">
        <f>+CM148/19</f>
        <v>28.94736842105263</v>
      </c>
      <c r="CO148" s="44"/>
      <c r="CP148" s="163">
        <v>479</v>
      </c>
      <c r="CQ148" s="10">
        <f>CP148/CP212</f>
        <v>1.0148305084745763</v>
      </c>
      <c r="CR148" s="292"/>
      <c r="CT148" s="163">
        <v>454</v>
      </c>
      <c r="CU148" s="10">
        <f>CT148/CT212</f>
        <v>1.0111358574610245</v>
      </c>
      <c r="CV148" t="s">
        <v>741</v>
      </c>
      <c r="CX148" s="163">
        <v>428</v>
      </c>
      <c r="CY148" s="10">
        <f>CX148/CT148-1</f>
        <v>-5.7268722466960353E-2</v>
      </c>
      <c r="DB148" s="163">
        <v>402</v>
      </c>
      <c r="DC148"/>
      <c r="DF148" s="163">
        <v>401</v>
      </c>
      <c r="DG148"/>
      <c r="DJ148" s="163">
        <v>393</v>
      </c>
      <c r="DK148" s="1018"/>
      <c r="DN148" s="1432">
        <f>DN147-(100/30)</f>
        <v>379.66666666666674</v>
      </c>
      <c r="DO148" s="69"/>
      <c r="DX148" s="44"/>
      <c r="DY148" s="44"/>
      <c r="DZ148" s="57"/>
      <c r="EA148" s="44"/>
      <c r="EB148" s="44"/>
      <c r="EC148" s="44"/>
      <c r="ED148" s="52"/>
    </row>
    <row r="149" spans="1:134">
      <c r="A149" s="44"/>
      <c r="B149" s="44" t="str">
        <f>$B$14</f>
        <v>Year</v>
      </c>
      <c r="C149" s="57"/>
      <c r="D149" s="334"/>
      <c r="E149" s="57"/>
      <c r="F149" s="334">
        <v>955.125</v>
      </c>
      <c r="G149" s="335"/>
      <c r="H149" s="335"/>
      <c r="I149" s="335"/>
      <c r="J149" s="334">
        <v>959.44500000000005</v>
      </c>
      <c r="K149" s="335"/>
      <c r="L149" s="335"/>
      <c r="M149" s="335"/>
      <c r="N149" s="334">
        <v>960.94799999999998</v>
      </c>
      <c r="O149" s="335"/>
      <c r="P149" s="335"/>
      <c r="Q149" s="335"/>
      <c r="R149" s="334">
        <v>965.1105</v>
      </c>
      <c r="S149" s="335"/>
      <c r="T149" s="335"/>
      <c r="U149" s="335"/>
      <c r="V149" s="334">
        <v>971.15174999999999</v>
      </c>
      <c r="W149" s="335"/>
      <c r="X149" s="335"/>
      <c r="Y149" s="335"/>
      <c r="Z149" s="334">
        <f>427.752515*1.5*1.5</f>
        <v>962.44315874999995</v>
      </c>
      <c r="AA149" s="335"/>
      <c r="AB149" s="335"/>
      <c r="AC149" s="335"/>
      <c r="AD149" s="334">
        <f>427.26722*1.5*1.5</f>
        <v>961.35124500000006</v>
      </c>
      <c r="AE149" s="335"/>
      <c r="AF149" s="335"/>
      <c r="AG149" s="335"/>
      <c r="AH149" s="336">
        <f>615.305*1.5</f>
        <v>922.95749999999998</v>
      </c>
      <c r="AI149" s="337"/>
      <c r="AJ149" s="337"/>
      <c r="AK149" s="337"/>
      <c r="AL149" s="336">
        <f>SUM(AL145:AL148)/4</f>
        <v>904.36206862500012</v>
      </c>
      <c r="AM149" s="337"/>
      <c r="AN149" s="337"/>
      <c r="AO149" s="337"/>
      <c r="AP149" s="336">
        <f>AVERAGEA(AP144:AP145)</f>
        <v>900.04373850000002</v>
      </c>
      <c r="AQ149" s="337"/>
      <c r="AR149" s="337"/>
      <c r="AS149" s="337"/>
      <c r="AT149" s="336">
        <v>878.25879175</v>
      </c>
      <c r="AU149" s="337"/>
      <c r="AV149" s="335"/>
      <c r="AW149" s="335"/>
      <c r="AX149" s="336">
        <v>870.70692200000008</v>
      </c>
      <c r="AY149" s="337"/>
      <c r="AZ149" s="335"/>
      <c r="BA149" s="335"/>
      <c r="BB149" s="336">
        <v>881.47788800000001</v>
      </c>
      <c r="BC149" s="57"/>
      <c r="BD149" s="57"/>
      <c r="BE149" s="335"/>
      <c r="BF149" s="336">
        <v>988.178</v>
      </c>
      <c r="BG149" s="57"/>
      <c r="BH149" s="57"/>
      <c r="BI149" s="57"/>
      <c r="BJ149" s="336">
        <v>991.12199999999996</v>
      </c>
      <c r="BK149" s="57"/>
      <c r="BL149" s="57"/>
      <c r="BM149" s="57"/>
      <c r="BN149" s="336">
        <v>902.30600000000004</v>
      </c>
      <c r="BO149" s="57"/>
      <c r="BP149" s="57"/>
      <c r="BQ149" s="44"/>
      <c r="BR149" s="336">
        <v>836</v>
      </c>
      <c r="BS149" s="57"/>
      <c r="BT149" s="57"/>
      <c r="BU149" s="44"/>
      <c r="BV149" s="336">
        <v>794</v>
      </c>
      <c r="BW149" s="225"/>
      <c r="BX149" s="57"/>
      <c r="BY149" s="44"/>
      <c r="BZ149" s="338">
        <v>719</v>
      </c>
      <c r="CA149" s="57" t="s">
        <v>198</v>
      </c>
      <c r="CB149" s="57"/>
      <c r="CC149" s="44"/>
      <c r="CD149" s="338">
        <v>699</v>
      </c>
      <c r="CE149" s="249">
        <f>SUM(CE145:CE148)</f>
        <v>16</v>
      </c>
      <c r="CF149" s="57">
        <v>510</v>
      </c>
      <c r="CG149" s="44"/>
      <c r="CH149" s="338">
        <v>641</v>
      </c>
      <c r="CI149" s="249"/>
      <c r="CJ149" s="57"/>
      <c r="CK149" s="44"/>
      <c r="CL149" s="338">
        <v>533</v>
      </c>
      <c r="CM149" s="249"/>
      <c r="CN149" s="57"/>
      <c r="CO149" s="44"/>
      <c r="CP149" s="47">
        <f>AVERAGE(CP145:CP148)</f>
        <v>488</v>
      </c>
      <c r="CQ149" s="249"/>
      <c r="CR149" s="57"/>
      <c r="CT149" s="47">
        <f>AVERAGE(CT145:CT148)</f>
        <v>466.5</v>
      </c>
      <c r="CX149" s="47">
        <v>439.5</v>
      </c>
      <c r="DB149" s="47">
        <v>413</v>
      </c>
      <c r="DF149" s="1435">
        <v>400</v>
      </c>
      <c r="DJ149" s="47">
        <f>AVERAGE(DJ145:DJ148)</f>
        <v>395.5</v>
      </c>
      <c r="DN149" s="337">
        <f>AVERAGE(DN145:DN148)</f>
        <v>384.66666666666669</v>
      </c>
      <c r="DX149" s="44"/>
      <c r="DY149" s="44"/>
      <c r="DZ149" s="57"/>
      <c r="EA149" s="44"/>
      <c r="EB149" s="44"/>
      <c r="EC149" s="44"/>
      <c r="ED149" s="44"/>
    </row>
    <row r="150" spans="1:134" outlineLevel="1">
      <c r="A150" s="58" t="str">
        <f>$A$15</f>
        <v>6 Mos</v>
      </c>
      <c r="B150" s="58"/>
      <c r="C150" s="169"/>
      <c r="D150" s="169"/>
      <c r="E150" s="169"/>
      <c r="F150" s="169">
        <f>(F145+F146)/2</f>
        <v>953.56575000000009</v>
      </c>
      <c r="G150" s="169"/>
      <c r="H150" s="169"/>
      <c r="I150" s="169"/>
      <c r="J150" s="169">
        <f>(J145+J146)/2</f>
        <v>957.68325000000004</v>
      </c>
      <c r="K150" s="169"/>
      <c r="L150" s="169"/>
      <c r="M150" s="169"/>
      <c r="N150" s="169">
        <f>(N145+N146)/2</f>
        <v>957.51</v>
      </c>
      <c r="O150" s="169"/>
      <c r="P150" s="169"/>
      <c r="Q150" s="169"/>
      <c r="R150" s="169">
        <f>(R145+R146)/2</f>
        <v>961.94249999999988</v>
      </c>
      <c r="S150" s="169"/>
      <c r="T150" s="169"/>
      <c r="U150" s="169"/>
      <c r="V150" s="169">
        <f>(V145+V146)/2</f>
        <v>972.25874999999996</v>
      </c>
      <c r="W150" s="169"/>
      <c r="X150" s="169"/>
      <c r="Y150" s="169"/>
      <c r="Z150" s="169">
        <f>(Z145+Z146)/2</f>
        <v>957.65625</v>
      </c>
      <c r="AA150" s="169"/>
      <c r="AB150" s="169"/>
      <c r="AC150" s="169"/>
      <c r="AD150" s="169">
        <f>(AD145+AD146)/2</f>
        <v>973.27012499999989</v>
      </c>
      <c r="AE150" s="169"/>
      <c r="AF150" s="169"/>
      <c r="AG150" s="169"/>
      <c r="AH150" s="169">
        <f>(AH145+AH146)/2</f>
        <v>926.33400000000006</v>
      </c>
      <c r="AI150" s="169"/>
      <c r="AJ150" s="169"/>
      <c r="AK150" s="169"/>
      <c r="AL150" s="169">
        <f>(AL145+AL146)/2</f>
        <v>912.90750000000003</v>
      </c>
      <c r="AM150" s="169"/>
      <c r="AN150" s="169"/>
      <c r="AO150" s="169"/>
      <c r="AP150" s="169">
        <f>(AP145+AP146)/2</f>
        <v>899.51736925</v>
      </c>
      <c r="AQ150" s="169"/>
      <c r="AR150" s="169"/>
      <c r="AS150" s="169"/>
      <c r="AT150" s="169">
        <f>(AT145+AT146)/2</f>
        <v>884.06996049999998</v>
      </c>
      <c r="AU150" s="169"/>
      <c r="AV150" s="169"/>
      <c r="AW150" s="169"/>
      <c r="AX150" s="169">
        <f>(AX145+AX146)/2</f>
        <v>879.76791300000002</v>
      </c>
      <c r="AY150" s="169"/>
      <c r="AZ150" s="169"/>
      <c r="BA150" s="169"/>
      <c r="BB150" s="169">
        <f>(BB145+BB146)/2</f>
        <v>875.31099900000004</v>
      </c>
      <c r="BC150" s="57"/>
      <c r="BD150" s="57"/>
      <c r="BE150" s="339"/>
      <c r="BF150" s="337">
        <f>(BF145+BF146)/2</f>
        <v>983.56115150000005</v>
      </c>
      <c r="BG150" s="57"/>
      <c r="BH150" s="57"/>
      <c r="BI150" s="57"/>
      <c r="BJ150" s="337">
        <f>(BJ145+BJ146)/2</f>
        <v>999.53484600000002</v>
      </c>
      <c r="BK150" s="57"/>
      <c r="BL150" s="57"/>
      <c r="BM150" s="57"/>
      <c r="BN150" s="337">
        <f>(BN145+BN146)/2</f>
        <v>928.52600000000007</v>
      </c>
      <c r="BO150" s="57"/>
      <c r="BP150" s="57"/>
      <c r="BQ150" s="44"/>
      <c r="BR150" s="47">
        <f>(BR145+BR146)/2</f>
        <v>851.31100000000004</v>
      </c>
      <c r="BS150" s="57"/>
      <c r="BT150" s="57"/>
      <c r="BU150" s="44"/>
      <c r="BV150" s="47">
        <f>(BV145+BV146)/2</f>
        <v>817.72350000000006</v>
      </c>
      <c r="BW150" s="57"/>
      <c r="BX150" s="57"/>
      <c r="BY150" s="44"/>
      <c r="BZ150" s="47">
        <f>(BZ145+BZ146)/2</f>
        <v>727.5</v>
      </c>
      <c r="CA150" s="57"/>
      <c r="CB150" s="57"/>
      <c r="CC150" s="44"/>
      <c r="CD150" s="47">
        <f>(CD145+CD146)/2</f>
        <v>708</v>
      </c>
      <c r="CE150" s="57">
        <f>CE149*12</f>
        <v>192</v>
      </c>
      <c r="CF150" s="57"/>
      <c r="CG150" s="44"/>
      <c r="CH150" s="47">
        <f>(CH145+CH146)/2</f>
        <v>663.5</v>
      </c>
      <c r="CI150" s="57">
        <f>CI149*12</f>
        <v>0</v>
      </c>
      <c r="CJ150" s="57"/>
      <c r="CK150" s="44"/>
      <c r="CL150" s="47">
        <f>(CL145+CL146)/2</f>
        <v>566.5</v>
      </c>
      <c r="CM150" s="57">
        <f>CM149*12</f>
        <v>0</v>
      </c>
      <c r="CN150" s="57"/>
      <c r="CO150" s="44"/>
      <c r="CP150" s="47">
        <f>(CP145+CP146)/2</f>
        <v>492.5</v>
      </c>
      <c r="CQ150" s="57">
        <f>CQ149*12</f>
        <v>0</v>
      </c>
      <c r="CR150" s="57"/>
      <c r="CS150" s="44"/>
      <c r="CT150" s="47">
        <f>(CT145+CT146)/2</f>
        <v>472</v>
      </c>
      <c r="CU150" s="44"/>
      <c r="CV150" s="44"/>
      <c r="CW150" s="44"/>
      <c r="CX150" s="47">
        <f>(CX145+CX146)/2</f>
        <v>447</v>
      </c>
      <c r="CY150" s="44"/>
      <c r="CZ150" s="44"/>
      <c r="DA150" s="44"/>
      <c r="DB150" s="47">
        <f>(DB145+DB146)/2</f>
        <v>421</v>
      </c>
      <c r="DC150" s="44"/>
      <c r="DD150" s="44"/>
      <c r="DE150" s="44"/>
      <c r="DF150" s="47">
        <f>(DF145+DF146)/2</f>
        <v>399</v>
      </c>
      <c r="DG150" s="44"/>
      <c r="DH150" s="44"/>
      <c r="DI150" s="44"/>
      <c r="DJ150" s="47">
        <f>(DJ145+DJ146)/2</f>
        <v>398</v>
      </c>
      <c r="DK150" s="44"/>
      <c r="DL150" s="44"/>
      <c r="DM150" s="44"/>
      <c r="DN150" s="337">
        <f>(DN145+DN146)/2</f>
        <v>388</v>
      </c>
      <c r="DO150" s="57"/>
      <c r="DP150" s="57"/>
      <c r="DQ150" s="44"/>
      <c r="DR150" s="44"/>
      <c r="DS150" s="44"/>
      <c r="DT150" s="44"/>
      <c r="DU150" s="44"/>
      <c r="DV150" s="44"/>
      <c r="DW150" s="44"/>
      <c r="DX150" s="44"/>
      <c r="DY150" s="44"/>
      <c r="DZ150" s="57"/>
      <c r="EA150" s="44"/>
      <c r="EB150" s="44"/>
      <c r="EC150" s="44"/>
      <c r="ED150" s="44"/>
    </row>
    <row r="151" spans="1:134" outlineLevel="1">
      <c r="A151" s="58" t="str">
        <f>$A$16</f>
        <v>9 Mos</v>
      </c>
      <c r="B151" s="58"/>
      <c r="C151" s="169"/>
      <c r="D151" s="169"/>
      <c r="E151" s="169"/>
      <c r="F151" s="169">
        <f>(F145+F146+F147)/3</f>
        <v>954.14400000000012</v>
      </c>
      <c r="G151" s="169"/>
      <c r="H151" s="169"/>
      <c r="I151" s="169"/>
      <c r="J151" s="169">
        <f>(J145+J146+J147)/3</f>
        <v>958.71375</v>
      </c>
      <c r="K151" s="169"/>
      <c r="L151" s="169"/>
      <c r="M151" s="169"/>
      <c r="N151" s="169">
        <f>(N145+N146+N147)/3</f>
        <v>957.26850000000002</v>
      </c>
      <c r="O151" s="169"/>
      <c r="P151" s="169"/>
      <c r="Q151" s="169"/>
      <c r="R151" s="169">
        <f>(R145+R146+R147)/3</f>
        <v>962.63549999999998</v>
      </c>
      <c r="S151" s="169"/>
      <c r="T151" s="169"/>
      <c r="U151" s="169"/>
      <c r="V151" s="169">
        <f>(V145+V146+V147)/3</f>
        <v>972.16424999999992</v>
      </c>
      <c r="W151" s="169"/>
      <c r="X151" s="169"/>
      <c r="Y151" s="169"/>
      <c r="Z151" s="169">
        <f>(Z145+Z146+Z147)/3</f>
        <v>959.07150000000001</v>
      </c>
      <c r="AA151" s="169"/>
      <c r="AB151" s="169"/>
      <c r="AC151" s="169"/>
      <c r="AD151" s="169">
        <f>(AD145+AD146+AD147)/3</f>
        <v>967.64399999999989</v>
      </c>
      <c r="AE151" s="169"/>
      <c r="AF151" s="169"/>
      <c r="AG151" s="169"/>
      <c r="AH151" s="169">
        <f>(AH145+AH146+AH147)/3</f>
        <v>924.2745000000001</v>
      </c>
      <c r="AI151" s="169"/>
      <c r="AJ151" s="169"/>
      <c r="AK151" s="169"/>
      <c r="AL151" s="169">
        <f>(AL145+AL146+AL147)/3</f>
        <v>907.32100000000003</v>
      </c>
      <c r="AM151" s="169"/>
      <c r="AN151" s="169"/>
      <c r="AO151" s="169"/>
      <c r="AP151" s="169">
        <f>(AP145+AP146+AP147)/3</f>
        <v>896.78657950000013</v>
      </c>
      <c r="AQ151" s="169"/>
      <c r="AR151" s="169"/>
      <c r="AS151" s="169"/>
      <c r="AT151" s="169">
        <f>(AT145+AT146+AT147)/3</f>
        <v>879.90353966666669</v>
      </c>
      <c r="AU151" s="169"/>
      <c r="AV151" s="169"/>
      <c r="AW151" s="169"/>
      <c r="AX151" s="169">
        <f>(AX145+AX146+AX147)/3</f>
        <v>873.98529333333329</v>
      </c>
      <c r="AY151" s="169"/>
      <c r="AZ151" s="169"/>
      <c r="BA151" s="169"/>
      <c r="BB151" s="169">
        <f>(BB145+BB146+BB147)/3</f>
        <v>906.26190666666662</v>
      </c>
      <c r="BC151" s="57"/>
      <c r="BD151" s="57"/>
      <c r="BE151" s="339"/>
      <c r="BF151" s="337">
        <f>(BF145+BF146+BF147)/3</f>
        <v>985.71421466666663</v>
      </c>
      <c r="BG151" s="57"/>
      <c r="BH151" s="57"/>
      <c r="BI151" s="57"/>
      <c r="BJ151" s="337">
        <f>(BJ145+BJ146+BJ147)/3</f>
        <v>998.89666100000011</v>
      </c>
      <c r="BK151" s="57"/>
      <c r="BL151" s="57"/>
      <c r="BM151" s="57"/>
      <c r="BN151" s="337">
        <f>(BN145+BN146+BN147)/3</f>
        <v>912.92200000000003</v>
      </c>
      <c r="BO151" s="57"/>
      <c r="BP151" s="57"/>
      <c r="BQ151" s="44"/>
      <c r="BR151" s="47">
        <f>(BR145+BR146+BR147)/3</f>
        <v>845.01899999999989</v>
      </c>
      <c r="BS151" s="44"/>
      <c r="BT151" s="44"/>
      <c r="BU151" s="44"/>
      <c r="BV151" s="47">
        <f>(BV145+BV146+BV147)/3</f>
        <v>808.81566666666674</v>
      </c>
      <c r="BW151" s="44"/>
      <c r="BX151" s="44"/>
      <c r="BY151" s="44"/>
      <c r="BZ151" s="47">
        <f>(BZ145+BZ146+BZ147)/3</f>
        <v>722.33333333333337</v>
      </c>
      <c r="CA151" s="44"/>
      <c r="CB151" s="44"/>
      <c r="CC151" s="44"/>
      <c r="CD151" s="47">
        <f>(CD145+CD146+CD147)/3</f>
        <v>706.66666666666663</v>
      </c>
      <c r="CE151" s="44"/>
      <c r="CF151" s="44"/>
      <c r="CG151" s="44"/>
      <c r="CH151" s="47">
        <f>(CH145+CH146+CH147)/3</f>
        <v>651</v>
      </c>
      <c r="CI151" s="44"/>
      <c r="CJ151" s="44"/>
      <c r="CK151" s="44"/>
      <c r="CL151" s="47">
        <f>(CL145+CL146+CL147)/3</f>
        <v>546</v>
      </c>
      <c r="CM151" s="44"/>
      <c r="CN151" s="44"/>
      <c r="CO151" s="44"/>
      <c r="CP151" s="47">
        <f>(CP145+CP146+CP147)/3</f>
        <v>491</v>
      </c>
      <c r="CQ151" s="44"/>
      <c r="CR151" s="44"/>
      <c r="CS151" s="44"/>
      <c r="CT151" s="47">
        <f>(CT145+CT146+CT147)/3</f>
        <v>470.66666666666669</v>
      </c>
      <c r="CU151" s="44"/>
      <c r="CV151" s="44"/>
      <c r="CW151" s="44"/>
      <c r="CX151" s="47">
        <f>(CX145+CX146+CX147)/3</f>
        <v>443.66666666666669</v>
      </c>
      <c r="CY151" s="44"/>
      <c r="CZ151" s="44"/>
      <c r="DA151" s="44"/>
      <c r="DB151" s="47">
        <f>(DB145+DB146+DB147)/3</f>
        <v>416.66666666666669</v>
      </c>
      <c r="DC151" s="44"/>
      <c r="DD151" s="44"/>
      <c r="DE151" s="44"/>
      <c r="DF151" s="47">
        <f>(DF145+DF146+DF147)/3</f>
        <v>399.33333333333331</v>
      </c>
      <c r="DG151" s="44"/>
      <c r="DH151" s="44"/>
      <c r="DI151" s="44"/>
      <c r="DJ151" s="47">
        <f>(DJ145+DJ146+DJ147)/3</f>
        <v>396.33333333333331</v>
      </c>
      <c r="DK151" s="44"/>
      <c r="DL151" s="44"/>
      <c r="DM151" s="44"/>
      <c r="DN151" s="337">
        <f>(DN145+DN146+DN147)/3</f>
        <v>386.33333333333331</v>
      </c>
      <c r="DO151" s="57"/>
      <c r="DP151" s="57"/>
      <c r="DQ151" s="44"/>
      <c r="DR151" s="44"/>
      <c r="DS151" s="44"/>
      <c r="DT151" s="44"/>
      <c r="DU151" s="44"/>
      <c r="DV151" s="44"/>
      <c r="DW151" s="44"/>
      <c r="DX151" s="44"/>
      <c r="DY151" s="44"/>
      <c r="DZ151" s="44"/>
      <c r="EA151" s="44"/>
      <c r="EB151" s="44"/>
      <c r="EC151" s="44"/>
      <c r="ED151" s="44"/>
    </row>
    <row r="152" spans="1:134" ht="10.9" customHeight="1">
      <c r="A152" s="44"/>
      <c r="B152" s="44"/>
      <c r="C152" s="57"/>
      <c r="D152" s="57"/>
      <c r="E152" s="57"/>
      <c r="F152" s="57"/>
      <c r="G152" s="57"/>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c r="AE152" s="57"/>
      <c r="AF152" s="57"/>
      <c r="AG152" s="57"/>
      <c r="AH152" s="57"/>
      <c r="AI152" s="57"/>
      <c r="AJ152" s="57"/>
      <c r="AK152" s="57"/>
      <c r="AL152" s="57"/>
      <c r="AM152" s="57"/>
      <c r="AN152" s="57"/>
      <c r="AO152" s="57"/>
      <c r="AP152" s="57"/>
      <c r="AQ152" s="57"/>
      <c r="AR152" s="57"/>
      <c r="AS152" s="57"/>
      <c r="AT152" s="57"/>
      <c r="AU152" s="57"/>
      <c r="AV152" s="57"/>
      <c r="AW152" s="57"/>
      <c r="AX152" s="57"/>
      <c r="AY152" s="57"/>
      <c r="AZ152" s="57"/>
      <c r="BA152" s="57"/>
      <c r="BB152" s="57"/>
      <c r="BC152" s="57"/>
      <c r="BD152" s="57"/>
      <c r="BE152" s="57"/>
      <c r="BF152" s="57"/>
      <c r="BG152" s="57"/>
      <c r="BH152" s="57"/>
      <c r="BI152" s="57"/>
      <c r="BJ152" s="57"/>
      <c r="BK152" s="57"/>
      <c r="BL152" s="57"/>
      <c r="BM152" s="57"/>
      <c r="BN152" s="57"/>
      <c r="BO152" s="57"/>
      <c r="BP152" s="57"/>
      <c r="BQ152" s="44"/>
      <c r="BR152" s="119"/>
      <c r="BS152" s="119"/>
      <c r="BT152" s="44"/>
      <c r="BU152" s="44"/>
      <c r="BV152" s="44"/>
      <c r="BW152" s="44"/>
      <c r="BX152" s="44"/>
      <c r="BY152" s="44"/>
      <c r="BZ152" s="44"/>
      <c r="CA152" s="44"/>
      <c r="CB152" s="44"/>
      <c r="CC152" s="44"/>
      <c r="CD152" s="44"/>
      <c r="CE152" s="44"/>
      <c r="CF152" s="44"/>
      <c r="CG152" s="44"/>
      <c r="CH152" s="119"/>
      <c r="CI152" s="44"/>
      <c r="CJ152" s="44"/>
      <c r="CK152" s="44"/>
      <c r="CL152" s="44"/>
      <c r="CM152" s="44"/>
      <c r="CN152" s="44"/>
      <c r="CO152" s="44"/>
      <c r="CP152" s="44"/>
      <c r="CQ152" s="44"/>
      <c r="CR152" s="44"/>
      <c r="CS152" s="44"/>
      <c r="CT152" s="44"/>
      <c r="CU152" s="44"/>
      <c r="CV152" s="44"/>
      <c r="CW152" s="44"/>
      <c r="CX152" s="119"/>
      <c r="CY152" s="44"/>
      <c r="CZ152" s="44"/>
      <c r="DA152" s="44"/>
      <c r="DB152" s="44"/>
      <c r="DC152" s="44"/>
      <c r="DD152" s="44"/>
      <c r="DE152" s="44"/>
      <c r="DF152" s="44"/>
      <c r="DG152" s="44"/>
      <c r="DH152" s="44"/>
      <c r="DI152" s="44"/>
      <c r="DJ152" s="44"/>
      <c r="DK152" s="44"/>
      <c r="DL152" s="44"/>
      <c r="DM152" s="44"/>
      <c r="DN152" s="57"/>
      <c r="DO152" s="57"/>
      <c r="DP152" s="57"/>
      <c r="DQ152" s="44"/>
      <c r="DR152" s="44"/>
      <c r="DS152" s="44"/>
      <c r="DT152" s="44"/>
      <c r="DU152" s="44"/>
      <c r="DV152" s="44"/>
      <c r="DW152" s="44"/>
      <c r="DX152" s="44"/>
      <c r="DY152" s="44"/>
      <c r="DZ152" s="44"/>
      <c r="EA152" s="44"/>
      <c r="EB152" s="44"/>
      <c r="EC152" s="44"/>
      <c r="ED152" s="44"/>
    </row>
    <row r="153" spans="1:134" ht="10.9" customHeight="1">
      <c r="A153" s="340" t="s">
        <v>599</v>
      </c>
      <c r="B153" s="341" t="s">
        <v>188</v>
      </c>
      <c r="C153" s="342"/>
      <c r="D153" s="342"/>
      <c r="E153" s="342"/>
      <c r="F153" s="342"/>
      <c r="G153" s="342"/>
      <c r="H153" s="342"/>
      <c r="I153" s="342"/>
      <c r="J153" s="342"/>
      <c r="K153" s="342"/>
      <c r="L153" s="342"/>
      <c r="M153" s="342"/>
      <c r="N153" s="342"/>
      <c r="O153" s="342"/>
      <c r="P153" s="342"/>
      <c r="Q153" s="342"/>
      <c r="R153" s="342"/>
      <c r="S153" s="342"/>
      <c r="T153" s="342"/>
      <c r="U153" s="342"/>
      <c r="V153" s="342"/>
      <c r="W153" s="342"/>
      <c r="X153" s="342"/>
      <c r="Y153" s="342"/>
      <c r="Z153" s="342"/>
      <c r="AA153" s="342"/>
      <c r="AB153" s="342"/>
      <c r="AC153" s="342"/>
      <c r="AD153" s="342"/>
      <c r="AE153" s="342"/>
      <c r="AF153" s="342"/>
      <c r="AG153" s="342"/>
      <c r="AH153" s="342"/>
      <c r="AI153" s="342"/>
      <c r="AJ153" s="342"/>
      <c r="AK153" s="342"/>
      <c r="AL153" s="342"/>
      <c r="AM153" s="342"/>
      <c r="AN153" s="342"/>
      <c r="AO153" s="342"/>
      <c r="AP153" s="342"/>
      <c r="AQ153" s="342"/>
      <c r="AR153" s="342"/>
      <c r="AS153" s="342"/>
      <c r="AT153" s="342"/>
      <c r="AU153" s="342"/>
      <c r="AV153" s="342"/>
      <c r="AW153" s="342"/>
      <c r="AX153" s="342"/>
      <c r="AY153" s="342"/>
      <c r="AZ153" s="342"/>
      <c r="BA153" s="342"/>
      <c r="BB153" s="342"/>
      <c r="BC153" s="342"/>
      <c r="BD153" s="342"/>
      <c r="BE153" s="342"/>
      <c r="BF153" s="342"/>
      <c r="BG153" s="342"/>
      <c r="BH153" s="342"/>
      <c r="BI153" s="342"/>
      <c r="BJ153" s="342"/>
      <c r="BK153" s="342"/>
      <c r="BL153" s="342"/>
      <c r="BM153" s="342"/>
      <c r="BN153" s="343"/>
      <c r="BO153" s="342"/>
      <c r="BP153" s="342"/>
      <c r="BQ153" s="341"/>
      <c r="BR153" s="340"/>
      <c r="BS153" s="341"/>
      <c r="BT153" s="341"/>
      <c r="BU153" s="341"/>
      <c r="BV153" s="68"/>
      <c r="BW153" s="341"/>
      <c r="BX153" s="341"/>
      <c r="BY153" s="341"/>
      <c r="BZ153" s="341"/>
      <c r="CA153" s="341"/>
      <c r="CB153" s="341"/>
      <c r="CC153" s="341"/>
      <c r="CD153" s="71"/>
      <c r="CE153" s="341"/>
      <c r="CF153" s="341"/>
      <c r="CG153" s="341"/>
      <c r="CH153" s="71"/>
      <c r="CI153" s="341"/>
      <c r="CJ153" s="341"/>
      <c r="CK153" s="341"/>
      <c r="CL153" s="71"/>
      <c r="CM153" s="341"/>
      <c r="CN153" s="341"/>
      <c r="CO153" s="341"/>
      <c r="CP153" s="71"/>
      <c r="CQ153" s="341"/>
      <c r="CR153" s="341"/>
      <c r="CS153" s="341"/>
      <c r="CT153" s="344"/>
      <c r="CU153" s="341"/>
      <c r="CV153" s="341"/>
      <c r="CW153" s="341"/>
      <c r="CX153" s="344"/>
      <c r="CY153" s="341"/>
      <c r="CZ153" s="341"/>
      <c r="DA153" s="341"/>
      <c r="DB153" s="341"/>
      <c r="DC153" s="341"/>
      <c r="DD153" s="341"/>
      <c r="DE153" s="341"/>
      <c r="DF153" s="341"/>
      <c r="DG153" s="341"/>
      <c r="DH153" s="341"/>
      <c r="DI153" s="341"/>
      <c r="DJ153" s="341"/>
      <c r="DK153" s="341"/>
      <c r="DL153" s="341"/>
      <c r="DM153" s="341"/>
      <c r="DN153" s="342"/>
      <c r="DO153" s="342"/>
      <c r="DP153" s="342"/>
      <c r="DQ153" s="341"/>
      <c r="DR153" s="341"/>
      <c r="DS153" s="341"/>
      <c r="DT153" s="341"/>
      <c r="DU153" s="341"/>
      <c r="DV153" s="341"/>
      <c r="DW153" s="341"/>
      <c r="DX153" s="341"/>
      <c r="DY153" s="341"/>
      <c r="DZ153" s="341"/>
      <c r="EA153" s="341"/>
      <c r="EB153" s="341"/>
      <c r="EC153" s="341"/>
      <c r="ED153" s="341"/>
    </row>
    <row r="154" spans="1:134" ht="10.9" customHeight="1">
      <c r="A154" s="340"/>
      <c r="B154" s="341" t="s">
        <v>187</v>
      </c>
      <c r="C154" s="342"/>
      <c r="D154" s="342"/>
      <c r="E154" s="342"/>
      <c r="F154" s="342"/>
      <c r="G154" s="342"/>
      <c r="H154" s="342"/>
      <c r="I154" s="342"/>
      <c r="J154" s="342"/>
      <c r="K154" s="342"/>
      <c r="L154" s="342"/>
      <c r="M154" s="342"/>
      <c r="N154" s="342"/>
      <c r="O154" s="342"/>
      <c r="P154" s="342"/>
      <c r="Q154" s="342"/>
      <c r="R154" s="342"/>
      <c r="S154" s="342"/>
      <c r="T154" s="342"/>
      <c r="U154" s="342"/>
      <c r="V154" s="342"/>
      <c r="W154" s="342"/>
      <c r="X154" s="342"/>
      <c r="Y154" s="342"/>
      <c r="Z154" s="342"/>
      <c r="AA154" s="342"/>
      <c r="AB154" s="342"/>
      <c r="AC154" s="342"/>
      <c r="AD154" s="342"/>
      <c r="AE154" s="342"/>
      <c r="AF154" s="342"/>
      <c r="AG154" s="342"/>
      <c r="AH154" s="342"/>
      <c r="AI154" s="342"/>
      <c r="AJ154" s="342"/>
      <c r="AK154" s="342"/>
      <c r="AL154" s="342"/>
      <c r="AM154" s="342"/>
      <c r="AN154" s="342"/>
      <c r="AO154" s="342"/>
      <c r="AP154" s="342"/>
      <c r="AQ154" s="342"/>
      <c r="AR154" s="342"/>
      <c r="AS154" s="342"/>
      <c r="AT154" s="342"/>
      <c r="AU154" s="342"/>
      <c r="AV154" s="342"/>
      <c r="AW154" s="342"/>
      <c r="AX154" s="342"/>
      <c r="AY154" s="342"/>
      <c r="AZ154" s="342"/>
      <c r="BA154" s="342"/>
      <c r="BB154" s="342"/>
      <c r="BC154" s="342"/>
      <c r="BD154" s="342"/>
      <c r="BE154" s="342"/>
      <c r="BF154" s="342"/>
      <c r="BG154" s="342"/>
      <c r="BH154" s="342"/>
      <c r="BI154" s="342"/>
      <c r="BJ154" s="342"/>
      <c r="BK154" s="342"/>
      <c r="BL154" s="342"/>
      <c r="BM154" s="342"/>
      <c r="BN154" s="342"/>
      <c r="BO154" s="342"/>
      <c r="BP154" s="342"/>
      <c r="BQ154" s="341"/>
      <c r="BR154" s="341"/>
      <c r="BS154" s="344"/>
      <c r="BT154" s="341"/>
      <c r="BU154" s="341"/>
      <c r="BV154" s="341"/>
      <c r="BW154" s="341"/>
      <c r="BX154" s="341"/>
      <c r="BY154" s="341"/>
      <c r="BZ154" s="341"/>
      <c r="CA154" s="341"/>
      <c r="CB154" s="341"/>
      <c r="CC154" s="341"/>
      <c r="CD154" s="345"/>
      <c r="CE154" s="341"/>
      <c r="CF154" s="341"/>
      <c r="CG154" s="341"/>
      <c r="CH154" s="345"/>
      <c r="CI154" s="341"/>
      <c r="CJ154" s="341"/>
      <c r="CK154" s="341"/>
      <c r="CL154" s="345"/>
      <c r="CM154" s="341"/>
      <c r="CN154" s="341"/>
      <c r="CO154" s="341"/>
      <c r="CP154" s="345"/>
      <c r="CQ154" s="341"/>
      <c r="CR154" s="341"/>
      <c r="CS154" s="341"/>
      <c r="CT154" s="341"/>
      <c r="CU154" s="341"/>
      <c r="CV154" s="341"/>
      <c r="CW154" s="341"/>
      <c r="CX154" s="341"/>
      <c r="CY154" s="341"/>
      <c r="CZ154" s="341"/>
      <c r="DA154" s="341"/>
      <c r="DB154" s="341"/>
      <c r="DC154" s="341"/>
      <c r="DD154" s="341"/>
      <c r="DE154" s="341"/>
      <c r="DF154" s="341"/>
      <c r="DG154" s="341"/>
      <c r="DH154" s="341"/>
      <c r="DI154" s="341"/>
      <c r="DJ154" s="341"/>
      <c r="DK154" s="341"/>
      <c r="DL154" s="341"/>
      <c r="DM154" s="341"/>
      <c r="DN154" s="342"/>
      <c r="DO154" s="342"/>
      <c r="DP154" s="342"/>
      <c r="DQ154" s="341"/>
      <c r="DR154" s="341"/>
      <c r="DS154" s="341"/>
      <c r="DT154" s="341"/>
      <c r="DU154" s="341"/>
      <c r="DV154" s="341"/>
      <c r="DW154" s="341"/>
      <c r="DX154" s="341"/>
      <c r="DY154" s="341"/>
      <c r="DZ154" s="341"/>
      <c r="EA154" s="44"/>
      <c r="EB154" s="341"/>
      <c r="EC154" s="341"/>
      <c r="ED154" s="341"/>
    </row>
    <row r="155" spans="1:134" ht="10.9" customHeight="1">
      <c r="A155" s="341"/>
      <c r="B155" s="341"/>
      <c r="C155" s="342"/>
      <c r="D155" s="342"/>
      <c r="E155" s="342"/>
      <c r="F155" s="342"/>
      <c r="G155" s="342"/>
      <c r="H155" s="342"/>
      <c r="I155" s="342"/>
      <c r="J155" s="342"/>
      <c r="K155" s="342"/>
      <c r="L155" s="342"/>
      <c r="M155" s="342"/>
      <c r="N155" s="342"/>
      <c r="O155" s="342"/>
      <c r="P155" s="342"/>
      <c r="Q155" s="342"/>
      <c r="R155" s="342"/>
      <c r="S155" s="342"/>
      <c r="T155" s="342"/>
      <c r="U155" s="342"/>
      <c r="V155" s="342"/>
      <c r="W155" s="342"/>
      <c r="X155" s="342"/>
      <c r="Y155" s="342"/>
      <c r="Z155" s="342"/>
      <c r="AA155" s="342"/>
      <c r="AB155" s="342"/>
      <c r="AC155" s="342"/>
      <c r="AD155" s="342"/>
      <c r="AE155" s="342"/>
      <c r="AF155" s="342"/>
      <c r="AG155" s="342"/>
      <c r="AH155" s="135" t="s">
        <v>346</v>
      </c>
      <c r="AI155" s="346"/>
      <c r="AJ155" s="346"/>
      <c r="AK155" s="346"/>
      <c r="AL155" s="341"/>
      <c r="AM155" s="346"/>
      <c r="AN155" s="346"/>
      <c r="AO155" s="346"/>
      <c r="AP155" s="341"/>
      <c r="AQ155" s="135"/>
      <c r="AR155" s="135"/>
      <c r="AS155" s="135"/>
      <c r="AT155" s="135" t="s">
        <v>346</v>
      </c>
      <c r="AU155" s="135"/>
      <c r="AV155" s="135"/>
      <c r="AW155" s="135"/>
      <c r="AX155" s="135"/>
      <c r="AY155" s="135"/>
      <c r="AZ155" s="265"/>
      <c r="BA155" s="135"/>
      <c r="BB155" s="135"/>
      <c r="BC155" s="135"/>
      <c r="BD155" s="135"/>
      <c r="BE155" s="266"/>
      <c r="BF155" s="135"/>
      <c r="BG155" s="266"/>
      <c r="BH155" s="266"/>
      <c r="BI155" s="266"/>
      <c r="BJ155" s="135" t="s">
        <v>346</v>
      </c>
      <c r="BK155" s="266"/>
      <c r="BL155" s="266"/>
      <c r="BM155" s="266"/>
      <c r="BN155" s="135"/>
      <c r="BO155" s="266"/>
      <c r="BP155" s="266"/>
      <c r="BQ155" s="265"/>
      <c r="BR155" s="137"/>
      <c r="BS155" s="265"/>
      <c r="BT155" s="265"/>
      <c r="BU155" s="341"/>
      <c r="BV155" s="135" t="s">
        <v>346</v>
      </c>
      <c r="BW155" s="347"/>
      <c r="BX155" s="347"/>
      <c r="BY155" s="347"/>
      <c r="BZ155" s="347"/>
      <c r="CA155" s="347"/>
      <c r="CB155" s="347"/>
      <c r="CC155" s="347"/>
      <c r="CD155" s="347"/>
      <c r="CE155" s="347"/>
      <c r="CF155" s="347"/>
      <c r="CG155" s="347"/>
      <c r="CH155" s="139" t="str">
        <f>+BV155</f>
        <v>11.  Dividend Per Share -- Fully Diluted</v>
      </c>
      <c r="CI155" s="347"/>
      <c r="CJ155" s="347"/>
      <c r="CK155" s="347"/>
      <c r="CL155" s="347"/>
      <c r="CM155" s="347"/>
      <c r="CN155" s="347"/>
      <c r="CO155" s="347"/>
      <c r="CP155" s="347"/>
      <c r="CQ155" s="347"/>
      <c r="CR155" s="341"/>
      <c r="CS155" s="341"/>
      <c r="CT155" s="341"/>
      <c r="CU155" s="341"/>
      <c r="CV155" s="341"/>
      <c r="CW155" s="341"/>
      <c r="CX155" s="341"/>
      <c r="CY155" s="341"/>
      <c r="CZ155" s="341"/>
      <c r="DA155" s="341"/>
      <c r="DB155" s="341"/>
      <c r="DC155" s="341"/>
      <c r="DD155" s="341"/>
      <c r="DE155" s="341"/>
      <c r="DF155" s="341"/>
      <c r="DG155" s="341"/>
      <c r="DH155" s="341"/>
      <c r="DI155" s="341"/>
      <c r="DJ155" s="341"/>
      <c r="DK155" s="341"/>
      <c r="DL155" s="341"/>
      <c r="DM155" s="341"/>
      <c r="DN155" s="342"/>
      <c r="DO155" s="342"/>
      <c r="DP155" s="342"/>
      <c r="DQ155" s="341"/>
      <c r="DR155" s="341"/>
      <c r="DS155" s="341"/>
      <c r="DT155" s="341"/>
      <c r="DU155" s="341"/>
      <c r="DV155" s="341"/>
      <c r="DW155" s="341"/>
      <c r="DX155" s="341"/>
      <c r="DY155" s="341"/>
      <c r="DZ155" s="341"/>
      <c r="EA155" s="341"/>
      <c r="EB155" s="341"/>
      <c r="EC155" s="341"/>
      <c r="ED155" s="341"/>
    </row>
    <row r="156" spans="1:134" ht="10.9" customHeight="1">
      <c r="A156" s="341"/>
      <c r="B156" s="341"/>
      <c r="C156" s="342"/>
      <c r="D156" s="342"/>
      <c r="E156" s="342"/>
      <c r="F156" s="342"/>
      <c r="G156" s="342"/>
      <c r="H156" s="342"/>
      <c r="I156" s="342"/>
      <c r="J156" s="342"/>
      <c r="K156" s="342"/>
      <c r="L156" s="342"/>
      <c r="M156" s="342"/>
      <c r="N156" s="342"/>
      <c r="O156" s="342"/>
      <c r="P156" s="342"/>
      <c r="Q156" s="342"/>
      <c r="R156" s="342"/>
      <c r="S156" s="342"/>
      <c r="T156" s="342"/>
      <c r="U156" s="342"/>
      <c r="V156" s="342"/>
      <c r="W156" s="342"/>
      <c r="X156" s="342"/>
      <c r="Y156" s="342"/>
      <c r="Z156" s="342"/>
      <c r="AA156" s="342"/>
      <c r="AB156" s="342"/>
      <c r="AC156" s="342"/>
      <c r="AD156" s="342"/>
      <c r="AE156" s="342"/>
      <c r="AF156" s="342"/>
      <c r="AG156" s="342"/>
      <c r="AH156" s="135"/>
      <c r="AI156" s="346"/>
      <c r="AJ156" s="346"/>
      <c r="AK156" s="346"/>
      <c r="AL156" s="346"/>
      <c r="AM156" s="346"/>
      <c r="AN156" s="346"/>
      <c r="AO156" s="346"/>
      <c r="AP156" s="346"/>
      <c r="AQ156" s="346"/>
      <c r="AR156" s="346"/>
      <c r="AS156" s="346"/>
      <c r="AT156" s="346"/>
      <c r="AU156" s="346"/>
      <c r="AV156" s="346"/>
      <c r="AW156" s="346"/>
      <c r="AX156" s="346"/>
      <c r="AY156" s="346"/>
      <c r="AZ156" s="346"/>
      <c r="BA156" s="346"/>
      <c r="BB156" s="346"/>
      <c r="BC156" s="346"/>
      <c r="BD156" s="346"/>
      <c r="BE156" s="346"/>
      <c r="BF156" s="346"/>
      <c r="BG156" s="346"/>
      <c r="BH156" s="346"/>
      <c r="BI156" s="342"/>
      <c r="BJ156" s="342"/>
      <c r="BK156" s="342"/>
      <c r="BL156" s="342"/>
      <c r="BM156" s="342"/>
      <c r="BN156" s="342"/>
      <c r="BO156" s="342"/>
      <c r="BP156" s="342"/>
      <c r="BQ156" s="341"/>
      <c r="BR156" s="341"/>
      <c r="BS156" s="341"/>
      <c r="BT156" s="341"/>
      <c r="BU156" s="341"/>
      <c r="BV156" s="341"/>
      <c r="BW156" s="341"/>
      <c r="BX156" s="341"/>
      <c r="BY156" s="341"/>
      <c r="BZ156" s="341"/>
      <c r="CA156" s="341"/>
      <c r="CB156" s="341"/>
      <c r="CC156" s="341"/>
      <c r="CD156" s="341"/>
      <c r="CE156" s="341"/>
      <c r="CF156" s="341"/>
      <c r="CG156" s="341"/>
      <c r="CH156" s="341"/>
      <c r="CI156" s="341"/>
      <c r="CJ156" s="341"/>
      <c r="CK156" s="341"/>
      <c r="CL156" s="341"/>
      <c r="CM156" s="341"/>
      <c r="CN156" s="341"/>
      <c r="CO156" s="341"/>
      <c r="CP156" s="341"/>
      <c r="CQ156" s="341"/>
      <c r="CR156" s="341"/>
      <c r="CS156" s="341"/>
      <c r="CT156" s="341"/>
      <c r="CU156" s="341"/>
      <c r="CV156" s="341"/>
      <c r="CW156" s="341"/>
      <c r="CX156" s="341"/>
      <c r="CY156" s="341"/>
      <c r="CZ156" s="341"/>
      <c r="DA156" s="341"/>
      <c r="DB156" s="341"/>
      <c r="DC156" s="341"/>
      <c r="DD156" s="341"/>
      <c r="DE156" s="341"/>
      <c r="DF156" s="341"/>
      <c r="DG156" s="341"/>
      <c r="DH156" s="341"/>
      <c r="DI156" s="341"/>
      <c r="DJ156" s="341"/>
      <c r="DK156" s="341"/>
      <c r="DL156" s="341"/>
      <c r="DM156" s="341"/>
      <c r="DN156" s="342"/>
      <c r="DO156" s="342"/>
      <c r="DP156" s="342"/>
      <c r="DQ156" s="341"/>
      <c r="DR156" s="341"/>
      <c r="DS156" s="341"/>
      <c r="DT156" s="341"/>
      <c r="DU156" s="341"/>
      <c r="DV156" s="341"/>
      <c r="DW156" s="341"/>
      <c r="DX156" s="341"/>
      <c r="DY156" s="341"/>
      <c r="DZ156" s="341"/>
      <c r="EA156" s="341"/>
      <c r="EB156" s="341"/>
      <c r="EC156" s="341"/>
      <c r="ED156" s="341"/>
    </row>
    <row r="157" spans="1:134" ht="10.9" customHeight="1">
      <c r="A157" s="44" t="str">
        <f>$A$10</f>
        <v>1Q</v>
      </c>
      <c r="B157" s="44" t="str">
        <f>$B$10</f>
        <v>Apr</v>
      </c>
      <c r="C157" s="342"/>
      <c r="D157" s="342"/>
      <c r="E157" s="342"/>
      <c r="F157" s="342"/>
      <c r="G157" s="342"/>
      <c r="H157" s="342"/>
      <c r="I157" s="342"/>
      <c r="J157" s="342"/>
      <c r="K157" s="342"/>
      <c r="L157" s="342"/>
      <c r="M157" s="342"/>
      <c r="N157" s="342"/>
      <c r="O157" s="342"/>
      <c r="P157" s="342"/>
      <c r="Q157" s="342"/>
      <c r="R157" s="342"/>
      <c r="S157" s="342"/>
      <c r="T157" s="342"/>
      <c r="U157" s="342"/>
      <c r="V157" s="342"/>
      <c r="W157" s="342"/>
      <c r="X157" s="342"/>
      <c r="Y157" s="342"/>
      <c r="Z157" s="342"/>
      <c r="AA157" s="342"/>
      <c r="AB157" s="342"/>
      <c r="AC157" s="342"/>
      <c r="AD157" s="342"/>
      <c r="AE157" s="342"/>
      <c r="AF157" s="342"/>
      <c r="AG157" s="342"/>
      <c r="AH157" s="232"/>
      <c r="AI157" s="348"/>
      <c r="AJ157" s="349"/>
      <c r="AK157" s="349"/>
      <c r="AL157" s="232"/>
      <c r="AM157" s="324"/>
      <c r="AN157" s="342"/>
      <c r="AO157" s="342"/>
      <c r="AP157" s="350">
        <v>2.1999999999999999E-2</v>
      </c>
      <c r="AQ157" s="324"/>
      <c r="AR157" s="342"/>
      <c r="AS157" s="342"/>
      <c r="AT157" s="350">
        <v>2.1999999999999999E-2</v>
      </c>
      <c r="AU157" s="324"/>
      <c r="AV157" s="342"/>
      <c r="AW157" s="342"/>
      <c r="AX157" s="350">
        <v>2.1999999999999999E-2</v>
      </c>
      <c r="AY157" s="324"/>
      <c r="AZ157" s="342"/>
      <c r="BA157" s="342"/>
      <c r="BB157" s="350">
        <v>2.1999999999999999E-2</v>
      </c>
      <c r="BC157" s="324"/>
      <c r="BD157" s="342"/>
      <c r="BE157" s="342"/>
      <c r="BF157" s="350">
        <v>2.1999999999999999E-2</v>
      </c>
      <c r="BG157" s="324"/>
      <c r="BH157" s="342"/>
      <c r="BI157" s="342"/>
      <c r="BJ157" s="350">
        <v>2.1999999999999999E-2</v>
      </c>
      <c r="BK157" s="324"/>
      <c r="BL157" s="342"/>
      <c r="BM157" s="342"/>
      <c r="BN157" s="212">
        <f>BN$161/4</f>
        <v>4.4999999999999998E-2</v>
      </c>
      <c r="BO157" s="212"/>
      <c r="BP157" s="212"/>
      <c r="BQ157" s="146"/>
      <c r="BR157" s="146">
        <v>0.08</v>
      </c>
      <c r="BS157" s="341"/>
      <c r="BT157" s="341"/>
      <c r="BU157" s="341"/>
      <c r="BV157" s="146">
        <v>0.08</v>
      </c>
      <c r="BW157" s="341"/>
      <c r="BX157" s="341"/>
      <c r="BY157" s="341"/>
      <c r="BZ157" s="351">
        <v>8.5000000000000006E-2</v>
      </c>
      <c r="CA157" s="341"/>
      <c r="CB157" s="341"/>
      <c r="CC157" s="341"/>
      <c r="CD157" s="351">
        <v>8.5000000000000006E-2</v>
      </c>
      <c r="CE157" s="341"/>
      <c r="CF157" s="341"/>
      <c r="CG157" s="341"/>
      <c r="CH157" s="351">
        <v>0.1</v>
      </c>
      <c r="CI157" s="341"/>
      <c r="CJ157" s="341"/>
      <c r="CK157" s="341"/>
      <c r="CL157" s="351">
        <v>0.1125</v>
      </c>
      <c r="CM157" s="341"/>
      <c r="CN157" s="341"/>
      <c r="CO157" s="341"/>
      <c r="CP157" s="351">
        <f>0.5/4</f>
        <v>0.125</v>
      </c>
      <c r="CQ157" s="341"/>
      <c r="CR157" s="341"/>
      <c r="CS157" s="341"/>
      <c r="CT157" s="351">
        <v>0.15</v>
      </c>
      <c r="CU157" s="341"/>
      <c r="CV157" s="341"/>
      <c r="CW157" s="341"/>
      <c r="CX157" s="351">
        <v>0.22</v>
      </c>
      <c r="CY157" s="341"/>
      <c r="CZ157" s="341"/>
      <c r="DA157" s="341"/>
      <c r="DB157" s="351">
        <v>0.23</v>
      </c>
      <c r="DC157" s="341"/>
      <c r="DD157" s="341"/>
      <c r="DE157" s="341"/>
      <c r="DF157" s="351">
        <v>0.23</v>
      </c>
      <c r="DG157" s="341"/>
      <c r="DH157" s="341"/>
      <c r="DI157" s="341"/>
      <c r="DJ157" s="351">
        <v>0.23</v>
      </c>
      <c r="DK157" s="341"/>
      <c r="DL157" s="341"/>
      <c r="DM157" s="341"/>
      <c r="DN157" s="2028">
        <v>0.24249999999999999</v>
      </c>
      <c r="DO157" s="342"/>
      <c r="DP157" s="342"/>
      <c r="DQ157" s="341"/>
      <c r="DR157" s="341"/>
      <c r="DS157" s="341"/>
      <c r="DT157" s="341"/>
      <c r="DU157" s="341"/>
      <c r="DV157" s="341"/>
      <c r="DW157" s="341"/>
      <c r="DX157" s="341"/>
      <c r="DY157" s="341"/>
      <c r="DZ157" s="341"/>
      <c r="EA157" s="341"/>
      <c r="EB157" s="341"/>
      <c r="EC157" s="341"/>
      <c r="ED157" s="341"/>
    </row>
    <row r="158" spans="1:134" ht="10.9" customHeight="1">
      <c r="A158" s="44" t="str">
        <f>$A$11</f>
        <v>2Q</v>
      </c>
      <c r="B158" s="44" t="str">
        <f>$B$11</f>
        <v>Jul</v>
      </c>
      <c r="C158" s="342"/>
      <c r="D158" s="342"/>
      <c r="E158" s="342"/>
      <c r="F158" s="342"/>
      <c r="G158" s="342"/>
      <c r="H158" s="342"/>
      <c r="I158" s="342"/>
      <c r="J158" s="342"/>
      <c r="K158" s="342"/>
      <c r="L158" s="342"/>
      <c r="M158" s="342"/>
      <c r="N158" s="342"/>
      <c r="O158" s="342"/>
      <c r="P158" s="342"/>
      <c r="Q158" s="342"/>
      <c r="R158" s="342"/>
      <c r="S158" s="342"/>
      <c r="T158" s="342"/>
      <c r="U158" s="342"/>
      <c r="V158" s="342"/>
      <c r="W158" s="342"/>
      <c r="X158" s="342"/>
      <c r="Y158" s="342"/>
      <c r="Z158" s="342"/>
      <c r="AA158" s="342"/>
      <c r="AB158" s="342"/>
      <c r="AC158" s="342"/>
      <c r="AD158" s="342"/>
      <c r="AE158" s="342"/>
      <c r="AF158" s="342"/>
      <c r="AG158" s="342"/>
      <c r="AH158" s="232"/>
      <c r="AI158" s="348"/>
      <c r="AJ158" s="349"/>
      <c r="AK158" s="349"/>
      <c r="AL158" s="232"/>
      <c r="AM158" s="324"/>
      <c r="AN158" s="342"/>
      <c r="AO158" s="342"/>
      <c r="AP158" s="350">
        <v>2.1999999999999999E-2</v>
      </c>
      <c r="AQ158" s="324"/>
      <c r="AR158" s="342"/>
      <c r="AS158" s="342"/>
      <c r="AT158" s="350">
        <v>2.1999999999999999E-2</v>
      </c>
      <c r="AU158" s="324"/>
      <c r="AV158" s="342"/>
      <c r="AW158" s="342"/>
      <c r="AX158" s="350">
        <v>2.1999999999999999E-2</v>
      </c>
      <c r="AY158" s="324"/>
      <c r="AZ158" s="342"/>
      <c r="BA158" s="342"/>
      <c r="BB158" s="350">
        <v>2.1999999999999999E-2</v>
      </c>
      <c r="BC158" s="324"/>
      <c r="BD158" s="342"/>
      <c r="BE158" s="342"/>
      <c r="BF158" s="350">
        <v>2.1999999999999999E-2</v>
      </c>
      <c r="BG158" s="324"/>
      <c r="BH158" s="342"/>
      <c r="BI158" s="342"/>
      <c r="BJ158" s="350">
        <v>2.1999999999999999E-2</v>
      </c>
      <c r="BK158" s="324"/>
      <c r="BL158" s="342"/>
      <c r="BM158" s="342"/>
      <c r="BN158" s="212">
        <f>BN$161/4</f>
        <v>4.4999999999999998E-2</v>
      </c>
      <c r="BO158" s="212"/>
      <c r="BP158" s="212"/>
      <c r="BQ158" s="146"/>
      <c r="BR158" s="146">
        <f>+BR157</f>
        <v>0.08</v>
      </c>
      <c r="BS158" s="341"/>
      <c r="BT158" s="341"/>
      <c r="BU158" s="341"/>
      <c r="BV158" s="146">
        <f>+BV157</f>
        <v>0.08</v>
      </c>
      <c r="BW158" s="341"/>
      <c r="BX158" s="341"/>
      <c r="BY158" s="341"/>
      <c r="BZ158" s="351">
        <v>8.5000000000000006E-2</v>
      </c>
      <c r="CA158" s="341"/>
      <c r="CB158" s="341"/>
      <c r="CC158" s="341"/>
      <c r="CD158" s="351">
        <v>8.5000000000000006E-2</v>
      </c>
      <c r="CE158" s="341"/>
      <c r="CF158" s="341"/>
      <c r="CG158" s="341"/>
      <c r="CH158" s="351">
        <v>0.1</v>
      </c>
      <c r="CI158" s="341"/>
      <c r="CJ158" s="341"/>
      <c r="CK158" s="341"/>
      <c r="CL158" s="351">
        <v>0.1125</v>
      </c>
      <c r="CM158" s="341"/>
      <c r="CN158" s="341"/>
      <c r="CO158" s="341"/>
      <c r="CP158" s="351">
        <f>0.5/4</f>
        <v>0.125</v>
      </c>
      <c r="CQ158" s="341"/>
      <c r="CR158" s="341"/>
      <c r="CS158" s="341"/>
      <c r="CT158" s="351">
        <v>0.15</v>
      </c>
      <c r="CU158" s="341"/>
      <c r="CV158" s="341"/>
      <c r="CW158" s="341"/>
      <c r="CX158" s="351">
        <v>0.22</v>
      </c>
      <c r="CY158" s="341"/>
      <c r="CZ158" s="341"/>
      <c r="DA158" s="341"/>
      <c r="DB158" s="351">
        <v>0.23</v>
      </c>
      <c r="DC158" s="341"/>
      <c r="DD158" s="341"/>
      <c r="DE158" s="341"/>
      <c r="DF158" s="351">
        <v>0.23</v>
      </c>
      <c r="DG158" s="341"/>
      <c r="DH158" s="341"/>
      <c r="DI158" s="341"/>
      <c r="DJ158" s="351">
        <v>0.23</v>
      </c>
      <c r="DK158" s="341"/>
      <c r="DL158" s="341"/>
      <c r="DM158" s="341"/>
      <c r="DN158" s="2028">
        <v>0.24249999999999999</v>
      </c>
      <c r="DO158" s="342"/>
      <c r="DP158" s="342"/>
      <c r="DQ158" s="341"/>
      <c r="DR158" s="341"/>
      <c r="DS158" s="341"/>
      <c r="DT158" s="341"/>
      <c r="DU158" s="341"/>
      <c r="DV158" s="341"/>
      <c r="DW158" s="341"/>
      <c r="DX158" s="341"/>
      <c r="DY158" s="341"/>
      <c r="DZ158" s="341"/>
      <c r="EA158" s="341"/>
      <c r="EB158" s="341"/>
      <c r="EC158" s="341"/>
      <c r="ED158" s="341"/>
    </row>
    <row r="159" spans="1:134" ht="10.9" customHeight="1">
      <c r="A159" s="44" t="str">
        <f>$A$12</f>
        <v>3Q</v>
      </c>
      <c r="B159" s="44" t="str">
        <f>$B$12</f>
        <v>Oct</v>
      </c>
      <c r="C159" s="342"/>
      <c r="D159" s="342"/>
      <c r="E159" s="342"/>
      <c r="F159" s="342"/>
      <c r="G159" s="342"/>
      <c r="H159" s="342"/>
      <c r="I159" s="342"/>
      <c r="J159" s="342"/>
      <c r="K159" s="342"/>
      <c r="L159" s="342"/>
      <c r="M159" s="342"/>
      <c r="N159" s="342"/>
      <c r="O159" s="342"/>
      <c r="P159" s="342"/>
      <c r="Q159" s="342"/>
      <c r="R159" s="342"/>
      <c r="S159" s="342"/>
      <c r="T159" s="342"/>
      <c r="U159" s="342"/>
      <c r="V159" s="342"/>
      <c r="W159" s="342"/>
      <c r="X159" s="342"/>
      <c r="Y159" s="342"/>
      <c r="Z159" s="342"/>
      <c r="AA159" s="342"/>
      <c r="AB159" s="342"/>
      <c r="AC159" s="342"/>
      <c r="AD159" s="342"/>
      <c r="AE159" s="342"/>
      <c r="AF159" s="342"/>
      <c r="AG159" s="342"/>
      <c r="AH159" s="232"/>
      <c r="AI159" s="348"/>
      <c r="AJ159" s="349"/>
      <c r="AK159" s="349"/>
      <c r="AL159" s="232"/>
      <c r="AM159" s="324"/>
      <c r="AN159" s="342"/>
      <c r="AO159" s="342"/>
      <c r="AP159" s="350">
        <v>2.1999999999999999E-2</v>
      </c>
      <c r="AQ159" s="324"/>
      <c r="AR159" s="342"/>
      <c r="AS159" s="342"/>
      <c r="AT159" s="350">
        <v>2.1999999999999999E-2</v>
      </c>
      <c r="AU159" s="324"/>
      <c r="AV159" s="342"/>
      <c r="AW159" s="342"/>
      <c r="AX159" s="350">
        <v>2.1999999999999999E-2</v>
      </c>
      <c r="AY159" s="324"/>
      <c r="AZ159" s="342"/>
      <c r="BA159" s="342"/>
      <c r="BB159" s="350">
        <v>2.1999999999999999E-2</v>
      </c>
      <c r="BC159" s="324"/>
      <c r="BD159" s="342"/>
      <c r="BE159" s="342"/>
      <c r="BF159" s="350">
        <v>2.1999999999999999E-2</v>
      </c>
      <c r="BG159" s="324"/>
      <c r="BH159" s="342"/>
      <c r="BI159" s="342"/>
      <c r="BJ159" s="350">
        <v>2.1999999999999999E-2</v>
      </c>
      <c r="BK159" s="324"/>
      <c r="BL159" s="342"/>
      <c r="BM159" s="342"/>
      <c r="BN159" s="212">
        <f>BN$161/4</f>
        <v>4.4999999999999998E-2</v>
      </c>
      <c r="BO159" s="212"/>
      <c r="BP159" s="212"/>
      <c r="BQ159" s="146"/>
      <c r="BR159" s="146">
        <f>+BR158</f>
        <v>0.08</v>
      </c>
      <c r="BS159" s="341"/>
      <c r="BT159" s="341"/>
      <c r="BU159" s="341"/>
      <c r="BV159" s="146">
        <f>+BV158</f>
        <v>0.08</v>
      </c>
      <c r="BW159" s="341"/>
      <c r="BX159" s="341"/>
      <c r="BY159" s="341"/>
      <c r="BZ159" s="351">
        <f>BZ158</f>
        <v>8.5000000000000006E-2</v>
      </c>
      <c r="CA159" s="341"/>
      <c r="CB159" s="341"/>
      <c r="CC159" s="341"/>
      <c r="CD159" s="351">
        <f>CD158</f>
        <v>8.5000000000000006E-2</v>
      </c>
      <c r="CE159" s="341"/>
      <c r="CF159" s="341"/>
      <c r="CG159" s="341"/>
      <c r="CH159" s="351">
        <v>0.1</v>
      </c>
      <c r="CI159" s="341"/>
      <c r="CJ159" s="341"/>
      <c r="CK159" s="341"/>
      <c r="CL159" s="351">
        <v>0.1125</v>
      </c>
      <c r="CM159" s="341"/>
      <c r="CN159" s="341"/>
      <c r="CO159" s="341"/>
      <c r="CP159" s="351">
        <f>0.5/4</f>
        <v>0.125</v>
      </c>
      <c r="CQ159" s="341"/>
      <c r="CR159" s="341"/>
      <c r="CS159" s="341"/>
      <c r="CT159" s="351">
        <v>0.2</v>
      </c>
      <c r="CU159" s="341"/>
      <c r="CV159" s="341"/>
      <c r="CW159" s="341"/>
      <c r="CX159" s="351">
        <v>0.22</v>
      </c>
      <c r="CY159" s="341"/>
      <c r="CZ159" s="341"/>
      <c r="DA159" s="341"/>
      <c r="DB159" s="351">
        <v>0.23</v>
      </c>
      <c r="DC159" s="341"/>
      <c r="DD159" s="341"/>
      <c r="DE159" s="341"/>
      <c r="DF159" s="351">
        <v>0.23</v>
      </c>
      <c r="DG159" s="341"/>
      <c r="DH159" s="341"/>
      <c r="DI159" s="341"/>
      <c r="DJ159" s="351">
        <v>0.23</v>
      </c>
      <c r="DK159" s="341"/>
      <c r="DL159" s="341"/>
      <c r="DM159" s="341"/>
      <c r="DN159" s="2028">
        <v>0.24249999999999999</v>
      </c>
      <c r="DO159" s="342"/>
      <c r="DP159" s="342"/>
      <c r="DQ159" s="341"/>
      <c r="DR159" s="341"/>
      <c r="DS159" s="341"/>
      <c r="DT159" s="341"/>
      <c r="DU159" s="341"/>
      <c r="DV159" s="341"/>
      <c r="DW159" s="341"/>
      <c r="DX159" s="341"/>
      <c r="DY159" s="341"/>
      <c r="DZ159" s="341"/>
      <c r="EA159" s="341"/>
      <c r="EB159" s="341"/>
      <c r="EC159" s="341"/>
      <c r="ED159" s="341"/>
    </row>
    <row r="160" spans="1:134" ht="10.9" customHeight="1">
      <c r="A160" s="44" t="str">
        <f>$A$13</f>
        <v>4Q</v>
      </c>
      <c r="B160" s="44" t="str">
        <f>$B$13</f>
        <v>Jan</v>
      </c>
      <c r="C160" s="342"/>
      <c r="D160" s="342"/>
      <c r="E160" s="342"/>
      <c r="F160" s="342"/>
      <c r="G160" s="342"/>
      <c r="H160" s="342"/>
      <c r="I160" s="342"/>
      <c r="J160" s="342"/>
      <c r="K160" s="342"/>
      <c r="L160" s="342"/>
      <c r="M160" s="342"/>
      <c r="N160" s="342"/>
      <c r="O160" s="342"/>
      <c r="P160" s="342"/>
      <c r="Q160" s="342"/>
      <c r="R160" s="342"/>
      <c r="S160" s="342"/>
      <c r="T160" s="342"/>
      <c r="U160" s="342"/>
      <c r="V160" s="342"/>
      <c r="W160" s="342"/>
      <c r="X160" s="342"/>
      <c r="Y160" s="342"/>
      <c r="Z160" s="342"/>
      <c r="AA160" s="342"/>
      <c r="AB160" s="342"/>
      <c r="AC160" s="342"/>
      <c r="AD160" s="342"/>
      <c r="AE160" s="342"/>
      <c r="AF160" s="342"/>
      <c r="AG160" s="342"/>
      <c r="AH160" s="232"/>
      <c r="AI160" s="348"/>
      <c r="AJ160" s="349"/>
      <c r="AK160" s="349"/>
      <c r="AL160" s="232"/>
      <c r="AM160" s="324"/>
      <c r="AN160" s="342"/>
      <c r="AO160" s="342"/>
      <c r="AP160" s="352">
        <v>2.1999999999999999E-2</v>
      </c>
      <c r="AQ160" s="324"/>
      <c r="AR160" s="342"/>
      <c r="AS160" s="342"/>
      <c r="AT160" s="352">
        <v>2.1999999999999999E-2</v>
      </c>
      <c r="AU160" s="324"/>
      <c r="AV160" s="342"/>
      <c r="AW160" s="342"/>
      <c r="AX160" s="352">
        <v>2.1999999999999999E-2</v>
      </c>
      <c r="AY160" s="324"/>
      <c r="AZ160" s="342"/>
      <c r="BA160" s="342"/>
      <c r="BB160" s="352">
        <v>2.1999999999999999E-2</v>
      </c>
      <c r="BC160" s="324"/>
      <c r="BD160" s="342"/>
      <c r="BE160" s="342"/>
      <c r="BF160" s="352">
        <v>2.1999999999999999E-2</v>
      </c>
      <c r="BG160" s="324"/>
      <c r="BH160" s="342"/>
      <c r="BI160" s="342"/>
      <c r="BJ160" s="352">
        <v>2.1999999999999999E-2</v>
      </c>
      <c r="BK160" s="324"/>
      <c r="BL160" s="342"/>
      <c r="BM160" s="342"/>
      <c r="BN160" s="353">
        <f>BN$161/4</f>
        <v>4.4999999999999998E-2</v>
      </c>
      <c r="BO160" s="212"/>
      <c r="BP160" s="212"/>
      <c r="BQ160" s="146"/>
      <c r="BR160" s="354">
        <f>+BR159</f>
        <v>0.08</v>
      </c>
      <c r="BS160" s="341"/>
      <c r="BT160" s="341"/>
      <c r="BU160" s="341"/>
      <c r="BV160" s="354">
        <f>+BV159</f>
        <v>0.08</v>
      </c>
      <c r="BW160" s="341"/>
      <c r="BX160" s="341"/>
      <c r="BY160" s="341"/>
      <c r="BZ160" s="355">
        <f>+BZ159</f>
        <v>8.5000000000000006E-2</v>
      </c>
      <c r="CA160" s="341"/>
      <c r="CB160" s="341"/>
      <c r="CC160" s="341"/>
      <c r="CD160" s="355">
        <f>+CD159</f>
        <v>8.5000000000000006E-2</v>
      </c>
      <c r="CE160" s="341"/>
      <c r="CF160" s="341"/>
      <c r="CG160" s="341"/>
      <c r="CH160" s="355">
        <f>+CH159</f>
        <v>0.1</v>
      </c>
      <c r="CI160" s="341"/>
      <c r="CJ160" s="341"/>
      <c r="CK160" s="341"/>
      <c r="CL160" s="355">
        <v>0.1125</v>
      </c>
      <c r="CM160" s="341"/>
      <c r="CN160" s="341"/>
      <c r="CO160" s="341"/>
      <c r="CP160" s="355">
        <f>0.5/4</f>
        <v>0.125</v>
      </c>
      <c r="CQ160" s="341"/>
      <c r="CR160" s="341"/>
      <c r="CS160" s="341"/>
      <c r="CT160" s="355">
        <v>0.2</v>
      </c>
      <c r="CU160" s="341"/>
      <c r="CV160" s="341"/>
      <c r="CW160" s="341"/>
      <c r="CX160" s="355">
        <v>0.22</v>
      </c>
      <c r="CY160" s="341"/>
      <c r="CZ160" s="341"/>
      <c r="DA160" s="341"/>
      <c r="DB160" s="355">
        <v>0.23</v>
      </c>
      <c r="DC160" s="341"/>
      <c r="DD160" s="341"/>
      <c r="DE160" s="341"/>
      <c r="DF160" s="355">
        <v>0.23</v>
      </c>
      <c r="DG160" s="341"/>
      <c r="DH160" s="341"/>
      <c r="DI160" s="341"/>
      <c r="DJ160" s="355">
        <v>0.23</v>
      </c>
      <c r="DK160" s="341"/>
      <c r="DL160" s="341"/>
      <c r="DM160" s="341"/>
      <c r="DN160" s="2029">
        <v>0.24249999999999999</v>
      </c>
      <c r="DO160" s="342"/>
      <c r="DP160" s="342"/>
      <c r="DQ160" s="341"/>
      <c r="DR160" s="341"/>
      <c r="DS160" s="341"/>
      <c r="DT160" s="341"/>
      <c r="DU160" s="341"/>
      <c r="DV160" s="341"/>
      <c r="DW160" s="341"/>
      <c r="DX160" s="341"/>
      <c r="DY160" s="341"/>
      <c r="DZ160" s="341"/>
      <c r="EA160" s="341"/>
      <c r="EB160" s="341"/>
      <c r="EC160" s="341"/>
      <c r="ED160" s="341"/>
    </row>
    <row r="161" spans="1:134" ht="10.9" customHeight="1">
      <c r="A161" s="44"/>
      <c r="B161" s="44" t="str">
        <f>$B$14</f>
        <v>Year</v>
      </c>
      <c r="C161" s="342"/>
      <c r="D161" s="342"/>
      <c r="E161" s="342"/>
      <c r="F161" s="342"/>
      <c r="G161" s="342"/>
      <c r="H161" s="342"/>
      <c r="I161" s="342"/>
      <c r="J161" s="342"/>
      <c r="K161" s="342"/>
      <c r="L161" s="342"/>
      <c r="M161" s="342"/>
      <c r="N161" s="342"/>
      <c r="O161" s="342"/>
      <c r="P161" s="342"/>
      <c r="Q161" s="342"/>
      <c r="R161" s="342"/>
      <c r="S161" s="342"/>
      <c r="T161" s="342"/>
      <c r="U161" s="342"/>
      <c r="V161" s="342"/>
      <c r="W161" s="342"/>
      <c r="X161" s="342"/>
      <c r="Y161" s="342"/>
      <c r="Z161" s="342"/>
      <c r="AA161" s="342"/>
      <c r="AB161" s="342"/>
      <c r="AC161" s="342"/>
      <c r="AD161" s="342"/>
      <c r="AE161" s="342"/>
      <c r="AF161" s="342"/>
      <c r="AG161" s="342"/>
      <c r="AH161" s="356"/>
      <c r="AI161" s="357"/>
      <c r="AJ161" s="349"/>
      <c r="AK161" s="349"/>
      <c r="AL161" s="356"/>
      <c r="AM161" s="337"/>
      <c r="AN161" s="342"/>
      <c r="AO161" s="342"/>
      <c r="AP161" s="358">
        <v>8.7999999999999995E-2</v>
      </c>
      <c r="AQ161" s="337"/>
      <c r="AR161" s="342"/>
      <c r="AS161" s="342"/>
      <c r="AT161" s="358">
        <v>8.7999999999999995E-2</v>
      </c>
      <c r="AU161" s="337"/>
      <c r="AV161" s="342"/>
      <c r="AW161" s="342"/>
      <c r="AX161" s="358">
        <v>8.7999999999999995E-2</v>
      </c>
      <c r="AY161" s="337"/>
      <c r="AZ161" s="342"/>
      <c r="BA161" s="342"/>
      <c r="BB161" s="358">
        <v>8.7999999999999995E-2</v>
      </c>
      <c r="BC161" s="337"/>
      <c r="BD161" s="342"/>
      <c r="BE161" s="342"/>
      <c r="BF161" s="358">
        <v>8.7999999999999995E-2</v>
      </c>
      <c r="BG161" s="337"/>
      <c r="BH161" s="342"/>
      <c r="BI161" s="342"/>
      <c r="BJ161" s="358">
        <v>8.7999999999999995E-2</v>
      </c>
      <c r="BK161" s="337"/>
      <c r="BL161" s="342"/>
      <c r="BM161" s="342"/>
      <c r="BN161" s="212">
        <v>0.18</v>
      </c>
      <c r="BO161" s="212"/>
      <c r="BP161" s="212"/>
      <c r="BQ161" s="146"/>
      <c r="BR161" s="212">
        <v>0.32</v>
      </c>
      <c r="BS161" s="341"/>
      <c r="BT161" s="341"/>
      <c r="BU161" s="341"/>
      <c r="BV161" s="212">
        <f>SUM(BV157:BV160)</f>
        <v>0.32</v>
      </c>
      <c r="BW161" s="341"/>
      <c r="BX161" s="341"/>
      <c r="BY161" s="341"/>
      <c r="BZ161" s="212">
        <v>0.34</v>
      </c>
      <c r="CA161" s="341"/>
      <c r="CB161" s="341"/>
      <c r="CC161" s="341"/>
      <c r="CD161" s="212">
        <f>SUM(CD157:CD160)</f>
        <v>0.34</v>
      </c>
      <c r="CE161" s="341"/>
      <c r="CF161" s="341"/>
      <c r="CG161" s="341"/>
      <c r="CH161" s="355">
        <f>SUM(CH157:CH160)</f>
        <v>0.4</v>
      </c>
      <c r="CI161" s="341"/>
      <c r="CJ161" s="341"/>
      <c r="CK161" s="341"/>
      <c r="CL161" s="355">
        <f>SUM(CL157:CL160)</f>
        <v>0.45</v>
      </c>
      <c r="CM161" s="341"/>
      <c r="CN161" s="341"/>
      <c r="CO161" s="341"/>
      <c r="CP161" s="355">
        <f>SUM(CP157:CP160)</f>
        <v>0.5</v>
      </c>
      <c r="CQ161" s="341"/>
      <c r="CR161" s="341"/>
      <c r="CS161" s="341"/>
      <c r="CT161" s="355">
        <f>SUM(CT157:CT160)</f>
        <v>0.7</v>
      </c>
      <c r="CU161" s="341"/>
      <c r="CV161" s="341"/>
      <c r="CW161" s="341"/>
      <c r="CX161" s="355">
        <f>SUM(CX157:CX160)</f>
        <v>0.88</v>
      </c>
      <c r="CY161" s="341"/>
      <c r="CZ161" s="341"/>
      <c r="DA161" s="341"/>
      <c r="DB161" s="355">
        <f>SUM(DB157:DB160)</f>
        <v>0.92</v>
      </c>
      <c r="DC161" s="341"/>
      <c r="DD161" s="341"/>
      <c r="DE161" s="341"/>
      <c r="DF161" s="355">
        <f>SUM(DF157:DF160)</f>
        <v>0.92</v>
      </c>
      <c r="DG161" s="341"/>
      <c r="DH161" s="341"/>
      <c r="DI161" s="341"/>
      <c r="DJ161" s="355">
        <f>SUM(DJ157:DJ160)</f>
        <v>0.92</v>
      </c>
      <c r="DK161" s="341"/>
      <c r="DL161" s="341"/>
      <c r="DM161" s="341"/>
      <c r="DN161" s="2029">
        <f>SUM(DN157:DN160)</f>
        <v>0.97</v>
      </c>
      <c r="DO161" s="342"/>
      <c r="DP161" s="342"/>
      <c r="DQ161" s="341"/>
      <c r="DR161" s="341"/>
      <c r="DS161" s="341"/>
      <c r="DT161" s="341"/>
      <c r="DU161" s="341"/>
      <c r="DV161" s="341"/>
      <c r="DW161" s="341"/>
      <c r="DX161" s="341"/>
      <c r="DY161" s="341"/>
      <c r="DZ161" s="341"/>
      <c r="EA161" s="341"/>
      <c r="EB161" s="341"/>
      <c r="EC161" s="341"/>
      <c r="ED161" s="341"/>
    </row>
    <row r="162" spans="1:134" ht="10.9" customHeight="1" outlineLevel="1">
      <c r="A162" s="58" t="str">
        <f>$A$15</f>
        <v>6 Mos</v>
      </c>
      <c r="B162" s="58"/>
      <c r="C162" s="342"/>
      <c r="D162" s="342"/>
      <c r="E162" s="342"/>
      <c r="F162" s="342"/>
      <c r="G162" s="342"/>
      <c r="H162" s="342"/>
      <c r="I162" s="342"/>
      <c r="J162" s="342"/>
      <c r="K162" s="342"/>
      <c r="L162" s="342"/>
      <c r="M162" s="342"/>
      <c r="N162" s="342"/>
      <c r="O162" s="342"/>
      <c r="P162" s="342"/>
      <c r="Q162" s="342"/>
      <c r="R162" s="342"/>
      <c r="S162" s="342"/>
      <c r="T162" s="342"/>
      <c r="U162" s="342"/>
      <c r="V162" s="342"/>
      <c r="W162" s="342"/>
      <c r="X162" s="342"/>
      <c r="Y162" s="342"/>
      <c r="Z162" s="342"/>
      <c r="AA162" s="342"/>
      <c r="AB162" s="342"/>
      <c r="AC162" s="342"/>
      <c r="AD162" s="342"/>
      <c r="AE162" s="342"/>
      <c r="AF162" s="342"/>
      <c r="AG162" s="342"/>
      <c r="AH162" s="237"/>
      <c r="AI162" s="237"/>
      <c r="AJ162" s="349"/>
      <c r="AK162" s="349"/>
      <c r="AL162" s="237"/>
      <c r="AM162" s="169"/>
      <c r="AN162" s="342"/>
      <c r="AO162" s="342"/>
      <c r="AP162" s="359">
        <f>(AP157+AP158)</f>
        <v>4.3999999999999997E-2</v>
      </c>
      <c r="AQ162" s="169"/>
      <c r="AR162" s="342"/>
      <c r="AS162" s="342"/>
      <c r="AT162" s="359">
        <f>(AT157+AT158)</f>
        <v>4.3999999999999997E-2</v>
      </c>
      <c r="AU162" s="169"/>
      <c r="AV162" s="342"/>
      <c r="AW162" s="342"/>
      <c r="AX162" s="359">
        <f>(AX157+AX158)</f>
        <v>4.3999999999999997E-2</v>
      </c>
      <c r="AY162" s="169"/>
      <c r="AZ162" s="342"/>
      <c r="BA162" s="342"/>
      <c r="BB162" s="359">
        <f>(BB157+BB158)</f>
        <v>4.3999999999999997E-2</v>
      </c>
      <c r="BC162" s="169"/>
      <c r="BD162" s="342"/>
      <c r="BE162" s="342"/>
      <c r="BF162" s="359">
        <f>(BF157+BF158)</f>
        <v>4.3999999999999997E-2</v>
      </c>
      <c r="BG162" s="169"/>
      <c r="BH162" s="342"/>
      <c r="BI162" s="342"/>
      <c r="BJ162" s="359">
        <f>(BJ157+BJ158)</f>
        <v>4.3999999999999997E-2</v>
      </c>
      <c r="BK162" s="169"/>
      <c r="BL162" s="342"/>
      <c r="BM162" s="342"/>
      <c r="BN162" s="342"/>
      <c r="BO162" s="342"/>
      <c r="BP162" s="342"/>
      <c r="BQ162" s="341"/>
      <c r="BR162" s="341"/>
      <c r="BS162" s="341"/>
      <c r="BT162" s="341"/>
      <c r="BU162" s="341"/>
      <c r="BV162" s="341"/>
      <c r="BW162" s="341"/>
      <c r="BX162" s="341"/>
      <c r="BY162" s="341"/>
      <c r="BZ162" s="341"/>
      <c r="CA162" s="341"/>
      <c r="CB162" s="341"/>
      <c r="CC162" s="341"/>
      <c r="CD162" s="341"/>
      <c r="CE162" s="341"/>
      <c r="CF162" s="341"/>
      <c r="CG162" s="341"/>
      <c r="CH162" s="341"/>
      <c r="CI162" s="341"/>
      <c r="CJ162" s="341"/>
      <c r="CK162" s="341"/>
      <c r="CL162" s="341"/>
      <c r="CM162" s="341"/>
      <c r="CN162" s="341"/>
      <c r="CO162" s="341"/>
      <c r="CP162" s="341"/>
      <c r="CQ162" s="341"/>
      <c r="CR162" s="341"/>
      <c r="CS162" s="341"/>
      <c r="CT162" s="341"/>
      <c r="CU162" s="341"/>
      <c r="CV162" s="341"/>
      <c r="CW162" s="341"/>
      <c r="CX162" s="341"/>
      <c r="CY162" s="341"/>
      <c r="CZ162" s="341"/>
      <c r="DA162" s="341"/>
      <c r="DB162" s="341"/>
      <c r="DC162" s="341"/>
      <c r="DD162" s="341"/>
      <c r="DE162" s="341"/>
      <c r="DF162" s="341"/>
      <c r="DG162" s="341"/>
      <c r="DH162" s="341"/>
      <c r="DI162" s="341"/>
      <c r="DJ162" s="341"/>
      <c r="DK162" s="341"/>
      <c r="DL162" s="341"/>
      <c r="DM162" s="341"/>
      <c r="DN162" s="342"/>
      <c r="DO162" s="342"/>
      <c r="DP162" s="342"/>
      <c r="DQ162" s="341"/>
      <c r="DR162" s="341"/>
      <c r="DS162" s="341"/>
      <c r="DT162" s="341"/>
      <c r="DU162" s="341"/>
      <c r="DV162" s="341"/>
      <c r="DW162" s="341"/>
      <c r="DX162" s="341"/>
      <c r="DY162" s="341"/>
      <c r="DZ162" s="341"/>
      <c r="EA162" s="341"/>
      <c r="EB162" s="341"/>
      <c r="EC162" s="341"/>
      <c r="ED162" s="341"/>
    </row>
    <row r="163" spans="1:134" ht="10.9" customHeight="1" outlineLevel="1">
      <c r="A163" s="58" t="str">
        <f>$A$16</f>
        <v>9 Mos</v>
      </c>
      <c r="B163" s="58"/>
      <c r="C163" s="342"/>
      <c r="D163" s="342"/>
      <c r="E163" s="342"/>
      <c r="F163" s="342"/>
      <c r="G163" s="342"/>
      <c r="H163" s="342"/>
      <c r="I163" s="342"/>
      <c r="J163" s="342"/>
      <c r="K163" s="342"/>
      <c r="L163" s="342"/>
      <c r="M163" s="342"/>
      <c r="N163" s="342"/>
      <c r="O163" s="342"/>
      <c r="P163" s="342"/>
      <c r="Q163" s="342"/>
      <c r="R163" s="342"/>
      <c r="S163" s="342"/>
      <c r="T163" s="342"/>
      <c r="U163" s="342"/>
      <c r="V163" s="342"/>
      <c r="W163" s="342"/>
      <c r="X163" s="342"/>
      <c r="Y163" s="342"/>
      <c r="Z163" s="342"/>
      <c r="AA163" s="342"/>
      <c r="AB163" s="342"/>
      <c r="AC163" s="342"/>
      <c r="AD163" s="342"/>
      <c r="AE163" s="342"/>
      <c r="AF163" s="342"/>
      <c r="AG163" s="342"/>
      <c r="AH163" s="237"/>
      <c r="AI163" s="237"/>
      <c r="AJ163" s="349"/>
      <c r="AK163" s="349"/>
      <c r="AL163" s="237"/>
      <c r="AM163" s="169"/>
      <c r="AN163" s="342"/>
      <c r="AO163" s="342"/>
      <c r="AP163" s="359">
        <f>(AP157+AP158+AP159)</f>
        <v>6.6000000000000003E-2</v>
      </c>
      <c r="AQ163" s="169"/>
      <c r="AR163" s="342"/>
      <c r="AS163" s="342"/>
      <c r="AT163" s="359">
        <f>(AT157+AT158+AT159)</f>
        <v>6.6000000000000003E-2</v>
      </c>
      <c r="AU163" s="169"/>
      <c r="AV163" s="342"/>
      <c r="AW163" s="342"/>
      <c r="AX163" s="359">
        <f>(AX157+AX158+AX159)</f>
        <v>6.6000000000000003E-2</v>
      </c>
      <c r="AY163" s="169"/>
      <c r="AZ163" s="342"/>
      <c r="BA163" s="342"/>
      <c r="BB163" s="359">
        <f>(BB157+BB158+BB159)</f>
        <v>6.6000000000000003E-2</v>
      </c>
      <c r="BC163" s="169"/>
      <c r="BD163" s="342"/>
      <c r="BE163" s="342"/>
      <c r="BF163" s="359">
        <f>(BF157+BF158+BF159)</f>
        <v>6.6000000000000003E-2</v>
      </c>
      <c r="BG163" s="169"/>
      <c r="BH163" s="342"/>
      <c r="BI163" s="342"/>
      <c r="BJ163" s="359">
        <f>(BJ157+BJ158+BJ159)</f>
        <v>6.6000000000000003E-2</v>
      </c>
      <c r="BK163" s="169"/>
      <c r="BL163" s="342"/>
      <c r="BM163" s="342"/>
      <c r="BN163" s="342"/>
      <c r="BO163" s="342"/>
      <c r="BP163" s="342"/>
      <c r="BQ163" s="341"/>
      <c r="BR163" s="341"/>
      <c r="BS163" s="341"/>
      <c r="BT163" s="341"/>
      <c r="BU163" s="341"/>
      <c r="BV163" s="341"/>
      <c r="BW163" s="341"/>
      <c r="BX163" s="341"/>
      <c r="BY163" s="341"/>
      <c r="BZ163" s="341"/>
      <c r="CA163" s="341"/>
      <c r="CB163" s="341"/>
      <c r="CC163" s="341"/>
      <c r="CD163" s="341"/>
      <c r="CE163" s="341"/>
      <c r="CF163" s="341"/>
      <c r="CG163" s="341"/>
      <c r="CH163" s="341"/>
      <c r="CI163" s="341"/>
      <c r="CJ163" s="341"/>
      <c r="CK163" s="341"/>
      <c r="CL163" s="341"/>
      <c r="CM163" s="341"/>
      <c r="CN163" s="341"/>
      <c r="CO163" s="341"/>
      <c r="CP163" s="341"/>
      <c r="CQ163" s="341"/>
      <c r="CR163" s="341"/>
      <c r="CS163" s="341"/>
      <c r="CT163" s="341"/>
      <c r="CU163" s="341"/>
      <c r="CV163" s="341"/>
      <c r="CW163" s="341"/>
      <c r="CX163" s="341"/>
      <c r="CY163" s="341"/>
      <c r="CZ163" s="341"/>
      <c r="DA163" s="341"/>
      <c r="DB163" s="341"/>
      <c r="DC163" s="341"/>
      <c r="DD163" s="341"/>
      <c r="DE163" s="341"/>
      <c r="DF163" s="341"/>
      <c r="DG163" s="341"/>
      <c r="DH163" s="341"/>
      <c r="DI163" s="341"/>
      <c r="DJ163" s="341"/>
      <c r="DK163" s="341"/>
      <c r="DL163" s="341"/>
      <c r="DM163" s="341"/>
      <c r="DN163" s="342"/>
      <c r="DO163" s="342"/>
      <c r="DP163" s="342"/>
      <c r="DQ163" s="341"/>
      <c r="DR163" s="341"/>
      <c r="DS163" s="341"/>
      <c r="DT163" s="341"/>
      <c r="DU163" s="341"/>
      <c r="DV163" s="341"/>
      <c r="DW163" s="341"/>
      <c r="DX163" s="341"/>
      <c r="DY163" s="341"/>
      <c r="DZ163" s="341"/>
      <c r="EA163" s="341"/>
      <c r="EB163" s="341"/>
      <c r="EC163" s="341"/>
      <c r="ED163" s="341"/>
    </row>
    <row r="164" spans="1:134" ht="10.9" customHeight="1">
      <c r="A164" s="58"/>
      <c r="B164" s="58"/>
      <c r="C164" s="342"/>
      <c r="D164" s="342"/>
      <c r="E164" s="342"/>
      <c r="F164" s="342"/>
      <c r="G164" s="342"/>
      <c r="H164" s="342"/>
      <c r="I164" s="342"/>
      <c r="J164" s="342"/>
      <c r="K164" s="342"/>
      <c r="L164" s="342"/>
      <c r="M164" s="342"/>
      <c r="N164" s="342"/>
      <c r="O164" s="342"/>
      <c r="P164" s="342"/>
      <c r="Q164" s="342"/>
      <c r="R164" s="342"/>
      <c r="S164" s="342"/>
      <c r="T164" s="342"/>
      <c r="U164" s="342"/>
      <c r="V164" s="342"/>
      <c r="W164" s="342"/>
      <c r="X164" s="342"/>
      <c r="Y164" s="342"/>
      <c r="Z164" s="342"/>
      <c r="AA164" s="342"/>
      <c r="AB164" s="342"/>
      <c r="AC164" s="342"/>
      <c r="AD164" s="342"/>
      <c r="AE164" s="342"/>
      <c r="AF164" s="342"/>
      <c r="AG164" s="342"/>
      <c r="AH164" s="169"/>
      <c r="AI164" s="169"/>
      <c r="AJ164" s="342"/>
      <c r="AK164" s="342"/>
      <c r="AL164" s="169"/>
      <c r="AM164" s="169"/>
      <c r="AN164" s="342"/>
      <c r="AO164" s="342"/>
      <c r="AP164" s="169"/>
      <c r="AQ164" s="169"/>
      <c r="AR164" s="342"/>
      <c r="AS164" s="342"/>
      <c r="AT164" s="169"/>
      <c r="AU164" s="169"/>
      <c r="AV164" s="342"/>
      <c r="AW164" s="342"/>
      <c r="AX164" s="169"/>
      <c r="AY164" s="169"/>
      <c r="AZ164" s="342"/>
      <c r="BA164" s="342"/>
      <c r="BB164" s="169"/>
      <c r="BC164" s="169"/>
      <c r="BD164" s="342"/>
      <c r="BE164" s="342"/>
      <c r="BF164" s="169"/>
      <c r="BG164" s="169"/>
      <c r="BH164" s="342"/>
      <c r="BI164" s="342"/>
      <c r="BJ164" s="169"/>
      <c r="BK164" s="169"/>
      <c r="BL164" s="342"/>
      <c r="BM164" s="342"/>
      <c r="BN164" s="342"/>
      <c r="BO164" s="342"/>
      <c r="BP164" s="342"/>
      <c r="BQ164" s="341"/>
      <c r="BR164" s="341"/>
      <c r="BS164" s="341"/>
      <c r="BT164" s="341"/>
      <c r="BU164" s="341"/>
      <c r="BV164" s="341"/>
      <c r="BW164" s="341"/>
      <c r="BX164" s="341"/>
      <c r="BY164" s="341"/>
      <c r="BZ164" s="341"/>
      <c r="CA164" s="341"/>
      <c r="CB164" s="341"/>
      <c r="CC164" s="341"/>
      <c r="CD164" s="341"/>
      <c r="CE164" s="341"/>
      <c r="CF164" s="341"/>
      <c r="CG164" s="341"/>
      <c r="CH164" s="341"/>
      <c r="CI164" s="341"/>
      <c r="CJ164" s="341"/>
      <c r="CK164" s="341"/>
      <c r="CL164" s="341"/>
      <c r="CM164" s="341"/>
      <c r="CN164" s="341"/>
      <c r="CO164" s="341"/>
      <c r="CP164" s="341"/>
      <c r="CQ164" s="341"/>
      <c r="CR164" s="341"/>
      <c r="CS164" s="341"/>
      <c r="CT164" s="341"/>
      <c r="CU164" s="341"/>
      <c r="CV164" s="341"/>
      <c r="CW164" s="341"/>
      <c r="CX164" s="341"/>
      <c r="CY164" s="341"/>
      <c r="CZ164" s="341"/>
      <c r="DA164" s="341"/>
      <c r="DB164" s="341"/>
      <c r="DC164" s="341"/>
      <c r="DD164" s="341"/>
      <c r="DE164" s="341"/>
      <c r="DF164" s="341"/>
      <c r="DG164" s="341"/>
      <c r="DH164" s="341"/>
      <c r="DI164" s="341"/>
      <c r="DJ164" s="341"/>
      <c r="DK164" s="341"/>
      <c r="DL164" s="341"/>
      <c r="DM164" s="341"/>
      <c r="DN164" s="342"/>
      <c r="DO164" s="342"/>
      <c r="DP164" s="342"/>
      <c r="DQ164" s="341"/>
      <c r="DR164" s="341"/>
      <c r="DS164" s="341"/>
      <c r="DT164" s="341"/>
      <c r="DU164" s="341"/>
      <c r="DV164" s="341"/>
      <c r="DW164" s="341"/>
      <c r="DX164" s="341"/>
      <c r="DY164" s="341"/>
      <c r="DZ164" s="341"/>
      <c r="EA164" s="341"/>
      <c r="EB164" s="341"/>
      <c r="EC164" s="341"/>
      <c r="ED164" s="341"/>
    </row>
    <row r="165" spans="1:134" ht="10.9" customHeight="1">
      <c r="A165" s="341"/>
      <c r="B165" s="341"/>
      <c r="C165" s="342"/>
      <c r="D165" s="342"/>
      <c r="E165" s="342"/>
      <c r="F165" s="342"/>
      <c r="G165" s="342"/>
      <c r="H165" s="342"/>
      <c r="I165" s="342"/>
      <c r="J165" s="342"/>
      <c r="K165" s="342"/>
      <c r="L165" s="342"/>
      <c r="M165" s="342"/>
      <c r="N165" s="342"/>
      <c r="O165" s="342"/>
      <c r="P165" s="342"/>
      <c r="Q165" s="342"/>
      <c r="R165" s="342"/>
      <c r="S165" s="342"/>
      <c r="T165" s="342"/>
      <c r="U165" s="342"/>
      <c r="V165" s="342"/>
      <c r="W165" s="342"/>
      <c r="X165" s="342"/>
      <c r="Y165" s="342"/>
      <c r="Z165" s="342"/>
      <c r="AA165" s="342"/>
      <c r="AB165" s="342"/>
      <c r="AC165" s="342"/>
      <c r="AD165" s="342"/>
      <c r="AE165" s="342"/>
      <c r="AF165" s="342"/>
      <c r="AG165" s="342"/>
      <c r="AH165" s="342"/>
      <c r="AI165" s="342"/>
      <c r="AJ165" s="342"/>
      <c r="AK165" s="342"/>
      <c r="AL165" s="342"/>
      <c r="AM165" s="342"/>
      <c r="AN165" s="342"/>
      <c r="AO165" s="342"/>
      <c r="AP165" s="342"/>
      <c r="AQ165" s="342"/>
      <c r="AR165" s="342"/>
      <c r="AS165" s="342"/>
      <c r="AT165" s="342"/>
      <c r="AU165" s="342"/>
      <c r="AV165" s="342"/>
      <c r="AW165" s="342"/>
      <c r="AX165" s="342"/>
      <c r="AY165" s="342"/>
      <c r="AZ165" s="342"/>
      <c r="BA165" s="342"/>
      <c r="BB165" s="342"/>
      <c r="BC165" s="342"/>
      <c r="BD165" s="342"/>
      <c r="BE165" s="342"/>
      <c r="BF165" s="342"/>
      <c r="BG165" s="342"/>
      <c r="BH165" s="342"/>
      <c r="BI165" s="342"/>
      <c r="BJ165" s="342"/>
      <c r="BK165" s="342"/>
      <c r="BL165" s="342"/>
      <c r="BM165" s="342"/>
      <c r="BN165" s="342"/>
      <c r="BO165" s="342"/>
      <c r="BP165" s="342"/>
      <c r="BQ165" s="341"/>
      <c r="BR165" s="341"/>
      <c r="BS165" s="341"/>
      <c r="BT165" s="341"/>
      <c r="BU165" s="341"/>
      <c r="BV165" s="68">
        <f>(45+5)*(1-0.37)</f>
        <v>31.5</v>
      </c>
      <c r="BW165" s="341"/>
      <c r="BX165" s="341"/>
      <c r="BY165" s="341"/>
      <c r="BZ165" s="341"/>
      <c r="CA165" s="341"/>
      <c r="CB165" s="341"/>
      <c r="CC165" s="341"/>
      <c r="CD165" s="341"/>
      <c r="CE165" s="341"/>
      <c r="CF165" s="341"/>
      <c r="CG165" s="341"/>
      <c r="CH165" s="341"/>
      <c r="CI165" s="341"/>
      <c r="CJ165" s="341"/>
      <c r="CK165" s="341"/>
      <c r="CL165" s="341"/>
      <c r="CM165" s="341"/>
      <c r="CN165" s="341"/>
      <c r="CO165" s="341"/>
      <c r="CP165" s="341"/>
      <c r="CQ165" s="341"/>
      <c r="CR165" s="341"/>
      <c r="CS165" s="341"/>
      <c r="CT165" s="341"/>
      <c r="CU165" s="341"/>
      <c r="CV165" s="341"/>
      <c r="CW165" s="341"/>
      <c r="CX165" s="341"/>
      <c r="CY165" s="341"/>
      <c r="CZ165" s="341"/>
      <c r="DA165" s="341"/>
      <c r="DB165" s="341"/>
      <c r="DC165" s="341"/>
      <c r="DD165" s="341"/>
      <c r="DE165" s="341"/>
      <c r="DF165" s="341"/>
      <c r="DG165" s="341"/>
      <c r="DH165" s="341"/>
      <c r="DI165" s="341"/>
      <c r="DJ165" s="341"/>
      <c r="DK165" s="341"/>
      <c r="DL165" s="341"/>
      <c r="DM165" s="341"/>
      <c r="DN165" s="342"/>
      <c r="DO165" s="342"/>
      <c r="DP165" s="342"/>
      <c r="DQ165" s="341"/>
      <c r="DR165" s="341"/>
      <c r="DS165" s="341"/>
      <c r="DT165" s="341"/>
      <c r="DU165" s="341"/>
      <c r="DV165" s="341"/>
      <c r="DW165" s="341"/>
      <c r="DX165" s="341"/>
      <c r="DY165" s="341"/>
      <c r="DZ165" s="341"/>
      <c r="EA165" s="341"/>
      <c r="EB165" s="341"/>
      <c r="EC165" s="341"/>
      <c r="ED165" s="341"/>
    </row>
    <row r="166" spans="1:134" ht="10.9" hidden="1" customHeight="1" outlineLevel="2">
      <c r="A166" s="341"/>
      <c r="B166" s="341"/>
      <c r="C166" s="342"/>
      <c r="D166" s="342"/>
      <c r="E166" s="342"/>
      <c r="F166" s="342"/>
      <c r="G166" s="342"/>
      <c r="H166" s="342"/>
      <c r="I166" s="342"/>
      <c r="J166" s="342"/>
      <c r="K166" s="342"/>
      <c r="L166" s="342"/>
      <c r="M166" s="342"/>
      <c r="N166" s="342"/>
      <c r="O166" s="342"/>
      <c r="P166" s="342"/>
      <c r="Q166" s="342"/>
      <c r="R166" s="342"/>
      <c r="S166" s="342"/>
      <c r="T166" s="342"/>
      <c r="U166" s="342"/>
      <c r="V166" s="342"/>
      <c r="W166" s="342"/>
      <c r="X166" s="342"/>
      <c r="Y166" s="342"/>
      <c r="Z166" s="342"/>
      <c r="AA166" s="342"/>
      <c r="AB166" s="342"/>
      <c r="AC166" s="342"/>
      <c r="AD166" s="342"/>
      <c r="AE166" s="342"/>
      <c r="AF166" s="342"/>
      <c r="AG166" s="342"/>
      <c r="AH166" s="135" t="s">
        <v>274</v>
      </c>
      <c r="AI166" s="346"/>
      <c r="AJ166" s="346"/>
      <c r="AK166" s="346"/>
      <c r="AL166" s="346"/>
      <c r="AM166" s="346"/>
      <c r="AN166" s="346"/>
      <c r="AO166" s="346"/>
      <c r="AP166" s="346"/>
      <c r="AQ166" s="346"/>
      <c r="AR166" s="346"/>
      <c r="AS166" s="346"/>
      <c r="AT166" s="346"/>
      <c r="AU166" s="346"/>
      <c r="AV166" s="346"/>
      <c r="AW166" s="346"/>
      <c r="AX166" s="346"/>
      <c r="AY166" s="346"/>
      <c r="AZ166" s="346"/>
      <c r="BA166" s="346"/>
      <c r="BB166" s="346"/>
      <c r="BC166" s="346"/>
      <c r="BD166" s="346"/>
      <c r="BE166" s="346"/>
      <c r="BF166" s="346"/>
      <c r="BG166" s="346"/>
      <c r="BH166" s="346"/>
      <c r="BI166" s="342"/>
      <c r="BJ166" s="346"/>
      <c r="BK166" s="346"/>
      <c r="BL166" s="346"/>
      <c r="BM166" s="342"/>
      <c r="BN166" s="346"/>
      <c r="BO166" s="346"/>
      <c r="BP166" s="346"/>
      <c r="BQ166" s="341"/>
      <c r="BR166" s="347"/>
      <c r="BS166" s="347"/>
      <c r="BT166" s="347"/>
      <c r="BU166" s="341"/>
      <c r="BV166" s="135" t="s">
        <v>274</v>
      </c>
      <c r="BW166" s="347"/>
      <c r="BX166" s="347"/>
      <c r="BY166" s="347"/>
      <c r="BZ166" s="347"/>
      <c r="CA166" s="347"/>
      <c r="CB166" s="347"/>
      <c r="CC166" s="347"/>
      <c r="CD166" s="347"/>
      <c r="CE166" s="347"/>
      <c r="CF166" s="347"/>
      <c r="CG166" s="347"/>
      <c r="CH166" s="139" t="str">
        <f>+BV166</f>
        <v>Diluted Earnings Per Share Calculated -- Dilution Test of Convertible Securities If Coverted</v>
      </c>
      <c r="CI166" s="347"/>
      <c r="CJ166" s="347"/>
      <c r="CK166" s="347"/>
      <c r="CL166" s="347"/>
      <c r="CM166" s="347"/>
      <c r="CN166" s="347"/>
      <c r="CO166" s="347"/>
      <c r="CP166" s="347"/>
      <c r="CQ166" s="347"/>
      <c r="CR166" s="347"/>
      <c r="CS166" s="341"/>
      <c r="CT166" s="341"/>
      <c r="CU166" s="341"/>
      <c r="CV166" s="341"/>
      <c r="CW166" s="341"/>
      <c r="CX166" s="341"/>
      <c r="CY166" s="341"/>
      <c r="CZ166" s="341"/>
      <c r="DA166" s="341"/>
      <c r="DB166" s="341"/>
      <c r="DC166" s="341"/>
      <c r="DD166" s="341"/>
      <c r="DE166" s="341"/>
      <c r="DF166" s="341"/>
      <c r="DG166" s="341"/>
      <c r="DH166" s="341"/>
      <c r="DI166" s="341"/>
      <c r="DJ166" s="341"/>
      <c r="DK166" s="341"/>
      <c r="DL166" s="341"/>
      <c r="DM166" s="341"/>
      <c r="DN166" s="342"/>
      <c r="DO166" s="342"/>
      <c r="DP166" s="342"/>
      <c r="DQ166" s="341"/>
      <c r="DR166" s="341"/>
      <c r="DS166" s="341"/>
      <c r="DT166" s="341"/>
      <c r="DU166" s="341"/>
      <c r="DV166" s="341"/>
      <c r="DW166" s="341"/>
      <c r="DX166" s="341"/>
      <c r="DY166" s="341"/>
      <c r="DZ166" s="341"/>
      <c r="EA166" s="341"/>
      <c r="EB166" s="341"/>
      <c r="EC166" s="341"/>
      <c r="ED166" s="341"/>
    </row>
    <row r="167" spans="1:134" ht="10.9" hidden="1" customHeight="1" outlineLevel="2">
      <c r="A167" s="341"/>
      <c r="B167" s="341"/>
      <c r="C167" s="342"/>
      <c r="D167" s="342"/>
      <c r="E167" s="342"/>
      <c r="F167" s="342"/>
      <c r="G167" s="342"/>
      <c r="H167" s="342"/>
      <c r="I167" s="342"/>
      <c r="J167" s="342"/>
      <c r="K167" s="342"/>
      <c r="L167" s="342"/>
      <c r="M167" s="342"/>
      <c r="N167" s="342"/>
      <c r="O167" s="342"/>
      <c r="P167" s="342"/>
      <c r="Q167" s="342"/>
      <c r="R167" s="342"/>
      <c r="S167" s="342"/>
      <c r="T167" s="342"/>
      <c r="U167" s="342"/>
      <c r="V167" s="342"/>
      <c r="W167" s="342"/>
      <c r="X167" s="342"/>
      <c r="Y167" s="342"/>
      <c r="Z167" s="342"/>
      <c r="AA167" s="342"/>
      <c r="AB167" s="342"/>
      <c r="AC167" s="342"/>
      <c r="AD167" s="342"/>
      <c r="AE167" s="342"/>
      <c r="AF167" s="342"/>
      <c r="AG167" s="342"/>
      <c r="AH167" s="342"/>
      <c r="AI167" s="342"/>
      <c r="AJ167" s="342"/>
      <c r="AK167" s="342"/>
      <c r="AL167" s="342"/>
      <c r="AM167" s="342"/>
      <c r="AN167" s="342"/>
      <c r="AO167" s="342"/>
      <c r="AP167" s="342"/>
      <c r="AQ167" s="342"/>
      <c r="AR167" s="342"/>
      <c r="AS167" s="342"/>
      <c r="AT167" s="342"/>
      <c r="AU167" s="342"/>
      <c r="AV167" s="342"/>
      <c r="AW167" s="342"/>
      <c r="AX167" s="342"/>
      <c r="AY167" s="342"/>
      <c r="AZ167" s="342"/>
      <c r="BA167" s="342"/>
      <c r="BB167" s="342"/>
      <c r="BC167" s="342"/>
      <c r="BD167" s="342"/>
      <c r="BE167" s="342"/>
      <c r="BF167" s="342"/>
      <c r="BG167" s="342"/>
      <c r="BH167" s="342"/>
      <c r="BI167" s="342"/>
      <c r="BJ167" s="342"/>
      <c r="BK167" s="342"/>
      <c r="BL167" s="342"/>
      <c r="BM167" s="342"/>
      <c r="BN167" s="342"/>
      <c r="BO167" s="342"/>
      <c r="BP167" s="342"/>
      <c r="BQ167" s="341"/>
      <c r="BR167" s="193" t="s">
        <v>325</v>
      </c>
      <c r="BS167" s="341"/>
      <c r="BT167" s="341"/>
      <c r="BU167" s="341"/>
      <c r="BV167" s="341"/>
      <c r="BW167" s="341"/>
      <c r="BX167" s="341"/>
      <c r="BY167" s="341"/>
      <c r="BZ167" s="341"/>
      <c r="CA167" s="341"/>
      <c r="CB167" s="341"/>
      <c r="CC167" s="341"/>
      <c r="CD167" s="341"/>
      <c r="CE167" s="341"/>
      <c r="CF167" s="341"/>
      <c r="CG167" s="341"/>
      <c r="CH167" s="341"/>
      <c r="CI167" s="341"/>
      <c r="CJ167" s="341"/>
      <c r="CK167" s="341"/>
      <c r="CL167" s="341"/>
      <c r="CM167" s="341"/>
      <c r="CN167" s="341"/>
      <c r="CO167" s="341"/>
      <c r="CP167" s="341"/>
      <c r="CQ167" s="341"/>
      <c r="CR167" s="341"/>
      <c r="CS167" s="341"/>
      <c r="CT167" s="341"/>
      <c r="CU167" s="341"/>
      <c r="CV167" s="341"/>
      <c r="CW167" s="341"/>
      <c r="CX167" s="341"/>
      <c r="CY167" s="341"/>
      <c r="CZ167" s="341"/>
      <c r="DA167" s="341"/>
      <c r="DB167" s="341"/>
      <c r="DC167" s="341"/>
      <c r="DD167" s="341"/>
      <c r="DE167" s="341"/>
      <c r="DF167" s="341"/>
      <c r="DG167" s="341"/>
      <c r="DH167" s="341"/>
      <c r="DI167" s="341"/>
      <c r="DJ167" s="341"/>
      <c r="DK167" s="341"/>
      <c r="DL167" s="341"/>
      <c r="DM167" s="341"/>
      <c r="DN167" s="342"/>
      <c r="DO167" s="342"/>
      <c r="DP167" s="342"/>
      <c r="DQ167" s="341"/>
      <c r="DR167" s="341"/>
      <c r="DS167" s="341"/>
      <c r="DT167" s="341"/>
      <c r="DU167" s="341"/>
      <c r="DV167" s="341"/>
      <c r="DW167" s="341"/>
      <c r="DX167" s="341"/>
      <c r="DY167" s="341"/>
      <c r="DZ167" s="341"/>
      <c r="EA167" s="341"/>
      <c r="EB167" s="341"/>
      <c r="EC167" s="341"/>
      <c r="ED167" s="341"/>
    </row>
    <row r="168" spans="1:134" ht="10.9" hidden="1" customHeight="1" outlineLevel="2">
      <c r="A168" s="44" t="str">
        <f>$A$10</f>
        <v>1Q</v>
      </c>
      <c r="B168" s="44" t="s">
        <v>273</v>
      </c>
      <c r="C168" s="57"/>
      <c r="D168" s="57"/>
      <c r="E168" s="57"/>
      <c r="F168" s="57"/>
      <c r="G168" s="57"/>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c r="AE168" s="57"/>
      <c r="AF168" s="57"/>
      <c r="AG168" s="57"/>
      <c r="AH168" s="57"/>
      <c r="AI168" s="57"/>
      <c r="AJ168" s="57"/>
      <c r="AK168" s="57"/>
      <c r="AL168" s="57"/>
      <c r="AM168" s="57"/>
      <c r="AN168" s="57"/>
      <c r="AO168" s="57"/>
      <c r="AP168" s="57"/>
      <c r="AQ168" s="57"/>
      <c r="AR168" s="57"/>
      <c r="AS168" s="57"/>
      <c r="AT168" s="57"/>
      <c r="AU168" s="57"/>
      <c r="AV168" s="57"/>
      <c r="AW168" s="57"/>
      <c r="AX168" s="57"/>
      <c r="AY168" s="57"/>
      <c r="AZ168" s="57"/>
      <c r="BA168" s="57"/>
      <c r="BB168" s="360" t="s">
        <v>270</v>
      </c>
      <c r="BC168" s="57"/>
      <c r="BD168" s="57"/>
      <c r="BE168" s="57"/>
      <c r="BF168" s="361">
        <f>+(BF107+$BF$193)/BF180</f>
        <v>0.21999974576313022</v>
      </c>
      <c r="BG168" s="362" t="str">
        <f>IF(BF168&lt;BF169,"Y","N")</f>
        <v>Y</v>
      </c>
      <c r="BH168" s="57"/>
      <c r="BI168" s="57"/>
      <c r="BJ168" s="361">
        <f>+(BJ107+$BF$193)/BJ180</f>
        <v>0.32597499143003128</v>
      </c>
      <c r="BK168" s="362" t="str">
        <f>IF(BJ168&lt;BJ169,"Y","N")</f>
        <v>Y</v>
      </c>
      <c r="BL168" s="57"/>
      <c r="BM168" s="57"/>
      <c r="BN168" s="361">
        <f>+(BN107+$BF$193)/BN180</f>
        <v>0.32393338494060964</v>
      </c>
      <c r="BO168" s="362" t="str">
        <f>IF(BN168&lt;BN169,"Y","N")</f>
        <v>Y</v>
      </c>
      <c r="BP168" s="57"/>
      <c r="BQ168" s="44"/>
      <c r="BR168" s="363">
        <v>-6</v>
      </c>
      <c r="BS168" s="364">
        <f>BR168/BR145</f>
        <v>-6.9712239494075035E-3</v>
      </c>
      <c r="BT168" s="44"/>
      <c r="BU168" s="44"/>
      <c r="BV168" s="67"/>
      <c r="BW168" s="314">
        <f>BV168/BV145</f>
        <v>0</v>
      </c>
      <c r="BX168" s="44"/>
      <c r="BY168" s="44"/>
      <c r="BZ168" s="67"/>
      <c r="CA168" s="314"/>
      <c r="CB168" s="44"/>
      <c r="CC168" s="44"/>
      <c r="CD168" s="67"/>
      <c r="CE168" s="314"/>
      <c r="CF168" s="44"/>
      <c r="CG168" s="44"/>
      <c r="CH168" s="67"/>
      <c r="CI168" s="314"/>
      <c r="CJ168" s="44"/>
      <c r="CK168" s="44"/>
      <c r="CL168" s="67"/>
      <c r="CM168" s="314"/>
      <c r="CN168" s="44"/>
      <c r="CO168" s="44"/>
      <c r="CP168" s="67"/>
      <c r="CQ168" s="31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57"/>
      <c r="DO168" s="57"/>
      <c r="DP168" s="57"/>
      <c r="DQ168" s="44"/>
      <c r="DR168" s="44"/>
      <c r="DS168" s="44"/>
      <c r="DT168" s="44"/>
      <c r="DU168" s="44"/>
      <c r="DV168" s="44"/>
      <c r="DW168" s="44"/>
      <c r="DX168" s="44"/>
      <c r="DY168" s="44"/>
      <c r="DZ168" s="44"/>
      <c r="EA168" s="44"/>
      <c r="EB168" s="44"/>
      <c r="EC168" s="44"/>
      <c r="ED168" s="44"/>
    </row>
    <row r="169" spans="1:134" ht="10.9" hidden="1" customHeight="1" outlineLevel="2">
      <c r="A169" s="44"/>
      <c r="B169" s="44"/>
      <c r="C169" s="57"/>
      <c r="D169" s="57"/>
      <c r="E169" s="57"/>
      <c r="F169" s="57"/>
      <c r="G169" s="57"/>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c r="AE169" s="57"/>
      <c r="AF169" s="57"/>
      <c r="AG169" s="57"/>
      <c r="AH169" s="57"/>
      <c r="AI169" s="57"/>
      <c r="AJ169" s="57"/>
      <c r="AK169" s="57"/>
      <c r="AL169" s="57"/>
      <c r="AM169" s="57"/>
      <c r="AN169" s="57"/>
      <c r="AO169" s="57"/>
      <c r="AP169" s="57"/>
      <c r="AQ169" s="57"/>
      <c r="AR169" s="57"/>
      <c r="AS169" s="57"/>
      <c r="AT169" s="57"/>
      <c r="AU169" s="57"/>
      <c r="AV169" s="57"/>
      <c r="AW169" s="57"/>
      <c r="AX169" s="57"/>
      <c r="AY169" s="57"/>
      <c r="AZ169" s="57"/>
      <c r="BA169" s="57"/>
      <c r="BB169" s="360" t="s">
        <v>270</v>
      </c>
      <c r="BC169" s="57"/>
      <c r="BD169" s="57"/>
      <c r="BE169" s="57"/>
      <c r="BF169" s="365">
        <f>+(BF107)/BF181</f>
        <v>0.22843699530287118</v>
      </c>
      <c r="BG169" s="57"/>
      <c r="BH169" s="57"/>
      <c r="BI169" s="57"/>
      <c r="BJ169" s="365">
        <f>+(BJ107)/BJ181</f>
        <v>0.34774346639947495</v>
      </c>
      <c r="BK169" s="57"/>
      <c r="BL169" s="57"/>
      <c r="BM169" s="57"/>
      <c r="BN169" s="365">
        <f>+(BN107)/BN181</f>
        <v>0.34630165387708861</v>
      </c>
      <c r="BO169" s="57"/>
      <c r="BP169" s="57"/>
      <c r="BQ169" s="44"/>
      <c r="BR169" s="363">
        <v>-6</v>
      </c>
      <c r="BS169" s="364">
        <f>BR169/BR146</f>
        <v>-7.1263900914672164E-3</v>
      </c>
      <c r="BT169" s="44"/>
      <c r="BU169" s="44"/>
      <c r="BV169" s="44"/>
      <c r="BW169" s="314">
        <f>BV169/BV146</f>
        <v>0</v>
      </c>
      <c r="BX169" s="44"/>
      <c r="BY169" s="44"/>
      <c r="BZ169" s="44"/>
      <c r="CA169" s="314"/>
      <c r="CB169" s="44"/>
      <c r="CC169" s="44"/>
      <c r="CD169" s="44"/>
      <c r="CE169" s="314"/>
      <c r="CF169" s="44"/>
      <c r="CG169" s="44"/>
      <c r="CH169" s="44"/>
      <c r="CI169" s="314"/>
      <c r="CJ169" s="44"/>
      <c r="CK169" s="44"/>
      <c r="CL169" s="44"/>
      <c r="CM169" s="314"/>
      <c r="CN169" s="44"/>
      <c r="CO169" s="44"/>
      <c r="CP169" s="44"/>
      <c r="CQ169" s="31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57"/>
      <c r="DO169" s="57"/>
      <c r="DP169" s="57"/>
      <c r="DQ169" s="44"/>
      <c r="DR169" s="44"/>
      <c r="DS169" s="44"/>
      <c r="DT169" s="44"/>
      <c r="DU169" s="44"/>
      <c r="DV169" s="44"/>
      <c r="DW169" s="44"/>
      <c r="DX169" s="44"/>
      <c r="DY169" s="44"/>
      <c r="DZ169" s="44"/>
      <c r="EA169" s="44"/>
      <c r="EB169" s="44"/>
      <c r="EC169" s="44"/>
      <c r="ED169" s="44"/>
    </row>
    <row r="170" spans="1:134" ht="10.9" hidden="1" customHeight="1" outlineLevel="2">
      <c r="A170" s="44" t="str">
        <f>$A$11</f>
        <v>2Q</v>
      </c>
      <c r="B170" s="44" t="s">
        <v>273</v>
      </c>
      <c r="C170" s="57"/>
      <c r="D170" s="57"/>
      <c r="E170" s="57"/>
      <c r="F170" s="57"/>
      <c r="G170" s="57"/>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c r="AE170" s="57"/>
      <c r="AF170" s="57"/>
      <c r="AG170" s="57"/>
      <c r="AH170" s="57"/>
      <c r="AI170" s="57"/>
      <c r="AJ170" s="57"/>
      <c r="AK170" s="57"/>
      <c r="AL170" s="57"/>
      <c r="AM170" s="57"/>
      <c r="AN170" s="57"/>
      <c r="AO170" s="57"/>
      <c r="AP170" s="57"/>
      <c r="AQ170" s="57"/>
      <c r="AR170" s="57"/>
      <c r="AS170" s="57"/>
      <c r="AT170" s="57"/>
      <c r="AU170" s="57"/>
      <c r="AV170" s="57"/>
      <c r="AW170" s="57"/>
      <c r="AX170" s="57"/>
      <c r="AY170" s="57"/>
      <c r="AZ170" s="57"/>
      <c r="BA170" s="57"/>
      <c r="BB170" s="366">
        <f>+(BB108+$BB$193)/BB182</f>
        <v>6.9936215151675876E-2</v>
      </c>
      <c r="BC170" s="362" t="str">
        <f>IF(BB170&lt;BB171,"Y","N")</f>
        <v>N</v>
      </c>
      <c r="BD170" s="57"/>
      <c r="BE170" s="57"/>
      <c r="BF170" s="361">
        <f>+(BF108+$BF$193)/BF182</f>
        <v>0.22491484613479198</v>
      </c>
      <c r="BG170" s="362" t="str">
        <f>IF(BF170&lt;BF171,"Y","N")</f>
        <v>Y</v>
      </c>
      <c r="BH170" s="57"/>
      <c r="BI170" s="57"/>
      <c r="BJ170" s="361">
        <f>+(BJ108+$BF$193)/BJ182</f>
        <v>0.20690003145617594</v>
      </c>
      <c r="BK170" s="362" t="str">
        <f>IF(BJ170&lt;BJ171,"Y","N")</f>
        <v>Y</v>
      </c>
      <c r="BL170" s="57"/>
      <c r="BM170" s="57"/>
      <c r="BN170" s="361">
        <f>+(BN108+$BF$193)/BN182</f>
        <v>0.30625465230620169</v>
      </c>
      <c r="BO170" s="362" t="str">
        <f>IF(BN170&lt;BN171,"Y","N")</f>
        <v>Y</v>
      </c>
      <c r="BP170" s="57"/>
      <c r="BQ170" s="44"/>
      <c r="BR170" s="363">
        <v>-8</v>
      </c>
      <c r="BS170" s="364">
        <f>BR170/BR147</f>
        <v>-9.610359968045554E-3</v>
      </c>
      <c r="BT170" s="44"/>
      <c r="BU170" s="44"/>
      <c r="BV170" s="367"/>
      <c r="BW170" s="368"/>
      <c r="BX170" s="44"/>
      <c r="BY170" s="44"/>
      <c r="BZ170" s="367"/>
      <c r="CA170" s="368"/>
      <c r="CB170" s="44"/>
      <c r="CC170" s="44"/>
      <c r="CD170" s="367"/>
      <c r="CE170" s="368"/>
      <c r="CF170" s="44"/>
      <c r="CG170" s="44"/>
      <c r="CH170" s="367"/>
      <c r="CI170" s="368"/>
      <c r="CJ170" s="44"/>
      <c r="CK170" s="44"/>
      <c r="CL170" s="367"/>
      <c r="CM170" s="368"/>
      <c r="CN170" s="44"/>
      <c r="CO170" s="44"/>
      <c r="CP170" s="367"/>
      <c r="CQ170" s="368"/>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57"/>
      <c r="DO170" s="57"/>
      <c r="DP170" s="57"/>
      <c r="DQ170" s="44"/>
      <c r="DR170" s="44"/>
      <c r="DS170" s="44"/>
      <c r="DT170" s="44"/>
      <c r="DU170" s="44"/>
      <c r="DV170" s="44"/>
      <c r="DW170" s="44"/>
      <c r="DX170" s="44"/>
      <c r="DY170" s="44"/>
      <c r="DZ170" s="44"/>
      <c r="EA170" s="44"/>
      <c r="EB170" s="44"/>
      <c r="EC170" s="44"/>
      <c r="ED170" s="44"/>
    </row>
    <row r="171" spans="1:134" ht="10.9" hidden="1" customHeight="1" outlineLevel="2">
      <c r="A171" s="44"/>
      <c r="B171" s="44"/>
      <c r="C171" s="57"/>
      <c r="D171" s="57"/>
      <c r="E171" s="57"/>
      <c r="F171" s="57"/>
      <c r="G171" s="57"/>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c r="AE171" s="57"/>
      <c r="AF171" s="57"/>
      <c r="AG171" s="57"/>
      <c r="AH171" s="57"/>
      <c r="AI171" s="57"/>
      <c r="AJ171" s="57"/>
      <c r="AK171" s="57"/>
      <c r="AL171" s="57"/>
      <c r="AM171" s="57"/>
      <c r="AN171" s="57"/>
      <c r="AO171" s="57"/>
      <c r="AP171" s="57"/>
      <c r="AQ171" s="57"/>
      <c r="AR171" s="57"/>
      <c r="AS171" s="57"/>
      <c r="AT171" s="57"/>
      <c r="AU171" s="57"/>
      <c r="AV171" s="57"/>
      <c r="AW171" s="57"/>
      <c r="AX171" s="57"/>
      <c r="AY171" s="57"/>
      <c r="AZ171" s="57"/>
      <c r="BA171" s="57"/>
      <c r="BB171" s="369">
        <f>+(BB108)/BB183</f>
        <v>6.4772253842495062E-2</v>
      </c>
      <c r="BC171" s="57"/>
      <c r="BD171" s="57"/>
      <c r="BE171" s="57"/>
      <c r="BF171" s="365">
        <f>+(BF108)/BF183</f>
        <v>0.23509094577643383</v>
      </c>
      <c r="BG171" s="57"/>
      <c r="BH171" s="57"/>
      <c r="BI171" s="57"/>
      <c r="BJ171" s="365">
        <f>+(BJ108)/BJ183</f>
        <v>0.21618164682830804</v>
      </c>
      <c r="BK171" s="57"/>
      <c r="BL171" s="57"/>
      <c r="BM171" s="57"/>
      <c r="BN171" s="365">
        <f>+(BN108)/BN183</f>
        <v>0.32683754911485713</v>
      </c>
      <c r="BO171" s="57"/>
      <c r="BP171" s="57"/>
      <c r="BQ171" s="44"/>
      <c r="BR171" s="370">
        <v>-11</v>
      </c>
      <c r="BS171" s="364">
        <f>BR171/BR148</f>
        <v>-1.3454669993639612E-2</v>
      </c>
      <c r="BT171" s="44"/>
      <c r="BU171" s="44"/>
      <c r="BV171" s="371"/>
      <c r="BW171" s="372">
        <f>BV171/BV148</f>
        <v>0</v>
      </c>
      <c r="BX171" s="44"/>
      <c r="BY171" s="44"/>
      <c r="BZ171" s="371"/>
      <c r="CA171" s="372"/>
      <c r="CB171" s="44"/>
      <c r="CC171" s="44"/>
      <c r="CD171" s="371"/>
      <c r="CE171" s="372"/>
      <c r="CF171" s="44"/>
      <c r="CG171" s="44"/>
      <c r="CH171" s="371"/>
      <c r="CI171" s="372"/>
      <c r="CJ171" s="44"/>
      <c r="CK171" s="44"/>
      <c r="CL171" s="371"/>
      <c r="CM171" s="372"/>
      <c r="CN171" s="44"/>
      <c r="CO171" s="44"/>
      <c r="CP171" s="371"/>
      <c r="CQ171" s="372"/>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57"/>
      <c r="DO171" s="57"/>
      <c r="DP171" s="57"/>
      <c r="DQ171" s="44"/>
      <c r="DR171" s="44"/>
      <c r="DS171" s="44"/>
      <c r="DT171" s="44"/>
      <c r="DU171" s="44"/>
      <c r="DV171" s="44"/>
      <c r="DW171" s="44"/>
      <c r="DX171" s="44"/>
      <c r="DY171" s="44"/>
      <c r="DZ171" s="44"/>
      <c r="EA171" s="44"/>
      <c r="EB171" s="44"/>
      <c r="EC171" s="44"/>
      <c r="ED171" s="44"/>
    </row>
    <row r="172" spans="1:134" ht="10.9" hidden="1" customHeight="1" outlineLevel="2">
      <c r="A172" s="44" t="str">
        <f>$A$12</f>
        <v>3Q</v>
      </c>
      <c r="B172" s="44" t="s">
        <v>273</v>
      </c>
      <c r="C172" s="57"/>
      <c r="D172" s="57"/>
      <c r="E172" s="57"/>
      <c r="F172" s="57"/>
      <c r="G172" s="57"/>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c r="AE172" s="57"/>
      <c r="AF172" s="57"/>
      <c r="AG172" s="57"/>
      <c r="AH172" s="57"/>
      <c r="AI172" s="57"/>
      <c r="AJ172" s="57"/>
      <c r="AK172" s="57"/>
      <c r="AL172" s="57"/>
      <c r="AM172" s="57"/>
      <c r="AN172" s="57"/>
      <c r="AO172" s="57"/>
      <c r="AP172" s="57"/>
      <c r="AQ172" s="57"/>
      <c r="AR172" s="57"/>
      <c r="AS172" s="57"/>
      <c r="AT172" s="57"/>
      <c r="AU172" s="57"/>
      <c r="AV172" s="57"/>
      <c r="AW172" s="57"/>
      <c r="AX172" s="57"/>
      <c r="AY172" s="57"/>
      <c r="AZ172" s="57"/>
      <c r="BA172" s="57"/>
      <c r="BB172" s="366">
        <f>+(BB109+$BB$193)/BB147</f>
        <v>0.15057770879789267</v>
      </c>
      <c r="BC172" s="362" t="str">
        <f>IF(BB172&lt;BB173,"Y","N")</f>
        <v>Y</v>
      </c>
      <c r="BD172" s="57"/>
      <c r="BE172" s="57"/>
      <c r="BF172" s="361">
        <f>+(BF109+$BF$193)/BF147</f>
        <v>0.27726760473445838</v>
      </c>
      <c r="BG172" s="362" t="str">
        <f>IF(BF172&lt;BF173,"Y","N")</f>
        <v>Y</v>
      </c>
      <c r="BH172" s="57"/>
      <c r="BI172" s="57"/>
      <c r="BJ172" s="361">
        <f>+(BJ109+$BF$193)/BJ147</f>
        <v>0.27828781259969565</v>
      </c>
      <c r="BK172" s="362" t="str">
        <f>IF(BJ172&lt;BJ173,"Y","N")</f>
        <v>Y</v>
      </c>
      <c r="BL172" s="57"/>
      <c r="BM172" s="57"/>
      <c r="BN172" s="361">
        <f>+(BN109+$BF$193)/BN147</f>
        <v>0.25493478450774476</v>
      </c>
      <c r="BO172" s="362" t="str">
        <f>IF(BN172&lt;BN173,"Y","N")</f>
        <v>Y</v>
      </c>
      <c r="BP172" s="57"/>
      <c r="BQ172" s="44"/>
      <c r="BR172" s="363">
        <f>SUM(BR168:BR171)</f>
        <v>-31</v>
      </c>
      <c r="BS172" s="373"/>
      <c r="BT172" s="44"/>
      <c r="BU172" s="44"/>
      <c r="BV172" s="363">
        <f>SUM(BV168:BV171)</f>
        <v>0</v>
      </c>
      <c r="BW172" s="314">
        <f>SUM(BW168:BW171)</f>
        <v>0</v>
      </c>
      <c r="BX172" s="44"/>
      <c r="BY172" s="44"/>
      <c r="BZ172" s="363"/>
      <c r="CA172" s="314"/>
      <c r="CB172" s="44"/>
      <c r="CC172" s="44"/>
      <c r="CD172" s="363"/>
      <c r="CE172" s="314"/>
      <c r="CF172" s="44"/>
      <c r="CG172" s="44"/>
      <c r="CH172" s="363"/>
      <c r="CI172" s="314"/>
      <c r="CJ172" s="44"/>
      <c r="CK172" s="44"/>
      <c r="CL172" s="363"/>
      <c r="CM172" s="314"/>
      <c r="CN172" s="44"/>
      <c r="CO172" s="44"/>
      <c r="CP172" s="363"/>
      <c r="CQ172" s="31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57"/>
      <c r="DO172" s="57"/>
      <c r="DP172" s="57"/>
      <c r="DQ172" s="44"/>
      <c r="DR172" s="44"/>
      <c r="DS172" s="44"/>
      <c r="DT172" s="44"/>
      <c r="DU172" s="44"/>
      <c r="DV172" s="44"/>
      <c r="DW172" s="44"/>
      <c r="DX172" s="44"/>
      <c r="DY172" s="44"/>
      <c r="DZ172" s="44"/>
      <c r="EA172" s="44"/>
      <c r="EB172" s="44"/>
      <c r="EC172" s="44"/>
      <c r="ED172" s="44"/>
    </row>
    <row r="173" spans="1:134" ht="10.9" hidden="1" customHeight="1" outlineLevel="2">
      <c r="A173" s="44"/>
      <c r="B173" s="44"/>
      <c r="C173" s="57"/>
      <c r="D173" s="57"/>
      <c r="E173" s="57"/>
      <c r="F173" s="57"/>
      <c r="G173" s="57"/>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c r="AE173" s="57"/>
      <c r="AF173" s="57"/>
      <c r="AG173" s="57"/>
      <c r="AH173" s="57"/>
      <c r="AI173" s="57"/>
      <c r="AJ173" s="57"/>
      <c r="AK173" s="57"/>
      <c r="AL173" s="57"/>
      <c r="AM173" s="57"/>
      <c r="AN173" s="57"/>
      <c r="AO173" s="57"/>
      <c r="AP173" s="57"/>
      <c r="AQ173" s="57"/>
      <c r="AR173" s="57"/>
      <c r="AS173" s="57"/>
      <c r="AT173" s="57"/>
      <c r="AU173" s="57"/>
      <c r="AV173" s="57"/>
      <c r="AW173" s="57"/>
      <c r="AX173" s="57"/>
      <c r="AY173" s="57"/>
      <c r="AZ173" s="57"/>
      <c r="BA173" s="57"/>
      <c r="BB173" s="369">
        <f>+(BB109)/BB185</f>
        <v>0.15327076515600901</v>
      </c>
      <c r="BC173" s="57"/>
      <c r="BD173" s="57"/>
      <c r="BE173" s="57"/>
      <c r="BF173" s="365">
        <f>+(BF109)/BF185</f>
        <v>0.29318800428315756</v>
      </c>
      <c r="BG173" s="57"/>
      <c r="BH173" s="57"/>
      <c r="BI173" s="57"/>
      <c r="BJ173" s="365">
        <f>+(BJ109)/BJ185</f>
        <v>0.29394510922575673</v>
      </c>
      <c r="BK173" s="57"/>
      <c r="BL173" s="57"/>
      <c r="BM173" s="57"/>
      <c r="BN173" s="365">
        <f>+(BN109)/BN185</f>
        <v>0.25538047840799932</v>
      </c>
      <c r="BO173" s="57"/>
      <c r="BP173" s="57"/>
      <c r="BQ173" s="44"/>
      <c r="BR173" s="363"/>
      <c r="BS173" s="44"/>
      <c r="BT173" s="44"/>
      <c r="BU173" s="44"/>
      <c r="BV173" s="363"/>
      <c r="BW173" s="44"/>
      <c r="BX173" s="44"/>
      <c r="BY173" s="44"/>
      <c r="BZ173" s="363"/>
      <c r="CA173" s="44"/>
      <c r="CB173" s="44"/>
      <c r="CC173" s="44"/>
      <c r="CD173" s="363"/>
      <c r="CE173" s="44"/>
      <c r="CF173" s="44"/>
      <c r="CG173" s="44"/>
      <c r="CH173" s="363"/>
      <c r="CI173" s="44"/>
      <c r="CJ173" s="44"/>
      <c r="CK173" s="44"/>
      <c r="CL173" s="363"/>
      <c r="CM173" s="44"/>
      <c r="CN173" s="44"/>
      <c r="CO173" s="44"/>
      <c r="CP173" s="363"/>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57"/>
      <c r="DO173" s="57"/>
      <c r="DP173" s="57"/>
      <c r="DQ173" s="44"/>
      <c r="DR173" s="44"/>
      <c r="DS173" s="44"/>
      <c r="DT173" s="44"/>
      <c r="DU173" s="44"/>
      <c r="DV173" s="44"/>
      <c r="DW173" s="44"/>
      <c r="DX173" s="44"/>
      <c r="DY173" s="44"/>
      <c r="DZ173" s="44"/>
      <c r="EA173" s="44"/>
      <c r="EB173" s="44"/>
      <c r="EC173" s="44"/>
      <c r="ED173" s="44"/>
    </row>
    <row r="174" spans="1:134" ht="10.9" hidden="1" customHeight="1" outlineLevel="2">
      <c r="A174" s="44" t="str">
        <f>$A$13</f>
        <v>4Q</v>
      </c>
      <c r="B174" s="44" t="s">
        <v>273</v>
      </c>
      <c r="C174" s="57"/>
      <c r="D174" s="57"/>
      <c r="E174" s="57"/>
      <c r="F174" s="57"/>
      <c r="G174" s="57"/>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c r="AE174" s="57"/>
      <c r="AF174" s="57"/>
      <c r="AG174" s="57"/>
      <c r="AH174" s="57"/>
      <c r="AI174" s="57"/>
      <c r="AJ174" s="57"/>
      <c r="AK174" s="57"/>
      <c r="AL174" s="57"/>
      <c r="AM174" s="57"/>
      <c r="AN174" s="57"/>
      <c r="AO174" s="57"/>
      <c r="AP174" s="57"/>
      <c r="AQ174" s="57"/>
      <c r="AR174" s="57"/>
      <c r="AS174" s="57"/>
      <c r="AT174" s="57"/>
      <c r="AU174" s="57"/>
      <c r="AV174" s="57"/>
      <c r="AW174" s="57"/>
      <c r="AX174" s="57"/>
      <c r="AY174" s="57"/>
      <c r="AZ174" s="57"/>
      <c r="BA174" s="57"/>
      <c r="BB174" s="366">
        <f>+(BB110+$BB$193)/BB186</f>
        <v>0.26539731234413988</v>
      </c>
      <c r="BC174" s="362" t="str">
        <f>IF(BB174&lt;BB175,"Y","N")</f>
        <v>Y</v>
      </c>
      <c r="BD174" s="57"/>
      <c r="BE174" s="57"/>
      <c r="BF174" s="361">
        <f>+(BF110+$BF$193)/BF186</f>
        <v>0.37044680174167766</v>
      </c>
      <c r="BG174" s="362" t="str">
        <f>IF(BF174&lt;BF175,"Y","N")</f>
        <v>Y</v>
      </c>
      <c r="BH174" s="57"/>
      <c r="BI174" s="57"/>
      <c r="BJ174" s="361">
        <f>+(BJ110+$BF$193)/BJ186</f>
        <v>0.40329518604327791</v>
      </c>
      <c r="BK174" s="362" t="str">
        <f>IF(BJ174&lt;BJ175,"Y","N")</f>
        <v>Y</v>
      </c>
      <c r="BL174" s="57"/>
      <c r="BM174" s="57"/>
      <c r="BN174" s="361">
        <f>+(BN110+$BF$193)/BN186</f>
        <v>0.37689558541311785</v>
      </c>
      <c r="BO174" s="362" t="str">
        <f>IF(BN174&lt;BN175,"Y","N")</f>
        <v>Y</v>
      </c>
      <c r="BP174" s="57"/>
      <c r="BQ174" s="44"/>
      <c r="BR174" s="367"/>
      <c r="BS174" s="373"/>
      <c r="BT174" s="44"/>
      <c r="BU174" s="44"/>
      <c r="BV174" s="367"/>
      <c r="BW174" s="373"/>
      <c r="BX174" s="44"/>
      <c r="BY174" s="44"/>
      <c r="BZ174" s="367"/>
      <c r="CA174" s="373"/>
      <c r="CB174" s="44"/>
      <c r="CC174" s="44"/>
      <c r="CD174" s="367"/>
      <c r="CE174" s="373"/>
      <c r="CF174" s="44"/>
      <c r="CG174" s="44"/>
      <c r="CH174" s="367"/>
      <c r="CI174" s="373"/>
      <c r="CJ174" s="44"/>
      <c r="CK174" s="44"/>
      <c r="CL174" s="367"/>
      <c r="CM174" s="373"/>
      <c r="CN174" s="44"/>
      <c r="CO174" s="44"/>
      <c r="CP174" s="367"/>
      <c r="CQ174" s="373"/>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57"/>
      <c r="DO174" s="57"/>
      <c r="DP174" s="57"/>
      <c r="DQ174" s="44"/>
      <c r="DR174" s="44"/>
      <c r="DS174" s="44"/>
      <c r="DT174" s="44"/>
      <c r="DU174" s="44"/>
      <c r="DV174" s="44"/>
      <c r="DW174" s="44"/>
      <c r="DX174" s="44"/>
      <c r="DY174" s="44"/>
      <c r="DZ174" s="44"/>
      <c r="EA174" s="44"/>
      <c r="EB174" s="44"/>
      <c r="EC174" s="44"/>
      <c r="ED174" s="44"/>
    </row>
    <row r="175" spans="1:134" ht="10.9" hidden="1" customHeight="1" outlineLevel="2">
      <c r="A175" s="44"/>
      <c r="B175" s="44"/>
      <c r="C175" s="57"/>
      <c r="D175" s="57"/>
      <c r="E175" s="57"/>
      <c r="F175" s="57"/>
      <c r="G175" s="57"/>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c r="AE175" s="57"/>
      <c r="AF175" s="57"/>
      <c r="AG175" s="57"/>
      <c r="AH175" s="57"/>
      <c r="AI175" s="57"/>
      <c r="AJ175" s="57"/>
      <c r="AK175" s="57"/>
      <c r="AL175" s="57"/>
      <c r="AM175" s="57"/>
      <c r="AN175" s="57"/>
      <c r="AO175" s="57"/>
      <c r="AP175" s="57"/>
      <c r="AQ175" s="57"/>
      <c r="AR175" s="57"/>
      <c r="AS175" s="57"/>
      <c r="AT175" s="57"/>
      <c r="AU175" s="57"/>
      <c r="AV175" s="57"/>
      <c r="AW175" s="57"/>
      <c r="AX175" s="57"/>
      <c r="AY175" s="57"/>
      <c r="AZ175" s="57"/>
      <c r="BA175" s="57"/>
      <c r="BB175" s="374">
        <f>+(BB110)/BB187</f>
        <v>0.28051020383962144</v>
      </c>
      <c r="BC175" s="57"/>
      <c r="BD175" s="57"/>
      <c r="BE175" s="57"/>
      <c r="BF175" s="375">
        <f>+(BF110)/BF187</f>
        <v>0.39734744609094164</v>
      </c>
      <c r="BG175" s="57"/>
      <c r="BH175" s="57"/>
      <c r="BI175" s="57"/>
      <c r="BJ175" s="375">
        <f>+(BJ110)/BJ187</f>
        <v>0.43370418529927157</v>
      </c>
      <c r="BK175" s="57"/>
      <c r="BL175" s="57"/>
      <c r="BM175" s="57"/>
      <c r="BN175" s="375">
        <f>+(BN110)/BN187</f>
        <v>0.40568764312930999</v>
      </c>
      <c r="BO175" s="57"/>
      <c r="BP175" s="57"/>
      <c r="BQ175" s="44"/>
      <c r="BR175" s="370"/>
      <c r="BS175" s="44"/>
      <c r="BT175" s="44"/>
      <c r="BU175" s="44"/>
      <c r="BV175" s="370"/>
      <c r="BW175" s="44"/>
      <c r="BX175" s="44"/>
      <c r="BY175" s="44"/>
      <c r="BZ175" s="370"/>
      <c r="CA175" s="44"/>
      <c r="CB175" s="44"/>
      <c r="CC175" s="44"/>
      <c r="CD175" s="370"/>
      <c r="CE175" s="44"/>
      <c r="CF175" s="44"/>
      <c r="CG175" s="44"/>
      <c r="CH175" s="370"/>
      <c r="CI175" s="44"/>
      <c r="CJ175" s="44"/>
      <c r="CK175" s="44"/>
      <c r="CL175" s="370"/>
      <c r="CM175" s="44"/>
      <c r="CN175" s="44"/>
      <c r="CO175" s="44"/>
      <c r="CP175" s="370"/>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57"/>
      <c r="DO175" s="57"/>
      <c r="DP175" s="57"/>
      <c r="DQ175" s="44"/>
      <c r="DR175" s="44"/>
      <c r="DS175" s="44"/>
      <c r="DT175" s="44"/>
      <c r="DU175" s="44"/>
      <c r="DV175" s="44"/>
      <c r="DW175" s="44"/>
      <c r="DX175" s="44"/>
      <c r="DY175" s="44"/>
      <c r="DZ175" s="44"/>
      <c r="EA175" s="44"/>
      <c r="EB175" s="44"/>
      <c r="EC175" s="44"/>
      <c r="ED175" s="44"/>
    </row>
    <row r="176" spans="1:134" ht="10.9" hidden="1" customHeight="1" outlineLevel="2">
      <c r="A176" s="44"/>
      <c r="B176" s="44" t="str">
        <f>$B$14</f>
        <v>Year</v>
      </c>
      <c r="C176" s="57"/>
      <c r="D176" s="57"/>
      <c r="E176" s="57"/>
      <c r="F176" s="57"/>
      <c r="G176" s="57"/>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c r="AE176" s="57"/>
      <c r="AF176" s="57"/>
      <c r="AG176" s="57"/>
      <c r="AH176" s="57"/>
      <c r="AI176" s="57"/>
      <c r="AJ176" s="57"/>
      <c r="AK176" s="57"/>
      <c r="AL176" s="57"/>
      <c r="AM176" s="57"/>
      <c r="AN176" s="57"/>
      <c r="AO176" s="57"/>
      <c r="AP176" s="57"/>
      <c r="AQ176" s="57"/>
      <c r="AR176" s="57"/>
      <c r="AS176" s="57"/>
      <c r="AT176" s="57"/>
      <c r="AU176" s="57"/>
      <c r="AV176" s="57"/>
      <c r="AW176" s="57"/>
      <c r="AX176" s="57"/>
      <c r="AY176" s="57"/>
      <c r="AZ176" s="57"/>
      <c r="BA176" s="57"/>
      <c r="BB176" s="366">
        <f>+(BB111+$BB$193*3)/BB188</f>
        <v>0.52632208048446383</v>
      </c>
      <c r="BC176" s="362" t="str">
        <f>IF(BB176&lt;BB177,"Y","N")</f>
        <v>Y</v>
      </c>
      <c r="BD176" s="57"/>
      <c r="BE176" s="57"/>
      <c r="BF176" s="366">
        <f>+(BF111+$BF$193*4)/BF188</f>
        <v>1.1047438420195455</v>
      </c>
      <c r="BG176" s="362" t="str">
        <f>IF(BF176&lt;BF177,"Y","N")</f>
        <v>Y</v>
      </c>
      <c r="BH176" s="57"/>
      <c r="BI176" s="57"/>
      <c r="BJ176" s="366">
        <f>+(BJ111+$BF$193*4)/BJ188</f>
        <v>1.2260331830397257</v>
      </c>
      <c r="BK176" s="362" t="str">
        <f>IF(BJ176&lt;BJ177,"Y","N")</f>
        <v>Y</v>
      </c>
      <c r="BL176" s="57"/>
      <c r="BM176" s="57"/>
      <c r="BN176" s="366">
        <f>+(BN111+$BF$193*4)/BN188</f>
        <v>1.2643936237279547</v>
      </c>
      <c r="BO176" s="362" t="str">
        <f>IF(BN176&lt;BN177,"Y","N")</f>
        <v>Y</v>
      </c>
      <c r="BP176" s="57"/>
      <c r="BQ176" s="44"/>
      <c r="BR176" s="376"/>
      <c r="BS176" s="373"/>
      <c r="BT176" s="44"/>
      <c r="BU176" s="44"/>
      <c r="BV176" s="376"/>
      <c r="BW176" s="373"/>
      <c r="BX176" s="44"/>
      <c r="BY176" s="44"/>
      <c r="BZ176" s="376"/>
      <c r="CA176" s="373"/>
      <c r="CB176" s="44"/>
      <c r="CC176" s="44"/>
      <c r="CD176" s="376"/>
      <c r="CE176" s="373"/>
      <c r="CF176" s="44"/>
      <c r="CG176" s="44"/>
      <c r="CH176" s="376"/>
      <c r="CI176" s="373"/>
      <c r="CJ176" s="44"/>
      <c r="CK176" s="44"/>
      <c r="CL176" s="376"/>
      <c r="CM176" s="373"/>
      <c r="CN176" s="44"/>
      <c r="CO176" s="44"/>
      <c r="CP176" s="376"/>
      <c r="CQ176" s="373"/>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57"/>
      <c r="DO176" s="57"/>
      <c r="DP176" s="57"/>
      <c r="DQ176" s="44"/>
      <c r="DR176" s="44"/>
      <c r="DS176" s="44"/>
      <c r="DT176" s="44"/>
      <c r="DU176" s="44"/>
      <c r="DV176" s="44"/>
      <c r="DW176" s="44"/>
      <c r="DX176" s="44"/>
      <c r="DY176" s="44"/>
      <c r="DZ176" s="44"/>
      <c r="EA176" s="44"/>
      <c r="EB176" s="44"/>
      <c r="EC176" s="44"/>
      <c r="ED176" s="44"/>
    </row>
    <row r="177" spans="1:134" ht="10.9" hidden="1" customHeight="1" outlineLevel="2">
      <c r="A177" s="44"/>
      <c r="B177" s="44"/>
      <c r="C177" s="57"/>
      <c r="D177" s="57"/>
      <c r="E177" s="57"/>
      <c r="F177" s="57"/>
      <c r="G177" s="57"/>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c r="AE177" s="57"/>
      <c r="AF177" s="57"/>
      <c r="AG177" s="57"/>
      <c r="AH177" s="57"/>
      <c r="AI177" s="57"/>
      <c r="AJ177" s="57"/>
      <c r="AK177" s="57"/>
      <c r="AL177" s="57"/>
      <c r="AM177" s="57"/>
      <c r="AN177" s="57"/>
      <c r="AO177" s="57"/>
      <c r="AP177" s="57"/>
      <c r="AQ177" s="57"/>
      <c r="AR177" s="57"/>
      <c r="AS177" s="57"/>
      <c r="AT177" s="57"/>
      <c r="AU177" s="57"/>
      <c r="AV177" s="57"/>
      <c r="AW177" s="57"/>
      <c r="AX177" s="57"/>
      <c r="AY177" s="57"/>
      <c r="AZ177" s="57"/>
      <c r="BA177" s="57"/>
      <c r="BB177" s="369">
        <f>+(BB111)/BB189</f>
        <v>0.54165510729181254</v>
      </c>
      <c r="BC177" s="57"/>
      <c r="BD177" s="57"/>
      <c r="BE177" s="57"/>
      <c r="BF177" s="369">
        <f>+(BF111)/BF189</f>
        <v>1.1547938145018728</v>
      </c>
      <c r="BG177" s="57"/>
      <c r="BH177" s="57"/>
      <c r="BI177" s="57"/>
      <c r="BJ177" s="369">
        <f>+(BJ111)/BJ189</f>
        <v>1.287661302860174</v>
      </c>
      <c r="BK177" s="57"/>
      <c r="BL177" s="57"/>
      <c r="BM177" s="57"/>
      <c r="BN177" s="369">
        <f>+(BN111)/BN189</f>
        <v>1.3343602323132073</v>
      </c>
      <c r="BO177" s="57"/>
      <c r="BP177" s="57"/>
      <c r="BQ177" s="44"/>
      <c r="BR177" s="53"/>
      <c r="BS177" s="44"/>
      <c r="BT177" s="44"/>
      <c r="BU177" s="44"/>
      <c r="BV177" s="53"/>
      <c r="BW177" s="44"/>
      <c r="BX177" s="44"/>
      <c r="BY177" s="44"/>
      <c r="BZ177" s="53"/>
      <c r="CA177" s="44"/>
      <c r="CB177" s="44"/>
      <c r="CC177" s="44"/>
      <c r="CD177" s="53"/>
      <c r="CE177" s="44"/>
      <c r="CF177" s="44"/>
      <c r="CG177" s="44"/>
      <c r="CH177" s="53"/>
      <c r="CI177" s="44"/>
      <c r="CJ177" s="44"/>
      <c r="CK177" s="44"/>
      <c r="CL177" s="53"/>
      <c r="CM177" s="44"/>
      <c r="CN177" s="44"/>
      <c r="CO177" s="44"/>
      <c r="CP177" s="53"/>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57"/>
      <c r="DO177" s="57"/>
      <c r="DP177" s="57"/>
      <c r="DQ177" s="44"/>
      <c r="DR177" s="44"/>
      <c r="DS177" s="44"/>
      <c r="DT177" s="44"/>
      <c r="DU177" s="44"/>
      <c r="DV177" s="44"/>
      <c r="DW177" s="44"/>
      <c r="DX177" s="44"/>
      <c r="DY177" s="44"/>
      <c r="DZ177" s="44"/>
      <c r="EA177" s="44"/>
      <c r="EB177" s="44"/>
      <c r="EC177" s="44"/>
      <c r="ED177" s="44"/>
    </row>
    <row r="178" spans="1:134" ht="10.9" hidden="1" customHeight="1" outlineLevel="2">
      <c r="A178" s="44"/>
      <c r="B178" s="44"/>
      <c r="C178" s="57"/>
      <c r="D178" s="57"/>
      <c r="E178" s="57"/>
      <c r="F178" s="57"/>
      <c r="G178" s="57"/>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c r="AE178" s="57"/>
      <c r="AF178" s="57"/>
      <c r="AG178" s="57"/>
      <c r="AH178" s="57"/>
      <c r="AI178" s="57"/>
      <c r="AJ178" s="57"/>
      <c r="AK178" s="57"/>
      <c r="AL178" s="57"/>
      <c r="AM178" s="57"/>
      <c r="AN178" s="57"/>
      <c r="AO178" s="57"/>
      <c r="AP178" s="57"/>
      <c r="AQ178" s="57"/>
      <c r="AR178" s="57"/>
      <c r="AS178" s="57"/>
      <c r="AT178" s="57"/>
      <c r="AU178" s="57"/>
      <c r="AV178" s="57"/>
      <c r="AW178" s="57"/>
      <c r="AX178" s="57"/>
      <c r="AY178" s="57"/>
      <c r="AZ178" s="57"/>
      <c r="BA178" s="57"/>
      <c r="BB178" s="377"/>
      <c r="BC178" s="57"/>
      <c r="BD178" s="57"/>
      <c r="BE178" s="57"/>
      <c r="BF178" s="365"/>
      <c r="BG178" s="57"/>
      <c r="BH178" s="57"/>
      <c r="BI178" s="57"/>
      <c r="BJ178" s="365"/>
      <c r="BK178" s="57"/>
      <c r="BL178" s="57"/>
      <c r="BM178" s="57"/>
      <c r="BN178" s="365"/>
      <c r="BO178" s="57"/>
      <c r="BP178" s="57"/>
      <c r="BQ178" s="44"/>
      <c r="BR178" s="363"/>
      <c r="BS178" s="44"/>
      <c r="BT178" s="44"/>
      <c r="BU178" s="44"/>
      <c r="BV178" s="363"/>
      <c r="BW178" s="44"/>
      <c r="BX178" s="44"/>
      <c r="BY178" s="44"/>
      <c r="BZ178" s="363"/>
      <c r="CA178" s="44"/>
      <c r="CB178" s="44"/>
      <c r="CC178" s="44"/>
      <c r="CD178" s="363"/>
      <c r="CE178" s="44"/>
      <c r="CF178" s="44"/>
      <c r="CG178" s="44"/>
      <c r="CH178" s="363"/>
      <c r="CI178" s="44"/>
      <c r="CJ178" s="44"/>
      <c r="CK178" s="44"/>
      <c r="CL178" s="363"/>
      <c r="CM178" s="44"/>
      <c r="CN178" s="44"/>
      <c r="CO178" s="44"/>
      <c r="CP178" s="363"/>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57"/>
      <c r="DO178" s="57"/>
      <c r="DP178" s="57"/>
      <c r="DQ178" s="44"/>
      <c r="DR178" s="44"/>
      <c r="DS178" s="44"/>
      <c r="DT178" s="44"/>
      <c r="DU178" s="44"/>
      <c r="DV178" s="44"/>
      <c r="DW178" s="44"/>
      <c r="DX178" s="44"/>
      <c r="DY178" s="44"/>
      <c r="DZ178" s="44"/>
      <c r="EA178" s="44"/>
      <c r="EB178" s="44"/>
      <c r="EC178" s="44"/>
      <c r="ED178" s="44"/>
    </row>
    <row r="179" spans="1:134" ht="10.9" hidden="1" customHeight="1" outlineLevel="2">
      <c r="A179" s="44"/>
      <c r="B179" s="44"/>
      <c r="C179" s="57"/>
      <c r="D179" s="57"/>
      <c r="E179" s="57"/>
      <c r="F179" s="57"/>
      <c r="G179" s="57"/>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c r="AE179" s="57"/>
      <c r="AF179" s="57"/>
      <c r="AG179" s="57"/>
      <c r="AH179" s="57"/>
      <c r="AI179" s="57"/>
      <c r="AJ179" s="57"/>
      <c r="AK179" s="57"/>
      <c r="AL179" s="57"/>
      <c r="AM179" s="57"/>
      <c r="AN179" s="57"/>
      <c r="AO179" s="57"/>
      <c r="AP179" s="57"/>
      <c r="AQ179" s="57"/>
      <c r="AR179" s="57"/>
      <c r="AS179" s="57"/>
      <c r="AT179" s="57"/>
      <c r="AU179" s="57"/>
      <c r="AV179" s="57"/>
      <c r="AW179" s="57"/>
      <c r="AX179" s="57"/>
      <c r="AY179" s="57"/>
      <c r="AZ179" s="57"/>
      <c r="BA179" s="57"/>
      <c r="BB179" s="57"/>
      <c r="BC179" s="57"/>
      <c r="BD179" s="57"/>
      <c r="BE179" s="57"/>
      <c r="BF179" s="57"/>
      <c r="BG179" s="57"/>
      <c r="BH179" s="57"/>
      <c r="BI179" s="57"/>
      <c r="BJ179" s="57"/>
      <c r="BK179" s="57"/>
      <c r="BL179" s="57"/>
      <c r="BM179" s="57"/>
      <c r="BN179" s="57"/>
      <c r="BO179" s="57"/>
      <c r="BP179" s="57"/>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57"/>
      <c r="DO179" s="57"/>
      <c r="DP179" s="57"/>
      <c r="DQ179" s="44"/>
      <c r="DR179" s="44"/>
      <c r="DS179" s="44"/>
      <c r="DT179" s="44"/>
      <c r="DU179" s="44"/>
      <c r="DV179" s="44"/>
      <c r="DW179" s="44"/>
      <c r="DX179" s="44"/>
      <c r="DY179" s="44"/>
      <c r="DZ179" s="44"/>
      <c r="EA179" s="44"/>
      <c r="EB179" s="44"/>
      <c r="EC179" s="44"/>
      <c r="ED179" s="44"/>
    </row>
    <row r="180" spans="1:134" ht="10.9" hidden="1" customHeight="1" outlineLevel="2">
      <c r="A180" s="44" t="str">
        <f>$A$10</f>
        <v>1Q</v>
      </c>
      <c r="B180" s="44" t="s">
        <v>273</v>
      </c>
      <c r="C180" s="57"/>
      <c r="D180" s="57"/>
      <c r="E180" s="57"/>
      <c r="F180" s="57"/>
      <c r="G180" s="57"/>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c r="AE180" s="57"/>
      <c r="AF180" s="57"/>
      <c r="AG180" s="57"/>
      <c r="AH180" s="57"/>
      <c r="AI180" s="57"/>
      <c r="AJ180" s="57"/>
      <c r="AK180" s="57"/>
      <c r="AL180" s="57"/>
      <c r="AM180" s="57"/>
      <c r="AN180" s="57"/>
      <c r="AO180" s="57"/>
      <c r="AP180" s="57"/>
      <c r="AQ180" s="57"/>
      <c r="AR180" s="57"/>
      <c r="AS180" s="57"/>
      <c r="AT180" s="57"/>
      <c r="AU180" s="57"/>
      <c r="AV180" s="57"/>
      <c r="AW180" s="57"/>
      <c r="AX180" s="57"/>
      <c r="AY180" s="57"/>
      <c r="AZ180" s="57"/>
      <c r="BA180" s="57"/>
      <c r="BB180" s="343">
        <f>+BB181+$BB$192</f>
        <v>959.62002199999995</v>
      </c>
      <c r="BC180" s="57"/>
      <c r="BD180" s="57"/>
      <c r="BE180" s="57"/>
      <c r="BF180" s="378">
        <v>979.60826199999997</v>
      </c>
      <c r="BG180" s="57"/>
      <c r="BH180" s="57"/>
      <c r="BI180" s="57"/>
      <c r="BJ180" s="378">
        <v>996.32664199999999</v>
      </c>
      <c r="BK180" s="57"/>
      <c r="BL180" s="57"/>
      <c r="BM180" s="57"/>
      <c r="BN180" s="379">
        <f>+BN181+$BF$192+11</f>
        <v>937.93224999999995</v>
      </c>
      <c r="BO180" s="225"/>
      <c r="BP180" s="57"/>
      <c r="BQ180" s="44"/>
      <c r="BR180" s="380"/>
      <c r="BS180" s="119"/>
      <c r="BT180" s="44"/>
      <c r="BU180" s="44"/>
      <c r="BV180" s="380"/>
      <c r="BW180" s="119"/>
      <c r="BX180" s="44"/>
      <c r="BY180" s="44"/>
      <c r="BZ180" s="380"/>
      <c r="CA180" s="119"/>
      <c r="CB180" s="44"/>
      <c r="CC180" s="44"/>
      <c r="CD180" s="380"/>
      <c r="CE180" s="119"/>
      <c r="CF180" s="44"/>
      <c r="CG180" s="44"/>
      <c r="CH180" s="380"/>
      <c r="CI180" s="119"/>
      <c r="CJ180" s="44"/>
      <c r="CK180" s="44"/>
      <c r="CL180" s="380"/>
      <c r="CM180" s="119"/>
      <c r="CN180" s="44"/>
      <c r="CO180" s="44"/>
      <c r="CP180" s="380"/>
      <c r="CQ180" s="119"/>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57"/>
      <c r="DO180" s="57"/>
      <c r="DP180" s="57"/>
      <c r="DQ180" s="44"/>
      <c r="DR180" s="44"/>
      <c r="DS180" s="44"/>
      <c r="DT180" s="44"/>
      <c r="DU180" s="44"/>
      <c r="DV180" s="44"/>
      <c r="DW180" s="44"/>
      <c r="DX180" s="44"/>
      <c r="DY180" s="44"/>
      <c r="DZ180" s="44"/>
      <c r="EA180" s="44"/>
      <c r="EB180" s="44"/>
      <c r="EC180" s="44"/>
      <c r="ED180" s="44"/>
    </row>
    <row r="181" spans="1:134" ht="10.9" hidden="1" customHeight="1" outlineLevel="2">
      <c r="A181" s="44"/>
      <c r="B181" s="44"/>
      <c r="C181" s="57"/>
      <c r="D181" s="57"/>
      <c r="E181" s="57"/>
      <c r="F181" s="57"/>
      <c r="G181" s="57"/>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c r="AE181" s="57"/>
      <c r="AF181" s="57"/>
      <c r="AG181" s="57"/>
      <c r="AH181" s="57"/>
      <c r="AI181" s="57"/>
      <c r="AJ181" s="57"/>
      <c r="AK181" s="57"/>
      <c r="AL181" s="57"/>
      <c r="AM181" s="57"/>
      <c r="AN181" s="57"/>
      <c r="AO181" s="57"/>
      <c r="AP181" s="57"/>
      <c r="AQ181" s="57"/>
      <c r="AR181" s="57"/>
      <c r="AS181" s="57"/>
      <c r="AT181" s="57"/>
      <c r="AU181" s="57"/>
      <c r="AV181" s="57"/>
      <c r="AW181" s="57"/>
      <c r="AX181" s="57"/>
      <c r="AY181" s="57"/>
      <c r="AZ181" s="57"/>
      <c r="BA181" s="57"/>
      <c r="BB181" s="225">
        <f>+BB145</f>
        <v>874.01208199999996</v>
      </c>
      <c r="BC181" s="57"/>
      <c r="BD181" s="57"/>
      <c r="BE181" s="57"/>
      <c r="BF181" s="225">
        <v>888.81400199999996</v>
      </c>
      <c r="BG181" s="225">
        <f>+BF180-BF181</f>
        <v>90.794260000000008</v>
      </c>
      <c r="BH181" s="57"/>
      <c r="BI181" s="57"/>
      <c r="BJ181" s="331">
        <v>898.08157500000004</v>
      </c>
      <c r="BK181" s="225">
        <f>+BJ180-BJ181</f>
        <v>98.245066999999949</v>
      </c>
      <c r="BL181" s="57"/>
      <c r="BM181" s="57"/>
      <c r="BN181" s="225">
        <f>+BJ187-12-18</f>
        <v>841.32430999999997</v>
      </c>
      <c r="BO181" s="225"/>
      <c r="BP181" s="57"/>
      <c r="BQ181" s="44"/>
      <c r="BR181" s="119"/>
      <c r="BS181" s="119"/>
      <c r="BT181" s="44"/>
      <c r="BU181" s="44"/>
      <c r="BV181" s="119"/>
      <c r="BW181" s="119"/>
      <c r="BX181" s="44"/>
      <c r="BY181" s="44"/>
      <c r="BZ181" s="119"/>
      <c r="CA181" s="119"/>
      <c r="CB181" s="44"/>
      <c r="CC181" s="44"/>
      <c r="CD181" s="119"/>
      <c r="CE181" s="119"/>
      <c r="CF181" s="44"/>
      <c r="CG181" s="44"/>
      <c r="CH181" s="119"/>
      <c r="CI181" s="119"/>
      <c r="CJ181" s="44"/>
      <c r="CK181" s="44"/>
      <c r="CL181" s="119"/>
      <c r="CM181" s="119"/>
      <c r="CN181" s="44"/>
      <c r="CO181" s="44"/>
      <c r="CP181" s="119"/>
      <c r="CQ181" s="119"/>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57"/>
      <c r="DO181" s="57"/>
      <c r="DP181" s="57"/>
      <c r="DQ181" s="44"/>
      <c r="DR181" s="44"/>
      <c r="DS181" s="44"/>
      <c r="DT181" s="44"/>
      <c r="DU181" s="44"/>
      <c r="DV181" s="44"/>
      <c r="DW181" s="44"/>
      <c r="DX181" s="44"/>
      <c r="DY181" s="44"/>
      <c r="DZ181" s="44"/>
      <c r="EA181" s="44"/>
      <c r="EB181" s="44"/>
      <c r="EC181" s="44"/>
      <c r="ED181" s="44"/>
    </row>
    <row r="182" spans="1:134" ht="10.9" hidden="1" customHeight="1" outlineLevel="2">
      <c r="A182" s="44" t="str">
        <f>$A$11</f>
        <v>2Q</v>
      </c>
      <c r="B182" s="44" t="s">
        <v>273</v>
      </c>
      <c r="C182" s="57"/>
      <c r="D182" s="57"/>
      <c r="E182" s="57"/>
      <c r="F182" s="57"/>
      <c r="G182" s="57"/>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c r="AE182" s="57"/>
      <c r="AF182" s="57"/>
      <c r="AG182" s="57"/>
      <c r="AH182" s="57"/>
      <c r="AI182" s="57"/>
      <c r="AJ182" s="57"/>
      <c r="AK182" s="57"/>
      <c r="AL182" s="57"/>
      <c r="AM182" s="57"/>
      <c r="AN182" s="57"/>
      <c r="AO182" s="57"/>
      <c r="AP182" s="57"/>
      <c r="AQ182" s="57"/>
      <c r="AR182" s="57"/>
      <c r="AS182" s="57"/>
      <c r="AT182" s="57"/>
      <c r="AU182" s="57"/>
      <c r="AV182" s="57"/>
      <c r="AW182" s="57"/>
      <c r="AX182" s="57"/>
      <c r="AY182" s="57"/>
      <c r="AZ182" s="57"/>
      <c r="BA182" s="57"/>
      <c r="BB182" s="343">
        <f>+BB183+$BB$192</f>
        <v>962.21785599999998</v>
      </c>
      <c r="BC182" s="57"/>
      <c r="BD182" s="57"/>
      <c r="BE182" s="57"/>
      <c r="BF182" s="378">
        <v>987.51404100000002</v>
      </c>
      <c r="BG182" s="57"/>
      <c r="BH182" s="57"/>
      <c r="BI182" s="57"/>
      <c r="BJ182" s="378">
        <v>1002.74305</v>
      </c>
      <c r="BK182" s="225"/>
      <c r="BL182" s="57"/>
      <c r="BM182" s="57"/>
      <c r="BN182" s="379">
        <f>+BN183+$BF$192+11</f>
        <v>927.93224999999995</v>
      </c>
      <c r="BO182" s="225"/>
      <c r="BP182" s="57"/>
      <c r="BQ182" s="44"/>
      <c r="BR182" s="380"/>
      <c r="BS182" s="119"/>
      <c r="BT182" s="44"/>
      <c r="BU182" s="44"/>
      <c r="BV182" s="380"/>
      <c r="BW182" s="119"/>
      <c r="BX182" s="44"/>
      <c r="BY182" s="44"/>
      <c r="BZ182" s="380"/>
      <c r="CA182" s="119"/>
      <c r="CB182" s="44"/>
      <c r="CC182" s="44"/>
      <c r="CD182" s="380"/>
      <c r="CE182" s="119"/>
      <c r="CF182" s="44"/>
      <c r="CG182" s="44"/>
      <c r="CH182" s="380"/>
      <c r="CI182" s="119"/>
      <c r="CJ182" s="44"/>
      <c r="CK182" s="44"/>
      <c r="CL182" s="380"/>
      <c r="CM182" s="119"/>
      <c r="CN182" s="44"/>
      <c r="CO182" s="44"/>
      <c r="CP182" s="380"/>
      <c r="CQ182" s="119"/>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57"/>
      <c r="DO182" s="57"/>
      <c r="DP182" s="57"/>
      <c r="DQ182" s="44"/>
      <c r="DR182" s="44"/>
      <c r="DS182" s="44"/>
      <c r="DT182" s="44"/>
      <c r="DU182" s="44"/>
      <c r="DV182" s="44"/>
      <c r="DW182" s="44"/>
      <c r="DX182" s="44"/>
      <c r="DY182" s="44"/>
      <c r="DZ182" s="44"/>
      <c r="EA182" s="44"/>
      <c r="EB182" s="44"/>
      <c r="EC182" s="44"/>
      <c r="ED182" s="44"/>
    </row>
    <row r="183" spans="1:134" ht="10.9" hidden="1" customHeight="1" outlineLevel="2">
      <c r="A183" s="44"/>
      <c r="B183" s="44"/>
      <c r="C183" s="57"/>
      <c r="D183" s="57"/>
      <c r="E183" s="57"/>
      <c r="F183" s="57"/>
      <c r="G183" s="57"/>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c r="AE183" s="57"/>
      <c r="AF183" s="57"/>
      <c r="AG183" s="57"/>
      <c r="AH183" s="57"/>
      <c r="AI183" s="57"/>
      <c r="AJ183" s="57"/>
      <c r="AK183" s="57"/>
      <c r="AL183" s="57"/>
      <c r="AM183" s="57"/>
      <c r="AN183" s="57"/>
      <c r="AO183" s="57"/>
      <c r="AP183" s="57"/>
      <c r="AQ183" s="57"/>
      <c r="AR183" s="57"/>
      <c r="AS183" s="57"/>
      <c r="AT183" s="57"/>
      <c r="AU183" s="57"/>
      <c r="AV183" s="57"/>
      <c r="AW183" s="57"/>
      <c r="AX183" s="57"/>
      <c r="AY183" s="57"/>
      <c r="AZ183" s="57"/>
      <c r="BA183" s="57"/>
      <c r="BB183" s="225">
        <f>+BB146</f>
        <v>876.609916</v>
      </c>
      <c r="BC183" s="57"/>
      <c r="BD183" s="57"/>
      <c r="BE183" s="57"/>
      <c r="BF183" s="225">
        <v>891.70171700000003</v>
      </c>
      <c r="BG183" s="225">
        <f>+BF182-BF183</f>
        <v>95.81232399999999</v>
      </c>
      <c r="BH183" s="57"/>
      <c r="BI183" s="57"/>
      <c r="BJ183" s="331">
        <v>901.982212</v>
      </c>
      <c r="BK183" s="225">
        <f>+BJ182-BJ183</f>
        <v>100.76083800000004</v>
      </c>
      <c r="BL183" s="57"/>
      <c r="BM183" s="57"/>
      <c r="BN183" s="225">
        <f>+BN181-10</f>
        <v>831.32430999999997</v>
      </c>
      <c r="BO183" s="225"/>
      <c r="BP183" s="57"/>
      <c r="BQ183" s="44"/>
      <c r="BR183" s="119"/>
      <c r="BS183" s="119"/>
      <c r="BT183" s="44"/>
      <c r="BU183" s="44"/>
      <c r="BV183" s="119"/>
      <c r="BW183" s="119"/>
      <c r="BX183" s="44"/>
      <c r="BY183" s="44"/>
      <c r="BZ183" s="119"/>
      <c r="CA183" s="119"/>
      <c r="CB183" s="44"/>
      <c r="CC183" s="44"/>
      <c r="CD183" s="119"/>
      <c r="CE183" s="119"/>
      <c r="CF183" s="44"/>
      <c r="CG183" s="44"/>
      <c r="CH183" s="119"/>
      <c r="CI183" s="119"/>
      <c r="CJ183" s="44"/>
      <c r="CK183" s="44"/>
      <c r="CL183" s="119"/>
      <c r="CM183" s="119"/>
      <c r="CN183" s="44"/>
      <c r="CO183" s="44"/>
      <c r="CP183" s="119"/>
      <c r="CQ183" s="119"/>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57"/>
      <c r="DO183" s="57"/>
      <c r="DP183" s="57"/>
      <c r="DQ183" s="44"/>
      <c r="DR183" s="44"/>
      <c r="DS183" s="44"/>
      <c r="DT183" s="44"/>
      <c r="DU183" s="44"/>
      <c r="DV183" s="44"/>
      <c r="DW183" s="44"/>
      <c r="DX183" s="44"/>
      <c r="DY183" s="44"/>
      <c r="DZ183" s="44"/>
      <c r="EA183" s="44"/>
      <c r="EB183" s="44"/>
      <c r="EC183" s="44"/>
      <c r="ED183" s="44"/>
    </row>
    <row r="184" spans="1:134" ht="10.9" hidden="1" customHeight="1" outlineLevel="2">
      <c r="A184" s="44" t="str">
        <f>$A$12</f>
        <v>3Q</v>
      </c>
      <c r="B184" s="44" t="s">
        <v>273</v>
      </c>
      <c r="C184" s="57"/>
      <c r="D184" s="57"/>
      <c r="E184" s="57"/>
      <c r="F184" s="57"/>
      <c r="G184" s="57"/>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c r="AE184" s="57"/>
      <c r="AF184" s="57"/>
      <c r="AG184" s="57"/>
      <c r="AH184" s="57"/>
      <c r="AI184" s="57"/>
      <c r="AJ184" s="57"/>
      <c r="AK184" s="57"/>
      <c r="AL184" s="57"/>
      <c r="AM184" s="57"/>
      <c r="AN184" s="57"/>
      <c r="AO184" s="57"/>
      <c r="AP184" s="57"/>
      <c r="AQ184" s="57"/>
      <c r="AR184" s="57"/>
      <c r="AS184" s="57"/>
      <c r="AT184" s="57"/>
      <c r="AU184" s="57"/>
      <c r="AV184" s="57"/>
      <c r="AW184" s="57"/>
      <c r="AX184" s="57"/>
      <c r="AY184" s="57"/>
      <c r="AZ184" s="57"/>
      <c r="BA184" s="57"/>
      <c r="BB184" s="343">
        <v>968.16372200000001</v>
      </c>
      <c r="BC184" s="57"/>
      <c r="BD184" s="57"/>
      <c r="BE184" s="57"/>
      <c r="BF184" s="378">
        <v>990.02034100000003</v>
      </c>
      <c r="BG184" s="57"/>
      <c r="BH184" s="57"/>
      <c r="BI184" s="57"/>
      <c r="BJ184" s="378">
        <v>997.62029099999995</v>
      </c>
      <c r="BK184" s="57"/>
      <c r="BL184" s="57"/>
      <c r="BM184" s="57"/>
      <c r="BN184" s="343">
        <f>+BN185+$BF$192+11</f>
        <v>927.93224999999995</v>
      </c>
      <c r="BO184" s="57"/>
      <c r="BP184" s="57"/>
      <c r="BQ184" s="44"/>
      <c r="BR184" s="344"/>
      <c r="BS184" s="44"/>
      <c r="BT184" s="44"/>
      <c r="BU184" s="44"/>
      <c r="BV184" s="344"/>
      <c r="BW184" s="44"/>
      <c r="BX184" s="44"/>
      <c r="BY184" s="44"/>
      <c r="BZ184" s="344"/>
      <c r="CA184" s="44"/>
      <c r="CB184" s="44"/>
      <c r="CC184" s="44"/>
      <c r="CD184" s="344"/>
      <c r="CE184" s="44"/>
      <c r="CF184" s="44"/>
      <c r="CG184" s="44"/>
      <c r="CH184" s="344"/>
      <c r="CI184" s="44"/>
      <c r="CJ184" s="44"/>
      <c r="CK184" s="44"/>
      <c r="CL184" s="344"/>
      <c r="CM184" s="44"/>
      <c r="CN184" s="44"/>
      <c r="CO184" s="44"/>
      <c r="CP184" s="3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57"/>
      <c r="DO184" s="57"/>
      <c r="DP184" s="57"/>
      <c r="DQ184" s="44"/>
      <c r="DR184" s="44"/>
      <c r="DS184" s="44"/>
      <c r="DT184" s="44"/>
      <c r="DU184" s="44"/>
      <c r="DV184" s="44"/>
      <c r="DW184" s="44"/>
      <c r="DX184" s="44"/>
      <c r="DY184" s="44"/>
      <c r="DZ184" s="44"/>
      <c r="EA184" s="44"/>
      <c r="EB184" s="44"/>
      <c r="EC184" s="44"/>
      <c r="ED184" s="44"/>
    </row>
    <row r="185" spans="1:134" ht="10.9" hidden="1" customHeight="1" outlineLevel="2">
      <c r="A185" s="44"/>
      <c r="B185" s="44"/>
      <c r="C185" s="57"/>
      <c r="D185" s="57"/>
      <c r="E185" s="57"/>
      <c r="F185" s="57"/>
      <c r="G185" s="57"/>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c r="AE185" s="57"/>
      <c r="AF185" s="57"/>
      <c r="AG185" s="57"/>
      <c r="AH185" s="57"/>
      <c r="AI185" s="57"/>
      <c r="AJ185" s="57"/>
      <c r="AK185" s="57"/>
      <c r="AL185" s="57"/>
      <c r="AM185" s="57"/>
      <c r="AN185" s="57"/>
      <c r="AO185" s="57"/>
      <c r="AP185" s="57"/>
      <c r="AQ185" s="57"/>
      <c r="AR185" s="57"/>
      <c r="AS185" s="57"/>
      <c r="AT185" s="57"/>
      <c r="AU185" s="57"/>
      <c r="AV185" s="57"/>
      <c r="AW185" s="57"/>
      <c r="AX185" s="57"/>
      <c r="AY185" s="57"/>
      <c r="AZ185" s="57"/>
      <c r="BA185" s="57"/>
      <c r="BB185" s="225">
        <f>+BB184-BB192</f>
        <v>882.55578200000002</v>
      </c>
      <c r="BC185" s="57"/>
      <c r="BD185" s="57"/>
      <c r="BE185" s="57"/>
      <c r="BF185" s="225">
        <v>893.70982500000002</v>
      </c>
      <c r="BG185" s="225">
        <f>+BF184-BF185</f>
        <v>96.310516000000007</v>
      </c>
      <c r="BH185" s="57"/>
      <c r="BI185" s="57"/>
      <c r="BJ185" s="331">
        <v>902.03916200000003</v>
      </c>
      <c r="BK185" s="225">
        <f>+BJ184-BJ185</f>
        <v>95.581128999999919</v>
      </c>
      <c r="BL185" s="57"/>
      <c r="BM185" s="57"/>
      <c r="BN185" s="225">
        <f>+BN183</f>
        <v>831.32430999999997</v>
      </c>
      <c r="BO185" s="57"/>
      <c r="BP185" s="57"/>
      <c r="BQ185" s="44"/>
      <c r="BR185" s="119"/>
      <c r="BS185" s="44"/>
      <c r="BT185" s="44"/>
      <c r="BU185" s="44"/>
      <c r="BV185" s="119"/>
      <c r="BW185" s="44"/>
      <c r="BX185" s="44"/>
      <c r="BY185" s="44"/>
      <c r="BZ185" s="119"/>
      <c r="CA185" s="44"/>
      <c r="CB185" s="44"/>
      <c r="CC185" s="44"/>
      <c r="CD185" s="119"/>
      <c r="CE185" s="44"/>
      <c r="CF185" s="44"/>
      <c r="CG185" s="44"/>
      <c r="CH185" s="119"/>
      <c r="CI185" s="44"/>
      <c r="CJ185" s="44"/>
      <c r="CK185" s="44"/>
      <c r="CL185" s="119"/>
      <c r="CM185" s="44"/>
      <c r="CN185" s="44"/>
      <c r="CO185" s="44"/>
      <c r="CP185" s="119"/>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57"/>
      <c r="DO185" s="57"/>
      <c r="DP185" s="57"/>
      <c r="DQ185" s="44"/>
      <c r="DR185" s="44"/>
      <c r="DS185" s="44"/>
      <c r="DT185" s="44"/>
      <c r="DU185" s="44"/>
      <c r="DV185" s="44"/>
      <c r="DW185" s="44"/>
      <c r="DX185" s="44"/>
      <c r="DY185" s="44"/>
      <c r="DZ185" s="44"/>
      <c r="EA185" s="44"/>
      <c r="EB185" s="44"/>
      <c r="EC185" s="44"/>
      <c r="ED185" s="44"/>
    </row>
    <row r="186" spans="1:134" ht="10.9" hidden="1" customHeight="1" outlineLevel="2">
      <c r="A186" s="44" t="str">
        <f>$A$13</f>
        <v>4Q</v>
      </c>
      <c r="B186" s="44" t="s">
        <v>273</v>
      </c>
      <c r="C186" s="57"/>
      <c r="D186" s="57"/>
      <c r="E186" s="57"/>
      <c r="F186" s="57"/>
      <c r="G186" s="57"/>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c r="AE186" s="57"/>
      <c r="AF186" s="57"/>
      <c r="AG186" s="57"/>
      <c r="AH186" s="57"/>
      <c r="AI186" s="57"/>
      <c r="AJ186" s="57"/>
      <c r="AK186" s="57"/>
      <c r="AL186" s="57"/>
      <c r="AM186" s="57"/>
      <c r="AN186" s="57"/>
      <c r="AO186" s="57"/>
      <c r="AP186" s="57"/>
      <c r="AQ186" s="57"/>
      <c r="AR186" s="57"/>
      <c r="AS186" s="57"/>
      <c r="AT186" s="57"/>
      <c r="AU186" s="57"/>
      <c r="AV186" s="57"/>
      <c r="AW186" s="57"/>
      <c r="AX186" s="57"/>
      <c r="AY186" s="57"/>
      <c r="AZ186" s="57"/>
      <c r="BA186" s="57"/>
      <c r="BB186" s="379">
        <v>976.81047599999999</v>
      </c>
      <c r="BC186" s="57"/>
      <c r="BD186" s="57"/>
      <c r="BE186" s="57"/>
      <c r="BF186" s="381">
        <v>994.75435300000004</v>
      </c>
      <c r="BG186" s="57"/>
      <c r="BH186" s="57"/>
      <c r="BI186" s="57"/>
      <c r="BJ186" s="381">
        <v>967.95742199999995</v>
      </c>
      <c r="BK186" s="57"/>
      <c r="BL186" s="57"/>
      <c r="BM186" s="57"/>
      <c r="BN186" s="379">
        <f>+BN187+$BF$192+11</f>
        <v>927.93224999999995</v>
      </c>
      <c r="BO186" s="57"/>
      <c r="BP186" s="57"/>
      <c r="BQ186" s="44"/>
      <c r="BR186" s="380"/>
      <c r="BS186" s="44"/>
      <c r="BT186" s="44"/>
      <c r="BU186" s="44"/>
      <c r="BV186" s="380"/>
      <c r="BW186" s="44"/>
      <c r="BX186" s="44"/>
      <c r="BY186" s="44"/>
      <c r="BZ186" s="380"/>
      <c r="CA186" s="44"/>
      <c r="CB186" s="44"/>
      <c r="CC186" s="44"/>
      <c r="CD186" s="380"/>
      <c r="CE186" s="44"/>
      <c r="CF186" s="44"/>
      <c r="CG186" s="44"/>
      <c r="CH186" s="380"/>
      <c r="CI186" s="44"/>
      <c r="CJ186" s="44"/>
      <c r="CK186" s="44"/>
      <c r="CL186" s="380"/>
      <c r="CM186" s="44"/>
      <c r="CN186" s="44"/>
      <c r="CO186" s="44"/>
      <c r="CP186" s="380"/>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57"/>
      <c r="DO186" s="57"/>
      <c r="DP186" s="57"/>
      <c r="DQ186" s="44"/>
      <c r="DR186" s="44"/>
      <c r="DS186" s="44"/>
      <c r="DT186" s="44"/>
      <c r="DU186" s="44"/>
      <c r="DV186" s="44"/>
      <c r="DW186" s="44"/>
      <c r="DX186" s="44"/>
      <c r="DY186" s="44"/>
      <c r="DZ186" s="44"/>
      <c r="EA186" s="44"/>
      <c r="EB186" s="44"/>
      <c r="EC186" s="44"/>
      <c r="ED186" s="44"/>
    </row>
    <row r="187" spans="1:134" ht="10.9" hidden="1" customHeight="1" outlineLevel="2">
      <c r="A187" s="44"/>
      <c r="B187" s="44"/>
      <c r="C187" s="57"/>
      <c r="D187" s="57"/>
      <c r="E187" s="57"/>
      <c r="F187" s="57"/>
      <c r="G187" s="57"/>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c r="AE187" s="57"/>
      <c r="AF187" s="57"/>
      <c r="AG187" s="57"/>
      <c r="AH187" s="57"/>
      <c r="AI187" s="57"/>
      <c r="AJ187" s="57"/>
      <c r="AK187" s="57"/>
      <c r="AL187" s="57"/>
      <c r="AM187" s="57"/>
      <c r="AN187" s="57"/>
      <c r="AO187" s="57"/>
      <c r="AP187" s="57"/>
      <c r="AQ187" s="57"/>
      <c r="AR187" s="57"/>
      <c r="AS187" s="57"/>
      <c r="AT187" s="57"/>
      <c r="AU187" s="57"/>
      <c r="AV187" s="57"/>
      <c r="AW187" s="57"/>
      <c r="AX187" s="57"/>
      <c r="AY187" s="57"/>
      <c r="AZ187" s="57"/>
      <c r="BA187" s="57"/>
      <c r="BB187" s="234">
        <v>886.70214699999997</v>
      </c>
      <c r="BC187" s="57"/>
      <c r="BD187" s="57"/>
      <c r="BE187" s="57"/>
      <c r="BF187" s="234">
        <v>896.011799</v>
      </c>
      <c r="BG187" s="225">
        <f>+BF186-BF187</f>
        <v>98.742554000000041</v>
      </c>
      <c r="BH187" s="57"/>
      <c r="BI187" s="57"/>
      <c r="BJ187" s="382">
        <v>871.32430999999997</v>
      </c>
      <c r="BK187" s="225">
        <f>+BJ186-BJ187</f>
        <v>96.633111999999983</v>
      </c>
      <c r="BL187" s="57"/>
      <c r="BM187" s="57"/>
      <c r="BN187" s="234">
        <f>+BN185</f>
        <v>831.32430999999997</v>
      </c>
      <c r="BO187" s="57"/>
      <c r="BP187" s="57"/>
      <c r="BQ187" s="44"/>
      <c r="BR187" s="383"/>
      <c r="BS187" s="44"/>
      <c r="BT187" s="44"/>
      <c r="BU187" s="44"/>
      <c r="BV187" s="383"/>
      <c r="BW187" s="44"/>
      <c r="BX187" s="44"/>
      <c r="BY187" s="44"/>
      <c r="BZ187" s="383"/>
      <c r="CA187" s="44"/>
      <c r="CB187" s="44"/>
      <c r="CC187" s="44"/>
      <c r="CD187" s="383"/>
      <c r="CE187" s="44"/>
      <c r="CF187" s="44"/>
      <c r="CG187" s="44"/>
      <c r="CH187" s="383"/>
      <c r="CI187" s="44"/>
      <c r="CJ187" s="44"/>
      <c r="CK187" s="44"/>
      <c r="CL187" s="383"/>
      <c r="CM187" s="44"/>
      <c r="CN187" s="44"/>
      <c r="CO187" s="44"/>
      <c r="CP187" s="383"/>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57"/>
      <c r="DO187" s="57"/>
      <c r="DP187" s="57"/>
      <c r="DQ187" s="44"/>
      <c r="DR187" s="44"/>
      <c r="DS187" s="44"/>
      <c r="DT187" s="44"/>
      <c r="DU187" s="44"/>
      <c r="DV187" s="44"/>
      <c r="DW187" s="44"/>
      <c r="DX187" s="44"/>
      <c r="DY187" s="44"/>
      <c r="DZ187" s="44"/>
      <c r="EA187" s="44"/>
      <c r="EB187" s="44"/>
      <c r="EC187" s="44"/>
      <c r="ED187" s="44"/>
    </row>
    <row r="188" spans="1:134" ht="10.9" hidden="1" customHeight="1" outlineLevel="2">
      <c r="A188" s="44"/>
      <c r="B188" s="44" t="str">
        <f>$B$14</f>
        <v>Year</v>
      </c>
      <c r="C188" s="57"/>
      <c r="D188" s="57"/>
      <c r="E188" s="57"/>
      <c r="F188" s="57"/>
      <c r="G188" s="57"/>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c r="AE188" s="57"/>
      <c r="AF188" s="57"/>
      <c r="AG188" s="57"/>
      <c r="AH188" s="57"/>
      <c r="AI188" s="57"/>
      <c r="AJ188" s="57"/>
      <c r="AK188" s="57"/>
      <c r="AL188" s="57"/>
      <c r="AM188" s="57"/>
      <c r="AN188" s="57"/>
      <c r="AO188" s="57"/>
      <c r="AP188" s="57"/>
      <c r="AQ188" s="57"/>
      <c r="AR188" s="57"/>
      <c r="AS188" s="57"/>
      <c r="AT188" s="57"/>
      <c r="AU188" s="57"/>
      <c r="AV188" s="57"/>
      <c r="AW188" s="57"/>
      <c r="AX188" s="57"/>
      <c r="AY188" s="57"/>
      <c r="AZ188" s="57"/>
      <c r="BA188" s="57"/>
      <c r="BB188" s="384">
        <f>BB189+$BB$192</f>
        <v>967.08582799999999</v>
      </c>
      <c r="BC188" s="57"/>
      <c r="BD188" s="57"/>
      <c r="BE188" s="57"/>
      <c r="BF188" s="384">
        <f>BF189+$BF$192</f>
        <v>978.16727574999993</v>
      </c>
      <c r="BG188" s="57"/>
      <c r="BH188" s="57"/>
      <c r="BI188" s="57"/>
      <c r="BJ188" s="384">
        <f>BJ189+$BF$192</f>
        <v>978.96475475</v>
      </c>
      <c r="BK188" s="57"/>
      <c r="BL188" s="57"/>
      <c r="BM188" s="57"/>
      <c r="BN188" s="384">
        <f>BN189+$BF$192</f>
        <v>919.43224999999995</v>
      </c>
      <c r="BO188" s="57"/>
      <c r="BP188" s="57"/>
      <c r="BQ188" s="44"/>
      <c r="BR188" s="345"/>
      <c r="BS188" s="44"/>
      <c r="BT188" s="44"/>
      <c r="BU188" s="44"/>
      <c r="BV188" s="345"/>
      <c r="BW188" s="44"/>
      <c r="BX188" s="44"/>
      <c r="BY188" s="44"/>
      <c r="BZ188" s="345"/>
      <c r="CA188" s="44"/>
      <c r="CB188" s="44"/>
      <c r="CC188" s="44"/>
      <c r="CD188" s="345"/>
      <c r="CE188" s="44"/>
      <c r="CF188" s="44"/>
      <c r="CG188" s="44"/>
      <c r="CH188" s="345"/>
      <c r="CI188" s="44"/>
      <c r="CJ188" s="44"/>
      <c r="CK188" s="44"/>
      <c r="CL188" s="345"/>
      <c r="CM188" s="44"/>
      <c r="CN188" s="44"/>
      <c r="CO188" s="44"/>
      <c r="CP188" s="345"/>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57"/>
      <c r="DO188" s="57"/>
      <c r="DP188" s="57"/>
      <c r="DQ188" s="44"/>
      <c r="DR188" s="44"/>
      <c r="DS188" s="44"/>
      <c r="DT188" s="44"/>
      <c r="DU188" s="44"/>
      <c r="DV188" s="44"/>
      <c r="DW188" s="44"/>
      <c r="DX188" s="44"/>
      <c r="DY188" s="44"/>
      <c r="DZ188" s="44"/>
      <c r="EA188" s="44"/>
      <c r="EB188" s="44"/>
      <c r="EC188" s="44"/>
      <c r="ED188" s="44"/>
    </row>
    <row r="189" spans="1:134" ht="10.9" hidden="1" customHeight="1" outlineLevel="2">
      <c r="A189" s="44"/>
      <c r="B189" s="44"/>
      <c r="C189" s="57"/>
      <c r="D189" s="57"/>
      <c r="E189" s="57"/>
      <c r="F189" s="57"/>
      <c r="G189" s="57"/>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c r="AE189" s="57"/>
      <c r="AF189" s="57"/>
      <c r="AG189" s="57"/>
      <c r="AH189" s="57"/>
      <c r="AI189" s="57"/>
      <c r="AJ189" s="57"/>
      <c r="AK189" s="57"/>
      <c r="AL189" s="57"/>
      <c r="AM189" s="57"/>
      <c r="AN189" s="57"/>
      <c r="AO189" s="57"/>
      <c r="AP189" s="57"/>
      <c r="AQ189" s="57"/>
      <c r="AR189" s="57"/>
      <c r="AS189" s="57"/>
      <c r="AT189" s="57"/>
      <c r="AU189" s="57"/>
      <c r="AV189" s="57"/>
      <c r="AW189" s="57"/>
      <c r="AX189" s="57"/>
      <c r="AY189" s="57"/>
      <c r="AZ189" s="57"/>
      <c r="BA189" s="57"/>
      <c r="BB189" s="324">
        <f>BB149</f>
        <v>881.47788800000001</v>
      </c>
      <c r="BC189" s="57"/>
      <c r="BD189" s="57"/>
      <c r="BE189" s="57"/>
      <c r="BF189" s="324">
        <f>AVERAGE(BF183,BF181,BF185,BF187)</f>
        <v>892.55933574999995</v>
      </c>
      <c r="BG189" s="57"/>
      <c r="BH189" s="57"/>
      <c r="BI189" s="57"/>
      <c r="BJ189" s="324">
        <f>AVERAGE(BJ183,BJ181,BJ185,BJ187)</f>
        <v>893.35681475000001</v>
      </c>
      <c r="BK189" s="57"/>
      <c r="BL189" s="57"/>
      <c r="BM189" s="57"/>
      <c r="BN189" s="324">
        <f>AVERAGE(BN183,BN181,BN185,BN187)</f>
        <v>833.82430999999997</v>
      </c>
      <c r="BO189" s="57"/>
      <c r="BP189" s="57"/>
      <c r="BQ189" s="44"/>
      <c r="BR189" s="52"/>
      <c r="BS189" s="44"/>
      <c r="BT189" s="44"/>
      <c r="BU189" s="44"/>
      <c r="BV189" s="52"/>
      <c r="BW189" s="44"/>
      <c r="BX189" s="44"/>
      <c r="BY189" s="44"/>
      <c r="BZ189" s="52"/>
      <c r="CA189" s="44"/>
      <c r="CB189" s="44"/>
      <c r="CC189" s="44"/>
      <c r="CD189" s="52"/>
      <c r="CE189" s="44"/>
      <c r="CF189" s="44"/>
      <c r="CG189" s="44"/>
      <c r="CH189" s="52"/>
      <c r="CI189" s="44"/>
      <c r="CJ189" s="44"/>
      <c r="CK189" s="44"/>
      <c r="CL189" s="52"/>
      <c r="CM189" s="44"/>
      <c r="CN189" s="44"/>
      <c r="CO189" s="44"/>
      <c r="CP189" s="52"/>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57"/>
      <c r="DO189" s="57"/>
      <c r="DP189" s="57"/>
      <c r="DQ189" s="44"/>
      <c r="DR189" s="44"/>
      <c r="DS189" s="44"/>
      <c r="DT189" s="44"/>
      <c r="DU189" s="44"/>
      <c r="DV189" s="44"/>
      <c r="DW189" s="44"/>
      <c r="DX189" s="44"/>
      <c r="DY189" s="44"/>
      <c r="DZ189" s="44"/>
      <c r="EA189" s="44"/>
      <c r="EB189" s="44"/>
      <c r="EC189" s="44"/>
      <c r="ED189" s="44"/>
    </row>
    <row r="190" spans="1:134" ht="10.9" hidden="1" customHeight="1" outlineLevel="2">
      <c r="A190" s="44"/>
      <c r="B190" s="44"/>
      <c r="C190" s="57"/>
      <c r="D190" s="57"/>
      <c r="E190" s="57"/>
      <c r="F190" s="57"/>
      <c r="G190" s="57"/>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c r="AE190" s="57"/>
      <c r="AF190" s="57"/>
      <c r="AG190" s="57"/>
      <c r="AH190" s="57"/>
      <c r="AI190" s="57"/>
      <c r="AJ190" s="57"/>
      <c r="AK190" s="57"/>
      <c r="AL190" s="57"/>
      <c r="AM190" s="57"/>
      <c r="AN190" s="57"/>
      <c r="AO190" s="57"/>
      <c r="AP190" s="57"/>
      <c r="AQ190" s="57"/>
      <c r="AR190" s="57"/>
      <c r="AS190" s="57"/>
      <c r="AT190" s="57"/>
      <c r="AU190" s="57"/>
      <c r="AV190" s="57"/>
      <c r="AW190" s="57"/>
      <c r="AX190" s="57"/>
      <c r="AY190" s="57"/>
      <c r="AZ190" s="57"/>
      <c r="BA190" s="57"/>
      <c r="BB190" s="57"/>
      <c r="BC190" s="57"/>
      <c r="BD190" s="57"/>
      <c r="BE190" s="57"/>
      <c r="BF190" s="57"/>
      <c r="BG190" s="57"/>
      <c r="BH190" s="57"/>
      <c r="BI190" s="57"/>
      <c r="BJ190" s="57"/>
      <c r="BK190" s="57"/>
      <c r="BL190" s="57"/>
      <c r="BM190" s="57"/>
      <c r="BN190" s="57"/>
      <c r="BO190" s="57"/>
      <c r="BP190" s="57"/>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57"/>
      <c r="DO190" s="57"/>
      <c r="DP190" s="57"/>
      <c r="DQ190" s="44"/>
      <c r="DR190" s="44"/>
      <c r="DS190" s="44"/>
      <c r="DT190" s="44"/>
      <c r="DU190" s="44"/>
      <c r="DV190" s="44"/>
      <c r="DW190" s="44"/>
      <c r="DX190" s="44"/>
      <c r="DY190" s="44"/>
      <c r="DZ190" s="44"/>
      <c r="EA190" s="44"/>
      <c r="EB190" s="44"/>
      <c r="EC190" s="44"/>
      <c r="ED190" s="44"/>
    </row>
    <row r="191" spans="1:134" ht="10.9" hidden="1" customHeight="1" outlineLevel="2">
      <c r="A191" s="44"/>
      <c r="B191" s="44"/>
      <c r="C191" s="57"/>
      <c r="D191" s="57"/>
      <c r="E191" s="57"/>
      <c r="F191" s="57"/>
      <c r="G191" s="57"/>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c r="AE191" s="57"/>
      <c r="AF191" s="57"/>
      <c r="AG191" s="57"/>
      <c r="AH191" s="57"/>
      <c r="AI191" s="57"/>
      <c r="AJ191" s="57"/>
      <c r="AK191" s="57"/>
      <c r="AL191" s="57"/>
      <c r="AM191" s="57"/>
      <c r="AN191" s="57"/>
      <c r="AO191" s="57"/>
      <c r="AP191" s="57"/>
      <c r="AQ191" s="57"/>
      <c r="AR191" s="57"/>
      <c r="AS191" s="57"/>
      <c r="AT191" s="57"/>
      <c r="AU191" s="57"/>
      <c r="AV191" s="57"/>
      <c r="AW191" s="57"/>
      <c r="AX191" s="57"/>
      <c r="AY191" s="57"/>
      <c r="AZ191" s="57"/>
      <c r="BA191" s="57"/>
      <c r="BB191" s="57"/>
      <c r="BC191" s="57"/>
      <c r="BD191" s="57"/>
      <c r="BE191" s="57"/>
      <c r="BF191" s="57"/>
      <c r="BG191" s="57"/>
      <c r="BH191" s="57"/>
      <c r="BI191" s="57"/>
      <c r="BJ191" s="57"/>
      <c r="BK191" s="57"/>
      <c r="BL191" s="57"/>
      <c r="BM191" s="57"/>
      <c r="BN191" s="57"/>
      <c r="BO191" s="57"/>
      <c r="BP191" s="57"/>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57"/>
      <c r="DO191" s="57"/>
      <c r="DP191" s="57"/>
      <c r="DQ191" s="44"/>
      <c r="DR191" s="44"/>
      <c r="DS191" s="44"/>
      <c r="DT191" s="44"/>
      <c r="DU191" s="44"/>
      <c r="DV191" s="44"/>
      <c r="DW191" s="44"/>
      <c r="DX191" s="44"/>
      <c r="DY191" s="44"/>
      <c r="DZ191" s="44"/>
      <c r="EA191" s="44"/>
      <c r="EB191" s="44"/>
      <c r="EC191" s="44"/>
      <c r="ED191" s="44"/>
    </row>
    <row r="192" spans="1:134" ht="10.9" hidden="1" customHeight="1" outlineLevel="2">
      <c r="A192" s="44"/>
      <c r="B192" s="44"/>
      <c r="C192" s="57"/>
      <c r="D192" s="57"/>
      <c r="E192" s="57"/>
      <c r="F192" s="57"/>
      <c r="G192" s="57"/>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c r="AE192" s="57"/>
      <c r="AF192" s="57"/>
      <c r="AG192" s="57"/>
      <c r="AH192" s="57"/>
      <c r="AI192" s="57"/>
      <c r="AJ192" s="57"/>
      <c r="AK192" s="57"/>
      <c r="AL192" s="57"/>
      <c r="AM192" s="57"/>
      <c r="AN192" s="57"/>
      <c r="AO192" s="57"/>
      <c r="AP192" s="57"/>
      <c r="AQ192" s="57"/>
      <c r="AR192" s="57"/>
      <c r="AS192" s="57"/>
      <c r="AT192" s="57"/>
      <c r="AU192" s="57"/>
      <c r="AV192" s="57"/>
      <c r="AW192" s="57"/>
      <c r="AX192" s="57"/>
      <c r="AY192" s="57"/>
      <c r="AZ192" s="57"/>
      <c r="BA192" s="385" t="s">
        <v>271</v>
      </c>
      <c r="BB192" s="386">
        <v>85.607939999999999</v>
      </c>
      <c r="BC192" s="387"/>
      <c r="BD192" s="387"/>
      <c r="BE192" s="387"/>
      <c r="BF192" s="388">
        <f>+BB192</f>
        <v>85.607939999999999</v>
      </c>
      <c r="BG192" s="60"/>
      <c r="BH192" s="57"/>
      <c r="BI192" s="57"/>
      <c r="BJ192" s="57"/>
      <c r="BK192" s="57"/>
      <c r="BL192" s="57"/>
      <c r="BM192" s="57"/>
      <c r="BN192" s="57"/>
      <c r="BO192" s="57"/>
      <c r="BP192" s="57"/>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57"/>
      <c r="DO192" s="57"/>
      <c r="DP192" s="57"/>
      <c r="DQ192" s="44"/>
      <c r="DR192" s="44"/>
      <c r="DS192" s="44"/>
      <c r="DT192" s="44"/>
      <c r="DU192" s="44"/>
      <c r="DV192" s="44"/>
      <c r="DW192" s="44"/>
      <c r="DX192" s="44"/>
      <c r="DY192" s="44"/>
      <c r="DZ192" s="44"/>
      <c r="EA192" s="44"/>
      <c r="EB192" s="44"/>
      <c r="EC192" s="44"/>
      <c r="ED192" s="44"/>
    </row>
    <row r="193" spans="1:150" ht="10.9" hidden="1" customHeight="1" outlineLevel="2">
      <c r="A193" s="44"/>
      <c r="B193" s="44"/>
      <c r="C193" s="57"/>
      <c r="D193" s="57"/>
      <c r="E193" s="57"/>
      <c r="F193" s="57"/>
      <c r="G193" s="57"/>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c r="AE193" s="57"/>
      <c r="AF193" s="57"/>
      <c r="AG193" s="57"/>
      <c r="AH193" s="57"/>
      <c r="AI193" s="57"/>
      <c r="AJ193" s="57"/>
      <c r="AK193" s="57"/>
      <c r="AL193" s="57"/>
      <c r="AM193" s="57"/>
      <c r="AN193" s="57"/>
      <c r="AO193" s="57"/>
      <c r="AP193" s="57"/>
      <c r="AQ193" s="57"/>
      <c r="AR193" s="57"/>
      <c r="AS193" s="57"/>
      <c r="AT193" s="57"/>
      <c r="AU193" s="57"/>
      <c r="AV193" s="57"/>
      <c r="AW193" s="57"/>
      <c r="AX193" s="57"/>
      <c r="AY193" s="57"/>
      <c r="AZ193" s="57"/>
      <c r="BA193" s="385" t="s">
        <v>272</v>
      </c>
      <c r="BB193" s="389">
        <f>(1-0.47)*((0.0575*1380)/4)</f>
        <v>10.513875000000002</v>
      </c>
      <c r="BC193" s="272"/>
      <c r="BD193" s="272"/>
      <c r="BE193" s="272"/>
      <c r="BF193" s="390">
        <f>(1-0.01*BK100)*((0.0575*1380)/4)</f>
        <v>12.475568587461746</v>
      </c>
      <c r="BG193" s="60"/>
      <c r="BH193" s="57"/>
      <c r="BI193" s="57"/>
      <c r="BJ193" s="57"/>
      <c r="BK193" s="57"/>
      <c r="BL193" s="57"/>
      <c r="BM193" s="57"/>
      <c r="BN193" s="57"/>
      <c r="BO193" s="57"/>
      <c r="BP193" s="57"/>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57"/>
      <c r="DO193" s="57"/>
      <c r="DP193" s="57"/>
      <c r="DQ193" s="44"/>
      <c r="DR193" s="44"/>
      <c r="DS193" s="44"/>
      <c r="DT193" s="44"/>
      <c r="DU193" s="44"/>
      <c r="DV193" s="44"/>
      <c r="DW193" s="44"/>
      <c r="DX193" s="44"/>
      <c r="DY193" s="44"/>
      <c r="DZ193" s="44"/>
      <c r="EA193" s="44"/>
      <c r="EB193" s="44"/>
      <c r="EC193" s="44"/>
      <c r="ED193" s="44"/>
    </row>
    <row r="194" spans="1:150" ht="10.9" hidden="1" customHeight="1" outlineLevel="2">
      <c r="A194" s="44"/>
      <c r="B194" s="44"/>
      <c r="C194" s="57"/>
      <c r="D194" s="57"/>
      <c r="E194" s="57"/>
      <c r="F194" s="57"/>
      <c r="G194" s="57"/>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c r="AE194" s="57"/>
      <c r="AF194" s="57"/>
      <c r="AG194" s="57"/>
      <c r="AH194" s="57"/>
      <c r="AI194" s="57"/>
      <c r="AJ194" s="57"/>
      <c r="AK194" s="57"/>
      <c r="AL194" s="57"/>
      <c r="AM194" s="57"/>
      <c r="AN194" s="57"/>
      <c r="AO194" s="57"/>
      <c r="AP194" s="57"/>
      <c r="AQ194" s="57"/>
      <c r="AR194" s="57"/>
      <c r="AS194" s="57"/>
      <c r="AT194" s="57"/>
      <c r="AU194" s="57"/>
      <c r="AV194" s="57"/>
      <c r="AW194" s="57"/>
      <c r="AX194" s="57"/>
      <c r="AY194" s="57"/>
      <c r="AZ194" s="57"/>
      <c r="BA194" s="57"/>
      <c r="BB194" s="57"/>
      <c r="BC194" s="57"/>
      <c r="BD194" s="57"/>
      <c r="BE194" s="57"/>
      <c r="BF194" s="57"/>
      <c r="BG194" s="57"/>
      <c r="BH194" s="57"/>
      <c r="BI194" s="57"/>
      <c r="BJ194" s="57"/>
      <c r="BK194" s="57"/>
      <c r="BL194" s="57"/>
      <c r="BM194" s="57"/>
      <c r="BN194" s="57"/>
      <c r="BO194" s="57"/>
      <c r="BP194" s="57"/>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f>CP201*CX204</f>
        <v>0</v>
      </c>
      <c r="CY194" s="44"/>
      <c r="CZ194" s="44"/>
      <c r="DA194" s="44"/>
      <c r="DB194" s="44">
        <f>CT201*DB204</f>
        <v>0</v>
      </c>
      <c r="DC194" s="44"/>
      <c r="DD194" s="44"/>
      <c r="DE194" s="44"/>
      <c r="DF194" s="44">
        <f>CX201*DF204</f>
        <v>0</v>
      </c>
      <c r="DG194" s="44"/>
      <c r="DH194" s="44"/>
      <c r="DI194" s="44"/>
      <c r="DJ194" s="44">
        <f>DB201*DJ204</f>
        <v>0</v>
      </c>
      <c r="DK194" s="44"/>
      <c r="DL194" s="44"/>
      <c r="DM194" s="44"/>
      <c r="DN194" s="57">
        <f>DF201*DN204</f>
        <v>0</v>
      </c>
      <c r="DO194" s="57"/>
      <c r="DP194" s="57"/>
      <c r="DQ194" s="44"/>
      <c r="DR194" s="44"/>
      <c r="DS194" s="44"/>
      <c r="DT194" s="44"/>
      <c r="DU194" s="44"/>
      <c r="DV194" s="44"/>
      <c r="DW194" s="44"/>
      <c r="DX194" s="44"/>
      <c r="DY194" s="44"/>
      <c r="DZ194" s="44"/>
      <c r="EA194" s="44"/>
      <c r="EB194" s="44"/>
      <c r="EC194" s="44"/>
      <c r="ED194" s="44"/>
    </row>
    <row r="195" spans="1:150" ht="10.9" customHeight="1" outlineLevel="1" collapsed="1">
      <c r="A195" s="44"/>
      <c r="B195" s="44"/>
      <c r="C195" s="57"/>
      <c r="D195" s="57"/>
      <c r="E195" s="57"/>
      <c r="F195" s="57"/>
      <c r="G195" s="57"/>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c r="AE195" s="57"/>
      <c r="AF195" s="57"/>
      <c r="AG195" s="57"/>
      <c r="AH195" s="57"/>
      <c r="AI195" s="57"/>
      <c r="AJ195" s="57"/>
      <c r="AK195" s="57"/>
      <c r="AL195" s="57"/>
      <c r="AM195" s="57"/>
      <c r="AN195" s="57"/>
      <c r="AO195" s="57"/>
      <c r="AP195" s="57"/>
      <c r="AQ195" s="57"/>
      <c r="AR195" s="57"/>
      <c r="AS195" s="57"/>
      <c r="AT195" s="57"/>
      <c r="AU195" s="57"/>
      <c r="AV195" s="57"/>
      <c r="AW195" s="57"/>
      <c r="AX195" s="57"/>
      <c r="AY195" s="57"/>
      <c r="AZ195" s="57"/>
      <c r="BA195" s="57"/>
      <c r="BB195" s="57"/>
      <c r="BC195" s="57"/>
      <c r="BD195" s="57"/>
      <c r="BE195" s="57"/>
      <c r="BF195" s="57"/>
      <c r="BG195" s="57"/>
      <c r="BH195" s="57"/>
      <c r="BI195" s="57"/>
      <c r="BJ195" s="57"/>
      <c r="BK195" s="57"/>
      <c r="BL195" s="57"/>
      <c r="BM195" s="57"/>
      <c r="BN195" s="57"/>
      <c r="BO195" s="57"/>
      <c r="BP195" s="57"/>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57"/>
      <c r="DO195" s="57"/>
      <c r="DP195" s="57"/>
      <c r="DQ195" s="44"/>
      <c r="DR195" s="44"/>
      <c r="DS195" s="44"/>
      <c r="DT195" s="44"/>
      <c r="DU195" s="44"/>
      <c r="DV195" s="44"/>
      <c r="DW195" s="44"/>
      <c r="DX195" s="44"/>
      <c r="DY195" s="44"/>
      <c r="DZ195" s="44"/>
      <c r="EA195" s="44"/>
      <c r="EB195" s="44"/>
      <c r="EC195" s="44"/>
      <c r="ED195" s="44"/>
    </row>
    <row r="196" spans="1:150" ht="10.9" customHeight="1" outlineLevel="1">
      <c r="A196" s="44"/>
      <c r="B196" s="44"/>
      <c r="C196" s="57"/>
      <c r="D196" s="57"/>
      <c r="E196" s="57"/>
      <c r="F196" s="57"/>
      <c r="G196" s="57"/>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c r="AE196" s="57"/>
      <c r="AF196" s="57"/>
      <c r="AG196" s="57"/>
      <c r="AH196" s="57"/>
      <c r="AI196" s="57"/>
      <c r="AJ196" s="57"/>
      <c r="AK196" s="57"/>
      <c r="AL196" s="57"/>
      <c r="AM196" s="57"/>
      <c r="AN196" s="57"/>
      <c r="AO196" s="57"/>
      <c r="AP196" s="135" t="s">
        <v>257</v>
      </c>
      <c r="AQ196" s="57"/>
      <c r="AR196" s="57"/>
      <c r="AS196" s="57"/>
      <c r="AT196" s="57"/>
      <c r="AU196" s="57"/>
      <c r="AV196" s="57"/>
      <c r="AW196" s="57"/>
      <c r="AX196" s="57"/>
      <c r="AY196" s="57"/>
      <c r="AZ196" s="57"/>
      <c r="BA196" s="57"/>
      <c r="BB196" s="57"/>
      <c r="BC196" s="57"/>
      <c r="BD196" s="57"/>
      <c r="BE196" s="57"/>
      <c r="BF196" s="57"/>
      <c r="BG196" s="57"/>
      <c r="BH196" s="57"/>
      <c r="BI196" s="57"/>
      <c r="BJ196" s="57"/>
      <c r="BK196" s="57"/>
      <c r="BL196" s="57"/>
      <c r="BM196" s="57"/>
      <c r="BN196" s="57"/>
      <c r="BO196" s="57"/>
      <c r="BP196" s="57"/>
      <c r="BQ196" s="44"/>
      <c r="BR196" s="44"/>
      <c r="BS196" s="44"/>
      <c r="BT196" s="44"/>
      <c r="BU196" s="44"/>
      <c r="BV196" s="44"/>
      <c r="BW196" s="44"/>
      <c r="BX196" s="44"/>
      <c r="BY196" s="44"/>
      <c r="BZ196" s="43" t="str">
        <f>AP196</f>
        <v>Basic Shares Outstanding at 10/K/Q filing date</v>
      </c>
      <c r="CA196" s="44"/>
      <c r="CB196" s="44"/>
      <c r="CC196" s="44"/>
      <c r="CD196" s="44"/>
      <c r="CE196" s="44"/>
      <c r="CF196" s="44"/>
      <c r="CG196" s="44"/>
      <c r="CH196" s="245" t="str">
        <f>+BZ196</f>
        <v>Basic Shares Outstanding at 10/K/Q filing date</v>
      </c>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57"/>
      <c r="DO196" s="57"/>
      <c r="DP196" s="57"/>
      <c r="DQ196" s="44"/>
      <c r="DR196" s="44"/>
      <c r="DS196" s="44"/>
      <c r="DT196" s="44"/>
      <c r="DU196" s="44"/>
      <c r="DV196" s="44"/>
      <c r="DW196" s="44"/>
      <c r="DX196" s="44"/>
      <c r="DY196" s="44"/>
      <c r="DZ196" s="44"/>
      <c r="EA196" s="44"/>
      <c r="EB196" s="44"/>
      <c r="EC196" s="44"/>
      <c r="ED196" s="44"/>
    </row>
    <row r="197" spans="1:150" ht="10.9" customHeight="1" outlineLevel="1">
      <c r="A197" s="44"/>
      <c r="B197" s="44"/>
      <c r="C197" s="57"/>
      <c r="D197" s="57"/>
      <c r="E197" s="57"/>
      <c r="F197" s="57"/>
      <c r="G197" s="57"/>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c r="AE197" s="57"/>
      <c r="AF197" s="57"/>
      <c r="AG197" s="57"/>
      <c r="AH197" s="57"/>
      <c r="AI197" s="57"/>
      <c r="AJ197" s="57"/>
      <c r="AK197" s="57"/>
      <c r="AL197" s="57"/>
      <c r="AM197" s="57"/>
      <c r="AN197" s="57"/>
      <c r="AO197" s="57"/>
      <c r="AP197" s="57"/>
      <c r="AQ197" s="57"/>
      <c r="AR197" s="57"/>
      <c r="AS197" s="57"/>
      <c r="AT197" s="57"/>
      <c r="AU197" s="57"/>
      <c r="AV197" s="57"/>
      <c r="AW197" s="57"/>
      <c r="AX197" s="57"/>
      <c r="AY197" s="57"/>
      <c r="AZ197" s="57"/>
      <c r="BA197" s="57"/>
      <c r="BB197" s="57"/>
      <c r="BC197" s="57"/>
      <c r="BD197" s="57"/>
      <c r="BE197" s="57"/>
      <c r="BF197" s="57"/>
      <c r="BG197" s="57"/>
      <c r="BH197" s="57"/>
      <c r="BI197" s="57"/>
      <c r="BJ197" s="57"/>
      <c r="BK197" s="57"/>
      <c r="BL197" s="57"/>
      <c r="BM197" s="57"/>
      <c r="BN197" s="57"/>
      <c r="BO197" s="57"/>
      <c r="BP197" s="57"/>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c r="DC197" t="s">
        <v>678</v>
      </c>
      <c r="DD197" s="44" t="s">
        <v>706</v>
      </c>
      <c r="DE197" s="44"/>
      <c r="DF197" s="44"/>
      <c r="DG197" t="s">
        <v>678</v>
      </c>
      <c r="DH197" s="62" t="s">
        <v>679</v>
      </c>
      <c r="DI197" s="62"/>
      <c r="DJ197" s="2131"/>
      <c r="DK197" s="1018" t="s">
        <v>678</v>
      </c>
      <c r="DL197" s="62" t="s">
        <v>679</v>
      </c>
      <c r="DM197" s="62"/>
      <c r="DN197" s="57"/>
      <c r="DO197" s="69" t="s">
        <v>678</v>
      </c>
      <c r="DP197" s="1873" t="s">
        <v>679</v>
      </c>
      <c r="DQ197" s="406"/>
      <c r="DR197" s="406"/>
      <c r="DS197" s="44"/>
      <c r="DT197" s="44"/>
      <c r="DU197" s="44"/>
      <c r="DV197" s="44"/>
      <c r="DW197" s="44"/>
      <c r="DX197" s="44"/>
      <c r="DY197" s="44"/>
      <c r="DZ197" s="44"/>
      <c r="EA197" s="44"/>
      <c r="EB197" s="44"/>
      <c r="EC197" s="44"/>
      <c r="ED197" s="44"/>
    </row>
    <row r="198" spans="1:150" ht="10.9" customHeight="1" outlineLevel="1">
      <c r="A198" s="44" t="str">
        <f>$A$10</f>
        <v>1Q</v>
      </c>
      <c r="B198" s="44" t="str">
        <f>$B$10</f>
        <v>Apr</v>
      </c>
      <c r="C198" s="57"/>
      <c r="D198" s="57"/>
      <c r="E198" s="57"/>
      <c r="F198" s="57"/>
      <c r="G198" s="57"/>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c r="AE198" s="57"/>
      <c r="AF198" s="57"/>
      <c r="AG198" s="57"/>
      <c r="AH198" s="57"/>
      <c r="AI198" s="57"/>
      <c r="AJ198" s="57"/>
      <c r="AK198" s="57"/>
      <c r="AL198" s="57"/>
      <c r="AM198" s="57"/>
      <c r="AN198" s="57"/>
      <c r="AO198" s="57"/>
      <c r="AP198" s="156"/>
      <c r="AQ198" s="57"/>
      <c r="AR198" s="57"/>
      <c r="AS198" s="57"/>
      <c r="AT198" s="156">
        <v>850.08421899999996</v>
      </c>
      <c r="AU198" s="57"/>
      <c r="AV198" s="57"/>
      <c r="AW198" s="57"/>
      <c r="AX198" s="156">
        <v>859.49304199999995</v>
      </c>
      <c r="AY198" s="57"/>
      <c r="AZ198" s="57"/>
      <c r="BA198" s="57"/>
      <c r="BB198" s="156">
        <v>869.81928200000004</v>
      </c>
      <c r="BC198" s="57"/>
      <c r="BD198" s="57"/>
      <c r="BE198" s="57"/>
      <c r="BF198" s="156">
        <v>890.60138500000005</v>
      </c>
      <c r="BG198" s="57"/>
      <c r="BH198" s="57"/>
      <c r="BI198" s="57"/>
      <c r="BJ198" s="156">
        <v>900.23315200000002</v>
      </c>
      <c r="BK198" s="57"/>
      <c r="BL198" s="57"/>
      <c r="BM198" s="57"/>
      <c r="BN198" s="156">
        <v>902.105234</v>
      </c>
      <c r="BO198" s="57"/>
      <c r="BP198" s="57"/>
      <c r="BQ198" s="44"/>
      <c r="BR198" s="156">
        <v>833.36313700000005</v>
      </c>
      <c r="BS198" s="44"/>
      <c r="BT198" s="44"/>
      <c r="BU198" s="44"/>
      <c r="BV198" s="156">
        <v>815.92547100000002</v>
      </c>
      <c r="BW198" s="44"/>
      <c r="BX198" s="44"/>
      <c r="BY198" s="44"/>
      <c r="BZ198" s="156">
        <v>723.95657800000004</v>
      </c>
      <c r="CA198" s="44"/>
      <c r="CB198" s="44"/>
      <c r="CC198" s="44"/>
      <c r="CD198" s="156">
        <v>696.81928200000004</v>
      </c>
      <c r="CE198" s="44"/>
      <c r="CF198" s="44"/>
      <c r="CG198" s="44"/>
      <c r="CH198" s="156">
        <v>650.59314700000004</v>
      </c>
      <c r="CI198" s="119">
        <f>CD201-CH198</f>
        <v>16.826956999999993</v>
      </c>
      <c r="CJ198" s="44"/>
      <c r="CK198" s="44"/>
      <c r="CL198" s="156">
        <v>550.42633799999999</v>
      </c>
      <c r="CM198" s="119">
        <f>CH201-CL198</f>
        <v>34.065694000000008</v>
      </c>
      <c r="CN198" s="44"/>
      <c r="CO198" s="44"/>
      <c r="CP198" s="156">
        <v>489.21761500000002</v>
      </c>
      <c r="CQ198" s="119">
        <f>CL201-CP198</f>
        <v>-1.4931890000000294</v>
      </c>
      <c r="CR198" s="44"/>
      <c r="CS198" s="44"/>
      <c r="CT198" s="156">
        <v>467.69985100000002</v>
      </c>
      <c r="CU198" s="119">
        <f>CP201-CT198</f>
        <v>2.7195009999999797</v>
      </c>
      <c r="CV198" s="44"/>
      <c r="CW198" s="44"/>
      <c r="CX198" s="156">
        <v>440.72397899999999</v>
      </c>
      <c r="CY198" s="119">
        <f>CT201-CX198</f>
        <v>5.2760210000000143</v>
      </c>
      <c r="CZ198" s="44"/>
      <c r="DA198" s="44"/>
      <c r="DB198" s="156">
        <v>419</v>
      </c>
      <c r="DC198" s="407">
        <v>-230</v>
      </c>
      <c r="DD198" s="44">
        <v>41</v>
      </c>
      <c r="DE198" s="44"/>
      <c r="DF198" s="1433">
        <v>397.96433500000001</v>
      </c>
      <c r="DG198" s="407">
        <v>0</v>
      </c>
      <c r="DH198" s="44">
        <v>25</v>
      </c>
      <c r="DI198" s="44"/>
      <c r="DJ198" s="1433">
        <v>395.75903099999999</v>
      </c>
      <c r="DK198" s="407">
        <v>-100</v>
      </c>
      <c r="DL198" s="221">
        <v>24.07</v>
      </c>
      <c r="DM198" s="44"/>
      <c r="DN198" s="225">
        <f>DJ201+DO198/DP198</f>
        <v>385.98550566666671</v>
      </c>
      <c r="DO198" s="407">
        <v>-100</v>
      </c>
      <c r="DP198" s="1843">
        <v>30</v>
      </c>
      <c r="DQ198" s="408"/>
      <c r="DR198" s="408"/>
      <c r="DS198" s="44"/>
      <c r="DT198" s="44"/>
      <c r="DU198" s="44"/>
      <c r="DV198" s="44"/>
      <c r="DW198" s="44"/>
      <c r="DX198" s="44"/>
      <c r="DY198" s="44"/>
      <c r="DZ198" s="44"/>
      <c r="EA198" s="44"/>
      <c r="EB198" s="44"/>
      <c r="EC198" s="44"/>
      <c r="ED198" s="44"/>
    </row>
    <row r="199" spans="1:150" ht="10.9" customHeight="1" outlineLevel="1">
      <c r="A199" s="44" t="str">
        <f>$A$11</f>
        <v>2Q</v>
      </c>
      <c r="B199" s="44" t="str">
        <f>$B$11</f>
        <v>Jul</v>
      </c>
      <c r="C199" s="57"/>
      <c r="D199" s="57"/>
      <c r="E199" s="57"/>
      <c r="F199" s="57"/>
      <c r="G199" s="57"/>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c r="AE199" s="57"/>
      <c r="AF199" s="57"/>
      <c r="AG199" s="57"/>
      <c r="AH199" s="57"/>
      <c r="AI199" s="57"/>
      <c r="AJ199" s="57"/>
      <c r="AK199" s="57"/>
      <c r="AL199" s="57"/>
      <c r="AM199" s="57"/>
      <c r="AN199" s="57"/>
      <c r="AO199" s="57"/>
      <c r="AP199" s="156"/>
      <c r="AQ199" s="57"/>
      <c r="AR199" s="57"/>
      <c r="AS199" s="57"/>
      <c r="AT199" s="156">
        <v>849.45170900000005</v>
      </c>
      <c r="AU199" s="57"/>
      <c r="AV199" s="57"/>
      <c r="AW199" s="57"/>
      <c r="AX199" s="156">
        <v>862.43522900000005</v>
      </c>
      <c r="AY199" s="57"/>
      <c r="AZ199" s="57"/>
      <c r="BA199" s="57"/>
      <c r="BB199" s="156">
        <v>870.460193</v>
      </c>
      <c r="BC199" s="57"/>
      <c r="BD199" s="57"/>
      <c r="BE199" s="57"/>
      <c r="BF199" s="156">
        <v>893.44320800000003</v>
      </c>
      <c r="BG199" s="57"/>
      <c r="BH199" s="57"/>
      <c r="BI199" s="57"/>
      <c r="BJ199" s="156">
        <v>903.75882000000001</v>
      </c>
      <c r="BK199" s="57"/>
      <c r="BL199" s="57"/>
      <c r="BM199" s="57"/>
      <c r="BN199" s="156">
        <v>878.00920900000006</v>
      </c>
      <c r="BO199" s="57"/>
      <c r="BP199" s="57"/>
      <c r="BQ199" s="44"/>
      <c r="BR199" s="156">
        <v>828.50412700000004</v>
      </c>
      <c r="BS199" s="44"/>
      <c r="BT199" s="44"/>
      <c r="BU199" s="44"/>
      <c r="BV199" s="156">
        <v>798.22433699999999</v>
      </c>
      <c r="BW199" s="44"/>
      <c r="BX199" s="44"/>
      <c r="BY199" s="44"/>
      <c r="BZ199" s="156">
        <v>711.417598</v>
      </c>
      <c r="CA199" s="44"/>
      <c r="CB199" s="44"/>
      <c r="CC199" s="44"/>
      <c r="CD199" s="156">
        <v>697.84136699999999</v>
      </c>
      <c r="CE199" s="44"/>
      <c r="CF199" s="44"/>
      <c r="CG199" s="44"/>
      <c r="CH199" s="156">
        <v>618.88300100000004</v>
      </c>
      <c r="CI199" s="119">
        <f>CH198-CH199</f>
        <v>31.710146000000009</v>
      </c>
      <c r="CJ199" s="44"/>
      <c r="CK199" s="44"/>
      <c r="CL199" s="156">
        <v>510.20663100000002</v>
      </c>
      <c r="CM199" s="119">
        <f>CL198-CL199</f>
        <v>40.219706999999971</v>
      </c>
      <c r="CN199" s="44"/>
      <c r="CO199" s="44"/>
      <c r="CP199" s="156">
        <v>480.93517000000003</v>
      </c>
      <c r="CQ199" s="119">
        <f>CP198-CP199</f>
        <v>8.2824449999999956</v>
      </c>
      <c r="CR199" s="44"/>
      <c r="CS199" s="44"/>
      <c r="CT199" s="156">
        <v>467.5027</v>
      </c>
      <c r="CU199" s="119">
        <f>CT198-CT199</f>
        <v>0.19715100000001939</v>
      </c>
      <c r="CV199" s="44"/>
      <c r="CW199" s="44"/>
      <c r="CX199" s="156">
        <v>434.86557399999998</v>
      </c>
      <c r="CY199" s="119">
        <f>CX198-CX199</f>
        <v>5.8584050000000047</v>
      </c>
      <c r="CZ199" s="44"/>
      <c r="DA199" s="44"/>
      <c r="DB199" s="156">
        <v>409</v>
      </c>
      <c r="DC199" s="407">
        <v>-375</v>
      </c>
      <c r="DD199" s="44">
        <v>37.5</v>
      </c>
      <c r="DE199" s="44"/>
      <c r="DF199" s="1433">
        <v>398.47705100000002</v>
      </c>
      <c r="DG199" s="407">
        <v>0</v>
      </c>
      <c r="DH199" s="44">
        <v>20</v>
      </c>
      <c r="DI199" s="44"/>
      <c r="DJ199" s="1433">
        <v>392.15875999999997</v>
      </c>
      <c r="DK199" s="407">
        <v>-100</v>
      </c>
      <c r="DL199" s="221">
        <v>22.3</v>
      </c>
      <c r="DM199" s="44"/>
      <c r="DN199" s="225">
        <f>DN198+DO199/DP199</f>
        <v>382.6521723333334</v>
      </c>
      <c r="DO199" s="407">
        <v>-100</v>
      </c>
      <c r="DP199" s="1843">
        <v>30</v>
      </c>
      <c r="DQ199" s="408"/>
      <c r="DR199" s="408"/>
      <c r="DS199" s="221"/>
      <c r="DT199" s="44"/>
      <c r="DU199" s="44"/>
      <c r="DV199" s="44"/>
      <c r="DW199" s="44"/>
      <c r="DX199" s="44"/>
      <c r="DY199" s="44"/>
      <c r="DZ199" s="44"/>
      <c r="EA199" s="44"/>
      <c r="EB199" s="44"/>
      <c r="EC199" s="44"/>
      <c r="ED199" s="44"/>
    </row>
    <row r="200" spans="1:150" ht="10.9" customHeight="1" outlineLevel="1">
      <c r="A200" s="44" t="str">
        <f>$A$12</f>
        <v>3Q</v>
      </c>
      <c r="B200" s="44" t="str">
        <f>$B$12</f>
        <v>Oct</v>
      </c>
      <c r="C200" s="57"/>
      <c r="D200" s="57"/>
      <c r="E200" s="57"/>
      <c r="F200" s="57"/>
      <c r="G200" s="57"/>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c r="AE200" s="57"/>
      <c r="AF200" s="57"/>
      <c r="AG200" s="57"/>
      <c r="AH200" s="57"/>
      <c r="AI200" s="57"/>
      <c r="AJ200" s="57"/>
      <c r="AK200" s="57"/>
      <c r="AL200" s="57"/>
      <c r="AM200" s="57"/>
      <c r="AN200" s="57"/>
      <c r="AO200" s="57"/>
      <c r="AP200" s="156"/>
      <c r="AQ200" s="57"/>
      <c r="AR200" s="57"/>
      <c r="AS200" s="57"/>
      <c r="AT200" s="156">
        <v>849.69514600000002</v>
      </c>
      <c r="AU200" s="57"/>
      <c r="AV200" s="57"/>
      <c r="AW200" s="57"/>
      <c r="AX200" s="156">
        <v>864.84794099999999</v>
      </c>
      <c r="AY200" s="57"/>
      <c r="AZ200" s="57"/>
      <c r="BA200" s="57"/>
      <c r="BB200" s="156">
        <v>883.89985799999999</v>
      </c>
      <c r="BC200" s="57"/>
      <c r="BD200" s="57"/>
      <c r="BE200" s="57"/>
      <c r="BF200" s="156">
        <v>895.83414300000004</v>
      </c>
      <c r="BG200" s="57"/>
      <c r="BH200" s="57"/>
      <c r="BI200" s="57"/>
      <c r="BJ200" s="156">
        <v>876.73837500000002</v>
      </c>
      <c r="BK200" s="57"/>
      <c r="BL200" s="57"/>
      <c r="BM200" s="57"/>
      <c r="BN200" s="156">
        <v>869.62596199999996</v>
      </c>
      <c r="BO200" s="57"/>
      <c r="BP200" s="57"/>
      <c r="BQ200" s="44"/>
      <c r="BR200" s="156">
        <v>810.62275699999998</v>
      </c>
      <c r="BS200" s="44"/>
      <c r="BT200" s="44"/>
      <c r="BU200" s="44"/>
      <c r="BV200" s="156">
        <v>751.20374300000003</v>
      </c>
      <c r="BW200" s="44"/>
      <c r="BX200" s="44"/>
      <c r="BY200" s="44"/>
      <c r="BZ200" s="156">
        <v>706.48307499999999</v>
      </c>
      <c r="CA200" s="44"/>
      <c r="CB200" s="44"/>
      <c r="CC200" s="44"/>
      <c r="CD200" s="156">
        <v>689.99289899999997</v>
      </c>
      <c r="CE200" s="44"/>
      <c r="CF200" s="44"/>
      <c r="CG200" s="44"/>
      <c r="CH200" s="156">
        <v>614.36039300000004</v>
      </c>
      <c r="CI200" s="119">
        <f>CH199-CH200</f>
        <v>4.5226079999999911</v>
      </c>
      <c r="CJ200" s="44"/>
      <c r="CK200" s="44"/>
      <c r="CL200" s="156">
        <v>488.30523599999998</v>
      </c>
      <c r="CM200" s="119">
        <f>CL199-CL200</f>
        <v>21.901395000000036</v>
      </c>
      <c r="CN200" s="44"/>
      <c r="CO200" s="44"/>
      <c r="CP200" s="156">
        <v>479.419352</v>
      </c>
      <c r="CQ200" s="119">
        <f>CP199-CP200</f>
        <v>1.5158180000000243</v>
      </c>
      <c r="CR200" s="44"/>
      <c r="CS200" s="44"/>
      <c r="CT200" s="156">
        <v>448.97480100000001</v>
      </c>
      <c r="CU200" s="119">
        <f>CT199-CT200</f>
        <v>18.527898999999991</v>
      </c>
      <c r="CV200" s="44"/>
      <c r="CW200" s="44"/>
      <c r="CX200" s="156">
        <v>423.576007</v>
      </c>
      <c r="CY200" s="119">
        <f>CX199-CX200</f>
        <v>11.289566999999977</v>
      </c>
      <c r="CZ200" s="44"/>
      <c r="DA200" s="44"/>
      <c r="DB200" s="156">
        <f>DB199+DC200/DD200</f>
        <v>402.75</v>
      </c>
      <c r="DC200" s="407">
        <v>-200</v>
      </c>
      <c r="DD200" s="44">
        <v>32</v>
      </c>
      <c r="DE200" s="44"/>
      <c r="DF200" s="1433">
        <v>398.88136700000001</v>
      </c>
      <c r="DG200" s="407">
        <v>0</v>
      </c>
      <c r="DH200" s="44">
        <v>15</v>
      </c>
      <c r="DI200" s="44"/>
      <c r="DJ200" s="1433">
        <v>388.85707300000001</v>
      </c>
      <c r="DK200" s="407">
        <v>-100</v>
      </c>
      <c r="DL200" s="221">
        <v>26.64</v>
      </c>
      <c r="DM200" s="44"/>
      <c r="DN200" s="225">
        <f>DN199+DO200/DP200</f>
        <v>379.31883900000008</v>
      </c>
      <c r="DO200" s="407">
        <v>-100</v>
      </c>
      <c r="DP200" s="57">
        <v>30</v>
      </c>
      <c r="DQ200" s="408"/>
      <c r="DR200" s="408"/>
      <c r="DS200" s="44"/>
      <c r="DT200" s="44"/>
      <c r="DU200" s="44"/>
      <c r="DV200" s="44"/>
      <c r="DW200" s="44"/>
      <c r="DX200" s="44"/>
      <c r="DY200" s="44"/>
      <c r="DZ200" s="44"/>
      <c r="EA200" s="44"/>
      <c r="EB200" s="44"/>
      <c r="EC200" s="44"/>
      <c r="ED200" s="44"/>
    </row>
    <row r="201" spans="1:150" ht="10.9" customHeight="1" outlineLevel="1">
      <c r="A201" s="44" t="str">
        <f>$A$13</f>
        <v>4Q</v>
      </c>
      <c r="B201" s="44" t="str">
        <f>$B$13</f>
        <v>Jan</v>
      </c>
      <c r="C201" s="57"/>
      <c r="D201" s="57"/>
      <c r="E201" s="57"/>
      <c r="F201" s="57"/>
      <c r="G201" s="57"/>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c r="AE201" s="57"/>
      <c r="AF201" s="57"/>
      <c r="AG201" s="57"/>
      <c r="AH201" s="57"/>
      <c r="AI201" s="57"/>
      <c r="AJ201" s="57"/>
      <c r="AK201" s="57"/>
      <c r="AL201" s="57"/>
      <c r="AM201" s="57"/>
      <c r="AN201" s="57"/>
      <c r="AO201" s="57"/>
      <c r="AP201" s="156">
        <v>851.57768899999996</v>
      </c>
      <c r="AQ201" s="57"/>
      <c r="AR201" s="57"/>
      <c r="AS201" s="57"/>
      <c r="AT201" s="156">
        <v>854.42940199999998</v>
      </c>
      <c r="AU201" s="57"/>
      <c r="AV201" s="57"/>
      <c r="AW201" s="57"/>
      <c r="AX201" s="156">
        <v>866.75924999999995</v>
      </c>
      <c r="AY201" s="57"/>
      <c r="AZ201" s="57"/>
      <c r="BA201" s="57"/>
      <c r="BB201" s="156">
        <v>889.16448800000001</v>
      </c>
      <c r="BC201" s="57"/>
      <c r="BD201" s="57"/>
      <c r="BE201" s="57"/>
      <c r="BF201" s="156">
        <v>898.09523300000001</v>
      </c>
      <c r="BG201" s="57"/>
      <c r="BH201" s="57"/>
      <c r="BI201" s="57"/>
      <c r="BJ201" s="156">
        <v>858.52925100000004</v>
      </c>
      <c r="BK201" s="57"/>
      <c r="BL201" s="57"/>
      <c r="BM201" s="57"/>
      <c r="BN201" s="156">
        <v>853.61182099999996</v>
      </c>
      <c r="BO201" s="57"/>
      <c r="BP201" s="57"/>
      <c r="BQ201" s="44"/>
      <c r="BR201" s="156">
        <v>815.64673700000003</v>
      </c>
      <c r="BS201" s="44"/>
      <c r="BT201" s="44"/>
      <c r="BU201" s="44"/>
      <c r="BV201" s="156">
        <v>735.07122100000004</v>
      </c>
      <c r="BW201" s="44"/>
      <c r="BX201" s="44"/>
      <c r="BY201" s="44"/>
      <c r="BZ201" s="156">
        <v>695.71823900000004</v>
      </c>
      <c r="CA201" s="44"/>
      <c r="CB201" s="44"/>
      <c r="CC201" s="44"/>
      <c r="CD201" s="156">
        <v>667.42010400000004</v>
      </c>
      <c r="CE201" s="44"/>
      <c r="CF201" s="44"/>
      <c r="CG201" s="44"/>
      <c r="CH201" s="156">
        <v>584.49203199999999</v>
      </c>
      <c r="CI201" s="119">
        <f>CH200-CH201</f>
        <v>29.86836100000005</v>
      </c>
      <c r="CJ201" s="44"/>
      <c r="CK201" s="44"/>
      <c r="CL201" s="156">
        <v>487.72442599999999</v>
      </c>
      <c r="CM201" s="119">
        <f>CL200-CL201</f>
        <v>0.58080999999998539</v>
      </c>
      <c r="CN201" s="44"/>
      <c r="CO201" s="44"/>
      <c r="CP201" s="156">
        <f>CP200+(CP148-CP147)</f>
        <v>470.419352</v>
      </c>
      <c r="CQ201" s="119">
        <f>CP200-CP201</f>
        <v>9</v>
      </c>
      <c r="CR201" s="44"/>
      <c r="CS201" s="44"/>
      <c r="CT201" s="156">
        <v>446</v>
      </c>
      <c r="CU201" s="119">
        <f>CT200-CT201</f>
        <v>2.9748010000000136</v>
      </c>
      <c r="CV201" s="44"/>
      <c r="CW201" s="44"/>
      <c r="CX201" s="156">
        <v>421</v>
      </c>
      <c r="CY201" s="119">
        <f>CX200-CX201</f>
        <v>2.5760070000000042</v>
      </c>
      <c r="CZ201" s="44"/>
      <c r="DA201" s="44"/>
      <c r="DB201" s="156">
        <v>397</v>
      </c>
      <c r="DC201" s="407">
        <v>-193</v>
      </c>
      <c r="DD201" s="44">
        <v>25</v>
      </c>
      <c r="DE201" s="44"/>
      <c r="DF201" s="1433">
        <v>399.84348499999999</v>
      </c>
      <c r="DG201" s="407">
        <v>0</v>
      </c>
      <c r="DH201" s="44">
        <v>15</v>
      </c>
      <c r="DI201" s="44"/>
      <c r="DJ201" s="1433">
        <v>389.31883900000003</v>
      </c>
      <c r="DK201" s="407">
        <v>-15</v>
      </c>
      <c r="DL201" s="221">
        <v>25</v>
      </c>
      <c r="DM201" s="44"/>
      <c r="DN201" s="225">
        <f>DN200+DO201/DP201</f>
        <v>375.98550566666677</v>
      </c>
      <c r="DO201" s="407">
        <v>-100</v>
      </c>
      <c r="DP201" s="57">
        <v>30</v>
      </c>
      <c r="DQ201" s="408"/>
      <c r="DR201" s="408"/>
      <c r="DS201" s="44"/>
      <c r="DT201" s="44"/>
      <c r="DU201" s="44"/>
      <c r="DV201" s="44"/>
      <c r="DW201" s="44"/>
      <c r="DX201" s="44"/>
      <c r="DY201" s="44"/>
      <c r="DZ201" s="44"/>
      <c r="EA201" s="44"/>
      <c r="EB201" s="44"/>
      <c r="EC201" s="44"/>
      <c r="ED201" s="44"/>
      <c r="ET201" s="18"/>
    </row>
    <row r="202" spans="1:150" ht="10.9" customHeight="1" outlineLevel="1">
      <c r="A202" s="44"/>
      <c r="B202" s="44" t="str">
        <f>$B$14</f>
        <v>Year</v>
      </c>
      <c r="C202" s="57"/>
      <c r="D202" s="57"/>
      <c r="E202" s="57"/>
      <c r="F202" s="57"/>
      <c r="G202" s="57"/>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c r="AE202" s="57"/>
      <c r="AF202" s="57"/>
      <c r="AG202" s="57"/>
      <c r="AH202" s="57"/>
      <c r="AI202" s="57"/>
      <c r="AJ202" s="57"/>
      <c r="AK202" s="57"/>
      <c r="AL202" s="57"/>
      <c r="AM202" s="57"/>
      <c r="AN202" s="57"/>
      <c r="AO202" s="57"/>
      <c r="AP202" s="337">
        <f>+AP201</f>
        <v>851.57768899999996</v>
      </c>
      <c r="AQ202" s="57"/>
      <c r="AR202" s="57"/>
      <c r="AS202" s="57"/>
      <c r="AT202" s="337">
        <f>+AT201</f>
        <v>854.42940199999998</v>
      </c>
      <c r="AU202" s="57"/>
      <c r="AV202" s="57"/>
      <c r="AW202" s="57"/>
      <c r="AX202" s="337">
        <f>+AX201</f>
        <v>866.75924999999995</v>
      </c>
      <c r="AY202" s="57"/>
      <c r="AZ202" s="57"/>
      <c r="BA202" s="57"/>
      <c r="BB202" s="337">
        <f>+BB201</f>
        <v>889.16448800000001</v>
      </c>
      <c r="BC202" s="57"/>
      <c r="BD202" s="57"/>
      <c r="BE202" s="57"/>
      <c r="BF202" s="337">
        <f>+BF201</f>
        <v>898.09523300000001</v>
      </c>
      <c r="BG202" s="57"/>
      <c r="BH202" s="57"/>
      <c r="BI202" s="57"/>
      <c r="BJ202" s="337">
        <f>+BJ201</f>
        <v>858.52925100000004</v>
      </c>
      <c r="BK202" s="57"/>
      <c r="BL202" s="57"/>
      <c r="BM202" s="57"/>
      <c r="BN202" s="337">
        <f>+BN201</f>
        <v>853.61182099999996</v>
      </c>
      <c r="BO202" s="57"/>
      <c r="BP202" s="57"/>
      <c r="BQ202" s="44"/>
      <c r="BR202" s="337">
        <f>+BR201</f>
        <v>815.64673700000003</v>
      </c>
      <c r="BS202" s="44"/>
      <c r="BT202" s="44"/>
      <c r="BU202" s="44"/>
      <c r="BV202" s="337">
        <f>+BV201</f>
        <v>735.07122100000004</v>
      </c>
      <c r="BW202" s="44"/>
      <c r="BX202" s="44"/>
      <c r="BY202" s="44"/>
      <c r="BZ202" s="337">
        <f>+BZ201</f>
        <v>695.71823900000004</v>
      </c>
      <c r="CA202" s="44"/>
      <c r="CB202" s="44"/>
      <c r="CC202" s="44"/>
      <c r="CD202" s="337">
        <f>+CD201</f>
        <v>667.42010400000004</v>
      </c>
      <c r="CE202" s="44"/>
      <c r="CF202" s="44"/>
      <c r="CG202" s="44"/>
      <c r="CH202" s="337">
        <f>+CH201</f>
        <v>584.49203199999999</v>
      </c>
      <c r="CI202" s="44"/>
      <c r="CJ202" s="44"/>
      <c r="CK202" s="44"/>
      <c r="CL202" s="337">
        <f>+CL201</f>
        <v>487.72442599999999</v>
      </c>
      <c r="CM202" s="47">
        <f>CL202-CH202</f>
        <v>-96.767606000000001</v>
      </c>
      <c r="CN202" s="44"/>
      <c r="CO202" s="44"/>
      <c r="CP202" s="337">
        <f>+CP201</f>
        <v>470.419352</v>
      </c>
      <c r="CQ202" s="47">
        <f>CP202-CL202</f>
        <v>-17.305073999999991</v>
      </c>
      <c r="CR202" s="44"/>
      <c r="CS202" s="44"/>
      <c r="CT202" s="337">
        <f>+CT201</f>
        <v>446</v>
      </c>
      <c r="CU202" s="47">
        <f>CT202-CP202</f>
        <v>-24.419352000000003</v>
      </c>
      <c r="CV202" s="44"/>
      <c r="CW202" s="44"/>
      <c r="CX202" s="337">
        <f>+CX201</f>
        <v>421</v>
      </c>
      <c r="CY202" s="47">
        <f>CX202-CT202</f>
        <v>-25</v>
      </c>
      <c r="CZ202" s="44"/>
      <c r="DA202" s="44"/>
      <c r="DB202" s="337">
        <f>+DB201</f>
        <v>397</v>
      </c>
      <c r="DC202" s="409">
        <f>flow!BB50</f>
        <v>-1015</v>
      </c>
      <c r="DD202" s="44"/>
      <c r="DE202" s="44"/>
      <c r="DF202" s="337">
        <f>+DF201</f>
        <v>399.84348499999999</v>
      </c>
      <c r="DG202" s="409">
        <f>flow!$BD$50</f>
        <v>0</v>
      </c>
      <c r="DH202" s="44"/>
      <c r="DI202" s="44"/>
      <c r="DJ202" s="337">
        <f>+DJ201</f>
        <v>389.31883900000003</v>
      </c>
      <c r="DK202" s="409">
        <f>flow!$BF$50</f>
        <v>-315</v>
      </c>
      <c r="DL202" s="44"/>
      <c r="DM202" s="44"/>
      <c r="DN202" s="337">
        <f>+DN201</f>
        <v>375.98550566666677</v>
      </c>
      <c r="DO202" s="409">
        <f>flow!$BH$50</f>
        <v>-400</v>
      </c>
      <c r="DP202" s="57"/>
      <c r="DS202" s="44"/>
      <c r="DT202" s="44"/>
      <c r="DU202" s="44"/>
      <c r="DV202" s="44"/>
      <c r="DW202" s="44"/>
      <c r="DX202" s="44"/>
      <c r="DY202" s="44"/>
      <c r="DZ202" s="44"/>
      <c r="EA202" s="44"/>
      <c r="EB202" s="44"/>
      <c r="EC202" s="44"/>
      <c r="ED202" s="44"/>
      <c r="ET202" s="18"/>
    </row>
    <row r="203" spans="1:150" ht="10.9" customHeight="1" outlineLevel="1">
      <c r="A203" s="44" t="str">
        <f>$A$15</f>
        <v>6 Mos</v>
      </c>
      <c r="B203" s="44"/>
      <c r="C203" s="57"/>
      <c r="D203" s="57"/>
      <c r="E203" s="57"/>
      <c r="F203" s="57"/>
      <c r="G203" s="57"/>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c r="AE203" s="57"/>
      <c r="AF203" s="57"/>
      <c r="AG203" s="57"/>
      <c r="AH203" s="57"/>
      <c r="AI203" s="57"/>
      <c r="AJ203" s="57"/>
      <c r="AK203" s="57"/>
      <c r="AL203" s="57"/>
      <c r="AM203" s="57"/>
      <c r="AN203" s="57"/>
      <c r="AO203" s="57"/>
      <c r="AP203" s="57"/>
      <c r="AQ203" s="57"/>
      <c r="AR203" s="57"/>
      <c r="AS203" s="57"/>
      <c r="AT203" s="57"/>
      <c r="AU203" s="57"/>
      <c r="AV203" s="57"/>
      <c r="AW203" s="57"/>
      <c r="AX203" s="57"/>
      <c r="AY203" s="57"/>
      <c r="AZ203" s="57"/>
      <c r="BA203" s="57"/>
      <c r="BB203" s="57"/>
      <c r="BC203" s="57"/>
      <c r="BD203" s="57"/>
      <c r="BE203" s="57"/>
      <c r="BF203" s="57"/>
      <c r="BG203" s="57"/>
      <c r="BH203" s="57"/>
      <c r="BI203" s="57"/>
      <c r="BJ203" s="57"/>
      <c r="BK203" s="57"/>
      <c r="BL203" s="57"/>
      <c r="BM203" s="57"/>
      <c r="BN203" s="57"/>
      <c r="BO203" s="57"/>
      <c r="BP203" s="57"/>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57"/>
      <c r="DO203" s="57"/>
      <c r="DP203" s="57"/>
      <c r="DQ203" s="44"/>
      <c r="DR203" s="44"/>
      <c r="DS203" s="44"/>
      <c r="DT203" s="44"/>
      <c r="DU203" s="44"/>
      <c r="DV203" s="44"/>
      <c r="DW203" s="44"/>
      <c r="DX203" s="44"/>
      <c r="DY203" s="44"/>
      <c r="DZ203" s="44"/>
      <c r="EA203" s="44"/>
      <c r="EB203" s="44"/>
      <c r="EC203" s="44"/>
      <c r="ED203" s="44"/>
      <c r="ET203" s="18"/>
    </row>
    <row r="204" spans="1:150" ht="10.9" customHeight="1" outlineLevel="1">
      <c r="A204" s="44"/>
      <c r="B204" s="44"/>
      <c r="C204" s="57"/>
      <c r="D204" s="57"/>
      <c r="E204" s="57"/>
      <c r="F204" s="57"/>
      <c r="G204" s="57"/>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c r="AE204" s="57"/>
      <c r="AF204" s="57"/>
      <c r="AG204" s="57"/>
      <c r="AH204" s="57"/>
      <c r="AI204" s="57"/>
      <c r="AJ204" s="57"/>
      <c r="AK204" s="57"/>
      <c r="AL204" s="57"/>
      <c r="AM204" s="57"/>
      <c r="AN204" s="57"/>
      <c r="AO204" s="57"/>
      <c r="AP204" s="57"/>
      <c r="AQ204" s="57"/>
      <c r="AR204" s="57"/>
      <c r="AS204" s="57"/>
      <c r="AT204" s="57"/>
      <c r="AU204" s="57"/>
      <c r="AV204" s="57"/>
      <c r="AW204" s="57"/>
      <c r="AX204" s="57"/>
      <c r="AY204" s="57"/>
      <c r="AZ204" s="57"/>
      <c r="BA204" s="57"/>
      <c r="BB204" s="57"/>
      <c r="BC204" s="57"/>
      <c r="BD204" s="57"/>
      <c r="BE204" s="57"/>
      <c r="BF204" s="57"/>
      <c r="BG204" s="57"/>
      <c r="BH204" s="57"/>
      <c r="BI204" s="57"/>
      <c r="BJ204" s="57"/>
      <c r="BK204" s="57"/>
      <c r="BL204" s="57"/>
      <c r="BM204" s="57"/>
      <c r="BN204" s="57"/>
      <c r="BO204" s="57"/>
      <c r="BP204" s="57"/>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57"/>
      <c r="DO204" s="57"/>
      <c r="DP204" s="57"/>
      <c r="DQ204" s="44"/>
      <c r="DR204" s="44"/>
      <c r="DS204" s="44"/>
      <c r="DT204" s="44"/>
      <c r="DU204" s="44"/>
      <c r="DV204" s="44"/>
      <c r="DW204" s="44"/>
      <c r="DX204" s="44"/>
      <c r="DY204" s="44"/>
      <c r="DZ204" s="44"/>
      <c r="EA204" s="44"/>
      <c r="EB204" s="44"/>
      <c r="EC204" s="44"/>
      <c r="ED204" s="44"/>
    </row>
    <row r="205" spans="1:150" ht="10.9" customHeight="1" outlineLevel="1">
      <c r="A205" s="44"/>
      <c r="B205" s="44"/>
      <c r="C205" s="57"/>
      <c r="D205" s="57"/>
      <c r="E205" s="57"/>
      <c r="F205" s="57"/>
      <c r="G205" s="57"/>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c r="AE205" s="57"/>
      <c r="AF205" s="57"/>
      <c r="AG205" s="57"/>
      <c r="AH205" s="57"/>
      <c r="AI205" s="57"/>
      <c r="AJ205" s="57"/>
      <c r="AK205" s="57"/>
      <c r="AL205" s="57"/>
      <c r="AM205" s="57"/>
      <c r="AN205" s="57"/>
      <c r="AO205" s="57"/>
      <c r="AP205" s="57"/>
      <c r="AQ205" s="57"/>
      <c r="AR205" s="57"/>
      <c r="AS205" s="57"/>
      <c r="AT205" s="57"/>
      <c r="AU205" s="57"/>
      <c r="AV205" s="57"/>
      <c r="AW205" s="57"/>
      <c r="AX205" s="57"/>
      <c r="AY205" s="57"/>
      <c r="AZ205" s="57"/>
      <c r="BA205" s="57"/>
      <c r="BB205" s="57"/>
      <c r="BC205" s="57"/>
      <c r="BD205" s="57"/>
      <c r="BE205" s="57"/>
      <c r="BF205" s="57"/>
      <c r="BG205" s="57"/>
      <c r="BH205" s="57"/>
      <c r="BI205" s="57"/>
      <c r="BJ205" s="57"/>
      <c r="BK205" s="57"/>
      <c r="BL205" s="57"/>
      <c r="BM205" s="57"/>
      <c r="BN205" s="57"/>
      <c r="BO205" s="57"/>
      <c r="BP205" s="57"/>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57"/>
      <c r="DO205" s="57"/>
      <c r="DP205" s="57"/>
      <c r="DQ205" s="44"/>
      <c r="DR205" s="44"/>
      <c r="DS205" s="44"/>
      <c r="DT205" s="44"/>
      <c r="DU205" s="44"/>
      <c r="DV205" s="44"/>
      <c r="DW205" s="44"/>
      <c r="DX205" s="44"/>
      <c r="DY205" s="44"/>
      <c r="DZ205" s="44"/>
      <c r="EA205" s="44"/>
      <c r="EB205" s="44"/>
      <c r="EC205" s="44"/>
      <c r="ED205" s="44"/>
    </row>
    <row r="206" spans="1:150" ht="10.9" customHeight="1" outlineLevel="1">
      <c r="A206" s="44"/>
      <c r="B206" s="44"/>
      <c r="C206" s="57"/>
      <c r="D206" s="57"/>
      <c r="E206" s="57"/>
      <c r="F206" s="57"/>
      <c r="G206" s="57"/>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c r="AE206" s="57"/>
      <c r="AF206" s="57"/>
      <c r="AG206" s="57"/>
      <c r="AH206" s="57"/>
      <c r="AI206" s="57"/>
      <c r="AJ206" s="57"/>
      <c r="AK206" s="57"/>
      <c r="AL206" s="57"/>
      <c r="AM206" s="57"/>
      <c r="AN206" s="57"/>
      <c r="AO206" s="57"/>
      <c r="AP206" s="57"/>
      <c r="AQ206" s="57"/>
      <c r="AR206" s="57"/>
      <c r="AS206" s="57"/>
      <c r="AT206" s="57"/>
      <c r="AU206" s="57"/>
      <c r="AV206" s="57"/>
      <c r="AW206" s="57"/>
      <c r="AX206" s="57"/>
      <c r="AY206" s="57"/>
      <c r="AZ206" s="57"/>
      <c r="BA206" s="57"/>
      <c r="BB206" s="57"/>
      <c r="BC206" s="57"/>
      <c r="BD206" s="57"/>
      <c r="BE206" s="57"/>
      <c r="BF206" s="57"/>
      <c r="BG206" s="57"/>
      <c r="BH206" s="57"/>
      <c r="BI206" s="57"/>
      <c r="BJ206" s="57"/>
      <c r="BK206" s="57"/>
      <c r="BL206" s="57"/>
      <c r="BM206" s="57"/>
      <c r="BN206" s="57"/>
      <c r="BO206" s="57"/>
      <c r="BP206" s="57"/>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57"/>
      <c r="DO206" s="57"/>
      <c r="DP206" s="57"/>
      <c r="DQ206" s="44"/>
      <c r="DR206" s="44"/>
      <c r="DS206" s="44"/>
      <c r="DT206" s="44"/>
      <c r="DU206" s="44"/>
      <c r="DV206" s="44"/>
      <c r="DW206" s="44"/>
      <c r="DX206" s="44"/>
      <c r="DY206" s="44"/>
      <c r="DZ206" s="44"/>
      <c r="EA206" s="44"/>
      <c r="EB206" s="44"/>
      <c r="EC206" s="44"/>
      <c r="ED206" s="44"/>
    </row>
    <row r="207" spans="1:150" ht="10.9" customHeight="1" outlineLevel="1">
      <c r="A207" s="44"/>
      <c r="B207" s="44"/>
      <c r="C207" s="57"/>
      <c r="D207" s="57"/>
      <c r="E207" s="57"/>
      <c r="F207" s="57"/>
      <c r="G207" s="57"/>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c r="AE207" s="57"/>
      <c r="AF207" s="57"/>
      <c r="AG207" s="57"/>
      <c r="AH207" s="57"/>
      <c r="AI207" s="57"/>
      <c r="AJ207" s="57"/>
      <c r="AK207" s="57"/>
      <c r="AL207" s="57"/>
      <c r="AM207" s="57"/>
      <c r="AN207" s="57"/>
      <c r="AO207" s="57"/>
      <c r="AP207" s="135"/>
      <c r="AQ207" s="57"/>
      <c r="AR207" s="57"/>
      <c r="AS207" s="57"/>
      <c r="AT207" s="57"/>
      <c r="AU207" s="57"/>
      <c r="AV207" s="57"/>
      <c r="AW207" s="57"/>
      <c r="AX207" s="57"/>
      <c r="AY207" s="57"/>
      <c r="AZ207" s="57"/>
      <c r="BA207" s="57"/>
      <c r="BB207" s="57"/>
      <c r="BC207" s="57"/>
      <c r="BD207" s="57"/>
      <c r="BE207" s="57"/>
      <c r="BF207" s="57"/>
      <c r="BG207" s="57"/>
      <c r="BH207" s="57"/>
      <c r="BI207" s="57"/>
      <c r="BJ207" s="57"/>
      <c r="BK207" s="57"/>
      <c r="BL207" s="57"/>
      <c r="BM207" s="57"/>
      <c r="BN207" s="57"/>
      <c r="BO207" s="57"/>
      <c r="BP207" s="57"/>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119"/>
      <c r="CY207" s="44"/>
      <c r="CZ207" s="44"/>
      <c r="DA207" s="44"/>
      <c r="DB207" s="44"/>
      <c r="DC207" s="44"/>
      <c r="DD207" s="44"/>
      <c r="DE207" s="44"/>
      <c r="DF207" s="44"/>
      <c r="DG207" s="44"/>
      <c r="DH207" s="44"/>
      <c r="DI207" s="44"/>
      <c r="DJ207" s="44"/>
      <c r="DK207" s="44"/>
      <c r="DL207" s="44"/>
      <c r="DM207" s="44"/>
      <c r="DN207" s="57"/>
      <c r="DO207" s="57"/>
      <c r="DP207" s="57"/>
      <c r="DQ207" s="44"/>
      <c r="DR207" s="44"/>
      <c r="DS207" s="44"/>
      <c r="DT207" s="44"/>
      <c r="DU207" s="44"/>
      <c r="DV207" s="44"/>
      <c r="DW207" s="44"/>
      <c r="DX207" s="44"/>
      <c r="DY207" s="44"/>
      <c r="DZ207" s="44"/>
      <c r="EA207" s="44"/>
      <c r="EB207" s="44"/>
      <c r="EC207" s="44"/>
      <c r="ED207" s="44"/>
    </row>
    <row r="208" spans="1:150" ht="10.9" customHeight="1" outlineLevel="1" thickBot="1">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c r="BH208" s="24"/>
      <c r="BI208" s="24"/>
      <c r="BJ208" s="24"/>
      <c r="BK208" s="24"/>
      <c r="BL208" s="24"/>
      <c r="BM208" s="24"/>
      <c r="BN208" s="24"/>
      <c r="BO208" s="24"/>
      <c r="BP208" s="24"/>
      <c r="BV208" s="12"/>
      <c r="BZ208" s="12" t="s">
        <v>199</v>
      </c>
      <c r="CH208" s="245" t="str">
        <f>+BZ208</f>
        <v>Weighted Avg. Basic Shares Out</v>
      </c>
    </row>
    <row r="209" spans="1:134" ht="10.9" customHeight="1" outlineLevel="1">
      <c r="A209" s="10" t="str">
        <f>$A$10</f>
        <v>1Q</v>
      </c>
      <c r="B209" s="10" t="str">
        <f>$B$10</f>
        <v>Apr</v>
      </c>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337">
        <f>+-(AP146-AP210)+AP145</f>
        <v>861.18618449999997</v>
      </c>
      <c r="AQ209" s="57"/>
      <c r="AR209" s="57"/>
      <c r="AS209" s="57"/>
      <c r="AT209" s="57">
        <v>850.32600000000002</v>
      </c>
      <c r="AU209" s="57"/>
      <c r="AV209" s="57"/>
      <c r="AW209" s="57"/>
      <c r="AX209" s="57">
        <v>854.33299999999997</v>
      </c>
      <c r="AY209" s="57"/>
      <c r="AZ209" s="57"/>
      <c r="BA209" s="57"/>
      <c r="BB209" s="57">
        <v>866.68600000000004</v>
      </c>
      <c r="BC209" s="57"/>
      <c r="BD209" s="57"/>
      <c r="BE209" s="57"/>
      <c r="BF209" s="57">
        <v>888.81399999999996</v>
      </c>
      <c r="BG209" s="57"/>
      <c r="BH209" s="57"/>
      <c r="BI209" s="57"/>
      <c r="BJ209" s="57">
        <v>898.08199999999999</v>
      </c>
      <c r="BK209" s="57"/>
      <c r="BL209" s="57"/>
      <c r="BM209" s="57"/>
      <c r="BN209" s="391">
        <f>AVERAGE(BN198,BJ201)</f>
        <v>880.31724250000002</v>
      </c>
      <c r="BO209" s="57"/>
      <c r="BP209" s="57"/>
      <c r="BQ209" s="44"/>
      <c r="BR209" s="156">
        <v>852.73900000000003</v>
      </c>
      <c r="BS209" s="44"/>
      <c r="BT209" s="44"/>
      <c r="BU209" s="44"/>
      <c r="BV209" s="156">
        <v>815</v>
      </c>
      <c r="BW209" s="44"/>
      <c r="BX209" s="44"/>
      <c r="BY209" s="44"/>
      <c r="BZ209" s="156">
        <v>733</v>
      </c>
      <c r="CA209" s="44"/>
      <c r="CB209" s="44"/>
      <c r="CC209" s="44"/>
      <c r="CD209" s="156">
        <v>695</v>
      </c>
      <c r="CE209" s="44"/>
      <c r="CF209" s="44"/>
      <c r="CG209" s="44"/>
      <c r="CH209" s="156">
        <v>668</v>
      </c>
      <c r="CI209" s="119">
        <f>CH145-CH209</f>
        <v>8</v>
      </c>
      <c r="CJ209" s="44"/>
      <c r="CK209" s="44"/>
      <c r="CL209" s="156">
        <v>583</v>
      </c>
      <c r="CM209" s="119">
        <f>CL145-CL209</f>
        <v>5</v>
      </c>
      <c r="CN209" s="44"/>
      <c r="CO209" s="44"/>
      <c r="CP209" s="156">
        <v>489</v>
      </c>
      <c r="CQ209" s="119">
        <f>CP145-CP209</f>
        <v>5</v>
      </c>
      <c r="CR209" s="44"/>
      <c r="CS209" s="44"/>
      <c r="CT209" s="156">
        <v>464</v>
      </c>
      <c r="CU209" s="119">
        <f>CT145-CT209</f>
        <v>7</v>
      </c>
      <c r="CV209" s="44"/>
      <c r="CW209" s="44"/>
      <c r="CX209" s="156">
        <v>445</v>
      </c>
      <c r="CY209" s="119">
        <f>CX145-CX209</f>
        <v>6</v>
      </c>
      <c r="CZ209" s="44"/>
      <c r="DA209" s="44"/>
      <c r="DB209" s="156">
        <v>421</v>
      </c>
      <c r="DC209" s="119">
        <f>DB145-DB209</f>
        <v>3</v>
      </c>
      <c r="DD209" s="44"/>
      <c r="DE209" s="44"/>
      <c r="DF209" s="156">
        <v>398</v>
      </c>
      <c r="DG209" s="119">
        <f>DF145-DF209</f>
        <v>1</v>
      </c>
      <c r="DH209" s="44"/>
      <c r="DI209" s="44"/>
      <c r="DJ209" s="1433">
        <v>399</v>
      </c>
      <c r="DK209" s="119">
        <f>DJ145-DJ209</f>
        <v>1</v>
      </c>
      <c r="DL209" s="44"/>
      <c r="DM209" s="44"/>
      <c r="DN209" s="1433">
        <f>DJ212-100/30</f>
        <v>385.66666666666669</v>
      </c>
      <c r="DO209" s="225">
        <f>DN145-DN209</f>
        <v>4</v>
      </c>
      <c r="DP209" s="57"/>
      <c r="DQ209" s="44"/>
      <c r="DR209" s="44"/>
      <c r="DS209" s="44"/>
      <c r="DT209" s="44"/>
      <c r="DU209" s="44"/>
      <c r="DV209" s="44"/>
      <c r="DW209" s="44"/>
      <c r="DX209" s="44"/>
      <c r="DY209" s="44"/>
      <c r="DZ209" s="44"/>
      <c r="EA209" s="44"/>
      <c r="EB209" s="44"/>
      <c r="EC209" s="44"/>
      <c r="ED209" s="44"/>
    </row>
    <row r="210" spans="1:134" ht="10.9" customHeight="1" outlineLevel="1">
      <c r="A210" s="44" t="str">
        <f>$A$11</f>
        <v>2Q</v>
      </c>
      <c r="B210" s="44" t="str">
        <f>$B$11</f>
        <v>Jul</v>
      </c>
      <c r="C210" s="57"/>
      <c r="D210" s="57"/>
      <c r="E210" s="57"/>
      <c r="F210" s="57"/>
      <c r="G210" s="57"/>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c r="AE210" s="57"/>
      <c r="AF210" s="57"/>
      <c r="AG210" s="57"/>
      <c r="AH210" s="57"/>
      <c r="AI210" s="57"/>
      <c r="AJ210" s="57"/>
      <c r="AK210" s="57"/>
      <c r="AL210" s="57"/>
      <c r="AM210" s="57"/>
      <c r="AN210" s="57"/>
      <c r="AO210" s="57"/>
      <c r="AP210" s="337">
        <f>+-(AP147-AP211)+AP146</f>
        <v>860.13344599999994</v>
      </c>
      <c r="AQ210" s="57"/>
      <c r="AR210" s="57"/>
      <c r="AS210" s="57"/>
      <c r="AT210" s="57">
        <v>849.64099999999996</v>
      </c>
      <c r="AU210" s="57"/>
      <c r="AV210" s="57"/>
      <c r="AW210" s="57"/>
      <c r="AX210" s="57">
        <v>859.67100000000005</v>
      </c>
      <c r="AY210" s="57"/>
      <c r="AZ210" s="57"/>
      <c r="BA210" s="57"/>
      <c r="BB210" s="57">
        <v>869.51900000000001</v>
      </c>
      <c r="BC210" s="57"/>
      <c r="BD210" s="57"/>
      <c r="BE210" s="57"/>
      <c r="BF210" s="57">
        <v>891.702</v>
      </c>
      <c r="BG210" s="57"/>
      <c r="BH210" s="57"/>
      <c r="BI210" s="57"/>
      <c r="BJ210" s="156">
        <f>AVERAGE(BJ199,BJ198)</f>
        <v>901.99598600000002</v>
      </c>
      <c r="BK210" s="57"/>
      <c r="BL210" s="57"/>
      <c r="BM210" s="57"/>
      <c r="BN210" s="392">
        <f>AVERAGE(BN199,BN198)</f>
        <v>890.05722149999997</v>
      </c>
      <c r="BO210" s="57"/>
      <c r="BP210" s="57"/>
      <c r="BQ210" s="44"/>
      <c r="BR210" s="156">
        <v>835.06</v>
      </c>
      <c r="BS210" s="44"/>
      <c r="BT210" s="44"/>
      <c r="BU210" s="44"/>
      <c r="BV210" s="156">
        <v>813.73699999999997</v>
      </c>
      <c r="BW210" s="44"/>
      <c r="BX210" s="44"/>
      <c r="BY210" s="44"/>
      <c r="BZ210" s="156">
        <v>717</v>
      </c>
      <c r="CA210" s="44"/>
      <c r="CB210" s="44"/>
      <c r="CC210" s="44"/>
      <c r="CD210" s="156">
        <v>697</v>
      </c>
      <c r="CE210" s="44"/>
      <c r="CF210" s="44"/>
      <c r="CG210" s="44"/>
      <c r="CH210" s="156">
        <v>646</v>
      </c>
      <c r="CI210" s="119">
        <f>CH146-CH210</f>
        <v>5</v>
      </c>
      <c r="CJ210" s="44"/>
      <c r="CK210" s="44"/>
      <c r="CL210" s="156">
        <v>542</v>
      </c>
      <c r="CM210" s="119">
        <f>CL146-CL210</f>
        <v>3</v>
      </c>
      <c r="CN210" s="44"/>
      <c r="CO210" s="44"/>
      <c r="CP210" s="156">
        <v>486</v>
      </c>
      <c r="CQ210" s="119">
        <f>CP146-CP210</f>
        <v>5</v>
      </c>
      <c r="CR210" s="44"/>
      <c r="CS210" s="44"/>
      <c r="CT210" s="156">
        <v>468</v>
      </c>
      <c r="CU210" s="119">
        <f>CT146-CT210</f>
        <v>5</v>
      </c>
      <c r="CV210" s="44"/>
      <c r="CW210" s="44"/>
      <c r="CX210" s="156">
        <v>439</v>
      </c>
      <c r="CY210" s="119">
        <f>CX146-CX210</f>
        <v>4</v>
      </c>
      <c r="CZ210" s="44"/>
      <c r="DA210" s="44"/>
      <c r="DB210" s="156">
        <f>AVERAGE(DB198,DB199)</f>
        <v>414</v>
      </c>
      <c r="DC210" s="119">
        <f>DB146-DB210</f>
        <v>4</v>
      </c>
      <c r="DD210" s="44"/>
      <c r="DE210" s="44"/>
      <c r="DF210" s="156">
        <v>398</v>
      </c>
      <c r="DG210" s="119">
        <f>DF146-DF210</f>
        <v>1</v>
      </c>
      <c r="DH210" s="44"/>
      <c r="DI210" s="44"/>
      <c r="DJ210" s="1433">
        <v>395</v>
      </c>
      <c r="DK210" s="119">
        <f>DJ146-DJ210</f>
        <v>1</v>
      </c>
      <c r="DL210" s="44"/>
      <c r="DM210" s="44"/>
      <c r="DN210" s="1433">
        <f>DN209-3.33333333333333</f>
        <v>382.33333333333337</v>
      </c>
      <c r="DO210" s="225">
        <f>DN146-DN210</f>
        <v>4</v>
      </c>
      <c r="DP210" s="57"/>
      <c r="DQ210" s="44"/>
      <c r="DR210" s="44"/>
      <c r="DS210" s="44"/>
      <c r="DT210" s="44"/>
      <c r="DU210" s="44"/>
      <c r="DV210" s="44"/>
      <c r="DW210" s="44"/>
      <c r="DX210" s="44"/>
      <c r="DY210" s="44"/>
      <c r="DZ210" s="44"/>
      <c r="EA210" s="44"/>
      <c r="EB210" s="44"/>
      <c r="EC210" s="44"/>
      <c r="ED210" s="44"/>
    </row>
    <row r="211" spans="1:134" ht="10.9" customHeight="1" outlineLevel="1">
      <c r="A211" s="44" t="str">
        <f>$A$12</f>
        <v>3Q</v>
      </c>
      <c r="B211" s="44" t="str">
        <f>$B$12</f>
        <v>Oct</v>
      </c>
      <c r="C211" s="57"/>
      <c r="D211" s="57"/>
      <c r="E211" s="57"/>
      <c r="F211" s="57"/>
      <c r="G211" s="57"/>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c r="AE211" s="57"/>
      <c r="AF211" s="57"/>
      <c r="AG211" s="57"/>
      <c r="AH211" s="57"/>
      <c r="AI211" s="57"/>
      <c r="AJ211" s="57"/>
      <c r="AK211" s="57"/>
      <c r="AL211" s="57"/>
      <c r="AM211" s="57"/>
      <c r="AN211" s="57"/>
      <c r="AO211" s="57"/>
      <c r="AP211" s="337">
        <f>+-(AP148-AP212)+AP147</f>
        <v>852.467446</v>
      </c>
      <c r="AQ211" s="57"/>
      <c r="AR211" s="57"/>
      <c r="AS211" s="57"/>
      <c r="AT211" s="57">
        <v>848.75400000000002</v>
      </c>
      <c r="AU211" s="57"/>
      <c r="AV211" s="57"/>
      <c r="AW211" s="57"/>
      <c r="AX211" s="57">
        <v>862.42</v>
      </c>
      <c r="AY211" s="57"/>
      <c r="AZ211" s="57"/>
      <c r="BA211" s="57"/>
      <c r="BB211" s="57">
        <v>879.27599999999995</v>
      </c>
      <c r="BC211" s="57"/>
      <c r="BD211" s="57"/>
      <c r="BE211" s="57"/>
      <c r="BF211" s="57">
        <v>893.71</v>
      </c>
      <c r="BG211" s="57"/>
      <c r="BH211" s="57"/>
      <c r="BI211" s="57"/>
      <c r="BJ211" s="156">
        <f>AVERAGE(BJ200,BJ199)</f>
        <v>890.24859749999996</v>
      </c>
      <c r="BK211" s="57"/>
      <c r="BL211" s="57"/>
      <c r="BM211" s="57"/>
      <c r="BN211" s="392">
        <f>AVERAGE(BN200,BN199)</f>
        <v>873.81758549999995</v>
      </c>
      <c r="BO211" s="57"/>
      <c r="BP211" s="57"/>
      <c r="BQ211" s="44"/>
      <c r="BR211" s="156">
        <v>825</v>
      </c>
      <c r="BS211" s="44"/>
      <c r="BT211" s="44"/>
      <c r="BU211" s="44"/>
      <c r="BV211" s="156">
        <v>788</v>
      </c>
      <c r="BW211" s="44"/>
      <c r="BX211" s="44"/>
      <c r="BY211" s="44"/>
      <c r="BZ211" s="156">
        <v>709</v>
      </c>
      <c r="CA211" s="44"/>
      <c r="CB211" s="44"/>
      <c r="CC211" s="44"/>
      <c r="CD211" s="156">
        <v>698</v>
      </c>
      <c r="CE211" s="44"/>
      <c r="CF211" s="44"/>
      <c r="CG211" s="44"/>
      <c r="CH211" s="156">
        <v>622</v>
      </c>
      <c r="CI211" s="119">
        <f>CH147-CH211</f>
        <v>4</v>
      </c>
      <c r="CJ211" s="44"/>
      <c r="CK211" s="44"/>
      <c r="CL211" s="156">
        <v>503</v>
      </c>
      <c r="CM211" s="119">
        <f>CL147-CL211</f>
        <v>2</v>
      </c>
      <c r="CN211" s="44"/>
      <c r="CO211" s="44"/>
      <c r="CP211" s="156">
        <v>481</v>
      </c>
      <c r="CQ211" s="119">
        <f>CP147-CP211</f>
        <v>7</v>
      </c>
      <c r="CR211" s="44"/>
      <c r="CS211" s="44"/>
      <c r="CT211" s="156">
        <v>463</v>
      </c>
      <c r="CU211" s="119">
        <f>CT147-CT211</f>
        <v>5</v>
      </c>
      <c r="CV211" s="44"/>
      <c r="CW211" s="44"/>
      <c r="CX211" s="156">
        <v>432</v>
      </c>
      <c r="CY211" s="119">
        <f>CX147-CX211</f>
        <v>5</v>
      </c>
      <c r="CZ211" s="44"/>
      <c r="DA211" s="44"/>
      <c r="DB211" s="156">
        <v>406</v>
      </c>
      <c r="DC211" s="119">
        <f>DB147-DB211</f>
        <v>2</v>
      </c>
      <c r="DD211" s="44"/>
      <c r="DE211" s="44"/>
      <c r="DF211" s="1433">
        <v>399</v>
      </c>
      <c r="DG211" s="119">
        <f>DF147-DF211</f>
        <v>1</v>
      </c>
      <c r="DH211" s="44"/>
      <c r="DI211" s="44"/>
      <c r="DJ211" s="1433">
        <v>391</v>
      </c>
      <c r="DK211" s="119">
        <f>DJ147-DJ211</f>
        <v>2</v>
      </c>
      <c r="DL211" s="44"/>
      <c r="DM211" s="44"/>
      <c r="DN211" s="1433">
        <f t="shared" ref="DN211:DN212" si="414">DN210-3.33333333333333</f>
        <v>379.00000000000006</v>
      </c>
      <c r="DO211" s="225">
        <f>DN147-DN211</f>
        <v>4</v>
      </c>
      <c r="DP211" s="57"/>
      <c r="DQ211" s="44"/>
      <c r="DR211" s="44"/>
      <c r="DS211" s="44"/>
      <c r="DT211" s="44"/>
      <c r="DU211" s="44"/>
      <c r="DV211" s="44"/>
      <c r="DW211" s="44"/>
      <c r="DX211" s="44"/>
      <c r="DY211" s="44"/>
      <c r="DZ211" s="44"/>
      <c r="EA211" s="44"/>
      <c r="EB211" s="44"/>
      <c r="EC211" s="44"/>
      <c r="ED211" s="44"/>
    </row>
    <row r="212" spans="1:134" ht="10.9" customHeight="1" outlineLevel="1">
      <c r="A212" s="44" t="str">
        <f>$A$13</f>
        <v>4Q</v>
      </c>
      <c r="B212" s="44" t="str">
        <f>$B$13</f>
        <v>Jan</v>
      </c>
      <c r="C212" s="57"/>
      <c r="D212" s="57"/>
      <c r="E212" s="57"/>
      <c r="F212" s="57"/>
      <c r="G212" s="57"/>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c r="AE212" s="57"/>
      <c r="AF212" s="57"/>
      <c r="AG212" s="57"/>
      <c r="AH212" s="57"/>
      <c r="AI212" s="57"/>
      <c r="AJ212" s="57"/>
      <c r="AK212" s="57"/>
      <c r="AL212" s="57"/>
      <c r="AM212" s="57"/>
      <c r="AN212" s="57"/>
      <c r="AO212" s="57"/>
      <c r="AP212" s="57">
        <v>849.654</v>
      </c>
      <c r="AQ212" s="57"/>
      <c r="AR212" s="57"/>
      <c r="AS212" s="57"/>
      <c r="AT212" s="57">
        <v>850.46799999999996</v>
      </c>
      <c r="AU212" s="57"/>
      <c r="AV212" s="57"/>
      <c r="AW212" s="57"/>
      <c r="AX212" s="57">
        <v>864.60199999999998</v>
      </c>
      <c r="AY212" s="57"/>
      <c r="AZ212" s="57"/>
      <c r="BA212" s="57"/>
      <c r="BB212" s="57">
        <v>886.702</v>
      </c>
      <c r="BC212" s="57"/>
      <c r="BD212" s="57"/>
      <c r="BE212" s="57"/>
      <c r="BF212" s="57">
        <v>896.01199999999994</v>
      </c>
      <c r="BG212" s="57"/>
      <c r="BH212" s="57"/>
      <c r="BI212" s="57"/>
      <c r="BJ212" s="156">
        <f>AVERAGE(BJ201,BJ200)</f>
        <v>867.63381300000003</v>
      </c>
      <c r="BK212" s="57"/>
      <c r="BL212" s="57"/>
      <c r="BM212" s="57"/>
      <c r="BN212" s="393">
        <f>AVERAGE(BN201,BN200)</f>
        <v>861.61889150000002</v>
      </c>
      <c r="BO212" s="57"/>
      <c r="BP212" s="57"/>
      <c r="BQ212" s="44"/>
      <c r="BR212" s="163">
        <v>813</v>
      </c>
      <c r="BS212" s="44"/>
      <c r="BT212" s="44"/>
      <c r="BU212" s="44"/>
      <c r="BV212" s="163">
        <v>745</v>
      </c>
      <c r="BW212" s="44"/>
      <c r="BX212" s="44"/>
      <c r="BY212" s="44"/>
      <c r="BZ212" s="163">
        <f>AVERAGE(BZ201,BZ200)</f>
        <v>701.10065699999996</v>
      </c>
      <c r="CA212" s="44"/>
      <c r="CB212" s="44"/>
      <c r="CC212" s="44"/>
      <c r="CD212" s="163">
        <v>686</v>
      </c>
      <c r="CE212" s="44"/>
      <c r="CF212" s="44"/>
      <c r="CG212" s="44"/>
      <c r="CH212" s="163">
        <v>606</v>
      </c>
      <c r="CI212" s="119">
        <f>CH148-CH212</f>
        <v>6</v>
      </c>
      <c r="CJ212" s="44"/>
      <c r="CK212" s="44"/>
      <c r="CL212" s="163">
        <v>488</v>
      </c>
      <c r="CM212" s="119">
        <f>CL148-CL212</f>
        <v>4</v>
      </c>
      <c r="CN212" s="44"/>
      <c r="CO212" s="44"/>
      <c r="CP212" s="163">
        <v>472</v>
      </c>
      <c r="CQ212" s="119">
        <f>CP148-CP212</f>
        <v>7</v>
      </c>
      <c r="CR212" s="44"/>
      <c r="CS212" s="44"/>
      <c r="CT212" s="163">
        <v>449</v>
      </c>
      <c r="CU212" s="119">
        <f>CT148-CT212</f>
        <v>5</v>
      </c>
      <c r="CV212" s="44"/>
      <c r="CW212" s="44"/>
      <c r="CX212" s="163">
        <v>423</v>
      </c>
      <c r="CY212" s="119">
        <f>CX148-CX212</f>
        <v>5</v>
      </c>
      <c r="CZ212" s="44"/>
      <c r="DA212" s="44"/>
      <c r="DB212" s="163">
        <v>400</v>
      </c>
      <c r="DC212" s="119">
        <f>DB148-DB212</f>
        <v>2</v>
      </c>
      <c r="DD212" s="44"/>
      <c r="DE212" s="44"/>
      <c r="DF212" s="1432">
        <v>399</v>
      </c>
      <c r="DG212" s="119">
        <f>DF148-DF212</f>
        <v>2</v>
      </c>
      <c r="DH212" s="44"/>
      <c r="DI212" s="44"/>
      <c r="DJ212" s="2123">
        <v>389</v>
      </c>
      <c r="DK212" s="119">
        <f>DJ148-DJ212</f>
        <v>4</v>
      </c>
      <c r="DL212" s="44"/>
      <c r="DM212" s="44"/>
      <c r="DN212" s="1432">
        <f t="shared" si="414"/>
        <v>375.66666666666674</v>
      </c>
      <c r="DO212" s="225">
        <f>DN148-DN212</f>
        <v>4</v>
      </c>
      <c r="DP212" s="57"/>
      <c r="DQ212" s="44"/>
      <c r="DR212" s="44"/>
      <c r="DS212" s="44"/>
      <c r="DT212" s="44"/>
      <c r="DU212" s="44"/>
      <c r="DV212" s="44"/>
      <c r="DW212" s="44"/>
      <c r="DX212" s="44"/>
      <c r="DY212" s="44"/>
      <c r="DZ212" s="44"/>
      <c r="EA212" s="44"/>
      <c r="EB212" s="44"/>
      <c r="EC212" s="44"/>
      <c r="ED212" s="44"/>
    </row>
    <row r="213" spans="1:134" ht="10.9" customHeight="1" outlineLevel="1" thickBot="1">
      <c r="A213" s="44"/>
      <c r="B213" s="44" t="str">
        <f>$B$14</f>
        <v>Year</v>
      </c>
      <c r="C213" s="57"/>
      <c r="D213" s="57"/>
      <c r="E213" s="57"/>
      <c r="F213" s="57"/>
      <c r="G213" s="57"/>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c r="AE213" s="57"/>
      <c r="AF213" s="57"/>
      <c r="AG213" s="57"/>
      <c r="AH213" s="57"/>
      <c r="AI213" s="57"/>
      <c r="AJ213" s="57"/>
      <c r="AK213" s="57"/>
      <c r="AL213" s="57"/>
      <c r="AM213" s="57"/>
      <c r="AN213" s="57"/>
      <c r="AO213" s="57"/>
      <c r="AP213" s="336">
        <f>+(AP209+AP210+AP211+AP212)/4</f>
        <v>855.86026912499995</v>
      </c>
      <c r="AQ213" s="57"/>
      <c r="AR213" s="57"/>
      <c r="AS213" s="57"/>
      <c r="AT213" s="336">
        <f>+(AT209+AT210+AT211+AT212)/4</f>
        <v>849.79724999999996</v>
      </c>
      <c r="AU213" s="57"/>
      <c r="AV213" s="57"/>
      <c r="AW213" s="57"/>
      <c r="AX213" s="336">
        <f>+(AX209+AX210+AX211+AX212)/4</f>
        <v>860.25649999999996</v>
      </c>
      <c r="AY213" s="57"/>
      <c r="AZ213" s="57"/>
      <c r="BA213" s="57"/>
      <c r="BB213" s="336">
        <f>+(BB209+BB210+BB211+BB212)/4</f>
        <v>875.54575</v>
      </c>
      <c r="BC213" s="57"/>
      <c r="BD213" s="57"/>
      <c r="BE213" s="57"/>
      <c r="BF213" s="336">
        <f>+(BF209+BF210+BF211+BF212)/4</f>
        <v>892.55950000000007</v>
      </c>
      <c r="BG213" s="57"/>
      <c r="BH213" s="57"/>
      <c r="BI213" s="57"/>
      <c r="BJ213" s="336">
        <f>+(BJ209+BJ210+BJ211+BJ212)/4</f>
        <v>889.49009912500003</v>
      </c>
      <c r="BK213" s="57"/>
      <c r="BL213" s="57"/>
      <c r="BM213" s="57"/>
      <c r="BN213" s="394">
        <f>+(BN209+BN210+BN211+BN212)/4</f>
        <v>876.45273524999993</v>
      </c>
      <c r="BO213" s="57"/>
      <c r="BP213" s="57"/>
      <c r="BQ213" s="44"/>
      <c r="BR213" s="336">
        <v>831</v>
      </c>
      <c r="BS213" s="44"/>
      <c r="BT213" s="44"/>
      <c r="BU213" s="44"/>
      <c r="BV213" s="336">
        <v>791</v>
      </c>
      <c r="BW213" s="44"/>
      <c r="BX213" s="44"/>
      <c r="BY213" s="44"/>
      <c r="BZ213" s="336">
        <v>716</v>
      </c>
      <c r="CA213" s="44"/>
      <c r="CB213" s="44"/>
      <c r="CC213" s="44"/>
      <c r="CD213" s="336">
        <v>694</v>
      </c>
      <c r="CE213" s="44"/>
      <c r="CF213" s="44"/>
      <c r="CG213" s="44"/>
      <c r="CH213" s="336">
        <v>636</v>
      </c>
      <c r="CI213" s="44"/>
      <c r="CJ213" s="44"/>
      <c r="CK213" s="44"/>
      <c r="CL213" s="336">
        <v>529</v>
      </c>
      <c r="CM213" s="44"/>
      <c r="CN213" s="44"/>
      <c r="CO213" s="44"/>
      <c r="CP213" s="336">
        <v>482</v>
      </c>
      <c r="CQ213" s="44"/>
      <c r="CR213" s="44"/>
      <c r="CS213" s="44"/>
      <c r="CT213" s="336">
        <f>+(CT209+CT210+CT211+CT212)/4</f>
        <v>461</v>
      </c>
      <c r="CU213" s="44"/>
      <c r="CV213" s="44"/>
      <c r="CW213" s="44"/>
      <c r="CX213" s="336">
        <f>+(CX209+CX210+CX211+CX212)/4</f>
        <v>434.75</v>
      </c>
      <c r="CY213" s="44"/>
      <c r="CZ213" s="44"/>
      <c r="DA213" s="44"/>
      <c r="DB213" s="336">
        <v>411</v>
      </c>
      <c r="DC213" s="44"/>
      <c r="DD213" s="44"/>
      <c r="DE213" s="44"/>
      <c r="DF213" s="1434">
        <v>399</v>
      </c>
      <c r="DG213" s="44"/>
      <c r="DH213" s="44"/>
      <c r="DI213" s="44"/>
      <c r="DJ213" s="1434">
        <v>393</v>
      </c>
      <c r="DK213" s="44"/>
      <c r="DL213" s="44"/>
      <c r="DM213" s="44"/>
      <c r="DN213" s="337">
        <f>+(DN209+DN210+DN211+DN212)/4</f>
        <v>380.66666666666669</v>
      </c>
      <c r="DO213" s="57"/>
      <c r="DP213" s="57"/>
      <c r="DQ213" s="44"/>
      <c r="DR213" s="44"/>
      <c r="DS213" s="44"/>
      <c r="DT213" s="44"/>
      <c r="DU213" s="44"/>
      <c r="DV213" s="44"/>
      <c r="DW213" s="44"/>
      <c r="DX213" s="44"/>
      <c r="DY213" s="44"/>
      <c r="DZ213" s="44"/>
      <c r="EA213" s="44"/>
      <c r="EB213" s="44"/>
      <c r="EC213" s="44"/>
      <c r="ED213" s="44"/>
    </row>
    <row r="214" spans="1:134" ht="10.9" customHeight="1" outlineLevel="1">
      <c r="A214" s="44" t="str">
        <f>$A$15</f>
        <v>6 Mos</v>
      </c>
      <c r="B214" s="44"/>
      <c r="C214" s="57"/>
      <c r="D214" s="57"/>
      <c r="E214" s="57"/>
      <c r="F214" s="57"/>
      <c r="G214" s="57"/>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c r="AE214" s="57"/>
      <c r="AF214" s="57"/>
      <c r="AG214" s="57"/>
      <c r="AH214" s="57"/>
      <c r="AI214" s="57"/>
      <c r="AJ214" s="57"/>
      <c r="AK214" s="57"/>
      <c r="AL214" s="57"/>
      <c r="AM214" s="57"/>
      <c r="AN214" s="57"/>
      <c r="AO214" s="57"/>
      <c r="AP214" s="57"/>
      <c r="AQ214" s="57"/>
      <c r="AR214" s="57"/>
      <c r="AS214" s="57"/>
      <c r="AT214" s="57"/>
      <c r="AU214" s="57"/>
      <c r="AV214" s="57"/>
      <c r="AW214" s="57"/>
      <c r="AX214" s="57"/>
      <c r="AY214" s="57"/>
      <c r="AZ214" s="57"/>
      <c r="BA214" s="57"/>
      <c r="BB214" s="57"/>
      <c r="BC214" s="57"/>
      <c r="BD214" s="57"/>
      <c r="BE214" s="57"/>
      <c r="BF214" s="57"/>
      <c r="BG214" s="57"/>
      <c r="BH214" s="57"/>
      <c r="BI214" s="57"/>
      <c r="BJ214" s="57"/>
      <c r="BK214" s="57"/>
      <c r="BL214" s="57"/>
      <c r="BM214" s="57"/>
      <c r="BN214" s="57"/>
      <c r="BO214" s="57"/>
      <c r="BP214" s="57"/>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57"/>
      <c r="DO214" s="57"/>
      <c r="DP214" s="57"/>
      <c r="DQ214" s="44"/>
      <c r="DR214" s="44"/>
      <c r="DS214" s="44"/>
      <c r="DT214" s="44"/>
      <c r="DU214" s="44"/>
      <c r="DV214" s="44"/>
      <c r="DW214" s="44"/>
      <c r="DX214" s="44"/>
      <c r="DY214" s="44"/>
      <c r="DZ214" s="44"/>
      <c r="EA214" s="44"/>
      <c r="EB214" s="44"/>
      <c r="EC214" s="44"/>
      <c r="ED214" s="44"/>
    </row>
    <row r="215" spans="1:134" ht="10.9" customHeight="1" outlineLevel="1">
      <c r="A215" s="44" t="str">
        <f>$A$16</f>
        <v>9 Mos</v>
      </c>
      <c r="B215" s="44"/>
      <c r="C215" s="57"/>
      <c r="D215" s="57"/>
      <c r="E215" s="57"/>
      <c r="F215" s="57"/>
      <c r="G215" s="57"/>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c r="AE215" s="57"/>
      <c r="AF215" s="57"/>
      <c r="AG215" s="57"/>
      <c r="AH215" s="57"/>
      <c r="AI215" s="57"/>
      <c r="AJ215" s="57"/>
      <c r="AK215" s="57"/>
      <c r="AL215" s="57"/>
      <c r="AM215" s="57"/>
      <c r="AN215" s="57"/>
      <c r="AO215" s="57"/>
      <c r="AP215" s="57"/>
      <c r="AQ215" s="57"/>
      <c r="AR215" s="57"/>
      <c r="AS215" s="57"/>
      <c r="AT215" s="57"/>
      <c r="AU215" s="57"/>
      <c r="AV215" s="57"/>
      <c r="AW215" s="57"/>
      <c r="AX215" s="57"/>
      <c r="AY215" s="57"/>
      <c r="AZ215" s="57"/>
      <c r="BA215" s="57"/>
      <c r="BB215" s="57"/>
      <c r="BC215" s="57"/>
      <c r="BD215" s="57"/>
      <c r="BE215" s="57"/>
      <c r="BF215" s="57"/>
      <c r="BG215" s="57"/>
      <c r="BH215" s="57"/>
      <c r="BI215" s="57"/>
      <c r="BJ215" s="57"/>
      <c r="BK215" s="57"/>
      <c r="BL215" s="57"/>
      <c r="BM215" s="57"/>
      <c r="BN215" s="57"/>
      <c r="BO215" s="57"/>
      <c r="BP215" s="57"/>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57"/>
      <c r="DO215" s="57"/>
      <c r="DP215" s="57"/>
      <c r="DQ215" s="44"/>
      <c r="DR215" s="44"/>
      <c r="DS215" s="44"/>
      <c r="DT215" s="44"/>
      <c r="DU215" s="44"/>
      <c r="DV215" s="44"/>
      <c r="DW215" s="44"/>
      <c r="DX215" s="44"/>
      <c r="DY215" s="44"/>
      <c r="DZ215" s="44"/>
      <c r="EA215" s="44"/>
      <c r="EB215" s="44"/>
      <c r="EC215" s="44"/>
      <c r="ED215" s="44"/>
    </row>
    <row r="216" spans="1:134" ht="10.9" customHeight="1">
      <c r="A216" s="44"/>
      <c r="B216" s="44"/>
      <c r="C216" s="57"/>
      <c r="D216" s="57"/>
      <c r="E216" s="57"/>
      <c r="F216" s="57"/>
      <c r="G216" s="57"/>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c r="AE216" s="57"/>
      <c r="AF216" s="57"/>
      <c r="AG216" s="57"/>
      <c r="AH216" s="57"/>
      <c r="AI216" s="57"/>
      <c r="AJ216" s="57"/>
      <c r="AK216" s="57"/>
      <c r="AL216" s="57"/>
      <c r="AM216" s="57"/>
      <c r="AN216" s="57"/>
      <c r="AO216" s="57"/>
      <c r="AP216" s="57"/>
      <c r="AQ216" s="57"/>
      <c r="AR216" s="57"/>
      <c r="AS216" s="57"/>
      <c r="AT216" s="57"/>
      <c r="AU216" s="57"/>
      <c r="AV216" s="57"/>
      <c r="AW216" s="57"/>
      <c r="AX216" s="57"/>
      <c r="AY216" s="57"/>
      <c r="AZ216" s="57"/>
      <c r="BA216" s="57"/>
      <c r="BB216" s="57"/>
      <c r="BC216" s="57"/>
      <c r="BD216" s="57"/>
      <c r="BE216" s="57"/>
      <c r="BF216" s="57"/>
      <c r="BG216" s="57"/>
      <c r="BH216" s="57"/>
      <c r="BI216" s="57"/>
      <c r="BJ216" s="57"/>
      <c r="BK216" s="57"/>
      <c r="BL216" s="57"/>
      <c r="BM216" s="57"/>
      <c r="BN216" s="57"/>
      <c r="BO216" s="57"/>
      <c r="BP216" s="57"/>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57"/>
      <c r="DO216" s="57"/>
      <c r="DP216" s="57"/>
      <c r="DQ216" s="44"/>
      <c r="DR216" s="44"/>
      <c r="DS216" s="44"/>
      <c r="DT216" s="44"/>
      <c r="DU216" s="44"/>
      <c r="DV216" s="44"/>
      <c r="DW216" s="44"/>
      <c r="DX216" s="44"/>
      <c r="DY216" s="44"/>
      <c r="DZ216" s="44"/>
      <c r="EA216" s="44"/>
      <c r="EB216" s="44"/>
      <c r="EC216" s="44"/>
      <c r="ED216" s="44"/>
    </row>
    <row r="217" spans="1:134" ht="10.9" customHeight="1">
      <c r="A217" s="44"/>
      <c r="B217" s="44"/>
      <c r="C217" s="57"/>
      <c r="D217" s="57"/>
      <c r="E217" s="57"/>
      <c r="F217" s="57"/>
      <c r="G217" s="57"/>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c r="AE217" s="57"/>
      <c r="AF217" s="57"/>
      <c r="AG217" s="57"/>
      <c r="AH217" s="57"/>
      <c r="AI217" s="57"/>
      <c r="AJ217" s="57"/>
      <c r="AK217" s="57"/>
      <c r="AL217" s="57"/>
      <c r="AM217" s="57"/>
      <c r="AN217" s="57"/>
      <c r="AO217" s="57"/>
      <c r="AP217" s="57"/>
      <c r="AQ217" s="57"/>
      <c r="AR217" s="57"/>
      <c r="AS217" s="57"/>
      <c r="AT217" s="57"/>
      <c r="AU217" s="57"/>
      <c r="AV217" s="57"/>
      <c r="AW217" s="57"/>
      <c r="AX217" s="57"/>
      <c r="AY217" s="57"/>
      <c r="AZ217" s="57"/>
      <c r="BA217" s="57"/>
      <c r="BB217" s="57"/>
      <c r="BC217" s="57"/>
      <c r="BD217" s="57"/>
      <c r="BE217" s="57"/>
      <c r="BF217" s="57"/>
      <c r="BG217" s="57"/>
      <c r="BH217" s="57"/>
      <c r="BI217" s="57"/>
      <c r="BJ217" s="57"/>
      <c r="BK217" s="57"/>
      <c r="BL217" s="57"/>
      <c r="BM217" s="57"/>
      <c r="BN217" s="57"/>
      <c r="BO217" s="57"/>
      <c r="BP217" s="57"/>
      <c r="BQ217" s="44"/>
      <c r="BR217" s="395" t="s">
        <v>324</v>
      </c>
      <c r="BS217" s="395"/>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57"/>
      <c r="DO217" s="57"/>
      <c r="DP217" s="57"/>
      <c r="DQ217" s="44"/>
      <c r="DR217" s="44"/>
      <c r="DS217" s="44"/>
      <c r="DT217" s="44"/>
      <c r="DU217" s="44"/>
      <c r="DV217" s="44"/>
      <c r="DW217" s="44"/>
      <c r="DX217" s="44"/>
      <c r="DY217" s="44"/>
      <c r="DZ217" s="44"/>
      <c r="EA217" s="44"/>
      <c r="EB217" s="44"/>
      <c r="EC217" s="44"/>
      <c r="ED217" s="44"/>
    </row>
    <row r="218" spans="1:134" ht="10.9" customHeight="1">
      <c r="A218" s="44"/>
      <c r="B218" s="44"/>
      <c r="C218" s="57"/>
      <c r="D218" s="57"/>
      <c r="E218" s="57"/>
      <c r="F218" s="57"/>
      <c r="G218" s="57"/>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c r="AE218" s="57"/>
      <c r="AF218" s="57"/>
      <c r="AG218" s="57"/>
      <c r="AH218" s="57"/>
      <c r="AI218" s="57"/>
      <c r="AJ218" s="57"/>
      <c r="AK218" s="57"/>
      <c r="AL218" s="57"/>
      <c r="AM218" s="57"/>
      <c r="AN218" s="57"/>
      <c r="AO218" s="57"/>
      <c r="AP218" s="57"/>
      <c r="AQ218" s="57"/>
      <c r="AR218" s="57"/>
      <c r="AS218" s="57"/>
      <c r="AT218" s="175"/>
      <c r="AU218" s="57"/>
      <c r="AV218" s="57"/>
      <c r="AW218" s="57"/>
      <c r="AX218" s="57"/>
      <c r="AY218" s="57"/>
      <c r="AZ218" s="57"/>
      <c r="BA218" s="57"/>
      <c r="BB218" s="57"/>
      <c r="BC218" s="57"/>
      <c r="BD218" s="57"/>
      <c r="BE218" s="57"/>
      <c r="BF218" s="57"/>
      <c r="BG218" s="57"/>
      <c r="BH218" s="57"/>
      <c r="BI218" s="57"/>
      <c r="BJ218" s="57"/>
      <c r="BK218" s="57"/>
      <c r="BL218" s="57"/>
      <c r="BM218" s="57"/>
      <c r="BN218" s="57"/>
      <c r="BO218" s="57"/>
      <c r="BP218" s="57"/>
      <c r="BQ218" s="44"/>
      <c r="BR218" s="66">
        <f>BR107+BR168</f>
        <v>242.22199999999998</v>
      </c>
      <c r="BS218" s="395"/>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57"/>
      <c r="DO218" s="57"/>
      <c r="DP218" s="57"/>
      <c r="DQ218" s="44"/>
      <c r="DR218" s="44"/>
      <c r="DS218" s="44"/>
      <c r="DT218" s="44"/>
      <c r="DU218" s="44"/>
      <c r="DV218" s="44"/>
      <c r="DW218" s="44"/>
      <c r="DX218" s="44"/>
      <c r="DY218" s="44"/>
      <c r="DZ218" s="44"/>
      <c r="EA218" s="44"/>
      <c r="EB218" s="44"/>
      <c r="EC218" s="44"/>
      <c r="ED218" s="44"/>
    </row>
    <row r="219" spans="1:134" ht="10.9" customHeight="1">
      <c r="A219" s="44"/>
      <c r="B219" s="44"/>
      <c r="C219" s="57"/>
      <c r="D219" s="57"/>
      <c r="E219" s="57"/>
      <c r="F219" s="57"/>
      <c r="G219" s="57"/>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c r="AE219" s="57"/>
      <c r="AF219" s="57"/>
      <c r="AG219" s="57"/>
      <c r="AH219" s="57"/>
      <c r="AI219" s="57"/>
      <c r="AJ219" s="57"/>
      <c r="AK219" s="57"/>
      <c r="AL219" s="57"/>
      <c r="AM219" s="57"/>
      <c r="AN219" s="57"/>
      <c r="AO219" s="57"/>
      <c r="AP219" s="57"/>
      <c r="AQ219" s="57"/>
      <c r="AR219" s="57"/>
      <c r="AS219" s="57"/>
      <c r="AT219" s="57"/>
      <c r="AU219" s="57"/>
      <c r="AV219" s="57"/>
      <c r="AW219" s="57"/>
      <c r="AX219" s="57"/>
      <c r="AY219" s="57"/>
      <c r="AZ219" s="57"/>
      <c r="BA219" s="57"/>
      <c r="BB219" s="57"/>
      <c r="BC219" s="57"/>
      <c r="BD219" s="57"/>
      <c r="BE219" s="57"/>
      <c r="BF219" s="57"/>
      <c r="BG219" s="57"/>
      <c r="BH219" s="57"/>
      <c r="BI219" s="57"/>
      <c r="BJ219" s="57"/>
      <c r="BK219" s="57"/>
      <c r="BL219" s="57"/>
      <c r="BM219" s="57"/>
      <c r="BN219" s="57"/>
      <c r="BO219" s="57"/>
      <c r="BP219" s="57"/>
      <c r="BQ219" s="44"/>
      <c r="BR219" s="58">
        <f>BR108+BR169</f>
        <v>128</v>
      </c>
      <c r="BS219" s="395"/>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57"/>
      <c r="DO219" s="57"/>
      <c r="DP219" s="57"/>
      <c r="DQ219" s="44"/>
      <c r="DR219" s="44"/>
      <c r="DS219" s="44"/>
      <c r="DT219" s="44"/>
      <c r="DU219" s="44"/>
      <c r="DV219" s="44"/>
      <c r="DW219" s="44"/>
      <c r="DX219" s="44"/>
      <c r="DY219" s="44"/>
      <c r="DZ219" s="44"/>
      <c r="EA219" s="44"/>
      <c r="EB219" s="44"/>
      <c r="EC219" s="44"/>
      <c r="ED219" s="44"/>
    </row>
    <row r="220" spans="1:134" ht="10.9" customHeight="1">
      <c r="A220" s="44"/>
      <c r="B220" s="44"/>
      <c r="C220" s="57"/>
      <c r="D220" s="57"/>
      <c r="E220" s="57"/>
      <c r="F220" s="57"/>
      <c r="G220" s="57"/>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c r="AE220" s="57"/>
      <c r="AF220" s="57"/>
      <c r="AG220" s="57"/>
      <c r="AH220" s="57"/>
      <c r="AI220" s="57"/>
      <c r="AJ220" s="57"/>
      <c r="AK220" s="57"/>
      <c r="AL220" s="57"/>
      <c r="AM220" s="57"/>
      <c r="AN220" s="57"/>
      <c r="AO220" s="57"/>
      <c r="AP220" s="57"/>
      <c r="AQ220" s="57"/>
      <c r="AR220" s="57"/>
      <c r="AS220" s="57"/>
      <c r="AT220" s="57"/>
      <c r="AU220" s="57"/>
      <c r="AV220" s="57"/>
      <c r="AW220" s="57"/>
      <c r="AX220" s="57"/>
      <c r="AY220" s="57"/>
      <c r="AZ220" s="57"/>
      <c r="BA220" s="57"/>
      <c r="BB220" s="57"/>
      <c r="BC220" s="57"/>
      <c r="BD220" s="57"/>
      <c r="BE220" s="57"/>
      <c r="BF220" s="57"/>
      <c r="BG220" s="57"/>
      <c r="BH220" s="57"/>
      <c r="BI220" s="57"/>
      <c r="BJ220" s="57"/>
      <c r="BK220" s="57"/>
      <c r="BL220" s="57"/>
      <c r="BM220" s="57"/>
      <c r="BN220" s="57"/>
      <c r="BO220" s="57"/>
      <c r="BP220" s="57"/>
      <c r="BQ220" s="44"/>
      <c r="BR220" s="58">
        <f>BR109+BR170</f>
        <v>188.96899999999999</v>
      </c>
      <c r="BS220" s="395"/>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57"/>
      <c r="DO220" s="57"/>
      <c r="DP220" s="57"/>
      <c r="DQ220" s="44"/>
      <c r="DR220" s="44"/>
      <c r="DS220" s="44"/>
      <c r="DT220" s="44"/>
      <c r="DU220" s="44"/>
      <c r="DV220" s="44"/>
      <c r="DW220" s="44"/>
      <c r="DX220" s="44"/>
      <c r="DY220" s="44"/>
      <c r="DZ220" s="44"/>
      <c r="EA220" s="44"/>
      <c r="EB220" s="44"/>
      <c r="EC220" s="44"/>
      <c r="ED220" s="44"/>
    </row>
    <row r="221" spans="1:134" ht="10.9" customHeight="1">
      <c r="A221" s="44"/>
      <c r="B221" s="44"/>
      <c r="C221" s="57"/>
      <c r="D221" s="57"/>
      <c r="E221" s="57"/>
      <c r="F221" s="57"/>
      <c r="G221" s="57"/>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c r="AE221" s="57"/>
      <c r="AF221" s="57"/>
      <c r="AG221" s="57"/>
      <c r="AH221" s="57"/>
      <c r="AI221" s="57"/>
      <c r="AJ221" s="57"/>
      <c r="AK221" s="57"/>
      <c r="AL221" s="57"/>
      <c r="AM221" s="57"/>
      <c r="AN221" s="57"/>
      <c r="AO221" s="57"/>
      <c r="AP221" s="57"/>
      <c r="AQ221" s="57"/>
      <c r="AR221" s="57"/>
      <c r="AS221" s="57"/>
      <c r="AT221" s="57"/>
      <c r="AU221" s="57"/>
      <c r="AV221" s="57"/>
      <c r="AW221" s="57"/>
      <c r="AX221" s="57"/>
      <c r="AY221" s="57"/>
      <c r="AZ221" s="57"/>
      <c r="BA221" s="57"/>
      <c r="BB221" s="57"/>
      <c r="BC221" s="57"/>
      <c r="BD221" s="57"/>
      <c r="BE221" s="57"/>
      <c r="BF221" s="57"/>
      <c r="BG221" s="57"/>
      <c r="BH221" s="57"/>
      <c r="BI221" s="57"/>
      <c r="BJ221" s="57"/>
      <c r="BK221" s="57"/>
      <c r="BL221" s="57"/>
      <c r="BM221" s="57"/>
      <c r="BN221" s="57"/>
      <c r="BO221" s="57"/>
      <c r="BP221" s="57"/>
      <c r="BQ221" s="44"/>
      <c r="BR221" s="252">
        <f>BR110+BR171</f>
        <v>219</v>
      </c>
      <c r="BS221" s="395"/>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57"/>
      <c r="DO221" s="57"/>
      <c r="DP221" s="57"/>
      <c r="DQ221" s="44"/>
      <c r="DR221" s="44"/>
      <c r="DS221" s="44"/>
      <c r="DT221" s="44"/>
      <c r="DU221" s="44"/>
      <c r="DV221" s="44"/>
      <c r="DW221" s="44"/>
      <c r="DX221" s="44"/>
      <c r="DY221" s="44"/>
      <c r="DZ221" s="44"/>
      <c r="EA221" s="44"/>
      <c r="EB221" s="44"/>
      <c r="EC221" s="44"/>
      <c r="ED221" s="44"/>
    </row>
    <row r="222" spans="1:134" ht="10.9" customHeight="1">
      <c r="A222" s="44"/>
      <c r="B222" s="44"/>
      <c r="C222" s="57"/>
      <c r="D222" s="57"/>
      <c r="E222" s="57"/>
      <c r="F222" s="57"/>
      <c r="G222" s="57"/>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c r="AE222" s="57"/>
      <c r="AF222" s="57"/>
      <c r="AG222" s="57"/>
      <c r="AH222" s="57"/>
      <c r="AI222" s="57"/>
      <c r="AJ222" s="57"/>
      <c r="AK222" s="57"/>
      <c r="AL222" s="57"/>
      <c r="AM222" s="57"/>
      <c r="AN222" s="57"/>
      <c r="AO222" s="57"/>
      <c r="AP222" s="57"/>
      <c r="AQ222" s="57"/>
      <c r="AR222" s="57"/>
      <c r="AS222" s="57"/>
      <c r="AT222" s="57"/>
      <c r="AU222" s="57"/>
      <c r="AV222" s="57"/>
      <c r="AW222" s="57"/>
      <c r="AX222" s="57"/>
      <c r="AY222" s="57"/>
      <c r="AZ222" s="57"/>
      <c r="BA222" s="57"/>
      <c r="BB222" s="57"/>
      <c r="BC222" s="57"/>
      <c r="BD222" s="57"/>
      <c r="BE222" s="57"/>
      <c r="BF222" s="57"/>
      <c r="BG222" s="57"/>
      <c r="BH222" s="57"/>
      <c r="BI222" s="57"/>
      <c r="BJ222" s="57"/>
      <c r="BK222" s="57"/>
      <c r="BL222" s="57"/>
      <c r="BM222" s="57"/>
      <c r="BN222" s="57"/>
      <c r="BO222" s="57"/>
      <c r="BP222" s="57"/>
      <c r="BQ222" s="44"/>
      <c r="BR222" s="66">
        <f>SUM(BR218:BR221)</f>
        <v>778.19100000000003</v>
      </c>
      <c r="BS222" s="395"/>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57"/>
      <c r="DO222" s="57"/>
      <c r="DP222" s="57"/>
      <c r="DQ222" s="44"/>
      <c r="DR222" s="44"/>
      <c r="DS222" s="44"/>
      <c r="DT222" s="44"/>
      <c r="DU222" s="44"/>
      <c r="DV222" s="44"/>
      <c r="DW222" s="44"/>
      <c r="DX222" s="44"/>
      <c r="DY222" s="44"/>
      <c r="DZ222" s="44"/>
      <c r="EA222" s="44"/>
      <c r="EB222" s="44"/>
      <c r="EC222" s="44"/>
      <c r="ED222" s="44"/>
    </row>
    <row r="223" spans="1:134" ht="10.9" customHeight="1">
      <c r="A223" s="44"/>
      <c r="B223" s="44"/>
      <c r="C223" s="57"/>
      <c r="D223" s="57"/>
      <c r="E223" s="57"/>
      <c r="F223" s="57"/>
      <c r="G223" s="57"/>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c r="AE223" s="57"/>
      <c r="AF223" s="57"/>
      <c r="AG223" s="57"/>
      <c r="AH223" s="57"/>
      <c r="AI223" s="57"/>
      <c r="AJ223" s="57"/>
      <c r="AK223" s="57"/>
      <c r="AL223" s="57"/>
      <c r="AM223" s="57"/>
      <c r="AN223" s="57"/>
      <c r="AO223" s="57"/>
      <c r="AP223" s="57"/>
      <c r="AQ223" s="57"/>
      <c r="AR223" s="57"/>
      <c r="AS223" s="57"/>
      <c r="AT223" s="57"/>
      <c r="AU223" s="57"/>
      <c r="AV223" s="57"/>
      <c r="AW223" s="57"/>
      <c r="AX223" s="57"/>
      <c r="AY223" s="57"/>
      <c r="AZ223" s="57"/>
      <c r="BA223" s="57"/>
      <c r="BB223" s="57"/>
      <c r="BC223" s="57"/>
      <c r="BD223" s="57"/>
      <c r="BE223" s="57"/>
      <c r="BF223" s="57"/>
      <c r="BG223" s="57"/>
      <c r="BH223" s="57"/>
      <c r="BI223" s="57"/>
      <c r="BJ223" s="57"/>
      <c r="BK223" s="57"/>
      <c r="BL223" s="57"/>
      <c r="BM223" s="57"/>
      <c r="BN223" s="57"/>
      <c r="BO223" s="57"/>
      <c r="BP223" s="57"/>
      <c r="BQ223" s="44"/>
      <c r="BR223" s="395"/>
      <c r="BS223" s="395"/>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57"/>
      <c r="DO223" s="57"/>
      <c r="DP223" s="57"/>
      <c r="DQ223" s="44"/>
      <c r="DR223" s="44"/>
      <c r="DS223" s="44"/>
      <c r="DT223" s="44"/>
      <c r="DU223" s="44"/>
      <c r="DV223" s="44"/>
      <c r="DW223" s="44"/>
      <c r="DX223" s="44"/>
      <c r="DY223" s="44"/>
      <c r="DZ223" s="44"/>
      <c r="EA223" s="44"/>
      <c r="EB223" s="44"/>
      <c r="EC223" s="44"/>
      <c r="ED223" s="44"/>
    </row>
    <row r="224" spans="1:134" ht="10.9" customHeight="1">
      <c r="A224" s="44"/>
      <c r="B224" s="44"/>
      <c r="C224" s="57"/>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44"/>
      <c r="BR224" s="395" t="s">
        <v>326</v>
      </c>
      <c r="BS224" s="395"/>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57"/>
      <c r="DO224" s="57"/>
      <c r="DP224" s="57"/>
      <c r="DQ224" s="44"/>
      <c r="DR224" s="44"/>
      <c r="DS224" s="44"/>
      <c r="DT224" s="44"/>
      <c r="DU224" s="44"/>
      <c r="DV224" s="44"/>
      <c r="DW224" s="44"/>
      <c r="DX224" s="44"/>
      <c r="DY224" s="44"/>
      <c r="DZ224" s="44"/>
      <c r="EA224" s="44"/>
      <c r="EB224" s="44"/>
      <c r="EC224" s="44"/>
      <c r="ED224" s="44"/>
    </row>
    <row r="225" spans="1:134" ht="10.9" customHeight="1">
      <c r="A225" s="44"/>
      <c r="B225" s="44"/>
      <c r="C225" s="57"/>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44"/>
      <c r="BR225" s="396">
        <f>BR218/BR145</f>
        <v>0.28143063457889739</v>
      </c>
      <c r="BS225" s="395"/>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57"/>
      <c r="DO225" s="57"/>
      <c r="DP225" s="57"/>
      <c r="DQ225" s="44"/>
      <c r="DR225" s="44"/>
      <c r="DS225" s="44"/>
      <c r="DT225" s="44"/>
      <c r="DU225" s="44"/>
      <c r="DV225" s="44"/>
      <c r="DW225" s="44"/>
      <c r="DX225" s="44"/>
      <c r="DY225" s="44"/>
      <c r="DZ225" s="44"/>
      <c r="EA225" s="44"/>
      <c r="EB225" s="44"/>
      <c r="EC225" s="44"/>
      <c r="ED225" s="44"/>
    </row>
    <row r="226" spans="1:134" ht="10.9" customHeight="1">
      <c r="A226" s="44"/>
      <c r="B226" s="44"/>
      <c r="C226" s="57"/>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44"/>
      <c r="BR226" s="397">
        <f>BR219/BR146</f>
        <v>0.15202965528463394</v>
      </c>
      <c r="BS226" s="395"/>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57"/>
      <c r="DO226" s="57"/>
      <c r="DP226" s="57"/>
      <c r="DQ226" s="44"/>
      <c r="DR226" s="44"/>
      <c r="DS226" s="44"/>
      <c r="DT226" s="44"/>
      <c r="DU226" s="44"/>
      <c r="DV226" s="44"/>
      <c r="DW226" s="44"/>
      <c r="DX226" s="44"/>
      <c r="DY226" s="44"/>
      <c r="DZ226" s="44"/>
      <c r="EA226" s="44"/>
      <c r="EB226" s="44"/>
      <c r="EC226" s="44"/>
      <c r="ED226" s="44"/>
    </row>
    <row r="227" spans="1:134" ht="10.9" customHeight="1">
      <c r="A227" s="44"/>
      <c r="B227" s="44"/>
      <c r="C227" s="57"/>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44"/>
      <c r="BR227" s="397">
        <f>BR220/BR147</f>
        <v>0.22700751410020004</v>
      </c>
      <c r="BS227" s="395"/>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57"/>
      <c r="DO227" s="57"/>
      <c r="DP227" s="57"/>
      <c r="DQ227" s="44"/>
      <c r="DR227" s="44"/>
      <c r="DS227" s="44"/>
      <c r="DT227" s="44"/>
      <c r="DU227" s="44"/>
      <c r="DV227" s="44"/>
      <c r="DW227" s="44"/>
      <c r="DX227" s="44"/>
      <c r="DY227" s="44"/>
      <c r="DZ227" s="44"/>
      <c r="EA227" s="44"/>
      <c r="EB227" s="44"/>
      <c r="EC227" s="44"/>
      <c r="ED227" s="44"/>
    </row>
    <row r="228" spans="1:134" ht="10.9" customHeight="1">
      <c r="A228" s="44"/>
      <c r="B228" s="44"/>
      <c r="C228" s="57"/>
      <c r="D228" s="57"/>
      <c r="E228" s="57"/>
      <c r="F228" s="57"/>
      <c r="G228" s="57"/>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c r="AE228" s="57"/>
      <c r="AF228" s="57"/>
      <c r="AG228" s="57"/>
      <c r="AH228" s="57"/>
      <c r="AI228" s="57"/>
      <c r="AJ228" s="57"/>
      <c r="AK228" s="57"/>
      <c r="AL228" s="57"/>
      <c r="AM228" s="57"/>
      <c r="AN228" s="57"/>
      <c r="AO228" s="57"/>
      <c r="AP228" s="57"/>
      <c r="AQ228" s="57"/>
      <c r="AR228" s="57"/>
      <c r="AS228" s="57"/>
      <c r="AT228" s="57"/>
      <c r="AU228" s="57"/>
      <c r="AV228" s="57"/>
      <c r="AW228" s="57"/>
      <c r="AX228" s="57"/>
      <c r="AY228" s="57"/>
      <c r="AZ228" s="57"/>
      <c r="BA228" s="57"/>
      <c r="BB228" s="57"/>
      <c r="BC228" s="57"/>
      <c r="BD228" s="57"/>
      <c r="BE228" s="57"/>
      <c r="BF228" s="57"/>
      <c r="BG228" s="57"/>
      <c r="BH228" s="57"/>
      <c r="BI228" s="57"/>
      <c r="BJ228" s="57"/>
      <c r="BK228" s="57"/>
      <c r="BL228" s="57"/>
      <c r="BM228" s="57"/>
      <c r="BN228" s="57"/>
      <c r="BO228" s="57"/>
      <c r="BP228" s="57"/>
      <c r="BQ228" s="44"/>
      <c r="BR228" s="398">
        <f>BR221/BR148</f>
        <v>0.26787024805518861</v>
      </c>
      <c r="BS228" s="395"/>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57"/>
      <c r="DO228" s="57"/>
      <c r="DP228" s="57"/>
      <c r="DQ228" s="44"/>
      <c r="DR228" s="44"/>
      <c r="DS228" s="44"/>
      <c r="DT228" s="44"/>
      <c r="DU228" s="44"/>
      <c r="DV228" s="44"/>
      <c r="DW228" s="44"/>
      <c r="DX228" s="44"/>
      <c r="DY228" s="44"/>
      <c r="DZ228" s="44"/>
      <c r="EA228" s="44"/>
      <c r="EB228" s="44"/>
      <c r="EC228" s="44"/>
      <c r="ED228" s="44"/>
    </row>
    <row r="229" spans="1:134" ht="10.9" customHeight="1">
      <c r="A229" s="44"/>
      <c r="B229" s="44"/>
      <c r="C229" s="57"/>
      <c r="D229" s="57"/>
      <c r="E229" s="57"/>
      <c r="F229" s="57"/>
      <c r="G229" s="57"/>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c r="AE229" s="57"/>
      <c r="AF229" s="57"/>
      <c r="AG229" s="57"/>
      <c r="AH229" s="57"/>
      <c r="AI229" s="57"/>
      <c r="AJ229" s="57"/>
      <c r="AK229" s="57"/>
      <c r="AL229" s="57"/>
      <c r="AM229" s="57"/>
      <c r="AN229" s="57"/>
      <c r="AO229" s="57"/>
      <c r="AP229" s="57"/>
      <c r="AQ229" s="57"/>
      <c r="AR229" s="57"/>
      <c r="AS229" s="57"/>
      <c r="AT229" s="57"/>
      <c r="AU229" s="57"/>
      <c r="AV229" s="57"/>
      <c r="AW229" s="57"/>
      <c r="AX229" s="57"/>
      <c r="AY229" s="57"/>
      <c r="AZ229" s="57"/>
      <c r="BA229" s="57"/>
      <c r="BB229" s="57"/>
      <c r="BC229" s="57"/>
      <c r="BD229" s="57"/>
      <c r="BE229" s="57"/>
      <c r="BF229" s="57"/>
      <c r="BG229" s="57"/>
      <c r="BH229" s="57"/>
      <c r="BI229" s="57"/>
      <c r="BJ229" s="57"/>
      <c r="BK229" s="57"/>
      <c r="BL229" s="57"/>
      <c r="BM229" s="57"/>
      <c r="BN229" s="57"/>
      <c r="BO229" s="57"/>
      <c r="BP229" s="57"/>
      <c r="BQ229" s="44"/>
      <c r="BR229" s="399">
        <f>BR222/BR149</f>
        <v>0.93085047846889957</v>
      </c>
      <c r="BS229" s="395"/>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57"/>
      <c r="DO229" s="57"/>
      <c r="DP229" s="57"/>
      <c r="DQ229" s="44"/>
      <c r="DR229" s="44"/>
      <c r="DS229" s="44"/>
      <c r="DT229" s="44"/>
      <c r="DU229" s="44"/>
      <c r="DV229" s="44"/>
      <c r="DW229" s="44"/>
      <c r="DX229" s="44"/>
      <c r="DY229" s="44"/>
      <c r="DZ229" s="44"/>
      <c r="EA229" s="44"/>
      <c r="EB229" s="44"/>
      <c r="EC229" s="44"/>
      <c r="ED229" s="44"/>
    </row>
    <row r="230" spans="1:134" ht="10.9" customHeight="1"/>
    <row r="231" spans="1:134" ht="10.9" customHeight="1"/>
    <row r="232" spans="1:134" ht="10.9" customHeight="1"/>
    <row r="233" spans="1:134" ht="10.9" customHeight="1"/>
    <row r="234" spans="1:134" ht="10.9" customHeight="1"/>
    <row r="235" spans="1:134" ht="10.9" customHeight="1"/>
    <row r="236" spans="1:134" ht="10.9" customHeight="1"/>
    <row r="237" spans="1:134" ht="10.9" customHeight="1"/>
    <row r="238" spans="1:134" ht="10.9" customHeight="1"/>
    <row r="239" spans="1:134" ht="10.9" customHeight="1"/>
    <row r="240" spans="1:134" ht="10.9" customHeight="1"/>
    <row r="241" ht="10.9" customHeight="1"/>
    <row r="242" ht="10.9" customHeight="1"/>
    <row r="243" ht="10.9" customHeight="1"/>
    <row r="244" ht="10.9" customHeight="1"/>
    <row r="245" ht="10.9" customHeight="1"/>
    <row r="246" ht="10.9" customHeight="1"/>
    <row r="247" ht="10.9" customHeight="1"/>
    <row r="248" ht="10.9" customHeight="1"/>
    <row r="249" ht="10.9" customHeight="1"/>
    <row r="250" ht="10.9" customHeight="1"/>
    <row r="251" ht="10.9" customHeight="1"/>
    <row r="252" ht="10.9" customHeight="1"/>
    <row r="253" ht="10.9" customHeight="1"/>
    <row r="254" ht="10.9" customHeight="1"/>
    <row r="255" ht="10.9" customHeight="1"/>
    <row r="256" ht="10.9" customHeight="1"/>
    <row r="257" ht="10.9" customHeight="1"/>
    <row r="258" ht="10.9" customHeight="1"/>
    <row r="259" ht="10.9" customHeight="1"/>
    <row r="260" ht="10.9" customHeight="1"/>
    <row r="261" ht="10.9" customHeight="1"/>
    <row r="262" ht="10.9" customHeight="1"/>
    <row r="263" ht="10.9" customHeight="1"/>
    <row r="264" ht="10.9" customHeight="1"/>
    <row r="265" ht="10.9" customHeight="1"/>
    <row r="266" ht="10.9" customHeight="1"/>
    <row r="267" ht="10.9" customHeight="1"/>
    <row r="268" ht="10.9" customHeight="1"/>
    <row r="269" ht="10.9" customHeight="1"/>
    <row r="270" ht="10.9" customHeight="1"/>
    <row r="271" ht="10.9" customHeight="1"/>
    <row r="272" ht="10.9" customHeight="1"/>
    <row r="273" ht="10.9" customHeight="1"/>
    <row r="274" ht="10.9" customHeight="1"/>
    <row r="275" ht="10.9" customHeight="1"/>
    <row r="276" ht="10.9" customHeight="1"/>
    <row r="277" ht="10.9" customHeight="1"/>
    <row r="278" ht="10.9" customHeight="1"/>
    <row r="279" ht="10.9" customHeight="1"/>
    <row r="280" ht="10.9" customHeight="1"/>
    <row r="281" ht="10.9" customHeight="1"/>
    <row r="282" ht="10.9" customHeight="1"/>
    <row r="283" ht="10.9" customHeight="1"/>
    <row r="284" ht="10.9" customHeight="1"/>
    <row r="285" ht="10.9" customHeight="1"/>
    <row r="286" ht="10.9" customHeight="1"/>
    <row r="287" ht="10.9" customHeight="1"/>
    <row r="288" ht="10.9" customHeight="1"/>
    <row r="289" ht="10.9" customHeight="1"/>
    <row r="290" ht="10.9" customHeight="1"/>
    <row r="291" ht="10.9" customHeight="1"/>
    <row r="292" ht="10.9" customHeight="1"/>
    <row r="293" ht="10.9" customHeight="1"/>
    <row r="294" ht="10.9" customHeight="1"/>
    <row r="295" ht="10.9" customHeight="1"/>
    <row r="296" ht="10.9" customHeight="1"/>
    <row r="297" ht="10.9" customHeight="1"/>
    <row r="298" ht="10.9" customHeight="1"/>
    <row r="299" ht="10.9" customHeight="1"/>
    <row r="300" ht="10.9" customHeight="1"/>
    <row r="301" ht="10.9" customHeight="1"/>
    <row r="302" ht="10.9" customHeight="1"/>
    <row r="303" ht="10.9" customHeight="1"/>
    <row r="304" ht="10.9" customHeight="1"/>
    <row r="305" ht="10.9" customHeight="1"/>
    <row r="306" ht="10.9" customHeight="1"/>
    <row r="307" ht="10.9" customHeight="1"/>
    <row r="308" ht="10.9" customHeight="1"/>
    <row r="309" ht="10.9" customHeight="1"/>
    <row r="310" ht="10.9" customHeight="1"/>
    <row r="311" ht="10.9" customHeight="1"/>
    <row r="312" ht="10.9" customHeight="1"/>
    <row r="313" ht="10.9" customHeight="1"/>
    <row r="314" ht="10.9" customHeight="1"/>
    <row r="315" ht="10.9" customHeight="1"/>
    <row r="316" ht="10.9" customHeight="1"/>
    <row r="317" ht="10.9" customHeight="1"/>
    <row r="318" ht="10.9" customHeight="1"/>
    <row r="319" ht="10.9" customHeight="1"/>
    <row r="320" ht="10.9" customHeight="1"/>
    <row r="321" ht="10.9" customHeight="1"/>
    <row r="322" ht="10.9" customHeight="1"/>
    <row r="323" ht="10.9" customHeight="1"/>
    <row r="324" ht="10.9" customHeight="1"/>
    <row r="325" ht="10.9" customHeight="1"/>
    <row r="326" ht="10.9" customHeight="1"/>
    <row r="327" ht="10.9" customHeight="1"/>
    <row r="328" ht="10.9" customHeight="1"/>
    <row r="329" ht="10.9" customHeight="1"/>
    <row r="330" ht="10.9" customHeight="1"/>
    <row r="331" ht="10.9" customHeight="1"/>
    <row r="332" ht="10.9" customHeight="1"/>
    <row r="333" ht="10.9" customHeight="1"/>
    <row r="334" ht="10.9" customHeight="1"/>
    <row r="335" ht="10.9" customHeight="1"/>
    <row r="336" ht="10.9" customHeight="1"/>
    <row r="337" ht="10.9" customHeight="1"/>
    <row r="338" ht="10.9" customHeight="1"/>
    <row r="339" ht="10.9" customHeight="1"/>
    <row r="340" ht="10.9" customHeight="1"/>
    <row r="341" ht="10.9" customHeight="1"/>
    <row r="342" ht="10.9" customHeight="1"/>
    <row r="343" ht="10.9" customHeight="1"/>
    <row r="344" ht="10.9" customHeight="1"/>
    <row r="345" ht="10.9" customHeight="1"/>
    <row r="346" ht="10.9" customHeight="1"/>
    <row r="347" ht="10.9" customHeight="1"/>
    <row r="348" ht="10.9" customHeight="1"/>
    <row r="349" ht="10.9" customHeight="1"/>
    <row r="350" ht="10.9" customHeight="1"/>
    <row r="351" ht="10.9" customHeight="1"/>
    <row r="352" ht="10.9" customHeight="1"/>
    <row r="353" ht="10.9" customHeight="1"/>
    <row r="354" ht="10.9" customHeight="1"/>
    <row r="355" ht="10.9" customHeight="1"/>
    <row r="356" ht="10.9" customHeight="1"/>
    <row r="357" ht="10.9" customHeight="1"/>
    <row r="358" ht="10.9" customHeight="1"/>
    <row r="359" ht="10.9" customHeight="1"/>
    <row r="360" ht="10.9" customHeight="1"/>
    <row r="361" ht="10.9" customHeight="1"/>
    <row r="362" ht="10.9" customHeight="1"/>
    <row r="363" ht="10.9" customHeight="1"/>
    <row r="364" ht="10.9" customHeight="1"/>
    <row r="365" ht="10.9" customHeight="1"/>
    <row r="366" ht="10.9" customHeight="1"/>
    <row r="367" ht="10.9" customHeight="1"/>
    <row r="368" ht="10.9" customHeight="1"/>
    <row r="369" ht="10.9" customHeight="1"/>
    <row r="370" ht="10.9" customHeight="1"/>
    <row r="371" ht="10.9" customHeight="1"/>
    <row r="372" ht="10.9" customHeight="1"/>
    <row r="373" ht="10.9" customHeight="1"/>
    <row r="374" ht="10.9" customHeight="1"/>
    <row r="375" ht="10.9" customHeight="1"/>
    <row r="376" ht="10.9" customHeight="1"/>
    <row r="377" ht="10.9" customHeight="1"/>
    <row r="378" ht="10.9" customHeight="1"/>
    <row r="379" ht="10.9" customHeight="1"/>
    <row r="380" ht="10.9" customHeight="1"/>
    <row r="381" ht="10.9" customHeight="1"/>
    <row r="382" ht="10.9" customHeight="1"/>
    <row r="383" ht="10.9" customHeight="1"/>
    <row r="384" ht="10.9" customHeight="1"/>
    <row r="385" ht="10.9" customHeight="1"/>
    <row r="386" ht="10.9" customHeight="1"/>
    <row r="387" ht="10.9" customHeight="1"/>
    <row r="388" ht="10.9" customHeight="1"/>
    <row r="389" ht="10.9" customHeight="1"/>
    <row r="390" ht="10.9" customHeight="1"/>
    <row r="391" ht="10.9" customHeight="1"/>
    <row r="392" ht="10.9" customHeight="1"/>
    <row r="393" ht="10.9" customHeight="1"/>
    <row r="394" ht="10.9" customHeight="1"/>
    <row r="395" ht="10.9" customHeight="1"/>
    <row r="396" ht="10.9" customHeight="1"/>
    <row r="397" ht="10.9" customHeight="1"/>
    <row r="398" ht="10.9" customHeight="1"/>
    <row r="399" ht="10.9" customHeight="1"/>
    <row r="400" ht="10.9" customHeight="1"/>
    <row r="401" ht="10.9" customHeight="1"/>
    <row r="402" ht="10.9" customHeight="1"/>
    <row r="403" ht="10.9" customHeight="1"/>
    <row r="404" ht="10.9" customHeight="1"/>
    <row r="405" ht="10.9" customHeight="1"/>
    <row r="406" ht="10.9" customHeight="1"/>
    <row r="407" ht="10.9" customHeight="1"/>
    <row r="408" ht="10.9" customHeight="1"/>
    <row r="409" ht="10.9" customHeight="1"/>
    <row r="410" ht="10.9" customHeight="1"/>
    <row r="411" ht="10.9" customHeight="1"/>
    <row r="412" ht="10.9" customHeight="1"/>
    <row r="413" ht="10.9" customHeight="1"/>
    <row r="414" ht="10.9" customHeight="1"/>
    <row r="415" ht="10.9" customHeight="1"/>
    <row r="416" ht="10.9" customHeight="1"/>
    <row r="417" ht="10.9" customHeight="1"/>
    <row r="418" ht="10.9" customHeight="1"/>
    <row r="419" ht="10.9" customHeight="1"/>
    <row r="420" ht="10.9" customHeight="1"/>
    <row r="421" ht="10.9" customHeight="1"/>
    <row r="422" ht="10.9" customHeight="1"/>
    <row r="423" ht="10.9" customHeight="1"/>
    <row r="424" ht="10.9" customHeight="1"/>
    <row r="425" ht="10.9" customHeight="1"/>
    <row r="426" ht="10.9" customHeight="1"/>
    <row r="427" ht="10.9" customHeight="1"/>
    <row r="428" ht="10.9" customHeight="1"/>
    <row r="429" ht="10.9" customHeight="1"/>
    <row r="430" ht="10.9" customHeight="1"/>
    <row r="431" ht="10.9" customHeight="1"/>
    <row r="432" ht="10.9" customHeight="1"/>
    <row r="433" ht="10.9" customHeight="1"/>
    <row r="434" ht="10.9" customHeight="1"/>
    <row r="435" ht="10.9" customHeight="1"/>
    <row r="436" ht="10.9" customHeight="1"/>
    <row r="437" ht="10.9" customHeight="1"/>
    <row r="438" ht="10.9" customHeight="1"/>
    <row r="439" ht="10.9" customHeight="1"/>
    <row r="440" ht="10.9" customHeight="1"/>
    <row r="441" ht="10.9" customHeight="1"/>
    <row r="442" ht="10.9" customHeight="1"/>
    <row r="443" ht="10.9" customHeight="1"/>
    <row r="444" ht="10.9" customHeight="1"/>
    <row r="445" ht="10.9" customHeight="1"/>
    <row r="446" ht="10.9" customHeight="1"/>
    <row r="447" ht="10.9" customHeight="1"/>
    <row r="448" ht="10.9" customHeight="1"/>
    <row r="449" ht="10.9" customHeight="1"/>
    <row r="450" ht="10.9" customHeight="1"/>
    <row r="451" ht="10.9" customHeight="1"/>
    <row r="452" ht="10.9" customHeight="1"/>
    <row r="453" ht="10.9" customHeight="1"/>
    <row r="454" ht="10.9" customHeight="1"/>
    <row r="455" ht="10.9" customHeight="1"/>
    <row r="456" ht="10.9" customHeight="1"/>
    <row r="457" ht="10.9" customHeight="1"/>
    <row r="458" ht="10.9" customHeight="1"/>
    <row r="459" ht="10.9" customHeight="1"/>
    <row r="460" ht="10.9" customHeight="1"/>
    <row r="461" ht="10.9" customHeight="1"/>
    <row r="462" ht="10.9" customHeight="1"/>
    <row r="463" ht="10.9" customHeight="1"/>
    <row r="464" ht="10.9" customHeight="1"/>
    <row r="465" ht="10.9" customHeight="1"/>
    <row r="466" ht="10.9" customHeight="1"/>
    <row r="467" ht="10.9" customHeight="1"/>
    <row r="468" ht="10.9" customHeight="1"/>
    <row r="469" ht="10.9" customHeight="1"/>
    <row r="470" ht="10.9" customHeight="1"/>
    <row r="471" ht="10.9" customHeight="1"/>
    <row r="472" ht="10.9" customHeight="1"/>
    <row r="473" ht="10.9" customHeight="1"/>
    <row r="474" ht="10.9" customHeight="1"/>
    <row r="475" ht="10.9" customHeight="1"/>
    <row r="476" ht="10.9" customHeight="1"/>
    <row r="477" ht="10.9" customHeight="1"/>
    <row r="478" ht="10.9" customHeight="1"/>
    <row r="479" ht="10.9" customHeight="1"/>
    <row r="480" ht="10.9" customHeight="1"/>
    <row r="481" ht="10.9" customHeight="1"/>
    <row r="482" ht="10.9" customHeight="1"/>
    <row r="483" ht="10.9" customHeight="1"/>
    <row r="484" ht="10.9" customHeight="1"/>
    <row r="485" ht="10.9" customHeight="1"/>
    <row r="486" ht="10.9" customHeight="1"/>
    <row r="487" ht="10.9" customHeight="1"/>
    <row r="488" ht="10.9" customHeight="1"/>
    <row r="489" ht="10.9" customHeight="1"/>
    <row r="490" ht="10.9" customHeight="1"/>
    <row r="491" ht="10.9" customHeight="1"/>
    <row r="492" ht="10.9" customHeight="1"/>
    <row r="493" ht="10.9" customHeight="1"/>
    <row r="494" ht="10.9" customHeight="1"/>
    <row r="495" ht="10.9" customHeight="1"/>
    <row r="496" ht="10.9" customHeight="1"/>
    <row r="497" ht="10.9" customHeight="1"/>
    <row r="498" ht="10.9" customHeight="1"/>
    <row r="499" ht="10.9" customHeight="1"/>
    <row r="500" ht="10.9" customHeight="1"/>
    <row r="501" ht="10.9" customHeight="1"/>
    <row r="502" ht="10.9" customHeight="1"/>
    <row r="503" ht="10.9" customHeight="1"/>
    <row r="504" ht="10.9" customHeight="1"/>
    <row r="505" ht="10.9" customHeight="1"/>
    <row r="506" ht="10.9" customHeight="1"/>
    <row r="507" ht="10.9" customHeight="1"/>
    <row r="508" ht="10.9" customHeight="1"/>
    <row r="509" ht="10.9" customHeight="1"/>
    <row r="510" ht="10.9" customHeight="1"/>
    <row r="511" ht="10.9" customHeight="1"/>
    <row r="512" ht="10.9" customHeight="1"/>
    <row r="513" ht="10.9" customHeight="1"/>
    <row r="514" ht="10.9" customHeight="1"/>
    <row r="515" ht="10.9" customHeight="1"/>
    <row r="516" ht="10.9" customHeight="1"/>
    <row r="517" ht="10.9" customHeight="1"/>
    <row r="518" ht="10.9" customHeight="1"/>
    <row r="519" ht="10.9" customHeight="1"/>
    <row r="520" ht="10.9" customHeight="1"/>
    <row r="521" ht="10.9" customHeight="1"/>
    <row r="522" ht="10.9" customHeight="1"/>
    <row r="523" ht="10.9" customHeight="1"/>
    <row r="524" ht="10.9" customHeight="1"/>
    <row r="525" ht="10.9" customHeight="1"/>
    <row r="526" ht="10.9" customHeight="1"/>
    <row r="527" ht="10.9" customHeight="1"/>
    <row r="528" ht="10.9" customHeight="1"/>
    <row r="529" ht="10.9" customHeight="1"/>
    <row r="530" ht="10.9" customHeight="1"/>
    <row r="531" ht="10.9" customHeight="1"/>
    <row r="532" ht="10.9" customHeight="1"/>
    <row r="533" ht="10.9" customHeight="1"/>
    <row r="534" ht="10.9" customHeight="1"/>
    <row r="535" ht="10.9" customHeight="1"/>
    <row r="536" ht="10.9" customHeight="1"/>
    <row r="537" ht="10.9" customHeight="1"/>
    <row r="538" ht="10.9" customHeight="1"/>
    <row r="539" ht="10.9" customHeight="1"/>
    <row r="540" ht="10.9" customHeight="1"/>
    <row r="541" ht="10.9" customHeight="1"/>
    <row r="542" ht="10.9" customHeight="1"/>
    <row r="543" ht="10.9" customHeight="1"/>
    <row r="544" ht="10.9" customHeight="1"/>
    <row r="545" ht="10.9" customHeight="1"/>
    <row r="546" ht="10.9" customHeight="1"/>
    <row r="547" ht="10.9" customHeight="1"/>
    <row r="548" ht="10.9" customHeight="1"/>
    <row r="549" ht="10.9" customHeight="1"/>
    <row r="550" ht="10.9" customHeight="1"/>
    <row r="551" ht="10.9" customHeight="1"/>
    <row r="552" ht="10.9" customHeight="1"/>
    <row r="553" ht="10.9" customHeight="1"/>
    <row r="554" ht="10.9" customHeight="1"/>
    <row r="555" ht="10.9" customHeight="1"/>
    <row r="556" ht="10.9" customHeight="1"/>
    <row r="557" ht="10.9" customHeight="1"/>
    <row r="558" ht="10.9" customHeight="1"/>
    <row r="559" ht="10.9" customHeight="1"/>
    <row r="560" ht="10.9" customHeight="1"/>
    <row r="561" ht="10.9" customHeight="1"/>
    <row r="562" ht="10.9" customHeight="1"/>
    <row r="563" ht="10.9" customHeight="1"/>
    <row r="564" ht="10.9" customHeight="1"/>
    <row r="565" ht="10.9" customHeight="1"/>
    <row r="566" ht="10.9" customHeight="1"/>
    <row r="567" ht="10.9" customHeight="1"/>
    <row r="568" ht="10.9" customHeight="1"/>
    <row r="569" ht="10.9" customHeight="1"/>
    <row r="570" ht="10.9" customHeight="1"/>
    <row r="571" ht="10.9" customHeight="1"/>
    <row r="572" ht="10.9" customHeight="1"/>
    <row r="573" ht="10.9" customHeight="1"/>
    <row r="574" ht="10.9" customHeight="1"/>
    <row r="575" ht="10.9" customHeight="1"/>
    <row r="576" ht="10.9" customHeight="1"/>
    <row r="577" ht="10.9" customHeight="1"/>
    <row r="578" ht="10.9" customHeight="1"/>
    <row r="579" ht="10.9" customHeight="1"/>
    <row r="580" ht="10.9" customHeight="1"/>
    <row r="581" ht="10.9" customHeight="1"/>
    <row r="582" ht="10.9" customHeight="1"/>
    <row r="583" ht="10.9" customHeight="1"/>
    <row r="584" ht="10.9" customHeight="1"/>
    <row r="585" ht="10.9" customHeight="1"/>
    <row r="586" ht="10.9" customHeight="1"/>
    <row r="587" ht="10.9" customHeight="1"/>
    <row r="588" ht="10.9" customHeight="1"/>
    <row r="589" ht="10.9" customHeight="1"/>
    <row r="590" ht="10.9" customHeight="1"/>
    <row r="591" ht="10.9" customHeight="1"/>
    <row r="592" ht="10.9" customHeight="1"/>
    <row r="593" ht="10.9" customHeight="1"/>
    <row r="594" ht="10.9" customHeight="1"/>
    <row r="595" ht="10.9" customHeight="1"/>
    <row r="596" ht="10.9" customHeight="1"/>
    <row r="597" ht="10.9" customHeight="1"/>
    <row r="598" ht="10.9" customHeight="1"/>
    <row r="599" ht="10.9" customHeight="1"/>
    <row r="600" ht="10.9" customHeight="1"/>
    <row r="601" ht="10.9" customHeight="1"/>
    <row r="602" ht="10.9" customHeight="1"/>
    <row r="603" ht="10.9" customHeight="1"/>
    <row r="604" ht="10.9" customHeight="1"/>
    <row r="605" ht="10.9" customHeight="1"/>
    <row r="606" ht="10.9" customHeight="1"/>
    <row r="607" ht="10.9" customHeight="1"/>
    <row r="608" ht="10.9" customHeight="1"/>
    <row r="609" ht="10.9" customHeight="1"/>
    <row r="610" ht="10.9" customHeight="1"/>
    <row r="611" ht="10.9" customHeight="1"/>
    <row r="612" ht="10.9" customHeight="1"/>
    <row r="613" ht="10.9" customHeight="1"/>
    <row r="614" ht="10.9" customHeight="1"/>
    <row r="615" ht="10.9" customHeight="1"/>
    <row r="616" ht="10.9" customHeight="1"/>
    <row r="617" ht="10.9" customHeight="1"/>
    <row r="618" ht="10.9" customHeight="1"/>
    <row r="619" ht="10.9" customHeight="1"/>
    <row r="620" ht="10.9" customHeight="1"/>
    <row r="621" ht="10.9" customHeight="1"/>
    <row r="622" ht="10.9" customHeight="1"/>
    <row r="623" ht="10.9" customHeight="1"/>
    <row r="624" ht="10.9" customHeight="1"/>
    <row r="625" ht="10.9" customHeight="1"/>
    <row r="626" ht="10.9" customHeight="1"/>
    <row r="627" ht="10.9" customHeight="1"/>
    <row r="628" ht="10.9" customHeight="1"/>
    <row r="629" ht="10.9" customHeight="1"/>
    <row r="630" ht="10.9" customHeight="1"/>
    <row r="631" ht="10.9" customHeight="1"/>
    <row r="632" ht="10.9" customHeight="1"/>
    <row r="633" ht="10.9" customHeight="1"/>
    <row r="634" ht="10.9" customHeight="1"/>
    <row r="635" ht="10.9" customHeight="1"/>
    <row r="636" ht="10.9" customHeight="1"/>
    <row r="637" ht="10.9" customHeight="1"/>
    <row r="638" ht="10.9" customHeight="1"/>
    <row r="639" ht="10.9" customHeight="1"/>
    <row r="640" ht="10.9" customHeight="1"/>
    <row r="641" ht="10.9" customHeight="1"/>
    <row r="642" ht="10.9" customHeight="1"/>
    <row r="643" ht="10.9" customHeight="1"/>
    <row r="644" ht="10.9" customHeight="1"/>
    <row r="645" ht="10.9" customHeight="1"/>
    <row r="646" ht="10.9" customHeight="1"/>
    <row r="647" ht="10.9" customHeight="1"/>
    <row r="648" ht="10.9" customHeight="1"/>
    <row r="649" ht="10.9" customHeight="1"/>
    <row r="650" ht="10.9" customHeight="1"/>
    <row r="651" ht="10.9" customHeight="1"/>
    <row r="652" ht="10.9" customHeight="1"/>
    <row r="653" ht="10.9" customHeight="1"/>
    <row r="654" ht="10.9" customHeight="1"/>
    <row r="655" ht="10.9" customHeight="1"/>
    <row r="656" ht="10.9" customHeight="1"/>
    <row r="657" ht="10.9" customHeight="1"/>
    <row r="658" ht="10.9" customHeight="1"/>
    <row r="659" ht="10.9" customHeight="1"/>
    <row r="660" ht="10.9" customHeight="1"/>
    <row r="661" ht="10.9" customHeight="1"/>
    <row r="662" ht="10.9" customHeight="1"/>
    <row r="663" ht="10.9" customHeight="1"/>
    <row r="664" ht="10.9" customHeight="1"/>
    <row r="665" ht="10.9" customHeight="1"/>
    <row r="666" ht="10.9" customHeight="1"/>
    <row r="667" ht="10.9" customHeight="1"/>
    <row r="668" ht="10.9" customHeight="1"/>
    <row r="669" ht="10.9" customHeight="1"/>
    <row r="670" ht="10.9" customHeight="1"/>
    <row r="671" ht="10.9" customHeight="1"/>
    <row r="672" ht="10.9" customHeight="1"/>
    <row r="673" ht="10.9" customHeight="1"/>
    <row r="674" ht="10.9" customHeight="1"/>
    <row r="675" ht="10.9" customHeight="1"/>
    <row r="676" ht="10.9" customHeight="1"/>
    <row r="677" ht="10.9" customHeight="1"/>
    <row r="678" ht="10.9" customHeight="1"/>
    <row r="679" ht="10.9" customHeight="1"/>
    <row r="680" ht="10.9" customHeight="1"/>
    <row r="681" ht="10.9" customHeight="1"/>
    <row r="682" ht="10.9" customHeight="1"/>
    <row r="683" ht="10.9" customHeight="1"/>
    <row r="684" ht="10.9" customHeight="1"/>
    <row r="685" ht="10.9" customHeight="1"/>
    <row r="686" ht="10.9" customHeight="1"/>
    <row r="687" ht="10.9" customHeight="1"/>
    <row r="688" ht="10.9" customHeight="1"/>
    <row r="689" ht="10.9" customHeight="1"/>
    <row r="690" ht="10.9" customHeight="1"/>
    <row r="691" ht="10.9" customHeight="1"/>
    <row r="692" ht="10.9" customHeight="1"/>
    <row r="693" ht="10.9" customHeight="1"/>
    <row r="694" ht="10.9" customHeight="1"/>
    <row r="695" ht="10.9" customHeight="1"/>
    <row r="696" ht="10.9" customHeight="1"/>
    <row r="697" ht="10.9" customHeight="1"/>
    <row r="698" ht="10.9" customHeight="1"/>
    <row r="699" ht="10.9" customHeight="1"/>
    <row r="700" ht="10.9" customHeight="1"/>
    <row r="701" ht="10.9" customHeight="1"/>
    <row r="702" ht="10.9" customHeight="1"/>
    <row r="703" ht="10.9" customHeight="1"/>
    <row r="704" ht="10.9" customHeight="1"/>
    <row r="705" ht="10.9" customHeight="1"/>
    <row r="706" ht="10.9" customHeight="1"/>
    <row r="707" ht="10.9" customHeight="1"/>
    <row r="708" ht="10.9" customHeight="1"/>
    <row r="709" ht="10.9" customHeight="1"/>
    <row r="710" ht="10.9" customHeight="1"/>
    <row r="711" ht="10.9" customHeight="1"/>
    <row r="712" ht="10.9" customHeight="1"/>
    <row r="713" ht="10.9" customHeight="1"/>
    <row r="714" ht="10.9" customHeight="1"/>
    <row r="715" ht="10.9" customHeight="1"/>
    <row r="716" ht="10.9" customHeight="1"/>
    <row r="717" ht="10.9" customHeight="1"/>
    <row r="718" ht="10.9" customHeight="1"/>
    <row r="719" ht="10.9" customHeight="1"/>
    <row r="720" ht="10.9" customHeight="1"/>
    <row r="721" ht="10.9" customHeight="1"/>
    <row r="722" ht="10.9" customHeight="1"/>
    <row r="723" ht="10.9" customHeight="1"/>
    <row r="724" ht="10.9" customHeight="1"/>
    <row r="725" ht="10.9" customHeight="1"/>
    <row r="726" ht="10.9" customHeight="1"/>
    <row r="727" ht="10.9" customHeight="1"/>
    <row r="728" ht="10.9" customHeight="1"/>
    <row r="729" ht="10.9" customHeight="1"/>
    <row r="730" ht="10.9" customHeight="1"/>
    <row r="731" ht="10.9" customHeight="1"/>
    <row r="732" ht="10.9" customHeight="1"/>
    <row r="733" ht="10.9" customHeight="1"/>
    <row r="734" ht="10.9" customHeight="1"/>
    <row r="735" ht="10.9" customHeight="1"/>
    <row r="736" ht="10.9" customHeight="1"/>
    <row r="737" ht="10.9" customHeight="1"/>
    <row r="738" ht="10.9" customHeight="1"/>
    <row r="739" ht="10.9" customHeight="1"/>
    <row r="740" ht="10.9" customHeight="1"/>
    <row r="741" ht="10.9" customHeight="1"/>
    <row r="742" ht="10.9" customHeight="1"/>
    <row r="743" ht="10.9" customHeight="1"/>
    <row r="744" ht="10.9" customHeight="1"/>
    <row r="745" ht="10.9" customHeight="1"/>
    <row r="746" ht="10.9" customHeight="1"/>
    <row r="747" ht="10.9" customHeight="1"/>
    <row r="748" ht="10.9" customHeight="1"/>
    <row r="749" ht="10.9" customHeight="1"/>
    <row r="750" ht="10.9" customHeight="1"/>
    <row r="751" ht="10.9" customHeight="1"/>
    <row r="752" ht="10.9" customHeight="1"/>
    <row r="753" ht="10.9" customHeight="1"/>
    <row r="754" ht="10.9" customHeight="1"/>
    <row r="755" ht="10.9" customHeight="1"/>
    <row r="756" ht="10.9" customHeight="1"/>
    <row r="757" ht="10.9" customHeight="1"/>
    <row r="758" ht="10.9" customHeight="1"/>
    <row r="759" ht="10.9" customHeight="1"/>
    <row r="760" ht="10.9" customHeight="1"/>
    <row r="761" ht="10.9" customHeight="1"/>
    <row r="762" ht="10.9" customHeight="1"/>
    <row r="763" ht="10.9" customHeight="1"/>
    <row r="764" ht="10.9" customHeight="1"/>
    <row r="765" ht="10.9" customHeight="1"/>
    <row r="766" ht="10.9" customHeight="1"/>
    <row r="767" ht="10.9" customHeight="1"/>
    <row r="768" ht="10.9" customHeight="1"/>
    <row r="769" ht="10.9" customHeight="1"/>
    <row r="770" ht="10.9" customHeight="1"/>
    <row r="771" ht="10.9" customHeight="1"/>
    <row r="772" ht="10.9" customHeight="1"/>
    <row r="773" ht="10.9" customHeight="1"/>
    <row r="774" ht="10.9" customHeight="1"/>
    <row r="775" ht="10.9" customHeight="1"/>
    <row r="776" ht="10.9" customHeight="1"/>
    <row r="777" ht="10.9" customHeight="1"/>
    <row r="778" ht="10.9" customHeight="1"/>
    <row r="779" ht="10.9" customHeight="1"/>
    <row r="780" ht="10.9" customHeight="1"/>
    <row r="781" ht="10.9" customHeight="1"/>
    <row r="782" ht="10.9" customHeight="1"/>
    <row r="783" ht="10.9" customHeight="1"/>
    <row r="784" ht="10.9" customHeight="1"/>
    <row r="785" ht="10.9" customHeight="1"/>
    <row r="786" ht="10.9" customHeight="1"/>
    <row r="787" ht="10.9" customHeight="1"/>
    <row r="788" ht="10.9" customHeight="1"/>
    <row r="789" ht="10.9" customHeight="1"/>
    <row r="790" ht="10.9" customHeight="1"/>
    <row r="791" ht="10.9" customHeight="1"/>
    <row r="792" ht="10.9" customHeight="1"/>
    <row r="793" ht="10.9" customHeight="1"/>
    <row r="794" ht="10.9" customHeight="1"/>
    <row r="795" ht="10.9" customHeight="1"/>
    <row r="796" ht="10.9" customHeight="1"/>
    <row r="797" ht="10.9" customHeight="1"/>
    <row r="798" ht="10.9" customHeight="1"/>
    <row r="799" ht="10.9" customHeight="1"/>
    <row r="800" ht="10.9" customHeight="1"/>
    <row r="801" ht="10.9" customHeight="1"/>
    <row r="802" ht="10.9" customHeight="1"/>
    <row r="803" ht="10.9" customHeight="1"/>
    <row r="804" ht="10.9" customHeight="1"/>
    <row r="805" ht="10.9" customHeight="1"/>
    <row r="806" ht="10.9" customHeight="1"/>
    <row r="807" ht="10.9" customHeight="1"/>
    <row r="808" ht="10.9" customHeight="1"/>
    <row r="809" ht="10.9" customHeight="1"/>
    <row r="810" ht="10.9" customHeight="1"/>
    <row r="811" ht="10.9" customHeight="1"/>
    <row r="812" ht="10.9" customHeight="1"/>
    <row r="813" ht="10.9" customHeight="1"/>
    <row r="814" ht="10.9" customHeight="1"/>
    <row r="815" ht="10.9" customHeight="1"/>
    <row r="816" ht="10.9" customHeight="1"/>
    <row r="817" ht="10.9" customHeight="1"/>
    <row r="818" ht="10.9" customHeight="1"/>
    <row r="819" ht="10.9" customHeight="1"/>
    <row r="820" ht="10.9" customHeight="1"/>
    <row r="821" ht="10.9" customHeight="1"/>
    <row r="822" ht="10.9" customHeight="1"/>
    <row r="823" ht="10.9" customHeight="1"/>
    <row r="824" ht="10.9" customHeight="1"/>
    <row r="825" ht="10.9" customHeight="1"/>
    <row r="826" ht="10.9" customHeight="1"/>
    <row r="827" ht="10.9" customHeight="1"/>
    <row r="828" ht="10.9" customHeight="1"/>
    <row r="829" ht="10.9" customHeight="1"/>
    <row r="830" ht="10.9" customHeight="1"/>
    <row r="831" ht="10.9" customHeight="1"/>
    <row r="832" ht="10.9" customHeight="1"/>
    <row r="833" ht="10.9" customHeight="1"/>
    <row r="834" ht="10.9" customHeight="1"/>
    <row r="835" ht="10.9" customHeight="1"/>
    <row r="836" ht="10.9" customHeight="1"/>
    <row r="837" ht="10.9" customHeight="1"/>
    <row r="838" ht="10.9" customHeight="1"/>
    <row r="839" ht="10.9" customHeight="1"/>
    <row r="840" ht="10.9" customHeight="1"/>
    <row r="841" ht="10.9" customHeight="1"/>
    <row r="842" ht="10.9" customHeight="1"/>
    <row r="843" ht="10.9" customHeight="1"/>
    <row r="844" ht="10.9" customHeight="1"/>
    <row r="845" ht="10.9" customHeight="1"/>
    <row r="846" ht="10.9" customHeight="1"/>
    <row r="847" ht="10.9" customHeight="1"/>
    <row r="848" ht="10.9" customHeight="1"/>
    <row r="849" ht="10.9" customHeight="1"/>
    <row r="850" ht="10.9" customHeight="1"/>
    <row r="851" ht="10.9" customHeight="1"/>
    <row r="852" ht="10.9" customHeight="1"/>
    <row r="853" ht="10.9" customHeight="1"/>
    <row r="854" ht="10.9" customHeight="1"/>
    <row r="855" ht="10.9" customHeight="1"/>
    <row r="856" ht="10.9" customHeight="1"/>
    <row r="857" ht="10.9" customHeight="1"/>
    <row r="858" ht="10.9" customHeight="1"/>
    <row r="859" ht="10.9" customHeight="1"/>
    <row r="860" ht="10.9" customHeight="1"/>
    <row r="861" ht="10.9" customHeight="1"/>
    <row r="862" ht="10.9" customHeight="1"/>
    <row r="863" ht="10.9" customHeight="1"/>
    <row r="864" ht="10.9" customHeight="1"/>
    <row r="865" ht="10.9" customHeight="1"/>
    <row r="866" ht="10.9" customHeight="1"/>
    <row r="867" ht="10.9" customHeight="1"/>
    <row r="868" ht="10.9" customHeight="1"/>
    <row r="869" ht="10.9" customHeight="1"/>
    <row r="870" ht="10.9" customHeight="1"/>
    <row r="871" ht="10.9" customHeight="1"/>
    <row r="872" ht="10.9" customHeight="1"/>
    <row r="873" ht="10.9" customHeight="1"/>
    <row r="874" ht="10.9" customHeight="1"/>
    <row r="875" ht="10.9" customHeight="1"/>
    <row r="876" ht="10.9" customHeight="1"/>
    <row r="877" ht="10.9" customHeight="1"/>
    <row r="878" ht="10.9" customHeight="1"/>
    <row r="879" ht="10.9" customHeight="1"/>
    <row r="880" ht="10.9" customHeight="1"/>
    <row r="881" ht="10.9" customHeight="1"/>
    <row r="882" ht="10.9" customHeight="1"/>
    <row r="883" ht="10.9" customHeight="1"/>
    <row r="884" ht="10.9" customHeight="1"/>
    <row r="885" ht="10.9" customHeight="1"/>
    <row r="886" ht="10.9" customHeight="1"/>
    <row r="887" ht="10.9" customHeight="1"/>
    <row r="888" ht="10.9" customHeight="1"/>
    <row r="889" ht="10.9" customHeight="1"/>
    <row r="890" ht="10.9" customHeight="1"/>
    <row r="891" ht="10.9" customHeight="1"/>
    <row r="892" ht="10.9" customHeight="1"/>
    <row r="893" ht="10.9" customHeight="1"/>
    <row r="894" ht="10.9" customHeight="1"/>
    <row r="895" ht="10.9" customHeight="1"/>
    <row r="896" ht="10.9" customHeight="1"/>
    <row r="897" ht="10.9" customHeight="1"/>
    <row r="898" ht="10.9" customHeight="1"/>
    <row r="899" ht="10.9" customHeight="1"/>
    <row r="900" ht="10.9" customHeight="1"/>
    <row r="901" ht="10.9" customHeight="1"/>
    <row r="902" ht="10.9" customHeight="1"/>
    <row r="903" ht="10.9" customHeight="1"/>
    <row r="904" ht="10.9" customHeight="1"/>
    <row r="905" ht="10.9" customHeight="1"/>
    <row r="906" ht="10.9" customHeight="1"/>
    <row r="907" ht="10.9" customHeight="1"/>
    <row r="908" ht="10.9" customHeight="1"/>
    <row r="909" ht="10.9" customHeight="1"/>
    <row r="910" ht="10.9" customHeight="1"/>
    <row r="911" ht="10.9" customHeight="1"/>
    <row r="912" ht="10.9" customHeight="1"/>
    <row r="913" ht="10.9" customHeight="1"/>
    <row r="914" ht="10.9" customHeight="1"/>
    <row r="915" ht="10.9" customHeight="1"/>
    <row r="916" ht="10.9" customHeight="1"/>
    <row r="917" ht="10.9" customHeight="1"/>
    <row r="918" ht="10.9" customHeight="1"/>
    <row r="919" ht="10.9" customHeight="1"/>
    <row r="920" ht="10.9" customHeight="1"/>
    <row r="921" ht="10.9" customHeight="1"/>
    <row r="922" ht="10.9" customHeight="1"/>
    <row r="923" ht="10.9" customHeight="1"/>
    <row r="924" ht="10.9" customHeight="1"/>
    <row r="925" ht="10.9" customHeight="1"/>
    <row r="926" ht="10.9" customHeight="1"/>
    <row r="927" ht="10.9" customHeight="1"/>
    <row r="928" ht="10.9" customHeight="1"/>
    <row r="929" ht="10.9" customHeight="1"/>
    <row r="930" ht="10.9" customHeight="1"/>
    <row r="931" ht="10.9" customHeight="1"/>
    <row r="932" ht="10.9" customHeight="1"/>
    <row r="933" ht="10.9" customHeight="1"/>
    <row r="934" ht="10.9" customHeight="1"/>
    <row r="935" ht="10.9" customHeight="1"/>
    <row r="936" ht="10.9" customHeight="1"/>
    <row r="937" ht="10.9" customHeight="1"/>
    <row r="938" ht="10.9" customHeight="1"/>
    <row r="939" ht="10.9" customHeight="1"/>
    <row r="940" ht="10.9" customHeight="1"/>
    <row r="941" ht="10.9" customHeight="1"/>
    <row r="942" ht="10.9" customHeight="1"/>
    <row r="943" ht="10.9" customHeight="1"/>
    <row r="944" ht="10.9" customHeight="1"/>
    <row r="945" ht="10.9" customHeight="1"/>
    <row r="946" ht="10.9" customHeight="1"/>
    <row r="947" ht="10.9" customHeight="1"/>
    <row r="948" ht="10.9" customHeight="1"/>
    <row r="949" ht="10.9" customHeight="1"/>
    <row r="950" ht="10.9" customHeight="1"/>
    <row r="951" ht="10.9" customHeight="1"/>
    <row r="952" ht="10.9" customHeight="1"/>
    <row r="953" ht="10.9" customHeight="1"/>
    <row r="954" ht="10.9" customHeight="1"/>
    <row r="955" ht="10.9" customHeight="1"/>
    <row r="956" ht="10.9" customHeight="1"/>
    <row r="957" ht="10.9" customHeight="1"/>
    <row r="958" ht="10.9" customHeight="1"/>
    <row r="959" ht="10.9" customHeight="1"/>
    <row r="960" ht="10.9" customHeight="1"/>
    <row r="961" ht="10.9" customHeight="1"/>
    <row r="962" ht="10.9" customHeight="1"/>
    <row r="963" ht="10.9" customHeight="1"/>
    <row r="964" ht="10.9" customHeight="1"/>
    <row r="965" ht="10.9" customHeight="1"/>
    <row r="966" ht="10.9" customHeight="1"/>
    <row r="967" ht="10.9" customHeight="1"/>
    <row r="968" ht="10.9" customHeight="1"/>
    <row r="969" ht="10.9" customHeight="1"/>
    <row r="970" ht="10.9" customHeight="1"/>
    <row r="971" ht="10.9" customHeight="1"/>
    <row r="972" ht="10.9" customHeight="1"/>
    <row r="973" ht="10.9" customHeight="1"/>
    <row r="974" ht="10.9" customHeight="1"/>
    <row r="975" ht="10.9" customHeight="1"/>
    <row r="976" ht="10.9" customHeight="1"/>
    <row r="977" ht="10.9" customHeight="1"/>
    <row r="978" ht="10.9" customHeight="1"/>
    <row r="979" ht="10.9" customHeight="1"/>
    <row r="980" ht="10.9" customHeight="1"/>
    <row r="981" ht="10.9" customHeight="1"/>
    <row r="982" ht="10.9" customHeight="1"/>
    <row r="983" ht="10.9" customHeight="1"/>
    <row r="984" ht="10.9" customHeight="1"/>
    <row r="985" ht="10.9" customHeight="1"/>
    <row r="986" ht="10.9" customHeight="1"/>
    <row r="987" ht="10.9" customHeight="1"/>
    <row r="988" ht="10.9" customHeight="1"/>
    <row r="989" ht="10.9" customHeight="1"/>
    <row r="990" ht="10.9" customHeight="1"/>
    <row r="991" ht="10.9" customHeight="1"/>
    <row r="992" ht="10.9" customHeight="1"/>
    <row r="993" ht="10.9" customHeight="1"/>
    <row r="994" ht="10.9" customHeight="1"/>
    <row r="995" ht="10.9" customHeight="1"/>
    <row r="996" ht="10.9" customHeight="1"/>
    <row r="997" ht="10.9" customHeight="1"/>
    <row r="998" ht="10.9" customHeight="1"/>
    <row r="999" ht="10.9" customHeight="1"/>
    <row r="1000" ht="10.9" customHeight="1"/>
    <row r="1001" ht="10.9" customHeight="1"/>
    <row r="1002" ht="10.9" customHeight="1"/>
    <row r="1003" ht="10.9" customHeight="1"/>
    <row r="1004" ht="10.9" customHeight="1"/>
    <row r="1005" ht="10.9" customHeight="1"/>
    <row r="1006" ht="10.9" customHeight="1"/>
    <row r="1007" ht="10.9" customHeight="1"/>
    <row r="1008" ht="10.9" customHeight="1"/>
    <row r="1009" ht="10.9" customHeight="1"/>
    <row r="1010" ht="10.9" customHeight="1"/>
    <row r="1011" ht="10.9" customHeight="1"/>
    <row r="1012" ht="10.9" customHeight="1"/>
    <row r="1013" ht="10.9" customHeight="1"/>
    <row r="1014" ht="10.9" customHeight="1"/>
    <row r="1015" ht="10.9" customHeight="1"/>
    <row r="1016" ht="10.9" customHeight="1"/>
    <row r="1017" ht="10.9" customHeight="1"/>
    <row r="1018" ht="10.9" customHeight="1"/>
    <row r="1019" ht="10.9" customHeight="1"/>
    <row r="1020" ht="10.9" customHeight="1"/>
    <row r="1021" ht="10.9" customHeight="1"/>
    <row r="1022" ht="10.9" customHeight="1"/>
    <row r="1023" ht="10.9" customHeight="1"/>
    <row r="1024" ht="10.9" customHeight="1"/>
    <row r="1025" ht="10.9" customHeight="1"/>
    <row r="1026" ht="10.9" customHeight="1"/>
    <row r="1027" ht="10.9" customHeight="1"/>
    <row r="1028" ht="10.9" customHeight="1"/>
    <row r="1029" ht="10.9" customHeight="1"/>
    <row r="1030" ht="10.9" customHeight="1"/>
    <row r="1031" ht="10.9" customHeight="1"/>
    <row r="1032" ht="10.9" customHeight="1"/>
    <row r="1033" ht="10.9" customHeight="1"/>
    <row r="1034" ht="10.9" customHeight="1"/>
    <row r="1035" ht="10.9" customHeight="1"/>
    <row r="1036" ht="10.9" customHeight="1"/>
    <row r="1037" ht="10.9" customHeight="1"/>
    <row r="1038" ht="10.9" customHeight="1"/>
    <row r="1039" ht="10.9" customHeight="1"/>
    <row r="1040" ht="10.9" customHeight="1"/>
    <row r="1041" ht="10.9" customHeight="1"/>
    <row r="1042" ht="10.9" customHeight="1"/>
    <row r="1043" ht="10.9" customHeight="1"/>
    <row r="1044" ht="10.9" customHeight="1"/>
    <row r="1045" ht="10.9" customHeight="1"/>
    <row r="1046" ht="10.9" customHeight="1"/>
    <row r="1047" ht="10.9" customHeight="1"/>
    <row r="1048" ht="10.9" customHeight="1"/>
    <row r="1049" ht="10.9" customHeight="1"/>
    <row r="1050" ht="10.9" customHeight="1"/>
    <row r="1051" ht="10.9" customHeight="1"/>
    <row r="1052" ht="10.9" customHeight="1"/>
    <row r="1053" ht="10.9" customHeight="1"/>
    <row r="1054" ht="10.9" customHeight="1"/>
    <row r="1055" ht="10.9" customHeight="1"/>
    <row r="1056" ht="10.9" customHeight="1"/>
    <row r="1057" ht="10.9" customHeight="1"/>
    <row r="1058" ht="10.9" customHeight="1"/>
    <row r="1059" ht="10.9" customHeight="1"/>
    <row r="1060" ht="10.9" customHeight="1"/>
    <row r="1061" ht="10.9" customHeight="1"/>
    <row r="1062" ht="10.9" customHeight="1"/>
    <row r="1063" ht="10.9" customHeight="1"/>
    <row r="1064" ht="10.9" customHeight="1"/>
    <row r="1065" ht="10.9" customHeight="1"/>
    <row r="1066" ht="10.9" customHeight="1"/>
    <row r="1067" ht="10.9" customHeight="1"/>
    <row r="1068" ht="10.9" customHeight="1"/>
    <row r="1069" ht="10.9" customHeight="1"/>
    <row r="1070" ht="10.9" customHeight="1"/>
    <row r="1071" ht="10.9" customHeight="1"/>
    <row r="1072" ht="10.9" customHeight="1"/>
    <row r="1073" ht="10.9" customHeight="1"/>
    <row r="1074" ht="10.9" customHeight="1"/>
    <row r="1075" ht="10.9" customHeight="1"/>
    <row r="1076" ht="10.9" customHeight="1"/>
    <row r="1077" ht="10.9" customHeight="1"/>
    <row r="1078" ht="10.9" customHeight="1"/>
    <row r="1079" ht="10.9" customHeight="1"/>
    <row r="1080" ht="10.9" customHeight="1"/>
    <row r="1081" ht="10.9" customHeight="1"/>
    <row r="1082" ht="10.9" customHeight="1"/>
    <row r="1083" ht="10.9" customHeight="1"/>
    <row r="1084" ht="10.9" customHeight="1"/>
    <row r="1085" ht="10.9" customHeight="1"/>
    <row r="1086" ht="10.9" customHeight="1"/>
    <row r="1087" ht="10.9" customHeight="1"/>
    <row r="1088" ht="10.9" customHeight="1"/>
    <row r="1089" ht="10.9" customHeight="1"/>
    <row r="1090" ht="10.9" customHeight="1"/>
    <row r="1091" ht="10.9" customHeight="1"/>
    <row r="1092" ht="10.9" customHeight="1"/>
    <row r="1093" ht="10.9" customHeight="1"/>
    <row r="1094" ht="10.9" customHeight="1"/>
    <row r="1095" ht="10.9" customHeight="1"/>
    <row r="1096" ht="10.9" customHeight="1"/>
    <row r="1097" ht="10.9" customHeight="1"/>
    <row r="1098" ht="10.9" customHeight="1"/>
    <row r="1099" ht="10.9" customHeight="1"/>
    <row r="1100" ht="10.9" customHeight="1"/>
    <row r="1101" ht="10.9" customHeight="1"/>
    <row r="1102" ht="10.9" customHeight="1"/>
    <row r="1103" ht="10.9" customHeight="1"/>
    <row r="1104" ht="10.9" customHeight="1"/>
    <row r="1105" ht="10.9" customHeight="1"/>
    <row r="1106" ht="10.9" customHeight="1"/>
    <row r="1107" ht="10.9" customHeight="1"/>
    <row r="1108" ht="10.9" customHeight="1"/>
    <row r="1109" ht="10.9" customHeight="1"/>
    <row r="1110" ht="10.9" customHeight="1"/>
    <row r="1111" ht="10.9" customHeight="1"/>
    <row r="1112" ht="10.9" customHeight="1"/>
    <row r="1113" ht="10.9" customHeight="1"/>
    <row r="1114" ht="10.9" customHeight="1"/>
    <row r="1115" ht="10.9" customHeight="1"/>
    <row r="1116" ht="10.9" customHeight="1"/>
    <row r="1117" ht="10.9" customHeight="1"/>
    <row r="1118" ht="10.9" customHeight="1"/>
    <row r="1119" ht="10.9" customHeight="1"/>
    <row r="1120" ht="10.9" customHeight="1"/>
    <row r="1121" ht="10.9" customHeight="1"/>
    <row r="1122" ht="10.9" customHeight="1"/>
    <row r="1123" ht="10.9" customHeight="1"/>
    <row r="1124" ht="10.9" customHeight="1"/>
    <row r="1125" ht="10.9" customHeight="1"/>
    <row r="1126" ht="10.9" customHeight="1"/>
    <row r="1127" ht="10.9" customHeight="1"/>
    <row r="1128" ht="10.9" customHeight="1"/>
    <row r="1129" ht="10.9" customHeight="1"/>
    <row r="1130" ht="10.9" customHeight="1"/>
    <row r="1131" ht="10.9" customHeight="1"/>
    <row r="1132" ht="10.9" customHeight="1"/>
    <row r="1133" ht="10.9" customHeight="1"/>
    <row r="1134" ht="10.9" customHeight="1"/>
    <row r="1135" ht="10.9" customHeight="1"/>
    <row r="1136" ht="10.9" customHeight="1"/>
    <row r="1137" ht="10.9" customHeight="1"/>
    <row r="1138" ht="10.9" customHeight="1"/>
    <row r="1139" ht="10.9" customHeight="1"/>
    <row r="1140" ht="10.9" customHeight="1"/>
    <row r="1141" ht="10.9" customHeight="1"/>
    <row r="1142" ht="10.9" customHeight="1"/>
    <row r="1143" ht="10.9" customHeight="1"/>
    <row r="1144" ht="10.9" customHeight="1"/>
    <row r="1145" ht="10.9" customHeight="1"/>
    <row r="1146" ht="10.9" customHeight="1"/>
    <row r="1147" ht="10.9" customHeight="1"/>
    <row r="1148" ht="10.9" customHeight="1"/>
    <row r="1149" ht="10.9" customHeight="1"/>
    <row r="1150" ht="10.9" customHeight="1"/>
    <row r="1151" ht="10.9" customHeight="1"/>
    <row r="1152" ht="10.9" customHeight="1"/>
    <row r="1153" ht="10.9" customHeight="1"/>
    <row r="1154" ht="10.9" customHeight="1"/>
    <row r="1155" ht="10.9" customHeight="1"/>
    <row r="1156" ht="10.9" customHeight="1"/>
    <row r="1157" ht="10.9" customHeight="1"/>
    <row r="1158" ht="10.9" customHeight="1"/>
    <row r="1159" ht="10.9" customHeight="1"/>
    <row r="1160" ht="10.9" customHeight="1"/>
    <row r="1161" ht="10.9" customHeight="1"/>
    <row r="1162" ht="10.9" customHeight="1"/>
    <row r="1163" ht="10.9" customHeight="1"/>
    <row r="1164" ht="10.9" customHeight="1"/>
    <row r="1165" ht="10.9" customHeight="1"/>
    <row r="1166" ht="10.9" customHeight="1"/>
    <row r="1167" ht="10.9" customHeight="1"/>
    <row r="1168" ht="10.9" customHeight="1"/>
    <row r="1169" ht="10.9" customHeight="1"/>
    <row r="1170" ht="10.9" customHeight="1"/>
    <row r="1171" ht="10.9" customHeight="1"/>
    <row r="1172" ht="10.9" customHeight="1"/>
    <row r="1173" ht="10.9" customHeight="1"/>
    <row r="1174" ht="10.9" customHeight="1"/>
    <row r="1175" ht="10.9" customHeight="1"/>
    <row r="1176" ht="10.9" customHeight="1"/>
    <row r="1177" ht="10.9" customHeight="1"/>
    <row r="1178" ht="10.9" customHeight="1"/>
    <row r="1179" ht="10.9" customHeight="1"/>
    <row r="1180" ht="10.9" customHeight="1"/>
    <row r="1181" ht="10.9" customHeight="1"/>
    <row r="1182" ht="10.9" customHeight="1"/>
    <row r="1183" ht="10.9" customHeight="1"/>
    <row r="1184" ht="10.9" customHeight="1"/>
    <row r="1185" ht="10.9" customHeight="1"/>
    <row r="1186" ht="10.9" customHeight="1"/>
    <row r="1187" ht="10.9" customHeight="1"/>
    <row r="1188" ht="10.9" customHeight="1"/>
    <row r="1189" ht="10.9" customHeight="1"/>
    <row r="1190" ht="10.9" customHeight="1"/>
    <row r="1191" ht="10.9" customHeight="1"/>
    <row r="1192" ht="10.9" customHeight="1"/>
    <row r="1193" ht="10.9" customHeight="1"/>
    <row r="1194" ht="10.9" customHeight="1"/>
    <row r="1195" ht="10.9" customHeight="1"/>
    <row r="1196" ht="10.9" customHeight="1"/>
    <row r="1197" ht="10.9" customHeight="1"/>
    <row r="1198" ht="10.9" customHeight="1"/>
    <row r="1199" ht="10.9" customHeight="1"/>
    <row r="1200" ht="10.9" customHeight="1"/>
    <row r="1201" ht="10.9" customHeight="1"/>
    <row r="1202" ht="10.9" customHeight="1"/>
    <row r="1203" ht="10.9" customHeight="1"/>
    <row r="1204" ht="10.9" customHeight="1"/>
    <row r="1205" ht="10.9" customHeight="1"/>
    <row r="1206" ht="10.9" customHeight="1"/>
    <row r="1207" ht="10.9" customHeight="1"/>
    <row r="1208" ht="10.9" customHeight="1"/>
    <row r="1209" ht="10.9" customHeight="1"/>
    <row r="1210" ht="10.9" customHeight="1"/>
    <row r="1211" ht="10.9" customHeight="1"/>
    <row r="1212" ht="10.9" customHeight="1"/>
    <row r="1213" ht="10.9" customHeight="1"/>
    <row r="1214" ht="10.9" customHeight="1"/>
    <row r="1215" ht="10.9" customHeight="1"/>
    <row r="1216" ht="10.9" customHeight="1"/>
    <row r="1217" ht="10.9" customHeight="1"/>
    <row r="1218" ht="10.9" customHeight="1"/>
    <row r="1219" ht="10.9" customHeight="1"/>
    <row r="1220" ht="10.9" customHeight="1"/>
    <row r="1221" ht="10.9" customHeight="1"/>
    <row r="1222" ht="10.9" customHeight="1"/>
    <row r="1223" ht="10.9" customHeight="1"/>
    <row r="1224" ht="10.9" customHeight="1"/>
    <row r="1225" ht="10.9" customHeight="1"/>
    <row r="1226" ht="10.9" customHeight="1"/>
    <row r="1227" ht="10.9" customHeight="1"/>
    <row r="1228" ht="10.9" customHeight="1"/>
    <row r="1229" ht="10.9" customHeight="1"/>
    <row r="1230" ht="10.9" customHeight="1"/>
    <row r="1231" ht="10.9" customHeight="1"/>
    <row r="1232" ht="10.9" customHeight="1"/>
    <row r="1233" ht="10.9" customHeight="1"/>
    <row r="1234" ht="10.9" customHeight="1"/>
    <row r="1235" ht="10.9" customHeight="1"/>
    <row r="1236" ht="10.9" customHeight="1"/>
    <row r="1237" ht="10.9" customHeight="1"/>
    <row r="1238" ht="10.9" customHeight="1"/>
    <row r="1239" ht="10.9" customHeight="1"/>
    <row r="1240" ht="10.9" customHeight="1"/>
    <row r="1241" ht="10.9" customHeight="1"/>
    <row r="1242" ht="10.9" customHeight="1"/>
    <row r="1243" ht="10.9" customHeight="1"/>
    <row r="1244" ht="10.9" customHeight="1"/>
    <row r="1245" ht="10.9" customHeight="1"/>
    <row r="1246" ht="10.9" customHeight="1"/>
    <row r="1247" ht="10.9" customHeight="1"/>
    <row r="1248" ht="10.9" customHeight="1"/>
    <row r="1249" ht="10.9" customHeight="1"/>
    <row r="1250" ht="10.9" customHeight="1"/>
    <row r="1251" ht="10.9" customHeight="1"/>
    <row r="1252" ht="10.9" customHeight="1"/>
    <row r="1253" ht="10.9" customHeight="1"/>
    <row r="1254" ht="10.9" customHeight="1"/>
    <row r="1255" ht="10.9" customHeight="1"/>
    <row r="1256" ht="10.9" customHeight="1"/>
    <row r="1257" ht="10.9" customHeight="1"/>
    <row r="1258" ht="10.9" customHeight="1"/>
    <row r="1259" ht="10.9" customHeight="1"/>
    <row r="1260" ht="10.9" customHeight="1"/>
    <row r="1261" ht="10.9" customHeight="1"/>
    <row r="1262" ht="10.9" customHeight="1"/>
    <row r="1263" ht="10.9" customHeight="1"/>
    <row r="1264" ht="10.9" customHeight="1"/>
    <row r="1265" ht="10.9" customHeight="1"/>
    <row r="1266" ht="10.9" customHeight="1"/>
    <row r="1267" ht="10.9" customHeight="1"/>
    <row r="1268" ht="10.9" customHeight="1"/>
    <row r="1269" ht="10.9" customHeight="1"/>
    <row r="1270" ht="10.9" customHeight="1"/>
    <row r="1271" ht="10.9" customHeight="1"/>
    <row r="1272" ht="10.9" customHeight="1"/>
    <row r="1273" ht="10.9" customHeight="1"/>
    <row r="1274" ht="10.9" customHeight="1"/>
    <row r="1275" ht="10.9" customHeight="1"/>
    <row r="1276" ht="10.9" customHeight="1"/>
    <row r="1277" ht="10.9" customHeight="1"/>
    <row r="1278" ht="10.9" customHeight="1"/>
    <row r="1279" ht="10.9" customHeight="1"/>
    <row r="1280" ht="10.9" customHeight="1"/>
    <row r="1281" ht="10.9" customHeight="1"/>
    <row r="1282" ht="10.9" customHeight="1"/>
    <row r="1283" ht="10.9" customHeight="1"/>
    <row r="1284" ht="10.9" customHeight="1"/>
    <row r="1285" ht="10.9" customHeight="1"/>
    <row r="1286" ht="10.9" customHeight="1"/>
    <row r="1287" ht="10.9" customHeight="1"/>
    <row r="1288" ht="10.9" customHeight="1"/>
    <row r="1289" ht="10.9" customHeight="1"/>
    <row r="1290" ht="10.9" customHeight="1"/>
    <row r="1291" ht="10.9" customHeight="1"/>
    <row r="1292" ht="10.9" customHeight="1"/>
    <row r="1293" ht="10.9" customHeight="1"/>
    <row r="1294" ht="10.9" customHeight="1"/>
    <row r="1295" ht="10.9" customHeight="1"/>
    <row r="1296" ht="10.9" customHeight="1"/>
    <row r="1297" ht="10.9" customHeight="1"/>
    <row r="1298" ht="10.9" customHeight="1"/>
    <row r="1299" ht="10.9" customHeight="1"/>
    <row r="1300" ht="10.9" customHeight="1"/>
    <row r="1301" ht="10.9" customHeight="1"/>
    <row r="1302" ht="10.9" customHeight="1"/>
    <row r="1303" ht="10.9" customHeight="1"/>
    <row r="1304" ht="10.9" customHeight="1"/>
    <row r="1305" ht="10.9" customHeight="1"/>
    <row r="1306" ht="10.9" customHeight="1"/>
    <row r="1307" ht="10.9" customHeight="1"/>
    <row r="1308" ht="10.9" customHeight="1"/>
    <row r="1309" ht="10.9" customHeight="1"/>
    <row r="1310" ht="10.9" customHeight="1"/>
    <row r="1311" ht="10.9" customHeight="1"/>
    <row r="1312" ht="10.9" customHeight="1"/>
    <row r="1313" ht="10.9" customHeight="1"/>
    <row r="1314" ht="10.9" customHeight="1"/>
    <row r="1315" ht="10.9" customHeight="1"/>
    <row r="1316" ht="10.9" customHeight="1"/>
    <row r="1317" ht="10.9" customHeight="1"/>
    <row r="1318" ht="10.9" customHeight="1"/>
    <row r="1319" ht="10.9" customHeight="1"/>
    <row r="1320" ht="10.9" customHeight="1"/>
    <row r="1321" ht="10.9" customHeight="1"/>
    <row r="1322" ht="10.9" customHeight="1"/>
    <row r="1323" ht="10.9" customHeight="1"/>
    <row r="1324" ht="10.9" customHeight="1"/>
    <row r="1325" ht="10.9" customHeight="1"/>
    <row r="1326" ht="10.9" customHeight="1"/>
    <row r="1327" ht="10.9" customHeight="1"/>
    <row r="1328" ht="10.9" customHeight="1"/>
    <row r="1329" ht="10.9" customHeight="1"/>
    <row r="1330" ht="10.9" customHeight="1"/>
    <row r="1331" ht="10.9" customHeight="1"/>
    <row r="1332" ht="10.9" customHeight="1"/>
    <row r="1333" ht="10.9" customHeight="1"/>
    <row r="1334" ht="10.9" customHeight="1"/>
    <row r="1335" ht="10.9" customHeight="1"/>
    <row r="1336" ht="10.9" customHeight="1"/>
    <row r="1337" ht="10.9" customHeight="1"/>
    <row r="1338" ht="10.9" customHeight="1"/>
    <row r="1339" ht="10.9" customHeight="1"/>
    <row r="1340" ht="10.9" customHeight="1"/>
    <row r="1341" ht="10.9" customHeight="1"/>
    <row r="1342" ht="10.9" customHeight="1"/>
    <row r="1343" ht="10.9" customHeight="1"/>
    <row r="1344" ht="10.9" customHeight="1"/>
    <row r="1345" ht="10.9" customHeight="1"/>
    <row r="1346" ht="10.9" customHeight="1"/>
    <row r="1347" ht="10.9" customHeight="1"/>
    <row r="1348" ht="10.9" customHeight="1"/>
    <row r="1349" ht="10.9" customHeight="1"/>
    <row r="1350" ht="10.9" customHeight="1"/>
    <row r="1351" ht="10.9" customHeight="1"/>
    <row r="1352" ht="10.9" customHeight="1"/>
    <row r="1353" ht="10.9" customHeight="1"/>
    <row r="1354" ht="10.9" customHeight="1"/>
    <row r="1355" ht="10.9" customHeight="1"/>
    <row r="1356" ht="10.9" customHeight="1"/>
    <row r="1357" ht="10.9" customHeight="1"/>
    <row r="1358" ht="10.9" customHeight="1"/>
    <row r="1359" ht="10.9" customHeight="1"/>
    <row r="1360" ht="10.9" customHeight="1"/>
    <row r="1361" ht="10.9" customHeight="1"/>
    <row r="1362" ht="10.9" customHeight="1"/>
    <row r="1363" ht="10.9" customHeight="1"/>
    <row r="1364" ht="10.9" customHeight="1"/>
    <row r="1365" ht="10.9" customHeight="1"/>
    <row r="1366" ht="10.9" customHeight="1"/>
    <row r="1367" ht="10.9" customHeight="1"/>
    <row r="1368" ht="10.9" customHeight="1"/>
    <row r="1369" ht="10.9" customHeight="1"/>
    <row r="1370" ht="10.9" customHeight="1"/>
    <row r="1371" ht="10.9" customHeight="1"/>
    <row r="1372" ht="10.9" customHeight="1"/>
    <row r="1373" ht="10.9" customHeight="1"/>
    <row r="1374" ht="10.9" customHeight="1"/>
    <row r="1375" ht="10.9" customHeight="1"/>
    <row r="1376" ht="10.9" customHeight="1"/>
    <row r="1377" ht="10.9" customHeight="1"/>
    <row r="1378" ht="10.9" customHeight="1"/>
    <row r="1379" ht="10.9" customHeight="1"/>
    <row r="1380" ht="10.9" customHeight="1"/>
    <row r="1381" ht="10.9" customHeight="1"/>
    <row r="1382" ht="10.9" customHeight="1"/>
    <row r="1383" ht="10.9" customHeight="1"/>
    <row r="1384" ht="10.9" customHeight="1"/>
    <row r="1385" ht="10.9" customHeight="1"/>
    <row r="1386" ht="10.9" customHeight="1"/>
    <row r="1387" ht="10.9" customHeight="1"/>
    <row r="1388" ht="10.9" customHeight="1"/>
    <row r="1389" ht="10.9" customHeight="1"/>
    <row r="1390" ht="10.9" customHeight="1"/>
    <row r="1391" ht="10.9" customHeight="1"/>
    <row r="1392" ht="10.9" customHeight="1"/>
    <row r="1393" ht="10.9" customHeight="1"/>
    <row r="1394" ht="10.9" customHeight="1"/>
    <row r="1395" ht="10.9" customHeight="1"/>
    <row r="1396" ht="10.9" customHeight="1"/>
    <row r="1397" ht="10.9" customHeight="1"/>
    <row r="1398" ht="10.9" customHeight="1"/>
    <row r="1399" ht="10.9" customHeight="1"/>
    <row r="1400" ht="10.9" customHeight="1"/>
    <row r="1401" ht="10.9" customHeight="1"/>
    <row r="1402" ht="10.9" customHeight="1"/>
    <row r="1403" ht="10.9" customHeight="1"/>
    <row r="1404" ht="10.9" customHeight="1"/>
    <row r="1405" ht="10.9" customHeight="1"/>
    <row r="1406" ht="10.9" customHeight="1"/>
    <row r="1407" ht="10.9" customHeight="1"/>
    <row r="1408" ht="10.9" customHeight="1"/>
    <row r="1409" ht="10.9" customHeight="1"/>
    <row r="1410" ht="10.9" customHeight="1"/>
    <row r="1411" ht="10.9" customHeight="1"/>
    <row r="1412" ht="10.9" customHeight="1"/>
    <row r="1413" ht="10.9" customHeight="1"/>
    <row r="1414" ht="10.9" customHeight="1"/>
    <row r="1415" ht="10.9" customHeight="1"/>
    <row r="1416" ht="10.9" customHeight="1"/>
    <row r="1417" ht="10.9" customHeight="1"/>
    <row r="1418" ht="10.9" customHeight="1"/>
    <row r="1419" ht="10.9" customHeight="1"/>
    <row r="1420" ht="10.9" customHeight="1"/>
    <row r="1421" ht="10.9" customHeight="1"/>
    <row r="1422" ht="10.9" customHeight="1"/>
    <row r="1423" ht="10.9" customHeight="1"/>
    <row r="1424" ht="10.9" customHeight="1"/>
    <row r="1425" ht="10.9" customHeight="1"/>
    <row r="1426" ht="10.9" customHeight="1"/>
    <row r="1427" ht="10.9" customHeight="1"/>
    <row r="1428" ht="10.9" customHeight="1"/>
    <row r="1429" ht="10.9" customHeight="1"/>
    <row r="1430" ht="10.9" customHeight="1"/>
    <row r="1431" ht="10.9" customHeight="1"/>
    <row r="1432" ht="10.9" customHeight="1"/>
    <row r="1433" ht="10.9" customHeight="1"/>
    <row r="1434" ht="10.9" customHeight="1"/>
    <row r="1435" ht="10.9" customHeight="1"/>
    <row r="1436" ht="10.9" customHeight="1"/>
    <row r="1437" ht="10.9" customHeight="1"/>
    <row r="1438" ht="10.9" customHeight="1"/>
    <row r="1439" ht="10.9" customHeight="1"/>
    <row r="1440" ht="10.9" customHeight="1"/>
    <row r="1441" ht="10.9" customHeight="1"/>
    <row r="1442" ht="10.9" customHeight="1"/>
    <row r="1443" ht="10.9" customHeight="1"/>
    <row r="1444" ht="10.9" customHeight="1"/>
    <row r="1445" ht="10.9" customHeight="1"/>
    <row r="1446" ht="10.9" customHeight="1"/>
    <row r="1447" ht="10.9" customHeight="1"/>
    <row r="1448" ht="10.9" customHeight="1"/>
    <row r="1449" ht="10.9" customHeight="1"/>
    <row r="1450" ht="10.9" customHeight="1"/>
    <row r="1451" ht="10.9" customHeight="1"/>
    <row r="1452" ht="10.9" customHeight="1"/>
    <row r="1453" ht="10.9" customHeight="1"/>
    <row r="1454" ht="10.9" customHeight="1"/>
    <row r="1455" ht="10.9" customHeight="1"/>
    <row r="1456" ht="10.9" customHeight="1"/>
    <row r="1457" ht="10.9" customHeight="1"/>
    <row r="1458" ht="10.9" customHeight="1"/>
    <row r="1459" ht="10.9" customHeight="1"/>
    <row r="1460" ht="10.9" customHeight="1"/>
    <row r="1461" ht="10.9" customHeight="1"/>
    <row r="1462" ht="10.9" customHeight="1"/>
    <row r="1463" ht="10.9" customHeight="1"/>
    <row r="1464" ht="10.9" customHeight="1"/>
    <row r="1465" ht="10.9" customHeight="1"/>
    <row r="1466" ht="10.9" customHeight="1"/>
    <row r="1467" ht="10.9" customHeight="1"/>
    <row r="1468" ht="10.9" customHeight="1"/>
    <row r="1469" ht="10.9" customHeight="1"/>
    <row r="1470" ht="10.9" customHeight="1"/>
    <row r="1471" ht="10.9" customHeight="1"/>
    <row r="1472" ht="10.9" customHeight="1"/>
    <row r="1473" ht="10.9" customHeight="1"/>
    <row r="1474" ht="10.9" customHeight="1"/>
    <row r="1475" ht="10.9" customHeight="1"/>
    <row r="1476" ht="10.9" customHeight="1"/>
    <row r="1477" ht="10.9" customHeight="1"/>
    <row r="1478" ht="10.9" customHeight="1"/>
    <row r="1479" ht="10.9" customHeight="1"/>
    <row r="1480" ht="10.9" customHeight="1"/>
    <row r="1481" ht="10.9" customHeight="1"/>
    <row r="1482" ht="10.9" customHeight="1"/>
    <row r="1483" ht="10.9" customHeight="1"/>
    <row r="1484" ht="10.9" customHeight="1"/>
    <row r="1485" ht="10.9" customHeight="1"/>
    <row r="1486" ht="10.9" customHeight="1"/>
    <row r="1487" ht="10.9" customHeight="1"/>
    <row r="1488" ht="10.9" customHeight="1"/>
    <row r="1489" ht="10.9" customHeight="1"/>
    <row r="1490" ht="10.9" customHeight="1"/>
    <row r="1491" ht="10.9" customHeight="1"/>
    <row r="1492" ht="10.9" customHeight="1"/>
    <row r="1493" ht="10.9" customHeight="1"/>
    <row r="1494" ht="10.9" customHeight="1"/>
    <row r="1495" ht="10.9" customHeight="1"/>
    <row r="1496" ht="10.9" customHeight="1"/>
    <row r="1497" ht="10.9" customHeight="1"/>
    <row r="1498" ht="10.9" customHeight="1"/>
    <row r="1499" ht="10.9" customHeight="1"/>
    <row r="1500" ht="10.9" customHeight="1"/>
    <row r="1501" ht="10.9" customHeight="1"/>
    <row r="1502" ht="10.9" customHeight="1"/>
    <row r="1503" ht="10.9" customHeight="1"/>
    <row r="1504" ht="10.9" customHeight="1"/>
    <row r="1505" ht="10.9" customHeight="1"/>
    <row r="1506" ht="10.9" customHeight="1"/>
    <row r="1507" ht="10.9" customHeight="1"/>
    <row r="1508" ht="10.9" customHeight="1"/>
    <row r="1509" ht="10.9" customHeight="1"/>
    <row r="1510" ht="10.9" customHeight="1"/>
    <row r="1511" ht="10.9" customHeight="1"/>
    <row r="1512" ht="10.9" customHeight="1"/>
    <row r="1513" ht="10.9" customHeight="1"/>
    <row r="1514" ht="10.9" customHeight="1"/>
    <row r="1515" ht="10.9" customHeight="1"/>
    <row r="1516" ht="10.9" customHeight="1"/>
    <row r="1517" ht="10.9" customHeight="1"/>
    <row r="1518" ht="10.9" customHeight="1"/>
    <row r="1519" ht="10.9" customHeight="1"/>
    <row r="1520" ht="10.9" customHeight="1"/>
    <row r="1521" ht="10.9" customHeight="1"/>
    <row r="1522" ht="10.9" customHeight="1"/>
    <row r="1523" ht="10.9" customHeight="1"/>
    <row r="1524" ht="10.9" customHeight="1"/>
    <row r="1525" ht="10.9" customHeight="1"/>
    <row r="1526" ht="10.9" customHeight="1"/>
    <row r="1527" ht="10.9" customHeight="1"/>
    <row r="1528" ht="10.9" customHeight="1"/>
    <row r="1529" ht="10.9" customHeight="1"/>
    <row r="1530" ht="10.9" customHeight="1"/>
    <row r="1531" ht="10.9" customHeight="1"/>
    <row r="1532" ht="10.9" customHeight="1"/>
    <row r="1533" ht="10.9" customHeight="1"/>
    <row r="1534" ht="10.9" customHeight="1"/>
    <row r="1535" ht="10.9" customHeight="1"/>
    <row r="1536" ht="10.9" customHeight="1"/>
    <row r="1537" ht="10.9" customHeight="1"/>
    <row r="1538" ht="10.9" customHeight="1"/>
    <row r="1539" ht="10.9" customHeight="1"/>
    <row r="1540" ht="10.9" customHeight="1"/>
    <row r="1541" ht="10.9" customHeight="1"/>
    <row r="1542" ht="10.9" customHeight="1"/>
    <row r="1543" ht="10.9" customHeight="1"/>
    <row r="1544" ht="10.9" customHeight="1"/>
    <row r="1545" ht="10.9" customHeight="1"/>
    <row r="1546" ht="10.9" customHeight="1"/>
    <row r="1547" ht="10.9" customHeight="1"/>
    <row r="1548" ht="10.9" customHeight="1"/>
    <row r="1549" ht="10.9" customHeight="1"/>
    <row r="1550" ht="10.9" customHeight="1"/>
    <row r="1551" ht="10.9" customHeight="1"/>
    <row r="1552" ht="10.9" customHeight="1"/>
    <row r="1553" ht="10.9" customHeight="1"/>
    <row r="1554" ht="10.9" customHeight="1"/>
    <row r="1555" ht="10.9" customHeight="1"/>
    <row r="1556" ht="10.9" customHeight="1"/>
    <row r="1557" ht="10.9" customHeight="1"/>
    <row r="1558" ht="10.9" customHeight="1"/>
    <row r="1559" ht="10.9" customHeight="1"/>
    <row r="1560" ht="10.9" customHeight="1"/>
    <row r="1561" ht="10.9" customHeight="1"/>
    <row r="1562" ht="10.9" customHeight="1"/>
    <row r="1563" ht="10.9" customHeight="1"/>
    <row r="1564" ht="10.9" customHeight="1"/>
    <row r="1565" ht="10.9" customHeight="1"/>
    <row r="1566" ht="10.9" customHeight="1"/>
    <row r="1567" ht="10.9" customHeight="1"/>
    <row r="1568" ht="10.9" customHeight="1"/>
    <row r="1569" ht="10.9" customHeight="1"/>
    <row r="1570" ht="10.9" customHeight="1"/>
    <row r="1571" ht="10.9" customHeight="1"/>
    <row r="1572" ht="10.9" customHeight="1"/>
    <row r="1573" ht="10.9" customHeight="1"/>
    <row r="1574" ht="10.9" customHeight="1"/>
    <row r="1575" ht="10.9" customHeight="1"/>
    <row r="1576" ht="10.9" customHeight="1"/>
    <row r="1577" ht="10.9" customHeight="1"/>
    <row r="1578" ht="10.9" customHeight="1"/>
    <row r="1579" ht="10.9" customHeight="1"/>
    <row r="1580" ht="10.9" customHeight="1"/>
    <row r="1581" ht="10.9" customHeight="1"/>
    <row r="1582" ht="10.9" customHeight="1"/>
    <row r="1583" ht="10.9" customHeight="1"/>
    <row r="1584" ht="10.9" customHeight="1"/>
    <row r="1585" ht="10.9" customHeight="1"/>
    <row r="1586" ht="10.9" customHeight="1"/>
    <row r="1587" ht="10.9" customHeight="1"/>
    <row r="1588" ht="10.9" customHeight="1"/>
    <row r="1589" ht="10.9" customHeight="1"/>
    <row r="1590" ht="10.9" customHeight="1"/>
    <row r="1591" ht="10.9" customHeight="1"/>
    <row r="1592" ht="10.9" customHeight="1"/>
    <row r="1593" ht="10.9" customHeight="1"/>
    <row r="1594" ht="10.9" customHeight="1"/>
    <row r="1595" ht="10.9" customHeight="1"/>
    <row r="1596" ht="10.9" customHeight="1"/>
    <row r="1597" ht="10.9" customHeight="1"/>
    <row r="1598" ht="10.9" customHeight="1"/>
    <row r="1599" ht="10.9" customHeight="1"/>
    <row r="1600" ht="10.9" customHeight="1"/>
    <row r="1601" ht="10.9" customHeight="1"/>
    <row r="1602" ht="10.9" customHeight="1"/>
    <row r="1603" ht="10.9" customHeight="1"/>
    <row r="1604" ht="10.9" customHeight="1"/>
    <row r="1605" ht="10.9" customHeight="1"/>
    <row r="1606" ht="10.9" customHeight="1"/>
    <row r="1607" ht="10.9" customHeight="1"/>
    <row r="1608" ht="10.9" customHeight="1"/>
    <row r="1609" ht="10.9" customHeight="1"/>
    <row r="1610" ht="10.9" customHeight="1"/>
    <row r="1611" ht="10.9" customHeight="1"/>
    <row r="1612" ht="10.9" customHeight="1"/>
    <row r="1613" ht="10.9" customHeight="1"/>
    <row r="1614" ht="10.9" customHeight="1"/>
    <row r="1615" ht="10.9" customHeight="1"/>
    <row r="1616" ht="10.9" customHeight="1"/>
    <row r="1617" ht="10.9" customHeight="1"/>
    <row r="1618" ht="10.9" customHeight="1"/>
    <row r="1619" ht="10.9" customHeight="1"/>
    <row r="1620" ht="10.9" customHeight="1"/>
    <row r="1621" ht="10.9" customHeight="1"/>
    <row r="1622" ht="10.9" customHeight="1"/>
    <row r="1623" ht="10.9" customHeight="1"/>
    <row r="1624" ht="10.9" customHeight="1"/>
    <row r="1625" ht="10.9" customHeight="1"/>
    <row r="1626" ht="10.9" customHeight="1"/>
    <row r="1627" ht="10.9" customHeight="1"/>
    <row r="1628" ht="10.9" customHeight="1"/>
    <row r="1629" ht="10.9" customHeight="1"/>
    <row r="1630" ht="10.9" customHeight="1"/>
    <row r="1631" ht="10.9" customHeight="1"/>
    <row r="1632" ht="10.9" customHeight="1"/>
    <row r="1633" ht="10.9" customHeight="1"/>
    <row r="1634" ht="10.9" customHeight="1"/>
    <row r="1635" ht="10.9" customHeight="1"/>
    <row r="1636" ht="10.9" customHeight="1"/>
    <row r="1637" ht="10.9" customHeight="1"/>
    <row r="1638" ht="10.9" customHeight="1"/>
    <row r="1639" ht="10.9" customHeight="1"/>
    <row r="1640" ht="10.9" customHeight="1"/>
    <row r="1641" ht="10.9" customHeight="1"/>
    <row r="1642" ht="10.9" customHeight="1"/>
    <row r="1643" ht="10.9" customHeight="1"/>
    <row r="1644" ht="10.9" customHeight="1"/>
    <row r="1645" ht="10.9" customHeight="1"/>
    <row r="1646" ht="10.9" customHeight="1"/>
    <row r="1647" ht="10.9" customHeight="1"/>
    <row r="1648" ht="10.9" customHeight="1"/>
    <row r="1649" ht="10.9" customHeight="1"/>
    <row r="1650" ht="10.9" customHeight="1"/>
    <row r="1651" ht="10.9" customHeight="1"/>
    <row r="1652" ht="10.9" customHeight="1"/>
    <row r="1653" ht="10.9" customHeight="1"/>
    <row r="1654" ht="10.9" customHeight="1"/>
    <row r="1655" ht="10.9" customHeight="1"/>
    <row r="1656" ht="10.9" customHeight="1"/>
    <row r="1657" ht="10.9" customHeight="1"/>
    <row r="1658" ht="10.9" customHeight="1"/>
    <row r="1659" ht="10.9" customHeight="1"/>
    <row r="1660" ht="10.9" customHeight="1"/>
    <row r="1661" ht="10.9" customHeight="1"/>
    <row r="1662" ht="10.9" customHeight="1"/>
    <row r="1663" ht="10.9" customHeight="1"/>
    <row r="1664" ht="10.9" customHeight="1"/>
    <row r="1665" ht="10.9" customHeight="1"/>
    <row r="1666" ht="10.9" customHeight="1"/>
    <row r="1667" ht="10.9" customHeight="1"/>
    <row r="1668" ht="10.9" customHeight="1"/>
    <row r="1669" ht="10.9" customHeight="1"/>
    <row r="1670" ht="10.9" customHeight="1"/>
    <row r="1671" ht="10.9" customHeight="1"/>
    <row r="1672" ht="10.9" customHeight="1"/>
    <row r="1673" ht="10.9" customHeight="1"/>
    <row r="1674" ht="10.9" customHeight="1"/>
    <row r="1675" ht="10.9" customHeight="1"/>
    <row r="1676" ht="10.9" customHeight="1"/>
    <row r="1677" ht="10.9" customHeight="1"/>
    <row r="1678" ht="10.9" customHeight="1"/>
    <row r="1679" ht="10.9" customHeight="1"/>
    <row r="1680" ht="10.9" customHeight="1"/>
    <row r="1681" ht="10.9" customHeight="1"/>
    <row r="1682" ht="10.9" customHeight="1"/>
    <row r="1683" ht="10.9" customHeight="1"/>
    <row r="1684" ht="10.9" customHeight="1"/>
    <row r="1685" ht="10.9" customHeight="1"/>
    <row r="1686" ht="10.9" customHeight="1"/>
    <row r="1687" ht="10.9" customHeight="1"/>
    <row r="1688" ht="10.9" customHeight="1"/>
    <row r="1689" ht="10.9" customHeight="1"/>
    <row r="1690" ht="10.9" customHeight="1"/>
    <row r="1691" ht="10.9" customHeight="1"/>
    <row r="1692" ht="10.9" customHeight="1"/>
    <row r="1693" ht="10.9" customHeight="1"/>
    <row r="1694" ht="10.9" customHeight="1"/>
    <row r="1695" ht="10.9" customHeight="1"/>
    <row r="1696" ht="10.9" customHeight="1"/>
    <row r="1697" ht="10.9" customHeight="1"/>
    <row r="1698" ht="10.9" customHeight="1"/>
    <row r="1699" ht="10.9" customHeight="1"/>
    <row r="1700" ht="10.9" customHeight="1"/>
    <row r="1701" ht="10.9" customHeight="1"/>
    <row r="1702" ht="10.9" customHeight="1"/>
    <row r="1703" ht="10.9" customHeight="1"/>
    <row r="1704" ht="10.9" customHeight="1"/>
    <row r="1705" ht="10.9" customHeight="1"/>
    <row r="1706" ht="10.9" customHeight="1"/>
    <row r="1707" ht="10.9" customHeight="1"/>
    <row r="1708" ht="10.9" customHeight="1"/>
    <row r="1709" ht="10.9" customHeight="1"/>
    <row r="1710" ht="10.9" customHeight="1"/>
    <row r="1711" ht="10.9" customHeight="1"/>
    <row r="1712" ht="10.9" customHeight="1"/>
    <row r="1713" ht="10.9" customHeight="1"/>
    <row r="1714" ht="10.9" customHeight="1"/>
    <row r="1715" ht="10.9" customHeight="1"/>
    <row r="1716" ht="10.9" customHeight="1"/>
    <row r="1717" ht="10.9" customHeight="1"/>
    <row r="1718" ht="10.9" customHeight="1"/>
    <row r="1719" ht="10.9" customHeight="1"/>
    <row r="1720" ht="10.9" customHeight="1"/>
    <row r="1721" ht="10.9" customHeight="1"/>
    <row r="1722" ht="10.9" customHeight="1"/>
    <row r="1723" ht="10.9" customHeight="1"/>
    <row r="1724" ht="10.9" customHeight="1"/>
    <row r="1725" ht="10.9" customHeight="1"/>
    <row r="1726" ht="10.9" customHeight="1"/>
    <row r="1727" ht="10.9" customHeight="1"/>
    <row r="1728" ht="10.9" customHeight="1"/>
    <row r="1729" ht="10.9" customHeight="1"/>
    <row r="1730" ht="10.9" customHeight="1"/>
    <row r="1731" ht="10.9" customHeight="1"/>
    <row r="1732" ht="10.9" customHeight="1"/>
    <row r="1733" ht="10.9" customHeight="1"/>
    <row r="1734" ht="10.9" customHeight="1"/>
    <row r="1735" ht="10.9" customHeight="1"/>
    <row r="1736" ht="10.9" customHeight="1"/>
    <row r="1737" ht="10.9" customHeight="1"/>
    <row r="1738" ht="10.9" customHeight="1"/>
    <row r="1739" ht="10.9" customHeight="1"/>
    <row r="1740" ht="10.9" customHeight="1"/>
    <row r="1741" ht="10.9" customHeight="1"/>
    <row r="1742" ht="10.9" customHeight="1"/>
    <row r="1743" ht="10.9" customHeight="1"/>
    <row r="1744" ht="10.9" customHeight="1"/>
    <row r="1745" ht="10.9" customHeight="1"/>
    <row r="1746" ht="10.9" customHeight="1"/>
    <row r="1747" ht="10.9" customHeight="1"/>
    <row r="1748" ht="10.9" customHeight="1"/>
    <row r="1749" ht="10.9" customHeight="1"/>
    <row r="1750" ht="10.9" customHeight="1"/>
    <row r="1751" ht="10.9" customHeight="1"/>
    <row r="1752" ht="10.9" customHeight="1"/>
    <row r="1753" ht="10.9" customHeight="1"/>
    <row r="1754" ht="10.9" customHeight="1"/>
    <row r="1755" ht="10.9" customHeight="1"/>
    <row r="1756" ht="10.9" customHeight="1"/>
    <row r="1757" ht="10.9" customHeight="1"/>
    <row r="1758" ht="10.9" customHeight="1"/>
    <row r="1759" ht="10.9" customHeight="1"/>
    <row r="1760" ht="10.9" customHeight="1"/>
    <row r="1761" ht="10.9" customHeight="1"/>
    <row r="1762" ht="10.9" customHeight="1"/>
    <row r="1763" ht="10.9" customHeight="1"/>
    <row r="1764" ht="10.9" customHeight="1"/>
    <row r="1765" ht="10.9" customHeight="1"/>
    <row r="1766" ht="10.9" customHeight="1"/>
    <row r="1767" ht="10.9" customHeight="1"/>
    <row r="1768" ht="10.9" customHeight="1"/>
    <row r="1769" ht="10.9" customHeight="1"/>
    <row r="1770" ht="10.9" customHeight="1"/>
    <row r="1771" ht="10.9" customHeight="1"/>
    <row r="1772" ht="10.9" customHeight="1"/>
    <row r="1773" ht="10.9" customHeight="1"/>
    <row r="1774" ht="10.9" customHeight="1"/>
    <row r="1775" ht="10.9" customHeight="1"/>
    <row r="1776" ht="10.9" customHeight="1"/>
    <row r="1777" ht="10.9" customHeight="1"/>
    <row r="1778" ht="10.9" customHeight="1"/>
    <row r="1779" ht="10.9" customHeight="1"/>
    <row r="1780" ht="10.9" customHeight="1"/>
    <row r="1781" ht="10.9" customHeight="1"/>
    <row r="1782" ht="10.9" customHeight="1"/>
    <row r="1783" ht="10.9" customHeight="1"/>
    <row r="1784" ht="10.9" customHeight="1"/>
    <row r="1785" ht="10.9" customHeight="1"/>
    <row r="1786" ht="10.9" customHeight="1"/>
    <row r="1787" ht="10.9" customHeight="1"/>
    <row r="1788" ht="10.9" customHeight="1"/>
    <row r="1789" ht="10.9" customHeight="1"/>
    <row r="1790" ht="10.9" customHeight="1"/>
    <row r="1791" ht="10.9" customHeight="1"/>
    <row r="1792" ht="10.9" customHeight="1"/>
    <row r="1793" ht="10.9" customHeight="1"/>
    <row r="1794" ht="10.9" customHeight="1"/>
    <row r="1795" ht="10.9" customHeight="1"/>
    <row r="1796" ht="10.9" customHeight="1"/>
    <row r="1797" ht="10.9" customHeight="1"/>
    <row r="1798" ht="10.9" customHeight="1"/>
    <row r="1799" ht="10.9" customHeight="1"/>
    <row r="1800" ht="10.9" customHeight="1"/>
    <row r="1801" ht="10.9" customHeight="1"/>
    <row r="1802" ht="10.9" customHeight="1"/>
    <row r="1803" ht="10.9" customHeight="1"/>
    <row r="1804" ht="10.9" customHeight="1"/>
    <row r="1805" ht="10.9" customHeight="1"/>
    <row r="1806" ht="10.9" customHeight="1"/>
    <row r="1807" ht="10.9" customHeight="1"/>
    <row r="1808" ht="10.9" customHeight="1"/>
    <row r="1809" ht="10.9" customHeight="1"/>
    <row r="1810" ht="10.9" customHeight="1"/>
    <row r="1811" ht="10.9" customHeight="1"/>
    <row r="1812" ht="10.9" customHeight="1"/>
    <row r="1813" ht="10.9" customHeight="1"/>
    <row r="1814" ht="10.9" customHeight="1"/>
    <row r="1815" ht="10.9" customHeight="1"/>
    <row r="1816" ht="10.9" customHeight="1"/>
    <row r="1817" ht="10.9" customHeight="1"/>
    <row r="1818" ht="10.9" customHeight="1"/>
    <row r="1819" ht="10.9" customHeight="1"/>
    <row r="1820" ht="10.9" customHeight="1"/>
    <row r="1821" ht="10.9" customHeight="1"/>
    <row r="1822" ht="10.9" customHeight="1"/>
    <row r="1823" ht="10.9" customHeight="1"/>
    <row r="1824" ht="10.9" customHeight="1"/>
    <row r="1825" ht="10.9" customHeight="1"/>
    <row r="1826" ht="10.9" customHeight="1"/>
    <row r="1827" ht="10.9" customHeight="1"/>
    <row r="1828" ht="10.9" customHeight="1"/>
    <row r="1829" ht="10.9" customHeight="1"/>
    <row r="1830" ht="10.9" customHeight="1"/>
    <row r="1831" ht="10.9" customHeight="1"/>
    <row r="1832" ht="10.9" customHeight="1"/>
    <row r="1833" ht="10.9" customHeight="1"/>
    <row r="1834" ht="10.9" customHeight="1"/>
    <row r="1835" ht="10.9" customHeight="1"/>
    <row r="1836" ht="10.9" customHeight="1"/>
    <row r="1837" ht="10.9" customHeight="1"/>
    <row r="1838" ht="10.9" customHeight="1"/>
    <row r="1839" ht="10.9" customHeight="1"/>
    <row r="1840" ht="10.9" customHeight="1"/>
    <row r="1841" ht="10.9" customHeight="1"/>
    <row r="1842" ht="10.9" customHeight="1"/>
    <row r="1843" ht="10.9" customHeight="1"/>
    <row r="1844" ht="10.9" customHeight="1"/>
    <row r="1845" ht="10.9" customHeight="1"/>
    <row r="1846" ht="10.9" customHeight="1"/>
    <row r="1847" ht="10.9" customHeight="1"/>
    <row r="1848" ht="10.9" customHeight="1"/>
    <row r="1849" ht="10.9" customHeight="1"/>
    <row r="1850" ht="10.9" customHeight="1"/>
    <row r="1851" ht="10.9" customHeight="1"/>
    <row r="1852" ht="10.9" customHeight="1"/>
    <row r="1853" ht="10.9" customHeight="1"/>
    <row r="1854" ht="10.9" customHeight="1"/>
    <row r="1855" ht="10.9" customHeight="1"/>
    <row r="1856" ht="10.9" customHeight="1"/>
    <row r="1857" ht="10.9" customHeight="1"/>
    <row r="1858" ht="10.9" customHeight="1"/>
    <row r="1859" ht="10.9" customHeight="1"/>
    <row r="1860" ht="10.9" customHeight="1"/>
    <row r="1861" ht="10.9" customHeight="1"/>
    <row r="1862" ht="10.9" customHeight="1"/>
    <row r="1863" ht="10.9" customHeight="1"/>
    <row r="1864" ht="10.9" customHeight="1"/>
    <row r="1865" ht="10.9" customHeight="1"/>
    <row r="1866" ht="10.9" customHeight="1"/>
    <row r="1867" ht="10.9" customHeight="1"/>
    <row r="1868" ht="10.9" customHeight="1"/>
    <row r="1869" ht="10.9" customHeight="1"/>
    <row r="1870" ht="10.9" customHeight="1"/>
    <row r="1871" ht="10.9" customHeight="1"/>
    <row r="1872" ht="10.9" customHeight="1"/>
    <row r="1873" ht="10.9" customHeight="1"/>
    <row r="1874" ht="10.9" customHeight="1"/>
    <row r="1875" ht="10.9" customHeight="1"/>
    <row r="1876" ht="10.9" customHeight="1"/>
    <row r="1877" ht="10.9" customHeight="1"/>
    <row r="1878" ht="10.9" customHeight="1"/>
    <row r="1879" ht="10.9" customHeight="1"/>
    <row r="1880" ht="10.9" customHeight="1"/>
    <row r="1881" ht="10.9" customHeight="1"/>
    <row r="1882" ht="10.9" customHeight="1"/>
    <row r="1883" ht="10.9" customHeight="1"/>
    <row r="1884" ht="10.9" customHeight="1"/>
    <row r="1885" ht="10.9" customHeight="1"/>
    <row r="1886" ht="10.9" customHeight="1"/>
    <row r="1887" ht="10.9" customHeight="1"/>
    <row r="1888" ht="10.9" customHeight="1"/>
    <row r="1889" ht="10.9" customHeight="1"/>
    <row r="1890" ht="10.9" customHeight="1"/>
    <row r="1891" ht="10.9" customHeight="1"/>
    <row r="1892" ht="10.9" customHeight="1"/>
    <row r="1893" ht="10.9" customHeight="1"/>
    <row r="1894" ht="10.9" customHeight="1"/>
    <row r="1895" ht="10.9" customHeight="1"/>
    <row r="1896" ht="10.9" customHeight="1"/>
    <row r="1897" ht="10.9" customHeight="1"/>
    <row r="1898" ht="10.9" customHeight="1"/>
    <row r="1899" ht="10.9" customHeight="1"/>
    <row r="1900" ht="10.9" customHeight="1"/>
    <row r="1901" ht="10.9" customHeight="1"/>
    <row r="1902" ht="10.9" customHeight="1"/>
    <row r="1903" ht="10.9" customHeight="1"/>
    <row r="1904" ht="10.9" customHeight="1"/>
    <row r="1905" ht="10.9" customHeight="1"/>
    <row r="1906" ht="10.9" customHeight="1"/>
    <row r="1907" ht="10.9" customHeight="1"/>
    <row r="1908" ht="10.9" customHeight="1"/>
    <row r="1909" ht="10.9" customHeight="1"/>
    <row r="1910" ht="10.9" customHeight="1"/>
    <row r="1911" ht="10.9" customHeight="1"/>
    <row r="1912" ht="10.9" customHeight="1"/>
    <row r="1913" ht="10.9" customHeight="1"/>
    <row r="1914" ht="10.9" customHeight="1"/>
    <row r="1915" ht="10.9" customHeight="1"/>
    <row r="1916" ht="10.9" customHeight="1"/>
    <row r="1917" ht="10.9" customHeight="1"/>
    <row r="1918" ht="10.9" customHeight="1"/>
    <row r="1919" ht="10.9" customHeight="1"/>
    <row r="1920" ht="10.9" customHeight="1"/>
    <row r="1921" ht="10.9" customHeight="1"/>
    <row r="1922" ht="10.9" customHeight="1"/>
    <row r="1923" ht="10.9" customHeight="1"/>
    <row r="1924" ht="10.9" customHeight="1"/>
    <row r="1925" ht="10.9" customHeight="1"/>
    <row r="1926" ht="10.9" customHeight="1"/>
    <row r="1927" ht="10.9" customHeight="1"/>
    <row r="1928" ht="10.9" customHeight="1"/>
    <row r="1929" ht="10.9" customHeight="1"/>
    <row r="1930" ht="10.9" customHeight="1"/>
    <row r="1931" ht="10.9" customHeight="1"/>
    <row r="1932" ht="10.9" customHeight="1"/>
    <row r="1933" ht="10.9" customHeight="1"/>
    <row r="1934" ht="10.9" customHeight="1"/>
    <row r="1935" ht="10.9" customHeight="1"/>
    <row r="1936" ht="10.9" customHeight="1"/>
    <row r="1937" ht="10.9" customHeight="1"/>
    <row r="1938" ht="10.9" customHeight="1"/>
    <row r="1939" ht="10.9" customHeight="1"/>
    <row r="1940" ht="10.9" customHeight="1"/>
    <row r="1941" ht="10.9" customHeight="1"/>
    <row r="1942" ht="10.9" customHeight="1"/>
    <row r="1943" ht="10.9" customHeight="1"/>
    <row r="1944" ht="10.9" customHeight="1"/>
    <row r="1945" ht="10.9" customHeight="1"/>
    <row r="1946" ht="10.9" customHeight="1"/>
    <row r="1947" ht="10.9" customHeight="1"/>
    <row r="1948" ht="10.9" customHeight="1"/>
    <row r="1949" ht="10.9" customHeight="1"/>
    <row r="1950" ht="10.9" customHeight="1"/>
    <row r="1951" ht="10.9" customHeight="1"/>
    <row r="1952" ht="10.9" customHeight="1"/>
    <row r="1953" ht="10.9" customHeight="1"/>
    <row r="1954" ht="10.9" customHeight="1"/>
    <row r="1955" ht="10.9" customHeight="1"/>
    <row r="1956" ht="10.9" customHeight="1"/>
    <row r="1957" ht="10.9" customHeight="1"/>
    <row r="1958" ht="10.9" customHeight="1"/>
    <row r="1959" ht="10.9" customHeight="1"/>
    <row r="1960" ht="10.9" customHeight="1"/>
    <row r="1961" ht="10.9" customHeight="1"/>
    <row r="1962" ht="10.9" customHeight="1"/>
    <row r="1963" ht="10.9" customHeight="1"/>
    <row r="1964" ht="10.9" customHeight="1"/>
    <row r="1965" ht="10.9" customHeight="1"/>
    <row r="1966" ht="10.9" customHeight="1"/>
    <row r="1967" ht="10.9" customHeight="1"/>
    <row r="1968" ht="10.9" customHeight="1"/>
    <row r="1969" ht="10.9" customHeight="1"/>
    <row r="1970" ht="10.9" customHeight="1"/>
    <row r="1971" ht="10.9" customHeight="1"/>
    <row r="1972" ht="10.9" customHeight="1"/>
    <row r="1973" ht="10.9" customHeight="1"/>
    <row r="1974" ht="10.9" customHeight="1"/>
    <row r="1975" ht="10.9" customHeight="1"/>
    <row r="1976" ht="10.9" customHeight="1"/>
    <row r="1977" ht="10.9" customHeight="1"/>
    <row r="1978" ht="10.9" customHeight="1"/>
    <row r="1979" ht="10.9" customHeight="1"/>
    <row r="1980" ht="10.9" customHeight="1"/>
    <row r="1981" ht="10.9" customHeight="1"/>
    <row r="1982" ht="10.9" customHeight="1"/>
    <row r="1983" ht="10.9" customHeight="1"/>
    <row r="1984" ht="10.9" customHeight="1"/>
    <row r="1985" ht="10.9" customHeight="1"/>
    <row r="1986" ht="10.9" customHeight="1"/>
    <row r="1987" ht="10.9" customHeight="1"/>
    <row r="1988" ht="10.9" customHeight="1"/>
    <row r="1989" ht="10.9" customHeight="1"/>
    <row r="1990" ht="10.9" customHeight="1"/>
    <row r="1991" ht="10.9" customHeight="1"/>
    <row r="1992" ht="10.9" customHeight="1"/>
    <row r="1993" ht="10.9" customHeight="1"/>
    <row r="1994" ht="10.9" customHeight="1"/>
    <row r="1995" ht="10.9" customHeight="1"/>
    <row r="1996" ht="10.9" customHeight="1"/>
    <row r="1997" ht="10.9" customHeight="1"/>
    <row r="1998" ht="10.9" customHeight="1"/>
    <row r="1999" ht="10.9" customHeight="1"/>
    <row r="2000" ht="10.9" customHeight="1"/>
    <row r="2001" ht="10.9" customHeight="1"/>
    <row r="2002" ht="10.9" customHeight="1"/>
    <row r="2003" ht="10.9" customHeight="1"/>
    <row r="2004" ht="10.9" customHeight="1"/>
    <row r="2005" ht="10.9" customHeight="1"/>
    <row r="2006" ht="10.9" customHeight="1"/>
    <row r="2007" ht="10.9" customHeight="1"/>
    <row r="2008" ht="10.9" customHeight="1"/>
    <row r="2009" ht="10.9" customHeight="1"/>
    <row r="2010" ht="10.9" customHeight="1"/>
    <row r="2011" ht="10.9" customHeight="1"/>
    <row r="2012" ht="10.9" customHeight="1"/>
    <row r="2013" ht="10.9" customHeight="1"/>
    <row r="2014" ht="10.9" customHeight="1"/>
    <row r="2015" ht="10.9" customHeight="1"/>
    <row r="2016" ht="10.9" customHeight="1"/>
    <row r="2017" ht="10.9" customHeight="1"/>
    <row r="2018" ht="10.9" customHeight="1"/>
    <row r="2019" ht="10.9" customHeight="1"/>
    <row r="2020" ht="10.9" customHeight="1"/>
    <row r="2021" ht="10.9" customHeight="1"/>
    <row r="2022" ht="10.9" customHeight="1"/>
    <row r="2023" ht="10.9" customHeight="1"/>
    <row r="2024" ht="10.9" customHeight="1"/>
    <row r="2025" ht="10.9" customHeight="1"/>
    <row r="2026" ht="10.9" customHeight="1"/>
    <row r="2027" ht="10.9" customHeight="1"/>
    <row r="2028" ht="10.9" customHeight="1"/>
    <row r="2029" ht="10.9" customHeight="1"/>
    <row r="2030" ht="10.9" customHeight="1"/>
    <row r="2031" ht="10.9" customHeight="1"/>
    <row r="2032" ht="10.9" customHeight="1"/>
    <row r="2033" ht="10.9" customHeight="1"/>
    <row r="2034" ht="10.9" customHeight="1"/>
    <row r="2035" ht="10.9" customHeight="1"/>
    <row r="2036" ht="10.9" customHeight="1"/>
    <row r="2037" ht="10.9" customHeight="1"/>
    <row r="2038" ht="10.9" customHeight="1"/>
    <row r="2039" ht="10.9" customHeight="1"/>
    <row r="2040" ht="10.9" customHeight="1"/>
    <row r="2041" ht="10.9" customHeight="1"/>
    <row r="2042" ht="10.9" customHeight="1"/>
    <row r="2043" ht="10.9" customHeight="1"/>
    <row r="2044" ht="10.9" customHeight="1"/>
    <row r="2045" ht="10.9" customHeight="1"/>
    <row r="2046" ht="10.9" customHeight="1"/>
    <row r="2047" ht="10.9" customHeight="1"/>
    <row r="2048" ht="10.9" customHeight="1"/>
    <row r="2049" ht="10.9" customHeight="1"/>
    <row r="2050" ht="10.9" customHeight="1"/>
    <row r="2051" ht="10.9" customHeight="1"/>
    <row r="2052" ht="10.9" customHeight="1"/>
    <row r="2053" ht="10.9" customHeight="1"/>
    <row r="2054" ht="10.9" customHeight="1"/>
    <row r="2055" ht="10.9" customHeight="1"/>
    <row r="2056" ht="10.9" customHeight="1"/>
    <row r="2057" ht="10.9" customHeight="1"/>
    <row r="2058" ht="10.9" customHeight="1"/>
    <row r="2059" ht="10.9" customHeight="1"/>
    <row r="2060" ht="10.9" customHeight="1"/>
    <row r="2061" ht="10.9" customHeight="1"/>
    <row r="2062" ht="10.9" customHeight="1"/>
  </sheetData>
  <mergeCells count="1">
    <mergeCell ref="ER48:EU48"/>
  </mergeCells>
  <phoneticPr fontId="0" type="noConversion"/>
  <dataValidations disablePrompts="1" count="2">
    <dataValidation type="custom" allowBlank="1" showInputMessage="1" showErrorMessage="1" sqref="BJ10:BJ13 BB31 BD11:BD13 BB11:BB13 BF10:BF13 BH11:BH14 BN10:BN13 BB41">
      <formula1>-1</formula1>
    </dataValidation>
    <dataValidation allowBlank="1" showInputMessage="1" errorTitle="DontRemoveTheErrorMessage" error="_100__FDSAUDITLINK__" prompt="Right-click to audit FactSet content" sqref="H25"/>
  </dataValidations>
  <pageMargins left="0.25" right="0.25" top="0" bottom="0.1" header="0.5" footer="0"/>
  <pageSetup paperSize="5" scale="53" fitToHeight="2" orientation="portrait" r:id="rId1"/>
  <headerFooter alignWithMargins="0"/>
  <rowBreaks count="1" manualBreakCount="1">
    <brk id="114" max="111"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AS317"/>
  <sheetViews>
    <sheetView showGridLines="0" topLeftCell="A169" zoomScaleNormal="100" workbookViewId="0">
      <selection activeCell="AD317" sqref="AD317"/>
    </sheetView>
  </sheetViews>
  <sheetFormatPr defaultRowHeight="12.75" outlineLevelRow="3" outlineLevelCol="2"/>
  <cols>
    <col min="1" max="1" width="26.85546875" style="69" customWidth="1"/>
    <col min="2" max="7" width="8.7109375" style="69" hidden="1" customWidth="1" outlineLevel="2"/>
    <col min="8" max="8" width="8.7109375" style="69" hidden="1" customWidth="1" outlineLevel="2" collapsed="1"/>
    <col min="9" max="12" width="8.7109375" style="69" hidden="1" customWidth="1" outlineLevel="2"/>
    <col min="13" max="13" width="8.7109375" style="69" hidden="1" customWidth="1" outlineLevel="2" collapsed="1"/>
    <col min="14" max="15" width="8.7109375" style="69" hidden="1" customWidth="1" outlineLevel="2"/>
    <col min="16" max="16" width="8.7109375" style="1809" hidden="1" customWidth="1" outlineLevel="1" collapsed="1"/>
    <col min="17" max="18" width="8.7109375" style="1809" hidden="1" customWidth="1" outlineLevel="1"/>
    <col min="19" max="23" width="8.7109375" style="69" hidden="1" customWidth="1" outlineLevel="1"/>
    <col min="24" max="24" width="8.7109375" style="69" customWidth="1" collapsed="1"/>
    <col min="25" max="25" width="10" style="69" customWidth="1"/>
    <col min="26" max="26" width="8.7109375" style="69" customWidth="1"/>
    <col min="27" max="27" width="8.42578125" style="69" customWidth="1"/>
    <col min="28" max="28" width="9" style="69" customWidth="1"/>
    <col min="29" max="30" width="8.7109375" style="69" customWidth="1"/>
    <col min="31" max="33" width="8.7109375" style="1809" customWidth="1"/>
    <col min="34" max="34" width="8.7109375" style="69" customWidth="1"/>
    <col min="35" max="35" width="2.7109375" style="1809" customWidth="1"/>
    <col min="36" max="36" width="7.85546875" style="1809" customWidth="1"/>
    <col min="37" max="37" width="2.140625" style="1809" customWidth="1"/>
    <col min="38" max="38" width="9.140625" style="69"/>
    <col min="39" max="39" width="2.28515625" style="1809" customWidth="1"/>
    <col min="40" max="40" width="9.140625" style="1809"/>
    <col min="41" max="41" width="10.28515625" style="1809" bestFit="1" customWidth="1"/>
    <col min="42" max="16384" width="9.140625" style="1809"/>
  </cols>
  <sheetData>
    <row r="1" spans="1:41">
      <c r="A1" s="26"/>
      <c r="B1" s="1651"/>
      <c r="C1" s="1651"/>
      <c r="D1" s="1651"/>
      <c r="E1" s="1651"/>
      <c r="F1" s="1651"/>
      <c r="G1" s="1651"/>
      <c r="H1" s="1651"/>
      <c r="I1" s="1651"/>
      <c r="J1" s="1651"/>
      <c r="K1" s="1651"/>
      <c r="L1" s="1651"/>
      <c r="M1" s="1651"/>
      <c r="N1" s="1651"/>
      <c r="O1" s="1651"/>
      <c r="P1" s="1070"/>
      <c r="Q1" s="1071"/>
      <c r="R1" s="1071"/>
      <c r="S1" s="2075"/>
      <c r="T1" s="2075"/>
      <c r="U1" s="2075"/>
      <c r="V1" s="1669"/>
      <c r="W1" s="1669"/>
      <c r="X1" s="1669"/>
      <c r="Y1" s="1669"/>
      <c r="Z1" s="1669"/>
      <c r="AA1" s="1669"/>
      <c r="AB1" s="1669"/>
      <c r="AC1" s="1669"/>
      <c r="AD1" s="1669"/>
      <c r="AE1" s="1072"/>
      <c r="AF1" s="1072"/>
      <c r="AG1" s="1072"/>
      <c r="AH1" s="1669"/>
      <c r="AI1" s="1069"/>
      <c r="AJ1" s="1069"/>
      <c r="AK1" s="1073"/>
      <c r="AL1" s="1651"/>
      <c r="AM1" s="1073"/>
    </row>
    <row r="2" spans="1:41">
      <c r="A2" s="2030" t="s">
        <v>818</v>
      </c>
      <c r="B2" s="1662"/>
      <c r="C2" s="1662"/>
      <c r="D2" s="1662"/>
      <c r="E2" s="1662"/>
      <c r="F2" s="1662"/>
      <c r="G2" s="1662"/>
      <c r="H2" s="1662"/>
      <c r="I2" s="1662"/>
      <c r="J2" s="1662"/>
      <c r="K2" s="1662"/>
      <c r="L2" s="1662"/>
      <c r="M2" s="1662"/>
      <c r="N2" s="1662"/>
      <c r="O2" s="1662"/>
      <c r="P2" s="1074"/>
      <c r="Q2" s="1074"/>
      <c r="R2" s="1074"/>
      <c r="S2" s="1662"/>
      <c r="T2" s="1662"/>
      <c r="U2" s="1662"/>
      <c r="V2" s="1662"/>
      <c r="W2" s="1662"/>
      <c r="X2" s="1662"/>
      <c r="Y2" s="1662"/>
      <c r="Z2" s="1662"/>
      <c r="AA2" s="1662"/>
      <c r="AB2" s="1662"/>
      <c r="AC2" s="1670"/>
      <c r="AD2" s="1670"/>
      <c r="AE2" s="1075"/>
      <c r="AF2" s="1075"/>
      <c r="AG2" s="1075"/>
      <c r="AH2" s="1670"/>
      <c r="AI2" s="1074"/>
      <c r="AJ2" s="1074"/>
      <c r="AK2" s="1076"/>
      <c r="AL2" s="1651"/>
      <c r="AM2" s="1076"/>
    </row>
    <row r="3" spans="1:41" hidden="1">
      <c r="A3" s="2031"/>
      <c r="B3" s="1664"/>
      <c r="C3" s="1664"/>
      <c r="D3" s="1664"/>
      <c r="E3" s="1664"/>
      <c r="F3" s="1664"/>
      <c r="G3" s="1664"/>
      <c r="H3" s="1664"/>
      <c r="I3" s="1664"/>
      <c r="J3" s="1664"/>
      <c r="K3" s="1664"/>
      <c r="L3" s="1664"/>
      <c r="M3" s="1664"/>
      <c r="N3" s="1664"/>
      <c r="O3" s="1664"/>
      <c r="P3" s="1077"/>
      <c r="Q3" s="1077"/>
      <c r="R3" s="1077"/>
      <c r="S3" s="1664"/>
      <c r="T3" s="1664"/>
      <c r="U3" s="1664"/>
      <c r="V3" s="1664"/>
      <c r="W3" s="1664"/>
      <c r="X3" s="1664"/>
      <c r="Y3" s="1664"/>
      <c r="Z3" s="1664"/>
      <c r="AA3" s="1664"/>
      <c r="AB3" s="1664"/>
      <c r="AC3" s="1664"/>
      <c r="AD3" s="1664"/>
      <c r="AE3" s="1077"/>
      <c r="AF3" s="1077"/>
      <c r="AG3" s="1077"/>
      <c r="AH3" s="1664"/>
      <c r="AI3" s="1078"/>
      <c r="AJ3" s="1077"/>
      <c r="AK3" s="1079"/>
      <c r="AL3" s="1651"/>
      <c r="AM3" s="1079"/>
    </row>
    <row r="4" spans="1:41" ht="12.75" customHeight="1">
      <c r="A4" s="2032"/>
      <c r="B4" s="1651"/>
      <c r="C4" s="1651"/>
      <c r="D4" s="1651"/>
      <c r="E4" s="1651"/>
      <c r="F4" s="1651"/>
      <c r="G4" s="1651"/>
      <c r="H4" s="1651"/>
      <c r="I4" s="1651"/>
      <c r="J4" s="1651"/>
      <c r="K4" s="1651"/>
      <c r="L4" s="1651"/>
      <c r="M4" s="1651"/>
      <c r="N4" s="1651"/>
      <c r="O4" s="1651"/>
      <c r="P4" s="1069"/>
      <c r="Q4" s="1069"/>
      <c r="R4" s="1069"/>
      <c r="S4" s="1651"/>
      <c r="T4" s="1651"/>
      <c r="U4" s="1651"/>
      <c r="V4" s="1651"/>
      <c r="W4" s="1651"/>
      <c r="X4" s="1651"/>
      <c r="Y4" s="1651"/>
      <c r="Z4" s="1651"/>
      <c r="AA4" s="1651"/>
      <c r="AB4" s="1651"/>
      <c r="AC4" s="1651"/>
      <c r="AD4" s="1651"/>
      <c r="AE4" s="1069"/>
      <c r="AF4" s="1069"/>
      <c r="AG4" s="1069"/>
      <c r="AH4" s="1651"/>
      <c r="AI4" s="1080"/>
      <c r="AJ4" s="1081"/>
      <c r="AK4" s="1082" t="s">
        <v>488</v>
      </c>
      <c r="AL4" s="1681"/>
      <c r="AM4" s="1083"/>
    </row>
    <row r="5" spans="1:41">
      <c r="A5" s="1644"/>
      <c r="B5" s="1995">
        <v>1990</v>
      </c>
      <c r="C5" s="1995">
        <f t="shared" ref="C5:K5" si="0">B5+1</f>
        <v>1991</v>
      </c>
      <c r="D5" s="1995">
        <f t="shared" si="0"/>
        <v>1992</v>
      </c>
      <c r="E5" s="1995">
        <f t="shared" si="0"/>
        <v>1993</v>
      </c>
      <c r="F5" s="1995">
        <f t="shared" si="0"/>
        <v>1994</v>
      </c>
      <c r="G5" s="1995">
        <f t="shared" si="0"/>
        <v>1995</v>
      </c>
      <c r="H5" s="1995">
        <f t="shared" si="0"/>
        <v>1996</v>
      </c>
      <c r="I5" s="1995">
        <f t="shared" si="0"/>
        <v>1997</v>
      </c>
      <c r="J5" s="1995">
        <f>I5+1</f>
        <v>1998</v>
      </c>
      <c r="K5" s="1995">
        <f t="shared" si="0"/>
        <v>1999</v>
      </c>
      <c r="L5" s="1995">
        <v>2000</v>
      </c>
      <c r="M5" s="1995">
        <f t="shared" ref="M5:AB5" si="1">L5+1</f>
        <v>2001</v>
      </c>
      <c r="N5" s="1995">
        <f t="shared" si="1"/>
        <v>2002</v>
      </c>
      <c r="O5" s="1995">
        <f t="shared" si="1"/>
        <v>2003</v>
      </c>
      <c r="P5" s="1085">
        <f t="shared" si="1"/>
        <v>2004</v>
      </c>
      <c r="Q5" s="1086">
        <f t="shared" si="1"/>
        <v>2005</v>
      </c>
      <c r="R5" s="1086">
        <f t="shared" si="1"/>
        <v>2006</v>
      </c>
      <c r="S5" s="2076">
        <f t="shared" si="1"/>
        <v>2007</v>
      </c>
      <c r="T5" s="2076">
        <f t="shared" si="1"/>
        <v>2008</v>
      </c>
      <c r="U5" s="2076">
        <f t="shared" si="1"/>
        <v>2009</v>
      </c>
      <c r="V5" s="2076">
        <f t="shared" si="1"/>
        <v>2010</v>
      </c>
      <c r="W5" s="2076">
        <f t="shared" si="1"/>
        <v>2011</v>
      </c>
      <c r="X5" s="2076">
        <f t="shared" si="1"/>
        <v>2012</v>
      </c>
      <c r="Y5" s="2076">
        <f t="shared" si="1"/>
        <v>2013</v>
      </c>
      <c r="Z5" s="2076">
        <f t="shared" si="1"/>
        <v>2014</v>
      </c>
      <c r="AA5" s="2076">
        <f t="shared" si="1"/>
        <v>2015</v>
      </c>
      <c r="AB5" s="2076">
        <f t="shared" si="1"/>
        <v>2016</v>
      </c>
      <c r="AC5" s="1639">
        <f>AB5+1</f>
        <v>2017</v>
      </c>
      <c r="AD5" s="1639">
        <f>AC5+1</f>
        <v>2018</v>
      </c>
      <c r="AE5" s="1087">
        <f>AD5+1</f>
        <v>2019</v>
      </c>
      <c r="AF5" s="1087">
        <f t="shared" ref="AF5" si="2">AE5+1</f>
        <v>2020</v>
      </c>
      <c r="AG5" s="1087">
        <f>AF5+1</f>
        <v>2021</v>
      </c>
      <c r="AH5" s="1639">
        <f>AG5+1</f>
        <v>2022</v>
      </c>
      <c r="AI5" s="1120"/>
      <c r="AJ5" s="1088" t="s">
        <v>821</v>
      </c>
      <c r="AK5" s="1686"/>
      <c r="AL5" s="1682" t="s">
        <v>793</v>
      </c>
      <c r="AM5" s="1145"/>
    </row>
    <row r="6" spans="1:41">
      <c r="A6" s="1651"/>
      <c r="B6" s="1651"/>
      <c r="C6" s="1651"/>
      <c r="D6" s="1651"/>
      <c r="E6" s="1651"/>
      <c r="F6" s="1651"/>
      <c r="G6" s="1651"/>
      <c r="H6" s="1648"/>
      <c r="I6" s="1648"/>
      <c r="J6" s="1651"/>
      <c r="K6" s="1651"/>
      <c r="L6" s="1651"/>
      <c r="M6" s="1651"/>
      <c r="N6" s="1651"/>
      <c r="O6" s="1651"/>
      <c r="P6" s="1069"/>
      <c r="Q6" s="1069"/>
      <c r="R6" s="1069"/>
      <c r="S6" s="1651"/>
      <c r="T6" s="1651"/>
      <c r="U6" s="1651"/>
      <c r="V6" s="1651"/>
      <c r="W6" s="1651"/>
      <c r="X6" s="1651"/>
      <c r="Y6" s="1651"/>
      <c r="Z6" s="1651"/>
      <c r="AA6" s="1651"/>
      <c r="AB6" s="1651"/>
      <c r="AC6" s="1651"/>
      <c r="AD6" s="1651"/>
      <c r="AE6" s="1069"/>
      <c r="AF6" s="1069"/>
      <c r="AG6" s="1069"/>
      <c r="AH6" s="1651"/>
      <c r="AI6" s="1090"/>
      <c r="AJ6" s="1077"/>
      <c r="AK6" s="1079"/>
      <c r="AL6" s="1664"/>
      <c r="AM6" s="1091"/>
    </row>
    <row r="7" spans="1:41">
      <c r="A7" s="2033" t="s">
        <v>646</v>
      </c>
      <c r="B7" s="1671">
        <f>'qtrP&amp;L'!F14</f>
        <v>1933.7800000000002</v>
      </c>
      <c r="C7" s="1671">
        <f>'qtrP&amp;L'!J14</f>
        <v>2518.893</v>
      </c>
      <c r="D7" s="1671">
        <f>'qtrP&amp;L'!N14</f>
        <v>2960.4090000000001</v>
      </c>
      <c r="E7" s="1671">
        <f>'qtrP&amp;L'!R14</f>
        <v>3295.6790000000001</v>
      </c>
      <c r="F7" s="1671">
        <f>'qtrP&amp;L'!V14</f>
        <v>3722.9399999999996</v>
      </c>
      <c r="G7" s="1671">
        <f>'qtrP&amp;L'!Z14</f>
        <v>4395.2530000000006</v>
      </c>
      <c r="H7" s="1671">
        <f>'qtrP&amp;L'!AD14</f>
        <v>5284.3810000000003</v>
      </c>
      <c r="I7" s="1671">
        <f>'qtrP&amp;L'!AH14</f>
        <v>6507.8250000000007</v>
      </c>
      <c r="J7" s="1671">
        <f>'qtrP&amp;L'!AL14</f>
        <v>9054.4619999999995</v>
      </c>
      <c r="K7" s="1671">
        <f>'qtrP&amp;L'!AP14</f>
        <v>11635.398000000001</v>
      </c>
      <c r="L7" s="1671">
        <f>'qtrP&amp;L'!AT14</f>
        <v>13673.46</v>
      </c>
      <c r="M7" s="1640">
        <v>13847.873</v>
      </c>
      <c r="N7" s="1640">
        <v>14454.708999999999</v>
      </c>
      <c r="O7" s="1640">
        <f>'qtrP&amp;L'!BF14</f>
        <v>15853.79</v>
      </c>
      <c r="P7" s="1093">
        <f>'qtrP&amp;L'!BJ14</f>
        <v>16267.401000000002</v>
      </c>
      <c r="Q7" s="1093">
        <f>+'qtrP&amp;L'!BN14</f>
        <v>16023.38</v>
      </c>
      <c r="R7" s="1093">
        <f>+'qtrP&amp;L'!BR14</f>
        <v>15923</v>
      </c>
      <c r="S7" s="1640">
        <f>'qtrP&amp;L'!$BV$14</f>
        <v>15763</v>
      </c>
      <c r="T7" s="1640">
        <f>'qtrP&amp;L'!$BZ$14</f>
        <v>14526</v>
      </c>
      <c r="U7" s="1640">
        <f>'qtrP&amp;L'!$CD$14</f>
        <v>14197</v>
      </c>
      <c r="V7" s="1640">
        <f>'qtrP&amp;L'!$CH$14</f>
        <v>14664</v>
      </c>
      <c r="W7" s="1640">
        <f>'qtrP&amp;L'!CL14</f>
        <v>14549</v>
      </c>
      <c r="X7" s="1640">
        <f>+'qtrP&amp;L'!CP14</f>
        <v>15651</v>
      </c>
      <c r="Y7" s="1640">
        <f>+'qtrP&amp;L'!CT14</f>
        <v>16148</v>
      </c>
      <c r="Z7" s="1640">
        <f>'qtrP&amp;L'!CX14</f>
        <v>16435</v>
      </c>
      <c r="AA7" s="1640">
        <f>'qtrP&amp;L'!DB14</f>
        <v>15797</v>
      </c>
      <c r="AB7" s="1640">
        <f>'qtrP&amp;L'!$DF$14</f>
        <v>15516</v>
      </c>
      <c r="AC7" s="1640">
        <f>'qtrP&amp;L'!DJ14</f>
        <v>15855</v>
      </c>
      <c r="AD7" s="1640">
        <f>'qtrP&amp;L'!DN14</f>
        <v>16007.374239900169</v>
      </c>
      <c r="AE7" s="1640">
        <f>+AE196+AE82+AE122+AE160</f>
        <v>15929.412165188094</v>
      </c>
      <c r="AF7" s="1640">
        <f>+AF196+AF82+AF122+AF160</f>
        <v>15853.165473056992</v>
      </c>
      <c r="AG7" s="1640">
        <f>+AG196+AG82+AG122+AG160</f>
        <v>15789.040595885397</v>
      </c>
      <c r="AH7" s="1640">
        <f>+AH196+AH82+AH122+AH160</f>
        <v>15718.713972636162</v>
      </c>
      <c r="AI7" s="1090"/>
      <c r="AJ7" s="1094">
        <f>((AB7/W7)^(1/5)-1)*100</f>
        <v>1.2953070926749133</v>
      </c>
      <c r="AK7" s="1110" t="s">
        <v>489</v>
      </c>
      <c r="AL7" s="1683">
        <f>((AH7/AB7)^(1/6)-1)*100</f>
        <v>0.21657127287419975</v>
      </c>
      <c r="AM7" s="1091" t="s">
        <v>489</v>
      </c>
    </row>
    <row r="8" spans="1:41" hidden="1" outlineLevel="1">
      <c r="A8" s="2033" t="s">
        <v>98</v>
      </c>
      <c r="B8" s="1671">
        <f t="shared" ref="B8:O8" si="3">+B196+B238+B281+B82+B122</f>
        <v>1934</v>
      </c>
      <c r="C8" s="1671">
        <f t="shared" si="3"/>
        <v>2509</v>
      </c>
      <c r="D8" s="1671">
        <f t="shared" si="3"/>
        <v>2972</v>
      </c>
      <c r="E8" s="1671">
        <f t="shared" si="3"/>
        <v>3295</v>
      </c>
      <c r="F8" s="1671">
        <f t="shared" si="3"/>
        <v>3723</v>
      </c>
      <c r="G8" s="1671">
        <f t="shared" si="3"/>
        <v>4395</v>
      </c>
      <c r="H8" s="1671">
        <f t="shared" si="3"/>
        <v>5284</v>
      </c>
      <c r="I8" s="1671">
        <f t="shared" si="3"/>
        <v>6508</v>
      </c>
      <c r="J8" s="1671">
        <f t="shared" si="3"/>
        <v>9054</v>
      </c>
      <c r="K8" s="1671">
        <f t="shared" si="3"/>
        <v>11600</v>
      </c>
      <c r="L8" s="1671">
        <f t="shared" si="3"/>
        <v>13673</v>
      </c>
      <c r="M8" s="1671">
        <f t="shared" si="3"/>
        <v>13848</v>
      </c>
      <c r="N8" s="1671">
        <f t="shared" si="3"/>
        <v>14455</v>
      </c>
      <c r="O8" s="1671">
        <f t="shared" si="3"/>
        <v>15854</v>
      </c>
      <c r="P8" s="1092">
        <f>+P196+P238+P82+P122</f>
        <v>16267</v>
      </c>
      <c r="Q8" s="1092">
        <f>+Q196+Q238+Q281+Q82+Q122</f>
        <v>16029</v>
      </c>
      <c r="R8" s="1092">
        <f>+R196+R238+R281+R82+R122</f>
        <v>15977</v>
      </c>
      <c r="S8" s="1671">
        <f>+S196+S238+S281+S82+S122</f>
        <v>15821</v>
      </c>
      <c r="T8" s="1671">
        <f>+T196+T238+T281+T82+T122+T157</f>
        <v>15193</v>
      </c>
      <c r="U8" s="1671">
        <f>+U196+U238+U281+U82+U122+U157</f>
        <v>14747</v>
      </c>
      <c r="V8" s="1671">
        <f>+V196+V238+V281+V82+V122+V157</f>
        <v>15260</v>
      </c>
      <c r="W8" s="1671">
        <f>+W196+W82+W122+W160+W238</f>
        <v>15969</v>
      </c>
      <c r="X8" s="1671">
        <f t="shared" ref="X8:AH8" si="4">+X196+X82+X122+X160</f>
        <v>15609</v>
      </c>
      <c r="Y8" s="1671">
        <f t="shared" si="4"/>
        <v>16148</v>
      </c>
      <c r="Z8" s="1671">
        <f t="shared" si="4"/>
        <v>16435</v>
      </c>
      <c r="AA8" s="1671">
        <f t="shared" si="4"/>
        <v>15797</v>
      </c>
      <c r="AB8" s="1671">
        <f t="shared" si="4"/>
        <v>15516</v>
      </c>
      <c r="AC8" s="1671">
        <f t="shared" si="4"/>
        <v>15820.105</v>
      </c>
      <c r="AD8" s="1671">
        <f t="shared" si="4"/>
        <v>16019.906782448568</v>
      </c>
      <c r="AE8" s="1092">
        <f t="shared" si="4"/>
        <v>15929.412165188094</v>
      </c>
      <c r="AF8" s="1092">
        <f t="shared" si="4"/>
        <v>15853.165473056992</v>
      </c>
      <c r="AG8" s="1092">
        <f t="shared" si="4"/>
        <v>15789.040595885397</v>
      </c>
      <c r="AH8" s="1671">
        <f t="shared" si="4"/>
        <v>15718.713972636162</v>
      </c>
      <c r="AI8" s="1090"/>
      <c r="AJ8" s="1094"/>
      <c r="AK8" s="1110"/>
      <c r="AL8" s="1683"/>
      <c r="AM8" s="1095"/>
    </row>
    <row r="9" spans="1:41" collapsed="1">
      <c r="A9" s="2033" t="s">
        <v>490</v>
      </c>
      <c r="B9" s="1648">
        <f>B7/1586.596-1</f>
        <v>0.21882319128499006</v>
      </c>
      <c r="C9" s="1648">
        <f>C7/B7-1</f>
        <v>0.30257474997155809</v>
      </c>
      <c r="D9" s="1648">
        <f>D7/C7-1</f>
        <v>0.17528176067820267</v>
      </c>
      <c r="E9" s="1648">
        <f>E7/D7-1</f>
        <v>0.11325124332482428</v>
      </c>
      <c r="F9" s="1648">
        <f>F7/E7-1</f>
        <v>0.12964278377839578</v>
      </c>
      <c r="G9" s="1648">
        <f t="shared" ref="G9:AA9" si="5">G7/F7-1</f>
        <v>0.18058657942378908</v>
      </c>
      <c r="H9" s="1648">
        <f t="shared" si="5"/>
        <v>0.20229279179150761</v>
      </c>
      <c r="I9" s="1648">
        <f t="shared" si="5"/>
        <v>0.2315207779302817</v>
      </c>
      <c r="J9" s="1648">
        <f>J7/I7-1</f>
        <v>0.39131921955492022</v>
      </c>
      <c r="K9" s="1648">
        <f t="shared" si="5"/>
        <v>0.28504575975911117</v>
      </c>
      <c r="L9" s="1648">
        <f>L7/K7-1</f>
        <v>0.17516048870867995</v>
      </c>
      <c r="M9" s="1648">
        <f>M7/L7-1</f>
        <v>1.2755586369507022E-2</v>
      </c>
      <c r="N9" s="1648">
        <f>N7/M7-1</f>
        <v>4.3821603505462381E-2</v>
      </c>
      <c r="O9" s="1648">
        <f t="shared" si="5"/>
        <v>9.6790672160885549E-2</v>
      </c>
      <c r="P9" s="1089">
        <f t="shared" si="5"/>
        <v>2.608909289198369E-2</v>
      </c>
      <c r="Q9" s="1089">
        <f t="shared" si="5"/>
        <v>-1.5000613804258101E-2</v>
      </c>
      <c r="R9" s="1089">
        <f t="shared" si="5"/>
        <v>-6.2645958593005036E-3</v>
      </c>
      <c r="S9" s="1648">
        <f t="shared" si="5"/>
        <v>-1.0048357721534895E-2</v>
      </c>
      <c r="T9" s="1648">
        <f t="shared" si="5"/>
        <v>-7.8474909598426734E-2</v>
      </c>
      <c r="U9" s="1648">
        <f t="shared" si="5"/>
        <v>-2.2649043095139709E-2</v>
      </c>
      <c r="V9" s="1648">
        <f t="shared" si="5"/>
        <v>3.2894273438050403E-2</v>
      </c>
      <c r="W9" s="1648">
        <f t="shared" si="5"/>
        <v>-7.8423349699945355E-3</v>
      </c>
      <c r="X9" s="1648">
        <f t="shared" si="5"/>
        <v>7.5744037390885977E-2</v>
      </c>
      <c r="Y9" s="1648">
        <f t="shared" si="5"/>
        <v>3.1755159414733836E-2</v>
      </c>
      <c r="Z9" s="1648">
        <f t="shared" si="5"/>
        <v>1.7773098835769163E-2</v>
      </c>
      <c r="AA9" s="1648">
        <f t="shared" si="5"/>
        <v>-3.8819592333434794E-2</v>
      </c>
      <c r="AB9" s="1648">
        <f>AB7/AA7-1</f>
        <v>-1.778818763056278E-2</v>
      </c>
      <c r="AC9" s="1648">
        <f>AC7/AB7-1</f>
        <v>2.1848414539829886E-2</v>
      </c>
      <c r="AD9" s="1648">
        <f>AD7/AC7-1</f>
        <v>9.6104850142018083E-3</v>
      </c>
      <c r="AE9" s="1089">
        <f>AE7/AD7-1</f>
        <v>-4.8703849578118907E-3</v>
      </c>
      <c r="AF9" s="1089">
        <f t="shared" ref="AF9" si="6">AF7/AE7-1</f>
        <v>-4.7865352054692334E-3</v>
      </c>
      <c r="AG9" s="1089">
        <f>AG7/AF7-1</f>
        <v>-4.0449257456233179E-3</v>
      </c>
      <c r="AH9" s="1648">
        <f>AH7/AG7-1</f>
        <v>-4.454141644778753E-3</v>
      </c>
      <c r="AI9" s="1090"/>
      <c r="AJ9" s="1094"/>
      <c r="AK9" s="1079"/>
      <c r="AL9" s="1683"/>
      <c r="AM9" s="1091"/>
    </row>
    <row r="10" spans="1:41">
      <c r="A10" s="1651"/>
      <c r="B10" s="1651"/>
      <c r="C10" s="1651"/>
      <c r="D10" s="1651"/>
      <c r="E10" s="1651"/>
      <c r="F10" s="1651"/>
      <c r="G10" s="1651"/>
      <c r="H10" s="1648"/>
      <c r="I10" s="1648"/>
      <c r="J10" s="1664"/>
      <c r="K10" s="1651"/>
      <c r="L10" s="1651"/>
      <c r="M10" s="1651"/>
      <c r="N10" s="1651"/>
      <c r="O10" s="1651"/>
      <c r="P10" s="1069"/>
      <c r="Q10" s="1069"/>
      <c r="R10" s="1069"/>
      <c r="S10" s="1651"/>
      <c r="T10" s="1651"/>
      <c r="U10" s="1651"/>
      <c r="V10" s="1651"/>
      <c r="W10" s="1651"/>
      <c r="X10" s="1651"/>
      <c r="Y10" s="1651"/>
      <c r="Z10" s="1651"/>
      <c r="AA10" s="1651"/>
      <c r="AB10" s="1651"/>
      <c r="AC10" s="1651"/>
      <c r="AD10" s="1651"/>
      <c r="AE10" s="1069"/>
      <c r="AF10" s="1069"/>
      <c r="AG10" s="1069"/>
      <c r="AH10" s="1651"/>
      <c r="AI10" s="1090"/>
      <c r="AJ10" s="1094"/>
      <c r="AK10" s="1079"/>
      <c r="AL10" s="1683"/>
      <c r="AM10" s="1091"/>
    </row>
    <row r="11" spans="1:41">
      <c r="A11" s="2033" t="s">
        <v>491</v>
      </c>
      <c r="B11" s="2034">
        <v>960</v>
      </c>
      <c r="C11" s="2035">
        <f>B14</f>
        <v>1092</v>
      </c>
      <c r="D11" s="2035">
        <f>C14</f>
        <v>1216</v>
      </c>
      <c r="E11" s="2035">
        <f>D14</f>
        <v>1307</v>
      </c>
      <c r="F11" s="2035">
        <f>E14</f>
        <v>1370</v>
      </c>
      <c r="G11" s="2035">
        <f t="shared" ref="G11:Z11" si="7">F14</f>
        <v>1508</v>
      </c>
      <c r="H11" s="2035">
        <f t="shared" si="7"/>
        <v>1680</v>
      </c>
      <c r="I11" s="2010">
        <f t="shared" si="7"/>
        <v>1854</v>
      </c>
      <c r="J11" s="2009">
        <f>I14</f>
        <v>2130</v>
      </c>
      <c r="K11" s="1672">
        <f t="shared" si="7"/>
        <v>2466</v>
      </c>
      <c r="L11" s="1672">
        <f t="shared" si="7"/>
        <v>3018</v>
      </c>
      <c r="M11" s="1672">
        <f t="shared" si="7"/>
        <v>2848</v>
      </c>
      <c r="N11" s="1672">
        <f t="shared" si="7"/>
        <v>3097</v>
      </c>
      <c r="O11" s="1672">
        <f t="shared" si="7"/>
        <v>3117</v>
      </c>
      <c r="P11" s="1096">
        <f>'Store New'!B164</f>
        <v>3022</v>
      </c>
      <c r="Q11" s="1096">
        <f t="shared" si="7"/>
        <v>2994</v>
      </c>
      <c r="R11" s="1096">
        <f t="shared" si="7"/>
        <v>3048</v>
      </c>
      <c r="S11" s="1672">
        <f>R14</f>
        <v>3112</v>
      </c>
      <c r="T11" s="1672">
        <f t="shared" si="7"/>
        <v>3167</v>
      </c>
      <c r="U11" s="1672">
        <f t="shared" si="7"/>
        <v>3149</v>
      </c>
      <c r="V11" s="1672">
        <f t="shared" si="7"/>
        <v>3095</v>
      </c>
      <c r="W11" s="1672">
        <f t="shared" si="7"/>
        <v>3068</v>
      </c>
      <c r="X11" s="1672">
        <f t="shared" si="7"/>
        <v>3036</v>
      </c>
      <c r="Y11" s="1672">
        <f t="shared" si="7"/>
        <v>3064</v>
      </c>
      <c r="Z11" s="1672">
        <f t="shared" si="7"/>
        <v>3133</v>
      </c>
      <c r="AA11" s="1672">
        <v>3280</v>
      </c>
      <c r="AB11" s="1672">
        <f>AA14</f>
        <v>3275</v>
      </c>
      <c r="AC11" s="1672">
        <f>AB14</f>
        <v>3200</v>
      </c>
      <c r="AD11" s="1672">
        <f>AC14</f>
        <v>3471</v>
      </c>
      <c r="AE11" s="1672">
        <f>AD14</f>
        <v>3393</v>
      </c>
      <c r="AF11" s="1672">
        <f t="shared" ref="AF11" si="8">AE14</f>
        <v>3423</v>
      </c>
      <c r="AG11" s="1672">
        <f>AF14</f>
        <v>3468</v>
      </c>
      <c r="AH11" s="1672">
        <f>AG14</f>
        <v>3518</v>
      </c>
      <c r="AI11" s="1090"/>
      <c r="AJ11" s="1094"/>
      <c r="AK11" s="1079"/>
      <c r="AL11" s="1683"/>
      <c r="AM11" s="1091"/>
    </row>
    <row r="12" spans="1:41">
      <c r="A12" s="2036" t="s">
        <v>56</v>
      </c>
      <c r="B12" s="2037">
        <v>152</v>
      </c>
      <c r="C12" s="2037">
        <v>139</v>
      </c>
      <c r="D12" s="2037">
        <v>117</v>
      </c>
      <c r="E12" s="2037">
        <v>108</v>
      </c>
      <c r="F12" s="2037">
        <v>172</v>
      </c>
      <c r="G12" s="2037">
        <v>225</v>
      </c>
      <c r="H12" s="2037">
        <v>203</v>
      </c>
      <c r="I12" s="2010">
        <v>298</v>
      </c>
      <c r="J12" s="2009">
        <v>356</v>
      </c>
      <c r="K12" s="2010">
        <v>570</v>
      </c>
      <c r="L12" s="1673">
        <v>731</v>
      </c>
      <c r="M12" s="1673">
        <v>324</v>
      </c>
      <c r="N12" s="1673">
        <v>115</v>
      </c>
      <c r="O12" s="1673">
        <v>35</v>
      </c>
      <c r="P12" s="1097">
        <f>SUM('Store New'!B165:E165)</f>
        <v>130</v>
      </c>
      <c r="Q12" s="1097">
        <f>SUM('Store New'!F165:I165)</f>
        <v>193</v>
      </c>
      <c r="R12" s="1097">
        <f>SUM('Store New'!J165:M165)</f>
        <v>180</v>
      </c>
      <c r="S12" s="1673">
        <f>SUM('Store New'!N165:Q165)</f>
        <v>214</v>
      </c>
      <c r="T12" s="1673">
        <f>SUM('Store New'!R165:U165)</f>
        <v>101</v>
      </c>
      <c r="U12" s="1673">
        <f>SUM('Store New'!V165:Y165)</f>
        <v>47</v>
      </c>
      <c r="V12" s="1673">
        <f>SUM('Store New'!Z165:AC165)</f>
        <v>71</v>
      </c>
      <c r="W12" s="1673">
        <f>SUM('Store New'!AD165:AG165)</f>
        <v>122</v>
      </c>
      <c r="X12" s="1673">
        <f>SUM('Store New'!AH165:AK165)</f>
        <v>165</v>
      </c>
      <c r="Y12" s="1673">
        <f>SUM('Store New'!AL165:AO165)</f>
        <v>190</v>
      </c>
      <c r="Z12" s="1673">
        <f>SUM('Store New'!AP165:AS165)</f>
        <v>216</v>
      </c>
      <c r="AA12" s="1673">
        <f>SUM('Store New'!AT165:AW165)</f>
        <v>199</v>
      </c>
      <c r="AB12" s="1673">
        <f>SUM('Store New'!AX165:BA165)</f>
        <v>99</v>
      </c>
      <c r="AC12" s="1673">
        <f>SUM('Store New'!BB165:BE165)</f>
        <v>118</v>
      </c>
      <c r="AD12" s="1673">
        <f>SUM('Store New'!BF165:BI165)</f>
        <v>136</v>
      </c>
      <c r="AE12" s="1829">
        <f t="shared" ref="AE12:AH13" si="9">AE47+AE87+AE127+AE165</f>
        <v>80</v>
      </c>
      <c r="AF12" s="1829">
        <f t="shared" si="9"/>
        <v>90</v>
      </c>
      <c r="AG12" s="1829">
        <f t="shared" si="9"/>
        <v>90</v>
      </c>
      <c r="AH12" s="1829">
        <f t="shared" si="9"/>
        <v>65</v>
      </c>
      <c r="AI12" s="1090"/>
      <c r="AJ12" s="1094"/>
      <c r="AK12" s="1079"/>
      <c r="AL12" s="1683"/>
      <c r="AM12" s="1091"/>
    </row>
    <row r="13" spans="1:41">
      <c r="A13" s="2033" t="s">
        <v>497</v>
      </c>
      <c r="B13" s="2037">
        <v>-20</v>
      </c>
      <c r="C13" s="2037">
        <v>-15</v>
      </c>
      <c r="D13" s="2037">
        <v>-26</v>
      </c>
      <c r="E13" s="2037">
        <v>-45</v>
      </c>
      <c r="F13" s="2037">
        <v>-34</v>
      </c>
      <c r="G13" s="2037">
        <v>-53</v>
      </c>
      <c r="H13" s="2037">
        <v>-30</v>
      </c>
      <c r="I13" s="2010">
        <v>-22</v>
      </c>
      <c r="J13" s="2009">
        <v>-20</v>
      </c>
      <c r="K13" s="2010">
        <v>-18</v>
      </c>
      <c r="L13" s="1673">
        <v>-73</v>
      </c>
      <c r="M13" s="1673">
        <v>-75</v>
      </c>
      <c r="N13" s="1673">
        <v>-95</v>
      </c>
      <c r="O13" s="1673">
        <v>-130</v>
      </c>
      <c r="P13" s="1097">
        <f>-SUM('Store New'!B166:E166)</f>
        <v>-158</v>
      </c>
      <c r="Q13" s="1097">
        <f>-SUM('Store New'!F166:I166)</f>
        <v>-139</v>
      </c>
      <c r="R13" s="1097">
        <f>-SUM('Store New'!J166:M166)</f>
        <v>-116</v>
      </c>
      <c r="S13" s="1673">
        <f>-SUM('Store New'!N166:Q166)</f>
        <v>-159</v>
      </c>
      <c r="T13" s="1673">
        <f>-SUM('Store New'!R166:U166)</f>
        <v>-119</v>
      </c>
      <c r="U13" s="1673">
        <f>-SUM('Store New'!V166:Y166)</f>
        <v>-101</v>
      </c>
      <c r="V13" s="1673">
        <f>-SUM('Store New'!Z166:AC166)</f>
        <v>-98</v>
      </c>
      <c r="W13" s="1673">
        <f>-SUM('Store New'!AD166:AG166)</f>
        <v>-154</v>
      </c>
      <c r="X13" s="1673">
        <f>-SUM('Store New'!AH166:AK166)</f>
        <v>-137</v>
      </c>
      <c r="Y13" s="1673">
        <f>-SUM('Store New'!AL166:AO166)</f>
        <v>-121</v>
      </c>
      <c r="Z13" s="1673">
        <f>-SUM('Store New'!AP166:AS166)</f>
        <v>-100</v>
      </c>
      <c r="AA13" s="1673">
        <f>SUM('Store New'!AT166:AW166)</f>
        <v>204</v>
      </c>
      <c r="AB13" s="1673">
        <f>SUM('Store New'!AX166:BA166)</f>
        <v>174</v>
      </c>
      <c r="AC13" s="1673">
        <f>SUM('Store New'!BB166:BE166)</f>
        <v>153</v>
      </c>
      <c r="AD13" s="1673">
        <f>-SUM('Store New'!BF166:BI166)</f>
        <v>-214</v>
      </c>
      <c r="AE13" s="1829">
        <f t="shared" si="9"/>
        <v>-50</v>
      </c>
      <c r="AF13" s="1829">
        <f t="shared" si="9"/>
        <v>-45</v>
      </c>
      <c r="AG13" s="1829">
        <f t="shared" si="9"/>
        <v>-40</v>
      </c>
      <c r="AH13" s="1829">
        <f t="shared" si="9"/>
        <v>-35</v>
      </c>
      <c r="AI13" s="1090"/>
      <c r="AJ13" s="1094"/>
      <c r="AK13" s="1079"/>
      <c r="AL13" s="1683"/>
      <c r="AM13" s="1091"/>
      <c r="AO13" s="1098"/>
    </row>
    <row r="14" spans="1:41">
      <c r="A14" s="2033" t="s">
        <v>498</v>
      </c>
      <c r="B14" s="2034">
        <f>B11+B12+B13</f>
        <v>1092</v>
      </c>
      <c r="C14" s="2035">
        <f>C11+C12+C13</f>
        <v>1216</v>
      </c>
      <c r="D14" s="2035">
        <f>D11+D12+D13</f>
        <v>1307</v>
      </c>
      <c r="E14" s="2035">
        <f>E11+E12+E13</f>
        <v>1370</v>
      </c>
      <c r="F14" s="2035">
        <f>F11+F12+F13</f>
        <v>1508</v>
      </c>
      <c r="G14" s="2035">
        <f t="shared" ref="G14:Z14" si="10">G11+G12+G13</f>
        <v>1680</v>
      </c>
      <c r="H14" s="2038">
        <v>1854</v>
      </c>
      <c r="I14" s="2010">
        <f t="shared" si="10"/>
        <v>2130</v>
      </c>
      <c r="J14" s="2009">
        <f t="shared" si="10"/>
        <v>2466</v>
      </c>
      <c r="K14" s="1672">
        <f t="shared" si="10"/>
        <v>3018</v>
      </c>
      <c r="L14" s="2039">
        <v>2848</v>
      </c>
      <c r="M14" s="1672">
        <f t="shared" si="10"/>
        <v>3097</v>
      </c>
      <c r="N14" s="1672">
        <f t="shared" si="10"/>
        <v>3117</v>
      </c>
      <c r="O14" s="1672">
        <f t="shared" si="10"/>
        <v>3022</v>
      </c>
      <c r="P14" s="1096">
        <f t="shared" si="10"/>
        <v>2994</v>
      </c>
      <c r="Q14" s="1096">
        <f t="shared" si="10"/>
        <v>3048</v>
      </c>
      <c r="R14" s="1096">
        <f t="shared" si="10"/>
        <v>3112</v>
      </c>
      <c r="S14" s="1672">
        <f t="shared" si="10"/>
        <v>3167</v>
      </c>
      <c r="T14" s="1672">
        <f t="shared" si="10"/>
        <v>3149</v>
      </c>
      <c r="U14" s="1672">
        <f t="shared" si="10"/>
        <v>3095</v>
      </c>
      <c r="V14" s="1672">
        <f t="shared" si="10"/>
        <v>3068</v>
      </c>
      <c r="W14" s="1672">
        <f t="shared" si="10"/>
        <v>3036</v>
      </c>
      <c r="X14" s="1672">
        <f t="shared" si="10"/>
        <v>3064</v>
      </c>
      <c r="Y14" s="1672">
        <f t="shared" si="10"/>
        <v>3133</v>
      </c>
      <c r="Z14" s="1672">
        <f t="shared" si="10"/>
        <v>3249</v>
      </c>
      <c r="AA14" s="1672">
        <v>3275</v>
      </c>
      <c r="AB14" s="1672">
        <v>3200</v>
      </c>
      <c r="AC14" s="1672">
        <f>AC11+AC12+AC13</f>
        <v>3471</v>
      </c>
      <c r="AD14" s="1672">
        <f>AD11+AD12+AD13</f>
        <v>3393</v>
      </c>
      <c r="AE14" s="1672">
        <f>AE11+AE12+AE13</f>
        <v>3423</v>
      </c>
      <c r="AF14" s="1672">
        <f t="shared" ref="AF14:AH14" si="11">AF11+AF12+AF13</f>
        <v>3468</v>
      </c>
      <c r="AG14" s="1672">
        <f t="shared" si="11"/>
        <v>3518</v>
      </c>
      <c r="AH14" s="1672">
        <f t="shared" si="11"/>
        <v>3548</v>
      </c>
      <c r="AI14" s="1090"/>
      <c r="AJ14" s="1094">
        <f>((AB14/W14)^(1/5)-1)*100</f>
        <v>1.0577540855848389</v>
      </c>
      <c r="AK14" s="1110" t="s">
        <v>489</v>
      </c>
      <c r="AL14" s="1683">
        <f>((AH14/AB14)^(1/6)-1)*100</f>
        <v>1.7354410344400772</v>
      </c>
      <c r="AM14" s="1091" t="s">
        <v>489</v>
      </c>
      <c r="AO14" s="1099"/>
    </row>
    <row r="15" spans="1:41">
      <c r="A15" s="2033" t="s">
        <v>499</v>
      </c>
      <c r="B15" s="1644">
        <f>(+B14+B11)/2</f>
        <v>1026</v>
      </c>
      <c r="C15" s="2040">
        <f>(+C14+C11)/2</f>
        <v>1154</v>
      </c>
      <c r="D15" s="2040">
        <f>(+D14+D11)/2</f>
        <v>1261.5</v>
      </c>
      <c r="E15" s="2040">
        <f>(+E14+E11)/2</f>
        <v>1338.5</v>
      </c>
      <c r="F15" s="2040">
        <f>(+F14+F11)/2</f>
        <v>1439</v>
      </c>
      <c r="G15" s="2040">
        <f t="shared" ref="G15:AA15" si="12">(+G14+G11)/2</f>
        <v>1594</v>
      </c>
      <c r="H15" s="2040">
        <f t="shared" si="12"/>
        <v>1767</v>
      </c>
      <c r="I15" s="1672">
        <f t="shared" si="12"/>
        <v>1992</v>
      </c>
      <c r="J15" s="2009">
        <f t="shared" si="12"/>
        <v>2298</v>
      </c>
      <c r="K15" s="1672">
        <f t="shared" si="12"/>
        <v>2742</v>
      </c>
      <c r="L15" s="2040">
        <f t="shared" si="12"/>
        <v>2933</v>
      </c>
      <c r="M15" s="1672">
        <f t="shared" si="12"/>
        <v>2972.5</v>
      </c>
      <c r="N15" s="1672">
        <f t="shared" si="12"/>
        <v>3107</v>
      </c>
      <c r="O15" s="1672">
        <f t="shared" si="12"/>
        <v>3069.5</v>
      </c>
      <c r="P15" s="1096">
        <f t="shared" si="12"/>
        <v>3008</v>
      </c>
      <c r="Q15" s="1096">
        <f t="shared" si="12"/>
        <v>3021</v>
      </c>
      <c r="R15" s="1096">
        <f t="shared" si="12"/>
        <v>3080</v>
      </c>
      <c r="S15" s="1672">
        <f t="shared" si="12"/>
        <v>3139.5</v>
      </c>
      <c r="T15" s="1672">
        <f t="shared" si="12"/>
        <v>3158</v>
      </c>
      <c r="U15" s="1672">
        <f t="shared" si="12"/>
        <v>3122</v>
      </c>
      <c r="V15" s="1672">
        <f t="shared" si="12"/>
        <v>3081.5</v>
      </c>
      <c r="W15" s="1672">
        <f t="shared" si="12"/>
        <v>3052</v>
      </c>
      <c r="X15" s="1672">
        <f t="shared" si="12"/>
        <v>3050</v>
      </c>
      <c r="Y15" s="1672">
        <f t="shared" si="12"/>
        <v>3098.5</v>
      </c>
      <c r="Z15" s="1672">
        <f t="shared" si="12"/>
        <v>3191</v>
      </c>
      <c r="AA15" s="1672">
        <f t="shared" si="12"/>
        <v>3277.5</v>
      </c>
      <c r="AB15" s="1672">
        <f>(+AB14+AB11)/2</f>
        <v>3237.5</v>
      </c>
      <c r="AC15" s="1672">
        <f>(+AC14+AC11)/2</f>
        <v>3335.5</v>
      </c>
      <c r="AD15" s="1672">
        <f>(+AD14+AD11)/2</f>
        <v>3432</v>
      </c>
      <c r="AE15" s="1672">
        <f>(+AE14+AE11)/2</f>
        <v>3408</v>
      </c>
      <c r="AF15" s="1672">
        <f t="shared" ref="AF15:AH15" si="13">(+AF14+AF11)/2</f>
        <v>3445.5</v>
      </c>
      <c r="AG15" s="1672">
        <f t="shared" si="13"/>
        <v>3493</v>
      </c>
      <c r="AH15" s="1672">
        <f t="shared" si="13"/>
        <v>3533</v>
      </c>
      <c r="AI15" s="1100"/>
      <c r="AJ15" s="1094"/>
      <c r="AK15" s="1128"/>
      <c r="AL15" s="1683"/>
      <c r="AM15" s="1101"/>
      <c r="AO15" s="1099"/>
    </row>
    <row r="16" spans="1:41">
      <c r="A16" s="2033" t="s">
        <v>500</v>
      </c>
      <c r="B16" s="1648">
        <f>+B15/930-1</f>
        <v>0.10322580645161294</v>
      </c>
      <c r="C16" s="1648">
        <f>(C15/B15-1)</f>
        <v>0.12475633528265107</v>
      </c>
      <c r="D16" s="1648">
        <f>(D15/C15-1)</f>
        <v>9.3154246100519922E-2</v>
      </c>
      <c r="E16" s="1648">
        <f>(E15/D15-1)</f>
        <v>6.1038446294094273E-2</v>
      </c>
      <c r="F16" s="1648">
        <f>(F15/E15-1)</f>
        <v>7.508404930892798E-2</v>
      </c>
      <c r="G16" s="1648">
        <f t="shared" ref="G16:AA16" si="14">(G15/F15-1)</f>
        <v>0.1077136900625435</v>
      </c>
      <c r="H16" s="1648">
        <f t="shared" si="14"/>
        <v>0.10853199498117938</v>
      </c>
      <c r="I16" s="1648">
        <f t="shared" si="14"/>
        <v>0.12733446519524616</v>
      </c>
      <c r="J16" s="2041">
        <f>(J15/I15-1)</f>
        <v>0.15361445783132521</v>
      </c>
      <c r="K16" s="1648">
        <f t="shared" si="14"/>
        <v>0.19321148825065282</v>
      </c>
      <c r="L16" s="1648">
        <f t="shared" si="14"/>
        <v>6.9657184536834338E-2</v>
      </c>
      <c r="M16" s="1648">
        <f t="shared" si="14"/>
        <v>1.3467439481759325E-2</v>
      </c>
      <c r="N16" s="1648">
        <f t="shared" si="14"/>
        <v>4.5248107653490299E-2</v>
      </c>
      <c r="O16" s="1648">
        <f t="shared" si="14"/>
        <v>-1.2069520437721248E-2</v>
      </c>
      <c r="P16" s="1089">
        <f t="shared" si="14"/>
        <v>-2.0035836455448819E-2</v>
      </c>
      <c r="Q16" s="1089">
        <f t="shared" si="14"/>
        <v>4.3218085106382365E-3</v>
      </c>
      <c r="R16" s="1089">
        <f t="shared" si="14"/>
        <v>1.9529956967891504E-2</v>
      </c>
      <c r="S16" s="1648">
        <f t="shared" si="14"/>
        <v>1.931818181818179E-2</v>
      </c>
      <c r="T16" s="1648">
        <f t="shared" si="14"/>
        <v>5.8926580665710215E-3</v>
      </c>
      <c r="U16" s="1648">
        <f t="shared" si="14"/>
        <v>-1.1399620012666256E-2</v>
      </c>
      <c r="V16" s="1648">
        <f t="shared" si="14"/>
        <v>-1.297245355541321E-2</v>
      </c>
      <c r="W16" s="1648">
        <f t="shared" si="14"/>
        <v>-9.5732597760830318E-3</v>
      </c>
      <c r="X16" s="1648">
        <f t="shared" si="14"/>
        <v>-6.5530799475754797E-4</v>
      </c>
      <c r="Y16" s="1648">
        <f t="shared" si="14"/>
        <v>1.5901639344262364E-2</v>
      </c>
      <c r="Z16" s="1648">
        <f t="shared" si="14"/>
        <v>2.9853154752299549E-2</v>
      </c>
      <c r="AA16" s="1648">
        <f t="shared" si="14"/>
        <v>2.7107489815104913E-2</v>
      </c>
      <c r="AB16" s="1648">
        <f>(AB15/AA15-1)</f>
        <v>-1.2204424103737566E-2</v>
      </c>
      <c r="AC16" s="1648">
        <f>(AC15/AB15-1)</f>
        <v>3.0270270270270183E-2</v>
      </c>
      <c r="AD16" s="1648">
        <f>(AD15/AC15-1)</f>
        <v>2.8931194723429865E-2</v>
      </c>
      <c r="AE16" s="1089">
        <f>(AE15/AD15-1)</f>
        <v>-6.9930069930069783E-3</v>
      </c>
      <c r="AF16" s="1089">
        <f t="shared" ref="AF16" si="15">(AF15/AE15-1)</f>
        <v>1.1003521126760507E-2</v>
      </c>
      <c r="AG16" s="1089">
        <f>(AG15/AF15-1)</f>
        <v>1.3786097808736075E-2</v>
      </c>
      <c r="AH16" s="1648">
        <f>(AH15/AG15-1)</f>
        <v>1.1451474377326187E-2</v>
      </c>
      <c r="AI16" s="1090"/>
      <c r="AJ16" s="1094"/>
      <c r="AK16" s="1079"/>
      <c r="AL16" s="1683"/>
      <c r="AM16" s="1091"/>
    </row>
    <row r="17" spans="1:41" hidden="1" outlineLevel="1">
      <c r="A17" s="2033" t="s">
        <v>127</v>
      </c>
      <c r="B17" s="1648">
        <f>+B14/B11-1</f>
        <v>0.13749999999999996</v>
      </c>
      <c r="C17" s="1648">
        <f t="shared" ref="C17:N17" si="16">+C14/B14-1</f>
        <v>0.11355311355311359</v>
      </c>
      <c r="D17" s="1648">
        <f t="shared" si="16"/>
        <v>7.483552631578938E-2</v>
      </c>
      <c r="E17" s="1648">
        <f t="shared" si="16"/>
        <v>4.8201989288446878E-2</v>
      </c>
      <c r="F17" s="1648">
        <f t="shared" si="16"/>
        <v>0.10072992700729921</v>
      </c>
      <c r="G17" s="1648">
        <f t="shared" si="16"/>
        <v>0.11405835543766574</v>
      </c>
      <c r="H17" s="1648">
        <f t="shared" si="16"/>
        <v>0.10357142857142865</v>
      </c>
      <c r="I17" s="1648">
        <f t="shared" si="16"/>
        <v>0.14886731391585761</v>
      </c>
      <c r="J17" s="1648">
        <f t="shared" si="16"/>
        <v>0.15774647887323945</v>
      </c>
      <c r="K17" s="1648">
        <f t="shared" si="16"/>
        <v>0.22384428223844277</v>
      </c>
      <c r="L17" s="1648">
        <f t="shared" si="16"/>
        <v>-5.6328694499668708E-2</v>
      </c>
      <c r="M17" s="1648">
        <f t="shared" si="16"/>
        <v>8.7429775280898792E-2</v>
      </c>
      <c r="N17" s="1648">
        <f t="shared" si="16"/>
        <v>6.4578624475297719E-3</v>
      </c>
      <c r="O17" s="1648"/>
      <c r="P17" s="1089"/>
      <c r="Q17" s="1089"/>
      <c r="R17" s="1089"/>
      <c r="S17" s="1648"/>
      <c r="T17" s="1648"/>
      <c r="U17" s="1648"/>
      <c r="V17" s="1648"/>
      <c r="W17" s="1648"/>
      <c r="X17" s="1648"/>
      <c r="Y17" s="1648"/>
      <c r="Z17" s="1648"/>
      <c r="AA17" s="1648"/>
      <c r="AB17" s="1648"/>
      <c r="AC17" s="1648"/>
      <c r="AD17" s="1648"/>
      <c r="AE17" s="1089"/>
      <c r="AF17" s="1089"/>
      <c r="AG17" s="1089"/>
      <c r="AH17" s="1648"/>
      <c r="AI17" s="1090"/>
      <c r="AJ17" s="1094"/>
      <c r="AK17" s="1079"/>
      <c r="AL17" s="1683"/>
      <c r="AM17" s="1091"/>
    </row>
    <row r="18" spans="1:41" collapsed="1">
      <c r="A18" s="1651" t="s">
        <v>379</v>
      </c>
      <c r="B18" s="1651"/>
      <c r="C18" s="1651"/>
      <c r="D18" s="1651"/>
      <c r="E18" s="1651"/>
      <c r="F18" s="1651"/>
      <c r="G18" s="1651"/>
      <c r="H18" s="1648"/>
      <c r="I18" s="1648"/>
      <c r="J18" s="1651"/>
      <c r="K18" s="1651"/>
      <c r="L18" s="1651"/>
      <c r="M18" s="1651"/>
      <c r="N18" s="1651"/>
      <c r="O18" s="1651"/>
      <c r="P18" s="1069"/>
      <c r="Q18" s="1069"/>
      <c r="R18" s="1069"/>
      <c r="S18" s="1651"/>
      <c r="T18" s="1651"/>
      <c r="U18" s="1651"/>
      <c r="V18" s="1651"/>
      <c r="W18" s="1651"/>
      <c r="X18" s="1651"/>
      <c r="Y18" s="1651"/>
      <c r="Z18" s="1651"/>
      <c r="AA18" s="1651"/>
      <c r="AB18" s="1651"/>
      <c r="AC18" s="1651"/>
      <c r="AD18" s="1651"/>
      <c r="AE18" s="1069"/>
      <c r="AF18" s="1069"/>
      <c r="AG18" s="1069"/>
      <c r="AH18" s="1651"/>
      <c r="AI18" s="1090"/>
      <c r="AJ18" s="1094"/>
      <c r="AK18" s="1079"/>
      <c r="AL18" s="1683"/>
      <c r="AM18" s="1091"/>
      <c r="AO18" s="1098"/>
    </row>
    <row r="19" spans="1:41">
      <c r="A19" s="2033" t="s">
        <v>501</v>
      </c>
      <c r="B19" s="1649">
        <f t="shared" ref="B19:AD19" si="17">B7/B15</f>
        <v>1.8847758284600391</v>
      </c>
      <c r="C19" s="1649">
        <f t="shared" si="17"/>
        <v>2.182749566724437</v>
      </c>
      <c r="D19" s="1649">
        <f t="shared" si="17"/>
        <v>2.3467372175980974</v>
      </c>
      <c r="E19" s="1649">
        <f t="shared" si="17"/>
        <v>2.4622181546507287</v>
      </c>
      <c r="F19" s="1649">
        <f t="shared" si="17"/>
        <v>2.5871716469770671</v>
      </c>
      <c r="G19" s="1649">
        <f t="shared" si="17"/>
        <v>2.7573732747804272</v>
      </c>
      <c r="H19" s="1649">
        <f t="shared" si="17"/>
        <v>2.9905947934352013</v>
      </c>
      <c r="I19" s="1649">
        <f t="shared" si="17"/>
        <v>3.2669804216867475</v>
      </c>
      <c r="J19" s="1649">
        <f t="shared" si="17"/>
        <v>3.9401488250652741</v>
      </c>
      <c r="K19" s="1649">
        <f t="shared" si="17"/>
        <v>4.2433982494529543</v>
      </c>
      <c r="L19" s="1649">
        <f t="shared" si="17"/>
        <v>4.6619365837026931</v>
      </c>
      <c r="M19" s="1649">
        <f t="shared" si="17"/>
        <v>4.6586620689655174</v>
      </c>
      <c r="N19" s="1649">
        <f t="shared" si="17"/>
        <v>4.6523041519150299</v>
      </c>
      <c r="O19" s="1649">
        <f t="shared" si="17"/>
        <v>5.1649421729923439</v>
      </c>
      <c r="P19" s="1102">
        <f t="shared" si="17"/>
        <v>5.4080455452127669</v>
      </c>
      <c r="Q19" s="1102">
        <f t="shared" si="17"/>
        <v>5.3039986759351203</v>
      </c>
      <c r="R19" s="1102">
        <f t="shared" si="17"/>
        <v>5.1698051948051944</v>
      </c>
      <c r="S19" s="1649">
        <f t="shared" si="17"/>
        <v>5.0208631947762381</v>
      </c>
      <c r="T19" s="1649">
        <f t="shared" si="17"/>
        <v>4.59974667511083</v>
      </c>
      <c r="U19" s="1649">
        <f t="shared" si="17"/>
        <v>4.5474055092889172</v>
      </c>
      <c r="V19" s="1649">
        <f t="shared" si="17"/>
        <v>4.7587214019146522</v>
      </c>
      <c r="W19" s="1649">
        <f t="shared" si="17"/>
        <v>4.7670380078636958</v>
      </c>
      <c r="X19" s="1649">
        <f t="shared" si="17"/>
        <v>5.1314754098360655</v>
      </c>
      <c r="Y19" s="1649">
        <f t="shared" si="17"/>
        <v>5.2115539777311604</v>
      </c>
      <c r="Z19" s="1649">
        <f t="shared" si="17"/>
        <v>5.1504230648699467</v>
      </c>
      <c r="AA19" s="1649">
        <f t="shared" si="17"/>
        <v>4.819832189168574</v>
      </c>
      <c r="AB19" s="1649">
        <f t="shared" si="17"/>
        <v>4.792586872586873</v>
      </c>
      <c r="AC19" s="1649">
        <f t="shared" si="17"/>
        <v>4.7534102833158451</v>
      </c>
      <c r="AD19" s="1649">
        <f t="shared" si="17"/>
        <v>4.6641533333042453</v>
      </c>
      <c r="AE19" s="1102">
        <f>AE7/AE15</f>
        <v>4.6741232879073049</v>
      </c>
      <c r="AF19" s="1102">
        <f t="shared" ref="AF19:AH19" si="18">AF7/AF15</f>
        <v>4.6011218903082254</v>
      </c>
      <c r="AG19" s="1102">
        <f t="shared" si="18"/>
        <v>4.5201948456585734</v>
      </c>
      <c r="AH19" s="1649">
        <f t="shared" si="18"/>
        <v>4.4491123613462102</v>
      </c>
      <c r="AI19" s="1090"/>
      <c r="AJ19" s="1094">
        <f>((AB19/W19)^(1/5)-1)*100</f>
        <v>0.10696062694204311</v>
      </c>
      <c r="AK19" s="1110" t="s">
        <v>489</v>
      </c>
      <c r="AL19" s="1683">
        <f>((AH19/AB19)^(1/6)-1)*100</f>
        <v>-1.2317793127263332</v>
      </c>
      <c r="AM19" s="1091" t="s">
        <v>489</v>
      </c>
    </row>
    <row r="20" spans="1:41">
      <c r="A20" s="2033" t="s">
        <v>490</v>
      </c>
      <c r="B20" s="1650"/>
      <c r="C20" s="1650">
        <f>C19/B19-1</f>
        <v>0.15809505500070964</v>
      </c>
      <c r="D20" s="1650">
        <f>D19/C19-1</f>
        <v>7.5128935253781837E-2</v>
      </c>
      <c r="E20" s="1650">
        <f>E19/D19-1</f>
        <v>4.9209147145510723E-2</v>
      </c>
      <c r="F20" s="1650">
        <f>F19/E19-1</f>
        <v>5.0748343354678704E-2</v>
      </c>
      <c r="G20" s="1650">
        <f t="shared" ref="G20:AA20" si="19">G19/F19-1</f>
        <v>6.5786755201275193E-2</v>
      </c>
      <c r="H20" s="1650">
        <f t="shared" si="19"/>
        <v>8.4581047037726842E-2</v>
      </c>
      <c r="I20" s="1650">
        <f t="shared" si="19"/>
        <v>9.2418280423096411E-2</v>
      </c>
      <c r="J20" s="1650">
        <f>J19/I19-1</f>
        <v>0.20605216943141902</v>
      </c>
      <c r="K20" s="1650">
        <f t="shared" si="19"/>
        <v>7.6963951833128208E-2</v>
      </c>
      <c r="L20" s="1650">
        <f t="shared" si="19"/>
        <v>9.8632819651960579E-2</v>
      </c>
      <c r="M20" s="1650">
        <f t="shared" si="19"/>
        <v>-7.0239366803548364E-4</v>
      </c>
      <c r="N20" s="1650">
        <f t="shared" si="19"/>
        <v>-1.364751715485446E-3</v>
      </c>
      <c r="O20" s="1650">
        <f t="shared" si="19"/>
        <v>0.11019013468117667</v>
      </c>
      <c r="P20" s="1103">
        <f t="shared" si="19"/>
        <v>4.7067975609023982E-2</v>
      </c>
      <c r="Q20" s="1103">
        <f t="shared" si="19"/>
        <v>-1.9239273857401096E-2</v>
      </c>
      <c r="R20" s="1103">
        <f t="shared" si="19"/>
        <v>-2.5300436393164594E-2</v>
      </c>
      <c r="S20" s="1650">
        <f t="shared" si="19"/>
        <v>-2.8809983048997401E-2</v>
      </c>
      <c r="T20" s="1650">
        <f t="shared" si="19"/>
        <v>-8.3873330805655621E-2</v>
      </c>
      <c r="U20" s="1650">
        <f t="shared" si="19"/>
        <v>-1.1379140965551482E-2</v>
      </c>
      <c r="V20" s="1650">
        <f t="shared" si="19"/>
        <v>4.6469551086676386E-2</v>
      </c>
      <c r="W20" s="1650">
        <f t="shared" si="19"/>
        <v>1.7476555668287652E-3</v>
      </c>
      <c r="X20" s="1650">
        <f t="shared" si="19"/>
        <v>7.6449443317043952E-2</v>
      </c>
      <c r="Y20" s="1650">
        <f t="shared" si="19"/>
        <v>1.5605369118908641E-2</v>
      </c>
      <c r="Z20" s="1650">
        <f t="shared" si="19"/>
        <v>-1.1729881935872544E-2</v>
      </c>
      <c r="AA20" s="1650">
        <f t="shared" si="19"/>
        <v>-6.4187130171163953E-2</v>
      </c>
      <c r="AB20" s="1650">
        <f>AB19/AA19-1</f>
        <v>-5.6527521109404066E-3</v>
      </c>
      <c r="AC20" s="1650">
        <f>AC19/AB19-1</f>
        <v>-8.1744140090843631E-3</v>
      </c>
      <c r="AD20" s="1650">
        <f>AD19/AC19-1</f>
        <v>-1.877745548809151E-2</v>
      </c>
      <c r="AE20" s="1103">
        <f>AE19/AD19-1</f>
        <v>2.1375700776964379E-3</v>
      </c>
      <c r="AF20" s="1103">
        <f t="shared" ref="AF20" si="20">AF19/AE19-1</f>
        <v>-1.5618201126176068E-2</v>
      </c>
      <c r="AG20" s="1103">
        <f>AG19/AF19-1</f>
        <v>-1.7588546137001115E-2</v>
      </c>
      <c r="AH20" s="1650">
        <f>AH19/AG19-1</f>
        <v>-1.5725535455763495E-2</v>
      </c>
      <c r="AI20" s="1090"/>
      <c r="AJ20" s="1094"/>
      <c r="AK20" s="1079"/>
      <c r="AL20" s="1683"/>
      <c r="AM20" s="1091"/>
    </row>
    <row r="21" spans="1:41">
      <c r="A21" s="1651"/>
      <c r="B21" s="1651"/>
      <c r="C21" s="1651"/>
      <c r="D21" s="1651"/>
      <c r="E21" s="1651"/>
      <c r="F21" s="1651"/>
      <c r="G21" s="1651"/>
      <c r="H21" s="1651"/>
      <c r="I21" s="1651"/>
      <c r="J21" s="1651"/>
      <c r="K21" s="1651"/>
      <c r="L21" s="1651"/>
      <c r="M21" s="1651"/>
      <c r="N21" s="1651"/>
      <c r="O21" s="1651"/>
      <c r="P21" s="1069"/>
      <c r="Q21" s="1069"/>
      <c r="R21" s="1069"/>
      <c r="S21" s="1651"/>
      <c r="T21" s="1651"/>
      <c r="U21" s="1651"/>
      <c r="V21" s="1651"/>
      <c r="W21" s="1651"/>
      <c r="X21" s="1651"/>
      <c r="Y21" s="1651"/>
      <c r="Z21" s="1651"/>
      <c r="AA21" s="1651"/>
      <c r="AB21" s="1651"/>
      <c r="AC21" s="1651"/>
      <c r="AD21" s="1651"/>
      <c r="AE21" s="1069"/>
      <c r="AF21" s="1069"/>
      <c r="AG21" s="1069"/>
      <c r="AH21" s="1651"/>
      <c r="AI21" s="1090"/>
      <c r="AJ21" s="1094"/>
      <c r="AK21" s="1079"/>
      <c r="AL21" s="1683"/>
      <c r="AM21" s="1091"/>
    </row>
    <row r="22" spans="1:41">
      <c r="A22" s="2033" t="s">
        <v>502</v>
      </c>
      <c r="B22" s="1652">
        <f>+(B25+4.0566)/2</f>
        <v>4.4094499999999996</v>
      </c>
      <c r="C22" s="1652">
        <f>+(C25+B25)/2</f>
        <v>5.2003500000000003</v>
      </c>
      <c r="D22" s="1652">
        <f>+(D25+C25)/2</f>
        <v>6.0738000000000003</v>
      </c>
      <c r="E22" s="1652">
        <f>+(E25+D25)/2</f>
        <v>7.0277500000000002</v>
      </c>
      <c r="F22" s="1652">
        <f>+(F25+E25)/2</f>
        <v>8.3560835000000004</v>
      </c>
      <c r="G22" s="1652">
        <f t="shared" ref="G22:Z22" si="21">+(G25+F25)/2</f>
        <v>10.133015500000001</v>
      </c>
      <c r="H22" s="1652">
        <f t="shared" si="21"/>
        <v>11.872586000000002</v>
      </c>
      <c r="I22" s="1652">
        <f t="shared" si="21"/>
        <v>13.978854000000002</v>
      </c>
      <c r="J22" s="1652">
        <f>+(J25+I25)/2</f>
        <v>17.034850000000002</v>
      </c>
      <c r="K22" s="1652">
        <f t="shared" si="21"/>
        <v>21.367550000000001</v>
      </c>
      <c r="L22" s="1652">
        <f t="shared" si="21"/>
        <v>27.6757685</v>
      </c>
      <c r="M22" s="1652">
        <f t="shared" si="21"/>
        <v>33.8534145</v>
      </c>
      <c r="N22" s="1652">
        <f t="shared" si="21"/>
        <v>36.792456000000001</v>
      </c>
      <c r="O22" s="1652">
        <f t="shared" si="21"/>
        <v>36.884861999999998</v>
      </c>
      <c r="P22" s="1104">
        <f t="shared" si="21"/>
        <v>36.559101999999996</v>
      </c>
      <c r="Q22" s="1104">
        <f t="shared" si="21"/>
        <v>37.150000000000006</v>
      </c>
      <c r="R22" s="1104">
        <f>+(R25+Q25)/2</f>
        <v>38.200000000000003</v>
      </c>
      <c r="S22" s="1652">
        <f t="shared" si="21"/>
        <v>39.150000000000006</v>
      </c>
      <c r="T22" s="1652">
        <f t="shared" si="21"/>
        <v>39.550000000000004</v>
      </c>
      <c r="U22" s="1652">
        <f t="shared" si="21"/>
        <v>39.150000000000006</v>
      </c>
      <c r="V22" s="1652">
        <f t="shared" si="21"/>
        <v>38.5</v>
      </c>
      <c r="W22" s="1652">
        <f t="shared" si="21"/>
        <v>37.700000000000003</v>
      </c>
      <c r="X22" s="1652">
        <f t="shared" si="21"/>
        <v>37.049999999999997</v>
      </c>
      <c r="Y22" s="1652">
        <f>AVERAGE(X25:Y25)</f>
        <v>37.049999999999997</v>
      </c>
      <c r="Z22" s="1652">
        <f t="shared" si="21"/>
        <v>37.650000000000006</v>
      </c>
      <c r="AA22" s="1652">
        <f>+(AA25+Z25)/2</f>
        <v>38</v>
      </c>
      <c r="AB22" s="1652">
        <f>+(AB25+AA25)/2</f>
        <v>37.299999999999997</v>
      </c>
      <c r="AC22" s="1652">
        <f>+(AC25+AB25)/2</f>
        <v>36.549999999999997</v>
      </c>
      <c r="AD22" s="1652">
        <f>+(AD25+AC25)/2</f>
        <v>35.952999999999996</v>
      </c>
      <c r="AE22" s="1652">
        <f>+(AE25+AD25)/2</f>
        <v>35.569999999999993</v>
      </c>
      <c r="AF22" s="1652">
        <f t="shared" ref="AF22" si="22">+(AF25+AE25)/2</f>
        <v>35.743999999999993</v>
      </c>
      <c r="AG22" s="1652">
        <f>+(AG25+AF25)/2</f>
        <v>35.983999999999995</v>
      </c>
      <c r="AH22" s="1652">
        <f>+(AH25+AG25)/2</f>
        <v>36.177999999999997</v>
      </c>
      <c r="AI22" s="1090"/>
      <c r="AJ22" s="1094">
        <f>((AB22/W22)^(1/5)-1)*100</f>
        <v>-0.21310795794874382</v>
      </c>
      <c r="AK22" s="1110" t="s">
        <v>489</v>
      </c>
      <c r="AL22" s="1683">
        <f>((AH22/AB22)^(1/6)-1)*100</f>
        <v>-0.50774206622899998</v>
      </c>
      <c r="AM22" s="1091" t="s">
        <v>489</v>
      </c>
    </row>
    <row r="23" spans="1:41">
      <c r="A23" s="2042" t="s">
        <v>388</v>
      </c>
      <c r="B23" s="1648"/>
      <c r="C23" s="1648">
        <f>C22/B22-1</f>
        <v>0.1793647733844359</v>
      </c>
      <c r="D23" s="1648">
        <f>D22/C22-1</f>
        <v>0.16795984885632698</v>
      </c>
      <c r="E23" s="1648">
        <f>E22/D22-1</f>
        <v>0.15705983074846053</v>
      </c>
      <c r="F23" s="1648">
        <f>F22/E22-1</f>
        <v>0.18901262850841305</v>
      </c>
      <c r="G23" s="1648">
        <f t="shared" ref="G23:AF23" si="23">G22/F22-1</f>
        <v>0.2126512977042414</v>
      </c>
      <c r="H23" s="1648">
        <f t="shared" si="23"/>
        <v>0.17167352601010033</v>
      </c>
      <c r="I23" s="1648">
        <f t="shared" si="23"/>
        <v>0.17740600068089618</v>
      </c>
      <c r="J23" s="1648">
        <f>J22/I22-1</f>
        <v>0.21861563186796285</v>
      </c>
      <c r="K23" s="1648">
        <f t="shared" si="23"/>
        <v>0.25434330211302125</v>
      </c>
      <c r="L23" s="1648">
        <f t="shared" si="23"/>
        <v>0.29522423019953137</v>
      </c>
      <c r="M23" s="1648">
        <f t="shared" si="23"/>
        <v>0.22321497594547379</v>
      </c>
      <c r="N23" s="1648">
        <f t="shared" si="23"/>
        <v>8.6816693187625082E-2</v>
      </c>
      <c r="O23" s="1648">
        <f t="shared" si="23"/>
        <v>2.5115474759280776E-3</v>
      </c>
      <c r="P23" s="1089">
        <f t="shared" si="23"/>
        <v>-8.831807477007847E-3</v>
      </c>
      <c r="Q23" s="1089">
        <f t="shared" si="23"/>
        <v>1.6162814940039016E-2</v>
      </c>
      <c r="R23" s="1089">
        <f t="shared" si="23"/>
        <v>2.826379542395685E-2</v>
      </c>
      <c r="S23" s="1648">
        <f t="shared" si="23"/>
        <v>2.486910994764413E-2</v>
      </c>
      <c r="T23" s="1648">
        <f t="shared" si="23"/>
        <v>1.0217113665389466E-2</v>
      </c>
      <c r="U23" s="1648">
        <f t="shared" si="23"/>
        <v>-1.0113780025284402E-2</v>
      </c>
      <c r="V23" s="1648">
        <f t="shared" si="23"/>
        <v>-1.6602809706258159E-2</v>
      </c>
      <c r="W23" s="1648">
        <f t="shared" si="23"/>
        <v>-2.0779220779220675E-2</v>
      </c>
      <c r="X23" s="1648">
        <f t="shared" si="23"/>
        <v>-1.7241379310344973E-2</v>
      </c>
      <c r="Y23" s="1648">
        <f t="shared" si="23"/>
        <v>0</v>
      </c>
      <c r="Z23" s="1648">
        <f t="shared" si="23"/>
        <v>1.6194331983805821E-2</v>
      </c>
      <c r="AA23" s="1648">
        <f t="shared" si="23"/>
        <v>9.2961487383795838E-3</v>
      </c>
      <c r="AB23" s="1648">
        <f t="shared" si="23"/>
        <v>-1.8421052631579005E-2</v>
      </c>
      <c r="AC23" s="1648">
        <f>AC22/AB22-1</f>
        <v>-2.0107238605898137E-2</v>
      </c>
      <c r="AD23" s="1648">
        <f t="shared" si="23"/>
        <v>-1.6333789329685433E-2</v>
      </c>
      <c r="AE23" s="1089">
        <f t="shared" si="23"/>
        <v>-1.065279670681174E-2</v>
      </c>
      <c r="AF23" s="1089">
        <f t="shared" si="23"/>
        <v>4.8917627213944659E-3</v>
      </c>
      <c r="AG23" s="1089">
        <f>AG22/AF22-1</f>
        <v>6.7144136078782779E-3</v>
      </c>
      <c r="AH23" s="1648">
        <f>AH22/AG22-1</f>
        <v>5.3912850155626302E-3</v>
      </c>
      <c r="AI23" s="1090"/>
      <c r="AJ23" s="1094"/>
      <c r="AK23" s="1079"/>
      <c r="AL23" s="1683"/>
      <c r="AM23" s="1091"/>
    </row>
    <row r="24" spans="1:41">
      <c r="A24" s="2033"/>
      <c r="B24" s="1648"/>
      <c r="C24" s="1648"/>
      <c r="D24" s="1648"/>
      <c r="E24" s="1648"/>
      <c r="F24" s="1648"/>
      <c r="G24" s="1648"/>
      <c r="H24" s="1648"/>
      <c r="I24" s="1648"/>
      <c r="J24" s="1648"/>
      <c r="K24" s="1648"/>
      <c r="L24" s="1652"/>
      <c r="M24" s="1648"/>
      <c r="N24" s="1648"/>
      <c r="O24" s="1648"/>
      <c r="P24" s="1089"/>
      <c r="Q24" s="1089"/>
      <c r="R24" s="1089"/>
      <c r="S24" s="1648"/>
      <c r="T24" s="1648"/>
      <c r="U24" s="1648"/>
      <c r="V24" s="1651"/>
      <c r="W24" s="1648"/>
      <c r="X24" s="1648"/>
      <c r="Y24" s="1648"/>
      <c r="Z24" s="1648"/>
      <c r="AA24" s="1648"/>
      <c r="AB24" s="1648"/>
      <c r="AC24" s="1648"/>
      <c r="AD24" s="1648"/>
      <c r="AE24" s="1089"/>
      <c r="AF24" s="1089"/>
      <c r="AG24" s="1089"/>
      <c r="AH24" s="1648"/>
      <c r="AI24" s="1090"/>
      <c r="AJ24" s="1094"/>
      <c r="AK24" s="1079"/>
      <c r="AL24" s="1683"/>
      <c r="AM24" s="1091"/>
    </row>
    <row r="25" spans="1:41">
      <c r="A25" s="2033" t="s">
        <v>503</v>
      </c>
      <c r="B25" s="1652">
        <v>4.7622999999999998</v>
      </c>
      <c r="C25" s="1652">
        <v>5.6383999999999999</v>
      </c>
      <c r="D25" s="1652">
        <v>6.5091999999999999</v>
      </c>
      <c r="E25" s="1652">
        <v>7.5463000000000005</v>
      </c>
      <c r="F25" s="1652">
        <v>9.1658670000000004</v>
      </c>
      <c r="G25" s="1652">
        <v>11.100164000000001</v>
      </c>
      <c r="H25" s="1652">
        <v>12.645008000000001</v>
      </c>
      <c r="I25" s="1652">
        <v>15.312700000000001</v>
      </c>
      <c r="J25" s="1652">
        <v>18.757000000000001</v>
      </c>
      <c r="K25" s="1652">
        <v>23.978099999999998</v>
      </c>
      <c r="L25" s="2043">
        <v>31.373437000000003</v>
      </c>
      <c r="M25" s="1652">
        <v>36.333391999999996</v>
      </c>
      <c r="N25" s="1652">
        <v>37.251519999999999</v>
      </c>
      <c r="O25" s="1652">
        <v>36.518203999999997</v>
      </c>
      <c r="P25" s="1104">
        <f>'Store New'!E172</f>
        <v>36.6</v>
      </c>
      <c r="Q25" s="1104">
        <f>'Store New'!I172</f>
        <v>37.700000000000003</v>
      </c>
      <c r="R25" s="1104">
        <f>'Store New'!M172</f>
        <v>38.700000000000003</v>
      </c>
      <c r="S25" s="1652">
        <f>'Store New'!Q172</f>
        <v>39.6</v>
      </c>
      <c r="T25" s="1652">
        <f>'Store New'!U172</f>
        <v>39.500000000000007</v>
      </c>
      <c r="U25" s="1652">
        <f>'Store New'!Y172</f>
        <v>38.800000000000004</v>
      </c>
      <c r="V25" s="1652">
        <f>'Store New'!AC172</f>
        <v>38.200000000000003</v>
      </c>
      <c r="W25" s="1652">
        <f>'Store New'!AG172</f>
        <v>37.200000000000003</v>
      </c>
      <c r="X25" s="1652">
        <f>'Store New'!AK172</f>
        <v>36.9</v>
      </c>
      <c r="Y25" s="1652">
        <f>'Store New'!AO172</f>
        <v>37.200000000000003</v>
      </c>
      <c r="Z25" s="1652">
        <f>'Store New'!AS172</f>
        <v>38.1</v>
      </c>
      <c r="AA25" s="1652">
        <f>'Store New'!AW172</f>
        <v>37.9</v>
      </c>
      <c r="AB25" s="1652">
        <f>'Store New'!BA172</f>
        <v>36.700000000000003</v>
      </c>
      <c r="AC25" s="1652">
        <f>'Store New'!BE172</f>
        <v>36.4</v>
      </c>
      <c r="AD25" s="1652">
        <f>'Store New'!BI172</f>
        <v>35.505999999999993</v>
      </c>
      <c r="AE25" s="1652">
        <f>+AE60+AE100+AE139+AE177</f>
        <v>35.633999999999993</v>
      </c>
      <c r="AF25" s="1652">
        <f>+AF60+AF100+AF139+AF177</f>
        <v>35.853999999999992</v>
      </c>
      <c r="AG25" s="1652">
        <f>+AG60+AG100+AG139+AG177</f>
        <v>36.113999999999997</v>
      </c>
      <c r="AH25" s="1652">
        <f>+AH60+AH100+AH139+AH177</f>
        <v>36.24199999999999</v>
      </c>
      <c r="AI25" s="1090"/>
      <c r="AJ25" s="1094">
        <f>((AB25/W25)^(1/5)-1)*100</f>
        <v>-0.2702742241523004</v>
      </c>
      <c r="AK25" s="1110" t="s">
        <v>489</v>
      </c>
      <c r="AL25" s="1683">
        <f>((AH25/AB25)^(1/6)-1)*100</f>
        <v>-0.20908258006582248</v>
      </c>
      <c r="AM25" s="1091" t="s">
        <v>489</v>
      </c>
    </row>
    <row r="26" spans="1:41">
      <c r="A26" s="2033" t="s">
        <v>490</v>
      </c>
      <c r="B26" s="1648">
        <f>+B25/4.0566-1</f>
        <v>0.17396341764038836</v>
      </c>
      <c r="C26" s="1648">
        <f>C25/B25-1</f>
        <v>0.18396573084433987</v>
      </c>
      <c r="D26" s="1648">
        <f>D25/C25-1</f>
        <v>0.15444097616345065</v>
      </c>
      <c r="E26" s="1648">
        <f>E25/D25-1</f>
        <v>0.15932833527929713</v>
      </c>
      <c r="F26" s="1648">
        <f>F25/E25-1</f>
        <v>0.21461736215098792</v>
      </c>
      <c r="G26" s="1648">
        <f t="shared" ref="G26:AA26" si="24">G25/F25-1</f>
        <v>0.21103262790088495</v>
      </c>
      <c r="H26" s="1648">
        <f t="shared" si="24"/>
        <v>0.1391730788842398</v>
      </c>
      <c r="I26" s="1648">
        <f t="shared" si="24"/>
        <v>0.21096799622428075</v>
      </c>
      <c r="J26" s="1648">
        <f>J25/I25-1</f>
        <v>0.22493093967752253</v>
      </c>
      <c r="K26" s="1648">
        <f t="shared" si="24"/>
        <v>0.27835474756091028</v>
      </c>
      <c r="L26" s="1648">
        <f t="shared" si="24"/>
        <v>0.30842047535042427</v>
      </c>
      <c r="M26" s="1648">
        <f t="shared" si="24"/>
        <v>0.15809409087056658</v>
      </c>
      <c r="N26" s="1648">
        <f t="shared" si="24"/>
        <v>2.5269537179462898E-2</v>
      </c>
      <c r="O26" s="1648">
        <f t="shared" si="24"/>
        <v>-1.9685532295058095E-2</v>
      </c>
      <c r="P26" s="1089">
        <f t="shared" si="24"/>
        <v>2.2398691896239331E-3</v>
      </c>
      <c r="Q26" s="1089">
        <f t="shared" si="24"/>
        <v>3.0054644808743314E-2</v>
      </c>
      <c r="R26" s="1089">
        <f t="shared" si="24"/>
        <v>2.6525198938992078E-2</v>
      </c>
      <c r="S26" s="1648">
        <f t="shared" si="24"/>
        <v>2.3255813953488413E-2</v>
      </c>
      <c r="T26" s="1648">
        <f t="shared" si="24"/>
        <v>-2.525252525252375E-3</v>
      </c>
      <c r="U26" s="1648">
        <f t="shared" si="24"/>
        <v>-1.7721518987341867E-2</v>
      </c>
      <c r="V26" s="1648">
        <f t="shared" si="24"/>
        <v>-1.5463917525773252E-2</v>
      </c>
      <c r="W26" s="1648">
        <f t="shared" si="24"/>
        <v>-2.6178010471204161E-2</v>
      </c>
      <c r="X26" s="1648">
        <f t="shared" si="24"/>
        <v>-8.0645161290323619E-3</v>
      </c>
      <c r="Y26" s="1648">
        <f t="shared" si="24"/>
        <v>8.1300813008131634E-3</v>
      </c>
      <c r="Z26" s="1648">
        <f t="shared" si="24"/>
        <v>2.4193548387096753E-2</v>
      </c>
      <c r="AA26" s="1648">
        <f t="shared" si="24"/>
        <v>-5.2493438320210251E-3</v>
      </c>
      <c r="AB26" s="1648">
        <f>AB25/AA25-1</f>
        <v>-3.166226912928749E-2</v>
      </c>
      <c r="AC26" s="1648">
        <f>AC25/AB25-1</f>
        <v>-8.1743869209810471E-3</v>
      </c>
      <c r="AD26" s="1648">
        <f>AD25/AC25-1</f>
        <v>-2.456043956043974E-2</v>
      </c>
      <c r="AE26" s="1089">
        <f>AE25/AD25-1</f>
        <v>3.6050245029008998E-3</v>
      </c>
      <c r="AF26" s="1089">
        <f t="shared" ref="AF26" si="25">AF25/AE25-1</f>
        <v>6.1738788797216504E-3</v>
      </c>
      <c r="AG26" s="1089">
        <f>AG25/AF25-1</f>
        <v>7.2516316171140627E-3</v>
      </c>
      <c r="AH26" s="1648">
        <f>AH25/AG25-1</f>
        <v>3.5443318380681266E-3</v>
      </c>
      <c r="AI26" s="1090"/>
      <c r="AJ26" s="1094"/>
      <c r="AK26" s="1079"/>
      <c r="AL26" s="1683"/>
      <c r="AM26" s="1091"/>
    </row>
    <row r="27" spans="1:41" hidden="1" outlineLevel="1">
      <c r="A27" s="2033" t="s">
        <v>98</v>
      </c>
      <c r="B27" s="1648"/>
      <c r="C27" s="1648"/>
      <c r="D27" s="1648"/>
      <c r="E27" s="1648"/>
      <c r="F27" s="1648"/>
      <c r="G27" s="1652"/>
      <c r="H27" s="1652"/>
      <c r="I27" s="1652"/>
      <c r="J27" s="1674"/>
      <c r="K27" s="1674">
        <f t="shared" ref="K27:R27" si="26">+K216+K258+K100+K139</f>
        <v>24</v>
      </c>
      <c r="L27" s="1674">
        <f t="shared" si="26"/>
        <v>31.4</v>
      </c>
      <c r="M27" s="1674">
        <f t="shared" si="26"/>
        <v>36.299999999999997</v>
      </c>
      <c r="N27" s="1674">
        <f t="shared" si="26"/>
        <v>37.299999999999997</v>
      </c>
      <c r="O27" s="1674">
        <f t="shared" si="26"/>
        <v>36.518203999999997</v>
      </c>
      <c r="P27" s="1105">
        <f t="shared" si="26"/>
        <v>36.6</v>
      </c>
      <c r="Q27" s="1105">
        <f t="shared" si="26"/>
        <v>37.700000000000003</v>
      </c>
      <c r="R27" s="1105">
        <f t="shared" si="26"/>
        <v>38.900000000000006</v>
      </c>
      <c r="S27" s="1674"/>
      <c r="T27" s="1674"/>
      <c r="U27" s="1674"/>
      <c r="V27" s="1674"/>
      <c r="W27" s="1674"/>
      <c r="X27" s="1674"/>
      <c r="Y27" s="1674"/>
      <c r="Z27" s="1674"/>
      <c r="AA27" s="1674"/>
      <c r="AB27" s="1674"/>
      <c r="AC27" s="1674"/>
      <c r="AD27" s="1674"/>
      <c r="AE27" s="1105"/>
      <c r="AF27" s="1105"/>
      <c r="AG27" s="1105"/>
      <c r="AH27" s="1674"/>
      <c r="AI27" s="1090"/>
      <c r="AJ27" s="1094"/>
      <c r="AK27" s="1079"/>
      <c r="AL27" s="1683"/>
      <c r="AM27" s="1091"/>
    </row>
    <row r="28" spans="1:41" collapsed="1">
      <c r="A28" s="1651"/>
      <c r="B28" s="1651"/>
      <c r="C28" s="1651"/>
      <c r="D28" s="1651"/>
      <c r="E28" s="1651"/>
      <c r="F28" s="1651"/>
      <c r="G28" s="1651"/>
      <c r="H28" s="1651"/>
      <c r="I28" s="1651"/>
      <c r="J28" s="1651"/>
      <c r="K28" s="1651"/>
      <c r="L28" s="1648"/>
      <c r="M28" s="1651"/>
      <c r="N28" s="1651"/>
      <c r="O28" s="1651"/>
      <c r="P28" s="1069"/>
      <c r="Q28" s="1069"/>
      <c r="R28" s="1069"/>
      <c r="S28" s="1677"/>
      <c r="T28" s="1651"/>
      <c r="U28" s="1651"/>
      <c r="V28" s="1651"/>
      <c r="W28" s="1651"/>
      <c r="X28" s="1651"/>
      <c r="Y28" s="1651"/>
      <c r="Z28" s="1651"/>
      <c r="AA28" s="1651"/>
      <c r="AB28" s="1651"/>
      <c r="AC28" s="1651"/>
      <c r="AD28" s="1651"/>
      <c r="AE28" s="1069"/>
      <c r="AF28" s="1069"/>
      <c r="AG28" s="1069"/>
      <c r="AH28" s="1651"/>
      <c r="AI28" s="1090"/>
      <c r="AJ28" s="1094"/>
      <c r="AK28" s="1110"/>
      <c r="AL28" s="1683"/>
      <c r="AM28" s="1091"/>
    </row>
    <row r="29" spans="1:41">
      <c r="A29" s="2033" t="s">
        <v>504</v>
      </c>
      <c r="B29" s="1647">
        <f t="shared" ref="B29:AD29" si="27">B25/B14*1000000</f>
        <v>4361.0805860805858</v>
      </c>
      <c r="C29" s="1647">
        <f t="shared" si="27"/>
        <v>4636.8421052631584</v>
      </c>
      <c r="D29" s="1647">
        <f t="shared" si="27"/>
        <v>4980.260137719969</v>
      </c>
      <c r="E29" s="1647">
        <f t="shared" si="27"/>
        <v>5508.2481751824816</v>
      </c>
      <c r="F29" s="1647">
        <f t="shared" si="27"/>
        <v>6078.1611405835547</v>
      </c>
      <c r="G29" s="1647">
        <f t="shared" si="27"/>
        <v>6607.2404761904772</v>
      </c>
      <c r="H29" s="1647">
        <f t="shared" si="27"/>
        <v>6820.3926645091697</v>
      </c>
      <c r="I29" s="1647">
        <f t="shared" si="27"/>
        <v>7189.0610328638504</v>
      </c>
      <c r="J29" s="1647">
        <f t="shared" si="27"/>
        <v>7606.2449310624497</v>
      </c>
      <c r="K29" s="1647">
        <f t="shared" si="27"/>
        <v>7945.0298210735573</v>
      </c>
      <c r="L29" s="1647">
        <f t="shared" si="27"/>
        <v>11015.95400280899</v>
      </c>
      <c r="M29" s="1647">
        <f t="shared" si="27"/>
        <v>11731.802389409106</v>
      </c>
      <c r="N29" s="1647">
        <f t="shared" si="27"/>
        <v>11951.081167789542</v>
      </c>
      <c r="O29" s="1647">
        <f t="shared" si="27"/>
        <v>12084.117802779616</v>
      </c>
      <c r="P29" s="1107">
        <f t="shared" si="27"/>
        <v>12224.448897795592</v>
      </c>
      <c r="Q29" s="1107">
        <f t="shared" si="27"/>
        <v>12368.766404199476</v>
      </c>
      <c r="R29" s="1107">
        <f t="shared" si="27"/>
        <v>12435.732647814912</v>
      </c>
      <c r="S29" s="1647">
        <f t="shared" si="27"/>
        <v>12503.946952952321</v>
      </c>
      <c r="T29" s="1647">
        <f t="shared" si="27"/>
        <v>12543.664655446177</v>
      </c>
      <c r="U29" s="1647">
        <f t="shared" si="27"/>
        <v>12536.348949919226</v>
      </c>
      <c r="V29" s="1647">
        <f t="shared" si="27"/>
        <v>12451.108213820078</v>
      </c>
      <c r="W29" s="1647">
        <f t="shared" si="27"/>
        <v>12252.96442687747</v>
      </c>
      <c r="X29" s="1647">
        <f t="shared" si="27"/>
        <v>12043.08093994778</v>
      </c>
      <c r="Y29" s="1647">
        <f t="shared" si="27"/>
        <v>11873.60357484839</v>
      </c>
      <c r="Z29" s="1647">
        <f t="shared" si="27"/>
        <v>11726.685133887349</v>
      </c>
      <c r="AA29" s="1647">
        <f t="shared" si="27"/>
        <v>11572.519083969464</v>
      </c>
      <c r="AB29" s="1647">
        <f>AB25/AB14*1000000</f>
        <v>11468.750000000002</v>
      </c>
      <c r="AC29" s="1647">
        <f t="shared" si="27"/>
        <v>10486.891385767789</v>
      </c>
      <c r="AD29" s="1647">
        <f t="shared" si="27"/>
        <v>10464.485705865014</v>
      </c>
      <c r="AE29" s="1107">
        <f>AE25/AE14*1000000</f>
        <v>10410.166520595965</v>
      </c>
      <c r="AF29" s="1107">
        <f t="shared" ref="AF29:AH29" si="28">AF25/AF14*1000000</f>
        <v>10338.523644752016</v>
      </c>
      <c r="AG29" s="1107">
        <f t="shared" si="28"/>
        <v>10265.49175667993</v>
      </c>
      <c r="AH29" s="1647">
        <f t="shared" si="28"/>
        <v>10214.76888387824</v>
      </c>
      <c r="AI29" s="1100"/>
      <c r="AJ29" s="1094">
        <f>((AB29/W29)^(1/5)-1)*100</f>
        <v>-1.3141280664247135</v>
      </c>
      <c r="AK29" s="1110" t="s">
        <v>489</v>
      </c>
      <c r="AL29" s="1683">
        <f>((AH29/AB29)^(1/6)-1)*100</f>
        <v>-1.911353206644717</v>
      </c>
      <c r="AM29" s="1091" t="s">
        <v>489</v>
      </c>
    </row>
    <row r="30" spans="1:41">
      <c r="A30" s="2033" t="s">
        <v>490</v>
      </c>
      <c r="B30" s="1650"/>
      <c r="C30" s="1650">
        <f>C29/B29-1</f>
        <v>6.3232383291134342E-2</v>
      </c>
      <c r="D30" s="1650">
        <f>D29/C29-1</f>
        <v>7.4062912788642521E-2</v>
      </c>
      <c r="E30" s="1650">
        <f>E29/D29-1</f>
        <v>0.10601615635769446</v>
      </c>
      <c r="F30" s="1650">
        <f>F29/E29-1</f>
        <v>0.10346537542894807</v>
      </c>
      <c r="G30" s="1650">
        <f t="shared" ref="G30:AA30" si="29">G29/F29-1</f>
        <v>8.704595409198479E-2</v>
      </c>
      <c r="H30" s="1650">
        <f t="shared" si="29"/>
        <v>3.2260395105460082E-2</v>
      </c>
      <c r="I30" s="1650">
        <f t="shared" si="29"/>
        <v>5.4053833333247203E-2</v>
      </c>
      <c r="J30" s="1650">
        <f>J29/I29-1</f>
        <v>5.8030373687397718E-2</v>
      </c>
      <c r="K30" s="1650">
        <f t="shared" si="29"/>
        <v>4.4540360333069851E-2</v>
      </c>
      <c r="L30" s="1650">
        <f t="shared" si="29"/>
        <v>0.3865214166459201</v>
      </c>
      <c r="M30" s="1650">
        <f t="shared" si="29"/>
        <v>6.4982877235832515E-2</v>
      </c>
      <c r="N30" s="1650">
        <f t="shared" si="29"/>
        <v>1.8690971012125912E-2</v>
      </c>
      <c r="O30" s="1650">
        <f t="shared" si="29"/>
        <v>1.1131765663899396E-2</v>
      </c>
      <c r="P30" s="1103">
        <f t="shared" si="29"/>
        <v>1.161285393822431E-2</v>
      </c>
      <c r="Q30" s="1103">
        <f t="shared" si="29"/>
        <v>1.1805645195989811E-2</v>
      </c>
      <c r="R30" s="1103">
        <f t="shared" si="29"/>
        <v>5.4141408631258603E-3</v>
      </c>
      <c r="S30" s="1650">
        <f t="shared" si="29"/>
        <v>5.4853467076902973E-3</v>
      </c>
      <c r="T30" s="1650">
        <f t="shared" si="29"/>
        <v>3.1764132272231738E-3</v>
      </c>
      <c r="U30" s="1650">
        <f t="shared" si="29"/>
        <v>-5.8321915707260086E-4</v>
      </c>
      <c r="V30" s="1650">
        <f t="shared" si="29"/>
        <v>-6.7994865522387204E-3</v>
      </c>
      <c r="W30" s="1650">
        <f t="shared" si="29"/>
        <v>-1.5913747076961249E-2</v>
      </c>
      <c r="X30" s="1650">
        <f t="shared" si="29"/>
        <v>-1.712920070748758E-2</v>
      </c>
      <c r="Y30" s="1650">
        <f t="shared" si="29"/>
        <v>-1.4072592050529353E-2</v>
      </c>
      <c r="Z30" s="1650">
        <f t="shared" si="29"/>
        <v>-1.2373534288466104E-2</v>
      </c>
      <c r="AA30" s="1650">
        <f t="shared" si="29"/>
        <v>-1.3146600949690557E-2</v>
      </c>
      <c r="AB30" s="1650">
        <f>AB29/AA29-1</f>
        <v>-8.9668535620049949E-3</v>
      </c>
      <c r="AC30" s="1650">
        <f>AC29/AB29-1</f>
        <v>-8.5611650287277352E-2</v>
      </c>
      <c r="AD30" s="1650">
        <f>AD29/AC29-1</f>
        <v>-2.136541619300325E-3</v>
      </c>
      <c r="AE30" s="1103">
        <f>AE29/AD29-1</f>
        <v>-5.1908126969493207E-3</v>
      </c>
      <c r="AF30" s="1103">
        <f t="shared" ref="AF30" si="30">AF29/AE29-1</f>
        <v>-6.882010552108575E-3</v>
      </c>
      <c r="AG30" s="1103">
        <f>AG29/AF29-1</f>
        <v>-7.0640538805710751E-3</v>
      </c>
      <c r="AH30" s="1650">
        <f>AH29/AG29-1</f>
        <v>-4.9411050151284552E-3</v>
      </c>
      <c r="AI30" s="1090"/>
      <c r="AJ30" s="1094"/>
      <c r="AK30" s="1079"/>
      <c r="AL30" s="1683"/>
      <c r="AM30" s="1091"/>
    </row>
    <row r="31" spans="1:41">
      <c r="A31" s="1651"/>
      <c r="B31" s="1651"/>
      <c r="C31" s="1651"/>
      <c r="D31" s="1651"/>
      <c r="E31" s="1651"/>
      <c r="F31" s="1651"/>
      <c r="G31" s="1651"/>
      <c r="H31" s="1651"/>
      <c r="I31" s="1651"/>
      <c r="J31" s="1651"/>
      <c r="K31" s="1651"/>
      <c r="L31" s="1651"/>
      <c r="M31" s="1651"/>
      <c r="N31" s="1651"/>
      <c r="O31" s="1651"/>
      <c r="P31" s="1069"/>
      <c r="Q31" s="1069"/>
      <c r="R31" s="1069"/>
      <c r="S31" s="1651"/>
      <c r="T31" s="1651"/>
      <c r="U31" s="1651"/>
      <c r="V31" s="1651"/>
      <c r="W31" s="1651"/>
      <c r="X31" s="1651"/>
      <c r="Y31" s="1651"/>
      <c r="Z31" s="1651"/>
      <c r="AA31" s="1651"/>
      <c r="AB31" s="1651"/>
      <c r="AC31" s="1651"/>
      <c r="AD31" s="1651"/>
      <c r="AE31" s="1069"/>
      <c r="AF31" s="1069"/>
      <c r="AG31" s="1069"/>
      <c r="AH31" s="1651"/>
      <c r="AI31" s="1090"/>
      <c r="AJ31" s="1094"/>
      <c r="AK31" s="1079"/>
      <c r="AL31" s="1683"/>
      <c r="AM31" s="1091"/>
    </row>
    <row r="32" spans="1:41">
      <c r="A32" s="2033" t="s">
        <v>505</v>
      </c>
      <c r="B32" s="2044">
        <f t="shared" ref="B32:P32" si="31">B7/(B22)</f>
        <v>438.55356110172477</v>
      </c>
      <c r="C32" s="2044">
        <f t="shared" si="31"/>
        <v>484.3698981799302</v>
      </c>
      <c r="D32" s="2044">
        <f t="shared" si="31"/>
        <v>487.40640126444731</v>
      </c>
      <c r="E32" s="2044">
        <f t="shared" si="31"/>
        <v>468.95222510760914</v>
      </c>
      <c r="F32" s="2044">
        <f t="shared" si="31"/>
        <v>445.53647650840247</v>
      </c>
      <c r="G32" s="2044">
        <f t="shared" si="31"/>
        <v>433.75567717230871</v>
      </c>
      <c r="H32" s="1640">
        <f t="shared" si="31"/>
        <v>445.09098523270325</v>
      </c>
      <c r="I32" s="1640">
        <f t="shared" si="31"/>
        <v>465.54781958521062</v>
      </c>
      <c r="J32" s="1640">
        <f t="shared" si="31"/>
        <v>531.52578390769497</v>
      </c>
      <c r="K32" s="1640">
        <f t="shared" si="31"/>
        <v>544.53589672189844</v>
      </c>
      <c r="L32" s="1640">
        <f t="shared" si="31"/>
        <v>494.05890933073817</v>
      </c>
      <c r="M32" s="1640">
        <f t="shared" si="31"/>
        <v>409.05395229778077</v>
      </c>
      <c r="N32" s="1640">
        <f t="shared" si="31"/>
        <v>392.87154410132331</v>
      </c>
      <c r="O32" s="1640">
        <f t="shared" si="31"/>
        <v>429.81833577146097</v>
      </c>
      <c r="P32" s="1093">
        <f t="shared" si="31"/>
        <v>444.96172252808628</v>
      </c>
      <c r="Q32" s="1093">
        <f t="shared" ref="Q32:AH32" si="32">(Q7-Q157)/(Q22)</f>
        <v>415.29959623149387</v>
      </c>
      <c r="R32" s="1093">
        <f t="shared" si="32"/>
        <v>397.72251308900519</v>
      </c>
      <c r="S32" s="1640">
        <f t="shared" si="32"/>
        <v>379.56577266922091</v>
      </c>
      <c r="T32" s="1640">
        <f t="shared" si="32"/>
        <v>343.18584070796459</v>
      </c>
      <c r="U32" s="1640">
        <f t="shared" si="32"/>
        <v>338.85057471264361</v>
      </c>
      <c r="V32" s="1640">
        <f t="shared" si="32"/>
        <v>353.53246753246754</v>
      </c>
      <c r="W32" s="1640">
        <f t="shared" si="32"/>
        <v>350.15915119363393</v>
      </c>
      <c r="X32" s="1640">
        <f t="shared" si="32"/>
        <v>374.73684210526318</v>
      </c>
      <c r="Y32" s="1640">
        <f t="shared" si="32"/>
        <v>374.79082321187587</v>
      </c>
      <c r="Z32" s="1640">
        <f t="shared" si="32"/>
        <v>370.03984063745014</v>
      </c>
      <c r="AA32" s="1640">
        <f t="shared" si="32"/>
        <v>349.5</v>
      </c>
      <c r="AB32" s="1640">
        <f t="shared" si="32"/>
        <v>346.00402144772124</v>
      </c>
      <c r="AC32" s="1640">
        <f t="shared" si="32"/>
        <v>358.80841313269497</v>
      </c>
      <c r="AD32" s="1640">
        <f t="shared" si="32"/>
        <v>365.19328331155037</v>
      </c>
      <c r="AE32" s="1093">
        <f t="shared" si="32"/>
        <v>362.88875552257792</v>
      </c>
      <c r="AF32" s="1093">
        <f t="shared" si="32"/>
        <v>354.76257232667007</v>
      </c>
      <c r="AG32" s="1093">
        <f t="shared" si="32"/>
        <v>346.20614449984083</v>
      </c>
      <c r="AH32" s="1640">
        <f t="shared" si="32"/>
        <v>337.80190573892645</v>
      </c>
      <c r="AI32" s="1090"/>
      <c r="AJ32" s="1094">
        <f>((AB32/W32)^(1/5)-1)*100</f>
        <v>-0.23846264812261708</v>
      </c>
      <c r="AK32" s="1110" t="s">
        <v>489</v>
      </c>
      <c r="AL32" s="1683">
        <f>((AH32/AB32)^(1/6)-1)*100</f>
        <v>-0.39904754238121454</v>
      </c>
      <c r="AM32" s="1091" t="s">
        <v>489</v>
      </c>
    </row>
    <row r="33" spans="1:45">
      <c r="A33" s="2033" t="s">
        <v>490</v>
      </c>
      <c r="B33" s="1650"/>
      <c r="C33" s="1650">
        <f>C32/B32-1</f>
        <v>0.10447147427809411</v>
      </c>
      <c r="D33" s="1650">
        <f>D32/C32-1</f>
        <v>6.2689756236444794E-3</v>
      </c>
      <c r="E33" s="1650">
        <f>E32/D32-1</f>
        <v>-3.7861989725542555E-2</v>
      </c>
      <c r="F33" s="1650">
        <f>F32/E32-1</f>
        <v>-4.9932055645611872E-2</v>
      </c>
      <c r="G33" s="1650">
        <f t="shared" ref="G33:AA33" si="33">G32/F32-1</f>
        <v>-2.6441829024680508E-2</v>
      </c>
      <c r="H33" s="1650">
        <f t="shared" si="33"/>
        <v>2.6132933024163307E-2</v>
      </c>
      <c r="I33" s="1650">
        <f t="shared" si="33"/>
        <v>4.5961017030736073E-2</v>
      </c>
      <c r="J33" s="1650">
        <f>J32/I32-1</f>
        <v>0.14172113271042441</v>
      </c>
      <c r="K33" s="1650">
        <f t="shared" si="33"/>
        <v>2.4476917598531323E-2</v>
      </c>
      <c r="L33" s="1650">
        <f t="shared" si="33"/>
        <v>-9.2697263293441856E-2</v>
      </c>
      <c r="M33" s="1650">
        <f t="shared" si="33"/>
        <v>-0.17205429439195175</v>
      </c>
      <c r="N33" s="1650">
        <f t="shared" si="33"/>
        <v>-3.9560571669228328E-2</v>
      </c>
      <c r="O33" s="1650">
        <f t="shared" si="33"/>
        <v>9.4042931397976037E-2</v>
      </c>
      <c r="P33" s="1103">
        <f t="shared" si="33"/>
        <v>3.5232063167908168E-2</v>
      </c>
      <c r="Q33" s="1103">
        <f t="shared" si="33"/>
        <v>-6.6662197656159328E-2</v>
      </c>
      <c r="R33" s="1103">
        <f t="shared" si="33"/>
        <v>-4.2323862825744185E-2</v>
      </c>
      <c r="S33" s="1650">
        <f t="shared" si="33"/>
        <v>-4.5651779374432988E-2</v>
      </c>
      <c r="T33" s="1650">
        <f t="shared" si="33"/>
        <v>-9.5846186829285696E-2</v>
      </c>
      <c r="U33" s="1650">
        <f t="shared" si="33"/>
        <v>-1.2632415097247884E-2</v>
      </c>
      <c r="V33" s="1650">
        <f t="shared" si="33"/>
        <v>4.3328516802058514E-2</v>
      </c>
      <c r="W33" s="1650">
        <f t="shared" si="33"/>
        <v>-9.5417441073465392E-3</v>
      </c>
      <c r="X33" s="1650">
        <f t="shared" si="33"/>
        <v>7.0190057372049308E-2</v>
      </c>
      <c r="Y33" s="1650">
        <f t="shared" si="33"/>
        <v>1.4405070584855295E-4</v>
      </c>
      <c r="Z33" s="1650">
        <f t="shared" si="33"/>
        <v>-1.2676357797960058E-2</v>
      </c>
      <c r="AA33" s="1650">
        <f t="shared" si="33"/>
        <v>-5.5507105943152335E-2</v>
      </c>
      <c r="AB33" s="1650">
        <f>AB32/AA32-1</f>
        <v>-1.0002799863458534E-2</v>
      </c>
      <c r="AC33" s="1650">
        <f>AC32/AB32-1</f>
        <v>3.7006482269768659E-2</v>
      </c>
      <c r="AD33" s="1650">
        <f>AD32/AC32-1</f>
        <v>1.7794650139639101E-2</v>
      </c>
      <c r="AE33" s="1103">
        <f>AE32/AD32-1</f>
        <v>-6.3104331166091709E-3</v>
      </c>
      <c r="AF33" s="1103">
        <f t="shared" ref="AF33" si="34">AF32/AE32-1</f>
        <v>-2.2393042143743824E-2</v>
      </c>
      <c r="AG33" s="1103">
        <f>AG32/AF32-1</f>
        <v>-2.4118744462565123E-2</v>
      </c>
      <c r="AH33" s="1650">
        <f>AH32/AG32-1</f>
        <v>-2.4275244372268023E-2</v>
      </c>
      <c r="AI33" s="1090"/>
      <c r="AJ33" s="1094"/>
      <c r="AK33" s="1079"/>
      <c r="AL33" s="1683"/>
      <c r="AM33" s="1091"/>
    </row>
    <row r="34" spans="1:45" ht="11.25" customHeight="1">
      <c r="A34" s="1651"/>
      <c r="B34" s="1651"/>
      <c r="C34" s="1651"/>
      <c r="D34" s="1651"/>
      <c r="E34" s="1651"/>
      <c r="F34" s="1651"/>
      <c r="G34" s="1651"/>
      <c r="H34" s="1651"/>
      <c r="I34" s="1651"/>
      <c r="J34" s="1651"/>
      <c r="K34" s="1651"/>
      <c r="L34" s="1651"/>
      <c r="M34" s="1651"/>
      <c r="N34" s="1651"/>
      <c r="O34" s="1651"/>
      <c r="P34" s="1069"/>
      <c r="Q34" s="1069"/>
      <c r="R34" s="1069"/>
      <c r="S34" s="1651"/>
      <c r="T34" s="1651"/>
      <c r="U34" s="1651"/>
      <c r="V34" s="1651"/>
      <c r="W34" s="1651"/>
      <c r="X34" s="1651"/>
      <c r="Y34" s="1651"/>
      <c r="Z34" s="1651"/>
      <c r="AA34" s="1651"/>
      <c r="AB34" s="1651"/>
      <c r="AC34" s="1651"/>
      <c r="AD34" s="1651"/>
      <c r="AE34" s="1069"/>
      <c r="AF34" s="1069"/>
      <c r="AG34" s="1069"/>
      <c r="AH34" s="1651"/>
      <c r="AI34" s="1090"/>
      <c r="AJ34" s="1094"/>
      <c r="AK34" s="1079"/>
      <c r="AL34" s="1683"/>
      <c r="AM34" s="1091"/>
    </row>
    <row r="35" spans="1:45">
      <c r="A35" s="2033" t="s">
        <v>506</v>
      </c>
      <c r="B35" s="1650">
        <f>'qtrP&amp;L'!H14/100</f>
        <v>0.14000000000000001</v>
      </c>
      <c r="C35" s="1650">
        <f>'qtrP&amp;L'!L14/100</f>
        <v>0.13</v>
      </c>
      <c r="D35" s="1650">
        <f>'qtrP&amp;L'!P14/100</f>
        <v>0.05</v>
      </c>
      <c r="E35" s="1650">
        <f>'qtrP&amp;L'!T14/100</f>
        <v>0.01</v>
      </c>
      <c r="F35" s="1650">
        <f>'qtrP&amp;L'!X14/100</f>
        <v>0.01</v>
      </c>
      <c r="G35" s="1650">
        <f>'qtrP&amp;L'!AB14/100</f>
        <v>0</v>
      </c>
      <c r="H35" s="1650">
        <f>'qtrP&amp;L'!AF14/100</f>
        <v>0.05</v>
      </c>
      <c r="I35" s="1650">
        <f>'qtrP&amp;L'!AJ14/100</f>
        <v>0.06</v>
      </c>
      <c r="J35" s="1650">
        <f>'qtrP&amp;L'!AN14/100</f>
        <v>0.17</v>
      </c>
      <c r="K35" s="1650">
        <f>'qtrP&amp;L'!AR14/100</f>
        <v>7.0000000000000007E-2</v>
      </c>
      <c r="L35" s="1650">
        <f>'qtrP&amp;L'!AV14/100</f>
        <v>-0.05</v>
      </c>
      <c r="M35" s="1650">
        <v>-0.129</v>
      </c>
      <c r="N35" s="1650">
        <v>-2.7000000000000003E-2</v>
      </c>
      <c r="O35" s="1650">
        <v>7.2000000000000008E-2</v>
      </c>
      <c r="P35" s="1103">
        <v>4.0000000000000001E-3</v>
      </c>
      <c r="Q35" s="1103">
        <v>-5.0999999999999997E-2</v>
      </c>
      <c r="R35" s="1103">
        <v>-7.0000000000000007E-2</v>
      </c>
      <c r="S35" s="1650">
        <v>-0.04</v>
      </c>
      <c r="T35" s="1650">
        <v>-0.11838208207470713</v>
      </c>
      <c r="U35" s="1650">
        <v>-3.0030152268958239E-2</v>
      </c>
      <c r="V35" s="1650">
        <f>'qtrP&amp;L'!CJ14/100</f>
        <v>0.02</v>
      </c>
      <c r="W35" s="1650">
        <f>'qtrP&amp;L'!CN14/100</f>
        <v>-0.04</v>
      </c>
      <c r="X35" s="1650">
        <f>'qtrP&amp;L'!CR14/100</f>
        <v>4.7896859694612506E-2</v>
      </c>
      <c r="Y35" s="1650">
        <f>'qtrP&amp;L'!CV14/100</f>
        <v>2.1890636611345059E-2</v>
      </c>
      <c r="Z35" s="1650">
        <f>'qtrP&amp;L'!CZ14/100</f>
        <v>0</v>
      </c>
      <c r="AA35" s="1650">
        <f>'qtrP&amp;L'!DD14/100</f>
        <v>-0.04</v>
      </c>
      <c r="AB35" s="1650">
        <f>'qtrP&amp;L'!$DH$14/100</f>
        <v>-0.02</v>
      </c>
      <c r="AC35" s="1650">
        <f>'qtrP&amp;L'!DL14/100</f>
        <v>0.03</v>
      </c>
      <c r="AD35" s="1650">
        <f>'qtrP&amp;L'!DP14/100</f>
        <v>-1.202125311883347E-4</v>
      </c>
      <c r="AE35" s="1650">
        <f>(AD82/AD7)*AE109+(AD122/AD7)*AE148+(AD160/AD7)*AE161+(AD43/AD7)*AE69</f>
        <v>-4.0060432606804138E-3</v>
      </c>
      <c r="AF35" s="1650">
        <f>(AE196/AE7)*AF225+(AE82/AE7)*AF109+(AE122/AE7)*AF148+(AE160/AE7)*AF161</f>
        <v>-3.647679074000364E-3</v>
      </c>
      <c r="AG35" s="1650">
        <f>(AF196/AF7)*AG225+(AF82/AF7)*AG109+(AF122/AF7)*AG148+(AF160/AF7)*AG161</f>
        <v>-3.302695135328289E-3</v>
      </c>
      <c r="AH35" s="1650">
        <f>(AG196/AG7)*AH225+(AG82/AG7)*AH109+(AG122/AG7)*AH148+(AG160/AG7)*AH161</f>
        <v>-2.9751988000538713E-3</v>
      </c>
      <c r="AI35" s="1108"/>
      <c r="AJ35" s="1094"/>
      <c r="AK35" s="1079"/>
      <c r="AL35" s="1683"/>
      <c r="AM35" s="1091"/>
    </row>
    <row r="36" spans="1:45">
      <c r="A36" s="2033" t="s">
        <v>152</v>
      </c>
      <c r="B36" s="1650"/>
      <c r="C36" s="1650"/>
      <c r="D36" s="1650"/>
      <c r="E36" s="1650"/>
      <c r="F36" s="1650"/>
      <c r="G36" s="1650"/>
      <c r="H36" s="1650">
        <f t="shared" ref="H36:AA36" si="35">+H9-H35</f>
        <v>0.15229279179150762</v>
      </c>
      <c r="I36" s="1650">
        <f t="shared" si="35"/>
        <v>0.1715207779302817</v>
      </c>
      <c r="J36" s="1650">
        <f t="shared" si="35"/>
        <v>0.2213192195549202</v>
      </c>
      <c r="K36" s="1650">
        <f t="shared" si="35"/>
        <v>0.21504575975911117</v>
      </c>
      <c r="L36" s="1650">
        <f t="shared" si="35"/>
        <v>0.22516048870867994</v>
      </c>
      <c r="M36" s="1650">
        <f t="shared" si="35"/>
        <v>0.14175558636950703</v>
      </c>
      <c r="N36" s="1650">
        <f t="shared" si="35"/>
        <v>7.0821603505462377E-2</v>
      </c>
      <c r="O36" s="1650">
        <f t="shared" si="35"/>
        <v>2.4790672160885541E-2</v>
      </c>
      <c r="P36" s="1103">
        <f t="shared" si="35"/>
        <v>2.2089092891983689E-2</v>
      </c>
      <c r="Q36" s="1103">
        <f t="shared" si="35"/>
        <v>3.5999386195741896E-2</v>
      </c>
      <c r="R36" s="1103">
        <f t="shared" si="35"/>
        <v>6.3735404140699503E-2</v>
      </c>
      <c r="S36" s="1650">
        <f t="shared" si="35"/>
        <v>2.9951642278465106E-2</v>
      </c>
      <c r="T36" s="1650">
        <f t="shared" si="35"/>
        <v>3.9907172476280395E-2</v>
      </c>
      <c r="U36" s="1650">
        <f t="shared" si="35"/>
        <v>7.3811091738185293E-3</v>
      </c>
      <c r="V36" s="1650">
        <f t="shared" si="35"/>
        <v>1.2894273438050403E-2</v>
      </c>
      <c r="W36" s="1650">
        <f t="shared" si="35"/>
        <v>3.2157665030005465E-2</v>
      </c>
      <c r="X36" s="1650">
        <f t="shared" si="35"/>
        <v>2.784717769627347E-2</v>
      </c>
      <c r="Y36" s="1650">
        <f t="shared" si="35"/>
        <v>9.8645228033887762E-3</v>
      </c>
      <c r="Z36" s="1650">
        <f t="shared" si="35"/>
        <v>1.7773098835769163E-2</v>
      </c>
      <c r="AA36" s="1650">
        <f t="shared" si="35"/>
        <v>1.1804076665652072E-3</v>
      </c>
      <c r="AB36" s="1650">
        <f>+AB9-AB35</f>
        <v>2.2118123694372209E-3</v>
      </c>
      <c r="AC36" s="1650">
        <f>+AC9-AC35</f>
        <v>-8.1515854601701132E-3</v>
      </c>
      <c r="AD36" s="1650">
        <f>+AD9-AD35</f>
        <v>9.7306975453901427E-3</v>
      </c>
      <c r="AE36" s="1103">
        <f>+AE9-AE35</f>
        <v>-8.6434169713147692E-4</v>
      </c>
      <c r="AF36" s="1103">
        <f t="shared" ref="AF36:AH36" si="36">+AF9-AF35</f>
        <v>-1.1388561314688694E-3</v>
      </c>
      <c r="AG36" s="1103">
        <f t="shared" si="36"/>
        <v>-7.422306102950289E-4</v>
      </c>
      <c r="AH36" s="1650">
        <f t="shared" si="36"/>
        <v>-1.4789428447248816E-3</v>
      </c>
      <c r="AI36" s="1108"/>
      <c r="AJ36" s="1094"/>
      <c r="AK36" s="1079"/>
      <c r="AL36" s="1683"/>
      <c r="AM36" s="1091"/>
    </row>
    <row r="37" spans="1:45" ht="11.25" customHeight="1">
      <c r="A37" s="1651"/>
      <c r="B37" s="1651"/>
      <c r="C37" s="1651"/>
      <c r="D37" s="1651"/>
      <c r="E37" s="1651"/>
      <c r="F37" s="1651"/>
      <c r="G37" s="1651"/>
      <c r="H37" s="1651"/>
      <c r="I37" s="1651"/>
      <c r="J37" s="1651"/>
      <c r="K37" s="1651"/>
      <c r="L37" s="1651"/>
      <c r="M37" s="1651"/>
      <c r="N37" s="1651"/>
      <c r="O37" s="1651"/>
      <c r="P37" s="1069"/>
      <c r="Q37" s="1069"/>
      <c r="R37" s="1069"/>
      <c r="S37" s="1651"/>
      <c r="T37" s="1651"/>
      <c r="U37" s="1651"/>
      <c r="V37" s="1651"/>
      <c r="W37" s="1651"/>
      <c r="X37" s="1651"/>
      <c r="Y37" s="1651"/>
      <c r="Z37" s="1651"/>
      <c r="AA37" s="1651"/>
      <c r="AB37" s="1651"/>
      <c r="AC37" s="1651"/>
      <c r="AD37" s="1651"/>
      <c r="AE37" s="1069"/>
      <c r="AF37" s="1069"/>
      <c r="AG37" s="1069"/>
      <c r="AH37" s="1651"/>
      <c r="AI37" s="1090"/>
      <c r="AJ37" s="1094"/>
      <c r="AK37" s="1079"/>
      <c r="AL37" s="1683"/>
      <c r="AM37" s="1091"/>
    </row>
    <row r="38" spans="1:45">
      <c r="A38" s="2045" t="s">
        <v>317</v>
      </c>
      <c r="B38" s="1651"/>
      <c r="C38" s="1651"/>
      <c r="D38" s="1651"/>
      <c r="E38" s="1651"/>
      <c r="F38" s="1651"/>
      <c r="G38" s="1651"/>
      <c r="H38" s="1651"/>
      <c r="I38" s="1651"/>
      <c r="J38" s="1651"/>
      <c r="K38" s="1651"/>
      <c r="L38" s="1651"/>
      <c r="M38" s="1651"/>
      <c r="N38" s="1651"/>
      <c r="O38" s="1651"/>
      <c r="P38" s="1122"/>
      <c r="Q38" s="1122"/>
      <c r="R38" s="1122"/>
      <c r="S38" s="1656"/>
      <c r="T38" s="1656"/>
      <c r="U38" s="1656"/>
      <c r="V38" s="1656"/>
      <c r="W38" s="1656"/>
      <c r="X38" s="1656"/>
      <c r="Y38" s="1656"/>
      <c r="Z38" s="1656"/>
      <c r="AA38" s="1656"/>
      <c r="AB38" s="1656"/>
      <c r="AC38" s="1834"/>
      <c r="AD38" s="1656"/>
      <c r="AE38" s="1122"/>
      <c r="AF38" s="1122"/>
      <c r="AG38" s="1122"/>
      <c r="AH38" s="1656"/>
      <c r="AI38" s="1069"/>
      <c r="AJ38" s="1122"/>
      <c r="AK38" s="1073"/>
      <c r="AL38" s="1651"/>
      <c r="AM38" s="1073"/>
    </row>
    <row r="39" spans="1:45">
      <c r="A39" s="2046" t="str">
        <f>+A2</f>
        <v>Annual Sales Model, Fiscal 1997A-2022E</v>
      </c>
      <c r="B39" s="1662"/>
      <c r="C39" s="1662"/>
      <c r="D39" s="1662"/>
      <c r="E39" s="1662"/>
      <c r="F39" s="1662"/>
      <c r="G39" s="1662"/>
      <c r="H39" s="1662"/>
      <c r="I39" s="1662"/>
      <c r="J39" s="1662"/>
      <c r="K39" s="1662"/>
      <c r="L39" s="1662"/>
      <c r="M39" s="1662"/>
      <c r="N39" s="1662"/>
      <c r="O39" s="1662"/>
      <c r="P39" s="1074"/>
      <c r="Q39" s="1074"/>
      <c r="R39" s="1074"/>
      <c r="S39" s="1662"/>
      <c r="T39" s="1662"/>
      <c r="U39" s="1662"/>
      <c r="V39" s="1662"/>
      <c r="W39" s="1662"/>
      <c r="X39" s="1662"/>
      <c r="Y39" s="1662"/>
      <c r="Z39" s="1662"/>
      <c r="AA39" s="1662"/>
      <c r="AB39" s="1662"/>
      <c r="AC39" s="1662"/>
      <c r="AD39" s="1662"/>
      <c r="AE39" s="1074"/>
      <c r="AF39" s="1074"/>
      <c r="AG39" s="1074"/>
      <c r="AH39" s="1662"/>
      <c r="AI39" s="1074"/>
      <c r="AJ39" s="1074"/>
      <c r="AK39" s="1076"/>
      <c r="AL39" s="1651"/>
      <c r="AM39" s="1076"/>
    </row>
    <row r="40" spans="1:45">
      <c r="A40" s="2032"/>
      <c r="B40" s="1651"/>
      <c r="C40" s="1651"/>
      <c r="D40" s="1651"/>
      <c r="E40" s="1651"/>
      <c r="F40" s="1651"/>
      <c r="G40" s="1651"/>
      <c r="H40" s="1651"/>
      <c r="I40" s="1651"/>
      <c r="J40" s="1651"/>
      <c r="K40" s="1651"/>
      <c r="L40" s="1651"/>
      <c r="M40" s="1651"/>
      <c r="N40" s="1651"/>
      <c r="O40" s="1651"/>
      <c r="P40" s="1069"/>
      <c r="Q40" s="1069"/>
      <c r="R40" s="1069"/>
      <c r="S40" s="1651"/>
      <c r="T40" s="1651"/>
      <c r="U40" s="1651"/>
      <c r="V40" s="1651"/>
      <c r="W40" s="1651"/>
      <c r="X40" s="1651"/>
      <c r="Y40" s="1651"/>
      <c r="Z40" s="1651"/>
      <c r="AA40" s="1651"/>
      <c r="AB40" s="1651"/>
      <c r="AC40" s="1651"/>
      <c r="AD40" s="1651"/>
      <c r="AE40" s="1069"/>
      <c r="AF40" s="1069"/>
      <c r="AG40" s="1069"/>
      <c r="AH40" s="1651"/>
      <c r="AI40" s="1117"/>
      <c r="AJ40" s="1078"/>
      <c r="AK40" s="1118" t="s">
        <v>488</v>
      </c>
      <c r="AL40" s="1681"/>
      <c r="AM40" s="1119"/>
    </row>
    <row r="41" spans="1:45">
      <c r="A41" s="1644"/>
      <c r="B41" s="1995">
        <f t="shared" ref="B41:AH41" si="37">B5</f>
        <v>1990</v>
      </c>
      <c r="C41" s="1995">
        <f t="shared" si="37"/>
        <v>1991</v>
      </c>
      <c r="D41" s="1995">
        <f t="shared" si="37"/>
        <v>1992</v>
      </c>
      <c r="E41" s="1995">
        <f t="shared" si="37"/>
        <v>1993</v>
      </c>
      <c r="F41" s="1995">
        <f t="shared" si="37"/>
        <v>1994</v>
      </c>
      <c r="G41" s="1995">
        <f t="shared" si="37"/>
        <v>1995</v>
      </c>
      <c r="H41" s="1995">
        <f t="shared" si="37"/>
        <v>1996</v>
      </c>
      <c r="I41" s="1995">
        <f t="shared" si="37"/>
        <v>1997</v>
      </c>
      <c r="J41" s="1995">
        <f t="shared" si="37"/>
        <v>1998</v>
      </c>
      <c r="K41" s="1995">
        <f t="shared" si="37"/>
        <v>1999</v>
      </c>
      <c r="L41" s="1995">
        <f t="shared" si="37"/>
        <v>2000</v>
      </c>
      <c r="M41" s="1995">
        <f t="shared" si="37"/>
        <v>2001</v>
      </c>
      <c r="N41" s="1995">
        <f t="shared" si="37"/>
        <v>2002</v>
      </c>
      <c r="O41" s="1995">
        <f t="shared" si="37"/>
        <v>2003</v>
      </c>
      <c r="P41" s="1085">
        <f t="shared" si="37"/>
        <v>2004</v>
      </c>
      <c r="Q41" s="1085">
        <f t="shared" si="37"/>
        <v>2005</v>
      </c>
      <c r="R41" s="1085">
        <f t="shared" si="37"/>
        <v>2006</v>
      </c>
      <c r="S41" s="1995">
        <f t="shared" si="37"/>
        <v>2007</v>
      </c>
      <c r="T41" s="1995">
        <f t="shared" si="37"/>
        <v>2008</v>
      </c>
      <c r="U41" s="1995">
        <f t="shared" si="37"/>
        <v>2009</v>
      </c>
      <c r="V41" s="1995">
        <f t="shared" si="37"/>
        <v>2010</v>
      </c>
      <c r="W41" s="1995">
        <f t="shared" si="37"/>
        <v>2011</v>
      </c>
      <c r="X41" s="1995">
        <f t="shared" si="37"/>
        <v>2012</v>
      </c>
      <c r="Y41" s="1995">
        <f t="shared" si="37"/>
        <v>2013</v>
      </c>
      <c r="Z41" s="1995">
        <f t="shared" si="37"/>
        <v>2014</v>
      </c>
      <c r="AA41" s="1995">
        <f t="shared" si="37"/>
        <v>2015</v>
      </c>
      <c r="AB41" s="1995">
        <f t="shared" si="37"/>
        <v>2016</v>
      </c>
      <c r="AC41" s="1995">
        <f t="shared" si="37"/>
        <v>2017</v>
      </c>
      <c r="AD41" s="1995">
        <f t="shared" si="37"/>
        <v>2018</v>
      </c>
      <c r="AE41" s="1085">
        <f t="shared" si="37"/>
        <v>2019</v>
      </c>
      <c r="AF41" s="1085">
        <f t="shared" si="37"/>
        <v>2020</v>
      </c>
      <c r="AG41" s="1085">
        <f t="shared" si="37"/>
        <v>2021</v>
      </c>
      <c r="AH41" s="1085">
        <f t="shared" si="37"/>
        <v>2022</v>
      </c>
      <c r="AI41" s="1120"/>
      <c r="AJ41" s="1121" t="str">
        <f>$AJ$5</f>
        <v>11-16</v>
      </c>
      <c r="AK41" s="1079"/>
      <c r="AL41" s="1685" t="str">
        <f>AL5</f>
        <v>16-22E</v>
      </c>
      <c r="AM41" s="1091"/>
    </row>
    <row r="42" spans="1:45">
      <c r="A42" s="1644"/>
      <c r="B42" s="1644"/>
      <c r="C42" s="1644"/>
      <c r="D42" s="1644"/>
      <c r="E42" s="1644"/>
      <c r="F42" s="1644"/>
      <c r="G42" s="1644"/>
      <c r="H42" s="1644"/>
      <c r="I42" s="1651"/>
      <c r="J42" s="1651"/>
      <c r="K42" s="1651"/>
      <c r="L42" s="1651"/>
      <c r="M42" s="1651"/>
      <c r="N42" s="1651"/>
      <c r="O42" s="1651"/>
      <c r="P42" s="1122"/>
      <c r="Q42" s="1122"/>
      <c r="R42" s="1122"/>
      <c r="S42" s="1656"/>
      <c r="T42" s="1656"/>
      <c r="U42" s="1656"/>
      <c r="V42" s="1656"/>
      <c r="W42" s="1656"/>
      <c r="X42" s="1656"/>
      <c r="Y42" s="1656"/>
      <c r="Z42" s="1656"/>
      <c r="AA42" s="1656"/>
      <c r="AB42" s="2079"/>
      <c r="AC42" s="1834"/>
      <c r="AD42" s="1834"/>
      <c r="AE42" s="2007"/>
      <c r="AF42" s="2007"/>
      <c r="AG42" s="2007"/>
      <c r="AH42" s="2008"/>
      <c r="AI42" s="1090"/>
      <c r="AJ42" s="1077"/>
      <c r="AK42" s="1079"/>
      <c r="AL42" s="1664"/>
      <c r="AM42" s="1091"/>
    </row>
    <row r="43" spans="1:45">
      <c r="A43" s="2033" t="s">
        <v>646</v>
      </c>
      <c r="B43" s="1666">
        <f t="shared" ref="B43:G43" si="38">B196+B238+B281</f>
        <v>1700</v>
      </c>
      <c r="C43" s="1666">
        <f t="shared" si="38"/>
        <v>2195</v>
      </c>
      <c r="D43" s="1666">
        <f t="shared" si="38"/>
        <v>2586</v>
      </c>
      <c r="E43" s="1666">
        <f t="shared" si="38"/>
        <v>2805</v>
      </c>
      <c r="F43" s="1666">
        <f t="shared" si="38"/>
        <v>3048</v>
      </c>
      <c r="G43" s="1666">
        <f t="shared" si="38"/>
        <v>3345</v>
      </c>
      <c r="H43" s="2015">
        <f>segQtrSales!S417</f>
        <v>3224</v>
      </c>
      <c r="I43" s="2015">
        <f>segQtrSales!S424</f>
        <v>3710</v>
      </c>
      <c r="J43" s="2015">
        <f>segQtrSales!S431</f>
        <v>4605</v>
      </c>
      <c r="K43" s="2015">
        <f>segQtrSales!S438</f>
        <v>4900</v>
      </c>
      <c r="L43" s="2015">
        <f>segQtrSales!S445</f>
        <v>5899</v>
      </c>
      <c r="M43" s="2015">
        <f>segQtrSales!S452</f>
        <v>5610</v>
      </c>
      <c r="N43" s="2015">
        <f>segQtrSales!S459</f>
        <v>5436</v>
      </c>
      <c r="O43" s="2015">
        <f>segQtrSales!S466</f>
        <v>5777</v>
      </c>
      <c r="P43" s="2006">
        <f>segQtrSales!S473</f>
        <v>7240</v>
      </c>
      <c r="Q43" s="1093">
        <f>segQtrSales!S480</f>
        <v>6837</v>
      </c>
      <c r="R43" s="1093">
        <f>segQtrSales!S487</f>
        <v>6507</v>
      </c>
      <c r="S43" s="1640">
        <f>segQtrSales!S494</f>
        <v>6253</v>
      </c>
      <c r="T43" s="1640">
        <f>segQtrSales!S501</f>
        <v>5958</v>
      </c>
      <c r="U43" s="1640">
        <f>segQtrSales!S508</f>
        <v>5601</v>
      </c>
      <c r="V43" s="1640">
        <f>segQtrSales!S515</f>
        <v>5735</v>
      </c>
      <c r="W43" s="1640">
        <f>segQtrSales!S522</f>
        <v>5665</v>
      </c>
      <c r="X43" s="1640">
        <f>segQtrSales!S529</f>
        <v>5965</v>
      </c>
      <c r="Y43" s="1640">
        <f>segQtrSales!S536</f>
        <v>6351</v>
      </c>
      <c r="Z43" s="1640">
        <f>segQtrSales!S543</f>
        <v>6165</v>
      </c>
      <c r="AA43" s="1640">
        <f>segQtrSales!S550</f>
        <v>5751</v>
      </c>
      <c r="AB43" s="1640">
        <f>segQtrSales!S557</f>
        <v>5455</v>
      </c>
      <c r="AC43" s="1640">
        <f>segQtrSales!S564</f>
        <v>5318</v>
      </c>
      <c r="AD43" s="1640">
        <f>segQtrSales!S571</f>
        <v>5164.9103574516012</v>
      </c>
      <c r="AE43" s="1093">
        <f>AD43*(1+AE69+(AE61*AE74))</f>
        <v>5102.0612814589249</v>
      </c>
      <c r="AF43" s="1093">
        <f>AE43*(1+AF69+(AF61*AF74))</f>
        <v>5039.7691692442922</v>
      </c>
      <c r="AG43" s="1093">
        <f>AF43*(1+AG69+(AG61*AG74))</f>
        <v>4979.046509648444</v>
      </c>
      <c r="AH43" s="1093">
        <f>AG43*(1+AH69+(AH61*AH74))</f>
        <v>4908.7861650514669</v>
      </c>
      <c r="AI43" s="1090"/>
      <c r="AJ43" s="1094">
        <f>((AB43/W43)^(1/5)-1)*100</f>
        <v>-0.75263888527359324</v>
      </c>
      <c r="AK43" s="1110" t="s">
        <v>489</v>
      </c>
      <c r="AL43" s="1683">
        <f>((AH43/AB43)^(1/6)-1)*100</f>
        <v>-1.7430618886525862</v>
      </c>
      <c r="AM43" s="1091" t="s">
        <v>489</v>
      </c>
    </row>
    <row r="44" spans="1:45">
      <c r="A44" s="2033" t="s">
        <v>490</v>
      </c>
      <c r="B44" s="1648"/>
      <c r="C44" s="1648">
        <f t="shared" ref="C44" si="39">C43/B43-1</f>
        <v>0.29117647058823537</v>
      </c>
      <c r="D44" s="1648">
        <f t="shared" ref="D44" si="40">D43/C43-1</f>
        <v>0.17813211845102517</v>
      </c>
      <c r="E44" s="1648">
        <f t="shared" ref="E44" si="41">E43/D43-1</f>
        <v>8.468677494199528E-2</v>
      </c>
      <c r="F44" s="1648">
        <f t="shared" ref="F44" si="42">F43/E43-1</f>
        <v>8.6631016042780784E-2</v>
      </c>
      <c r="G44" s="1648">
        <f t="shared" ref="G44" si="43">G43/F43-1</f>
        <v>9.7440944881889813E-2</v>
      </c>
      <c r="H44" s="1648">
        <f t="shared" ref="H44" si="44">H43/G43-1</f>
        <v>-3.6173393124065756E-2</v>
      </c>
      <c r="I44" s="1648">
        <f t="shared" ref="I44" si="45">I43/H43-1</f>
        <v>0.15074441687344908</v>
      </c>
      <c r="J44" s="1648">
        <f t="shared" ref="J44" si="46">J43/I43-1</f>
        <v>0.24123989218328834</v>
      </c>
      <c r="K44" s="1648">
        <f t="shared" ref="K44" si="47">K43/J43-1</f>
        <v>6.4060803474484285E-2</v>
      </c>
      <c r="L44" s="1648">
        <f t="shared" ref="L44" si="48">L43/K43-1</f>
        <v>0.20387755102040805</v>
      </c>
      <c r="M44" s="1648">
        <f t="shared" ref="M44" si="49">M43/L43-1</f>
        <v>-4.8991354466858761E-2</v>
      </c>
      <c r="N44" s="1648">
        <f t="shared" ref="N44" si="50">N43/M43-1</f>
        <v>-3.1016042780748654E-2</v>
      </c>
      <c r="O44" s="1648">
        <f t="shared" ref="O44" si="51">O43/N43-1</f>
        <v>6.272994849153779E-2</v>
      </c>
      <c r="P44" s="1089">
        <f t="shared" ref="P44" si="52">P43/O43-1</f>
        <v>0.25324562921931792</v>
      </c>
      <c r="Q44" s="1089">
        <f t="shared" ref="Q44" si="53">Q43/P43-1</f>
        <v>-5.5662983425414314E-2</v>
      </c>
      <c r="R44" s="1089">
        <f t="shared" ref="R44" si="54">R43/Q43-1</f>
        <v>-4.8266783677051284E-2</v>
      </c>
      <c r="S44" s="1648">
        <f t="shared" ref="S44" si="55">S43/R43-1</f>
        <v>-3.9034885507914563E-2</v>
      </c>
      <c r="T44" s="1648">
        <f t="shared" ref="T44" si="56">T43/S43-1</f>
        <v>-4.7177354869662569E-2</v>
      </c>
      <c r="U44" s="1648">
        <f t="shared" ref="U44" si="57">U43/T43-1</f>
        <v>-5.9919436052366604E-2</v>
      </c>
      <c r="V44" s="1648">
        <f t="shared" ref="V44" si="58">V43/U43-1</f>
        <v>2.39242992322799E-2</v>
      </c>
      <c r="W44" s="1648">
        <f t="shared" ref="W44:Z44" si="59">W43/V43-1</f>
        <v>-1.2205754141238034E-2</v>
      </c>
      <c r="X44" s="1648">
        <f t="shared" si="59"/>
        <v>5.2956751985878237E-2</v>
      </c>
      <c r="Y44" s="1648">
        <f t="shared" si="59"/>
        <v>6.4710813076278351E-2</v>
      </c>
      <c r="Z44" s="1648">
        <f t="shared" si="59"/>
        <v>-2.9286726499763827E-2</v>
      </c>
      <c r="AA44" s="1648">
        <f>AA43/Z43-1</f>
        <v>-6.7153284671532809E-2</v>
      </c>
      <c r="AB44" s="1648">
        <f>AB43/AA43-1</f>
        <v>-5.146930968527208E-2</v>
      </c>
      <c r="AC44" s="1648">
        <f>AC43/AB43-1</f>
        <v>-2.5114573785517846E-2</v>
      </c>
      <c r="AD44" s="1648">
        <f>AD43/AC43-1</f>
        <v>-2.87870708063932E-2</v>
      </c>
      <c r="AE44" s="1809">
        <f>+AE69+AE70</f>
        <v>-0.02</v>
      </c>
      <c r="AF44" s="1809">
        <f t="shared" ref="AF44:AH44" si="60">+AF69+AF70</f>
        <v>-0.02</v>
      </c>
      <c r="AG44" s="1809">
        <f t="shared" si="60"/>
        <v>-0.02</v>
      </c>
      <c r="AH44" s="69">
        <f t="shared" si="60"/>
        <v>-0.02</v>
      </c>
      <c r="AI44" s="1090"/>
      <c r="AJ44" s="1094"/>
      <c r="AK44" s="1079"/>
      <c r="AL44" s="1683"/>
      <c r="AM44" s="1091"/>
    </row>
    <row r="45" spans="1:45">
      <c r="A45" s="2033"/>
      <c r="B45" s="1648"/>
      <c r="C45" s="1648"/>
      <c r="D45" s="1648"/>
      <c r="E45" s="1648"/>
      <c r="F45" s="1648"/>
      <c r="G45" s="1648"/>
      <c r="H45" s="1648"/>
      <c r="I45" s="1648"/>
      <c r="J45" s="1648"/>
      <c r="K45" s="1648"/>
      <c r="L45" s="1648"/>
      <c r="M45" s="1648"/>
      <c r="N45" s="1648"/>
      <c r="O45" s="1648"/>
      <c r="P45" s="1089"/>
      <c r="Q45" s="1089"/>
      <c r="R45" s="1089"/>
      <c r="S45" s="1648"/>
      <c r="T45" s="1648"/>
      <c r="U45" s="1648"/>
      <c r="V45" s="1648"/>
      <c r="W45" s="1648"/>
      <c r="X45" s="1648"/>
      <c r="Y45" s="1648"/>
      <c r="Z45" s="1648"/>
      <c r="AA45" s="1648"/>
      <c r="AB45" s="1648"/>
      <c r="AC45" s="1648"/>
      <c r="AD45" s="1648"/>
      <c r="AE45" s="1089"/>
      <c r="AF45" s="1089"/>
      <c r="AG45" s="1089"/>
      <c r="AH45" s="1089"/>
      <c r="AI45" s="1090"/>
      <c r="AJ45" s="1094"/>
      <c r="AK45" s="1079"/>
      <c r="AL45" s="1683"/>
      <c r="AM45" s="1091"/>
    </row>
    <row r="46" spans="1:45">
      <c r="A46" s="2033" t="s">
        <v>491</v>
      </c>
      <c r="B46" s="1644">
        <f>B203+B245+B287</f>
        <v>849</v>
      </c>
      <c r="C46" s="1644">
        <f t="shared" ref="C46:J48" si="61">C203+C245+C287</f>
        <v>963</v>
      </c>
      <c r="D46" s="1644">
        <f t="shared" si="61"/>
        <v>1067</v>
      </c>
      <c r="E46" s="1644">
        <f t="shared" si="61"/>
        <v>1143</v>
      </c>
      <c r="F46" s="1644">
        <f t="shared" si="61"/>
        <v>1146</v>
      </c>
      <c r="G46" s="1644">
        <f t="shared" si="61"/>
        <v>1261</v>
      </c>
      <c r="H46" s="1644">
        <f t="shared" si="61"/>
        <v>1339</v>
      </c>
      <c r="I46" s="1644">
        <f t="shared" si="61"/>
        <v>1434</v>
      </c>
      <c r="J46" s="1644">
        <f t="shared" si="61"/>
        <v>1589</v>
      </c>
      <c r="K46" s="1644">
        <f>K203+K245</f>
        <v>1776</v>
      </c>
      <c r="L46" s="1644">
        <f t="shared" ref="L46:O48" si="62">L203+L245</f>
        <v>2160</v>
      </c>
      <c r="M46" s="1644">
        <f t="shared" si="62"/>
        <v>1780</v>
      </c>
      <c r="N46" s="1644">
        <f t="shared" si="62"/>
        <v>1858</v>
      </c>
      <c r="O46" s="1644">
        <f t="shared" si="62"/>
        <v>1834</v>
      </c>
      <c r="P46" s="1084">
        <f>'Store New'!B3</f>
        <v>1747</v>
      </c>
      <c r="Q46" s="1084">
        <f>'Store New'!U3</f>
        <v>1512</v>
      </c>
      <c r="R46" s="1084">
        <f>'Store New'!V3</f>
        <v>1479</v>
      </c>
      <c r="S46" s="1644">
        <f>'Store New'!W3</f>
        <v>1478</v>
      </c>
      <c r="T46" s="1644">
        <f>'Store New'!X3</f>
        <v>1474</v>
      </c>
      <c r="U46" s="1644">
        <f>'Store New'!Y3</f>
        <v>1473</v>
      </c>
      <c r="V46" s="1644">
        <f>'Store New'!Z3</f>
        <v>1450</v>
      </c>
      <c r="W46" s="1644">
        <f>V49</f>
        <v>1430</v>
      </c>
      <c r="X46" s="1644">
        <f t="shared" ref="X46:AD46" si="63">W49</f>
        <v>1388</v>
      </c>
      <c r="Y46" s="1644">
        <f t="shared" si="63"/>
        <v>1379</v>
      </c>
      <c r="Z46" s="1644">
        <f t="shared" si="63"/>
        <v>1389</v>
      </c>
      <c r="AA46" s="1644">
        <f t="shared" si="63"/>
        <v>1415</v>
      </c>
      <c r="AB46" s="1644">
        <f t="shared" si="63"/>
        <v>1346</v>
      </c>
      <c r="AC46" s="1644">
        <f t="shared" si="63"/>
        <v>1319</v>
      </c>
      <c r="AD46" s="1644">
        <f t="shared" si="63"/>
        <v>1278</v>
      </c>
      <c r="AE46" s="1084">
        <f>AD49</f>
        <v>1207</v>
      </c>
      <c r="AF46" s="1084">
        <f t="shared" ref="AF46" si="64">AE49</f>
        <v>1202</v>
      </c>
      <c r="AG46" s="1084">
        <f>AF49</f>
        <v>1197</v>
      </c>
      <c r="AH46" s="1644">
        <f>AG49</f>
        <v>1192</v>
      </c>
      <c r="AI46" s="1090"/>
      <c r="AJ46" s="1094"/>
      <c r="AK46" s="1079"/>
      <c r="AL46" s="1683"/>
      <c r="AM46" s="1091"/>
      <c r="AS46" s="1809">
        <f>250*0.3</f>
        <v>75</v>
      </c>
    </row>
    <row r="47" spans="1:45" outlineLevel="1">
      <c r="A47" s="2033" t="s">
        <v>56</v>
      </c>
      <c r="B47" s="1644">
        <f t="shared" ref="B47:J48" si="65">B204+B246+B288</f>
        <v>135</v>
      </c>
      <c r="C47" s="1644">
        <f t="shared" si="65"/>
        <v>119</v>
      </c>
      <c r="D47" s="1644">
        <f t="shared" si="65"/>
        <v>102</v>
      </c>
      <c r="E47" s="1644">
        <f t="shared" si="65"/>
        <v>89</v>
      </c>
      <c r="F47" s="1644">
        <f t="shared" si="65"/>
        <v>139</v>
      </c>
      <c r="G47" s="1644">
        <f t="shared" si="65"/>
        <v>127</v>
      </c>
      <c r="H47" s="1644">
        <f t="shared" si="65"/>
        <v>122</v>
      </c>
      <c r="I47" s="1644">
        <f t="shared" si="65"/>
        <v>174</v>
      </c>
      <c r="J47" s="1644">
        <f t="shared" si="65"/>
        <v>244</v>
      </c>
      <c r="K47" s="1644">
        <f t="shared" ref="K47:O48" si="66">K204+K246</f>
        <v>397</v>
      </c>
      <c r="L47" s="1644">
        <f t="shared" si="66"/>
        <v>493</v>
      </c>
      <c r="M47" s="1644">
        <f t="shared" si="66"/>
        <v>399</v>
      </c>
      <c r="N47" s="1644">
        <f t="shared" si="66"/>
        <v>37</v>
      </c>
      <c r="O47" s="1644">
        <f t="shared" si="66"/>
        <v>16</v>
      </c>
      <c r="P47" s="1084">
        <f>SUM('Store New'!B4:E4)</f>
        <v>30</v>
      </c>
      <c r="Q47" s="1084">
        <f>SUM('Store New'!F4:I4)</f>
        <v>58</v>
      </c>
      <c r="R47" s="1084">
        <f>SUM('Store New'!J4:M4)</f>
        <v>65</v>
      </c>
      <c r="S47" s="1644">
        <f>SUM('Store New'!N4:Q4)</f>
        <v>50</v>
      </c>
      <c r="T47" s="1644">
        <f>SUM('Store New'!R4:U4)</f>
        <v>30</v>
      </c>
      <c r="U47" s="1644">
        <f>SUM('Store New'!V4:Y4)</f>
        <v>29</v>
      </c>
      <c r="V47" s="1644">
        <f>SUM('Store New'!Z4:AC4)</f>
        <v>41</v>
      </c>
      <c r="W47" s="1644">
        <f>SUM('Store New'!AD4:AG4)</f>
        <v>59</v>
      </c>
      <c r="X47" s="1644">
        <f>SUM('Store New'!AH4:AK4)</f>
        <v>81</v>
      </c>
      <c r="Y47" s="1644">
        <f>SUM('Store New'!AL4:AO4)</f>
        <v>81</v>
      </c>
      <c r="Z47" s="1644">
        <f>SUM('Store New'!AP4:AS4)</f>
        <v>82</v>
      </c>
      <c r="AA47" s="1644">
        <f>SUM('Store New'!AT4:AW4)</f>
        <v>88</v>
      </c>
      <c r="AB47" s="2050">
        <f>SUM('Store New'!AX4:BA4)</f>
        <v>43</v>
      </c>
      <c r="AC47" s="1644">
        <f>SUM('Store New'!BB4:BE4)</f>
        <v>63</v>
      </c>
      <c r="AD47" s="1644">
        <f>SUM('Store New'!BF4:BI4)</f>
        <v>29</v>
      </c>
      <c r="AE47" s="1126">
        <v>15</v>
      </c>
      <c r="AF47" s="1126">
        <v>15</v>
      </c>
      <c r="AG47" s="1126">
        <v>15</v>
      </c>
      <c r="AH47" s="1645">
        <v>5</v>
      </c>
      <c r="AI47" s="1090"/>
      <c r="AJ47" s="1094"/>
      <c r="AK47" s="1079"/>
      <c r="AL47" s="1683"/>
      <c r="AM47" s="1091"/>
    </row>
    <row r="48" spans="1:45" outlineLevel="1">
      <c r="A48" s="2036" t="s">
        <v>497</v>
      </c>
      <c r="B48" s="1644">
        <f t="shared" si="65"/>
        <v>-21</v>
      </c>
      <c r="C48" s="1644">
        <f t="shared" si="61"/>
        <v>-15</v>
      </c>
      <c r="D48" s="1644">
        <f t="shared" si="61"/>
        <v>-26</v>
      </c>
      <c r="E48" s="1644">
        <f t="shared" si="61"/>
        <v>-86</v>
      </c>
      <c r="F48" s="1644">
        <f t="shared" si="61"/>
        <v>-24</v>
      </c>
      <c r="G48" s="1644">
        <f t="shared" si="61"/>
        <v>-49</v>
      </c>
      <c r="H48" s="1644">
        <f t="shared" si="61"/>
        <v>-27</v>
      </c>
      <c r="I48" s="1644">
        <f t="shared" si="61"/>
        <v>-19</v>
      </c>
      <c r="J48" s="1644">
        <f t="shared" si="61"/>
        <v>-18</v>
      </c>
      <c r="K48" s="1644">
        <f t="shared" si="66"/>
        <v>-13</v>
      </c>
      <c r="L48" s="1644">
        <f t="shared" si="62"/>
        <v>-45</v>
      </c>
      <c r="M48" s="1644">
        <f t="shared" si="62"/>
        <v>-75</v>
      </c>
      <c r="N48" s="1644">
        <f t="shared" si="62"/>
        <v>-61</v>
      </c>
      <c r="O48" s="1644">
        <f t="shared" si="62"/>
        <v>-103</v>
      </c>
      <c r="P48" s="1084">
        <f>-SUM('Store New'!B5:E5)</f>
        <v>-134</v>
      </c>
      <c r="Q48" s="1084">
        <f>-SUM('Store New'!F5:I5)</f>
        <v>-110</v>
      </c>
      <c r="R48" s="1084">
        <f>-SUM('Store New'!J5:M5)</f>
        <v>-90</v>
      </c>
      <c r="S48" s="1644">
        <f>-SUM('Store New'!N5:Q5)</f>
        <v>-84</v>
      </c>
      <c r="T48" s="1644">
        <f>-SUM('Store New'!R5:U5)</f>
        <v>-83</v>
      </c>
      <c r="U48" s="1644">
        <f>-SUM('Store New'!V5:Y5)</f>
        <v>-58</v>
      </c>
      <c r="V48" s="1644">
        <f>-SUM('Store New'!Z5:AC5)</f>
        <v>-61</v>
      </c>
      <c r="W48" s="1644">
        <f>-SUM('Store New'!AD5:AG5)</f>
        <v>-101</v>
      </c>
      <c r="X48" s="1644">
        <f>-SUM('Store New'!AH5:AK5)</f>
        <v>-90</v>
      </c>
      <c r="Y48" s="1644">
        <f>-SUM('Store New'!AL5:AO5)</f>
        <v>-71</v>
      </c>
      <c r="Z48" s="1644">
        <f>-SUM('Store New'!AP5:AS5)</f>
        <v>-56</v>
      </c>
      <c r="AA48" s="1644">
        <f>-SUM('Store New'!AT5:AW5)</f>
        <v>-157</v>
      </c>
      <c r="AB48" s="1644">
        <f>-SUM('Store New'!AX5:BA5)</f>
        <v>-70</v>
      </c>
      <c r="AC48" s="1644">
        <f>-SUM('Store New'!BB5:BE5)</f>
        <v>-104</v>
      </c>
      <c r="AD48" s="1644">
        <f>-SUM('Store New'!BF5:BI5)</f>
        <v>-100</v>
      </c>
      <c r="AE48" s="1127">
        <v>-20</v>
      </c>
      <c r="AF48" s="1127">
        <v>-20</v>
      </c>
      <c r="AG48" s="1127">
        <v>-20</v>
      </c>
      <c r="AH48" s="1646">
        <v>-15</v>
      </c>
      <c r="AI48" s="1090"/>
      <c r="AJ48" s="1094"/>
      <c r="AK48" s="1079"/>
      <c r="AL48" s="1683"/>
      <c r="AM48" s="1091"/>
    </row>
    <row r="49" spans="1:39">
      <c r="A49" s="2033" t="s">
        <v>498</v>
      </c>
      <c r="B49" s="1644">
        <f t="shared" ref="B49:U49" si="67">+SUM(B46:B48)</f>
        <v>963</v>
      </c>
      <c r="C49" s="1644">
        <f t="shared" si="67"/>
        <v>1067</v>
      </c>
      <c r="D49" s="1644">
        <f t="shared" si="67"/>
        <v>1143</v>
      </c>
      <c r="E49" s="1644">
        <f t="shared" si="67"/>
        <v>1146</v>
      </c>
      <c r="F49" s="1644">
        <f t="shared" si="67"/>
        <v>1261</v>
      </c>
      <c r="G49" s="1644">
        <f t="shared" si="67"/>
        <v>1339</v>
      </c>
      <c r="H49" s="1644">
        <f t="shared" si="67"/>
        <v>1434</v>
      </c>
      <c r="I49" s="1644">
        <f t="shared" si="67"/>
        <v>1589</v>
      </c>
      <c r="J49" s="1644">
        <f t="shared" si="67"/>
        <v>1815</v>
      </c>
      <c r="K49" s="2047">
        <f t="shared" si="67"/>
        <v>2160</v>
      </c>
      <c r="L49" s="1644">
        <f t="shared" si="67"/>
        <v>2608</v>
      </c>
      <c r="M49" s="1644">
        <f t="shared" si="67"/>
        <v>2104</v>
      </c>
      <c r="N49" s="1644">
        <f t="shared" si="67"/>
        <v>1834</v>
      </c>
      <c r="O49" s="1644">
        <f t="shared" si="67"/>
        <v>1747</v>
      </c>
      <c r="P49" s="1084">
        <f t="shared" si="67"/>
        <v>1643</v>
      </c>
      <c r="Q49" s="1084">
        <f t="shared" si="67"/>
        <v>1460</v>
      </c>
      <c r="R49" s="1084">
        <f t="shared" si="67"/>
        <v>1454</v>
      </c>
      <c r="S49" s="1644">
        <f t="shared" si="67"/>
        <v>1444</v>
      </c>
      <c r="T49" s="1644">
        <f t="shared" si="67"/>
        <v>1421</v>
      </c>
      <c r="U49" s="1644">
        <f t="shared" si="67"/>
        <v>1444</v>
      </c>
      <c r="V49" s="1644">
        <f>'Store New'!AC6</f>
        <v>1430</v>
      </c>
      <c r="W49" s="1644">
        <f>'Store New'!AG6</f>
        <v>1388</v>
      </c>
      <c r="X49" s="1644">
        <f>'Store New'!AK6</f>
        <v>1379</v>
      </c>
      <c r="Y49" s="1644">
        <f>'Store New'!AO6</f>
        <v>1389</v>
      </c>
      <c r="Z49" s="1644">
        <f>'Store New'!AS6</f>
        <v>1415</v>
      </c>
      <c r="AA49" s="1644">
        <f>'Store New'!AW6</f>
        <v>1346</v>
      </c>
      <c r="AB49" s="1644">
        <f>'Store New'!BA6</f>
        <v>1319</v>
      </c>
      <c r="AC49" s="1644">
        <f>'Store New'!BE6</f>
        <v>1278</v>
      </c>
      <c r="AD49" s="1644">
        <f>'Store New'!BI6</f>
        <v>1207</v>
      </c>
      <c r="AE49" s="1084">
        <f>+SUM(AE46:AE48)</f>
        <v>1202</v>
      </c>
      <c r="AF49" s="1084">
        <f t="shared" ref="AF49:AH49" si="68">+SUM(AF46:AF48)</f>
        <v>1197</v>
      </c>
      <c r="AG49" s="1084">
        <f t="shared" si="68"/>
        <v>1192</v>
      </c>
      <c r="AH49" s="1644">
        <f t="shared" si="68"/>
        <v>1182</v>
      </c>
      <c r="AI49" s="1090"/>
      <c r="AJ49" s="1094">
        <f>((AB49/W49)^(1/5)-1)*100</f>
        <v>-1.0146174405767039</v>
      </c>
      <c r="AK49" s="1110" t="s">
        <v>489</v>
      </c>
      <c r="AL49" s="1683">
        <f>((AH49/AB49)^(1/6)-1)*100</f>
        <v>-1.8111635758613853</v>
      </c>
      <c r="AM49" s="1091" t="s">
        <v>489</v>
      </c>
    </row>
    <row r="50" spans="1:39">
      <c r="A50" s="2033" t="s">
        <v>499</v>
      </c>
      <c r="B50" s="1647">
        <f t="shared" ref="B50:AA50" si="69">(+B49+B46)/2</f>
        <v>906</v>
      </c>
      <c r="C50" s="1647">
        <f t="shared" si="69"/>
        <v>1015</v>
      </c>
      <c r="D50" s="1647">
        <f t="shared" si="69"/>
        <v>1105</v>
      </c>
      <c r="E50" s="1647">
        <f t="shared" si="69"/>
        <v>1144.5</v>
      </c>
      <c r="F50" s="1647">
        <f t="shared" si="69"/>
        <v>1203.5</v>
      </c>
      <c r="G50" s="1647">
        <f t="shared" si="69"/>
        <v>1300</v>
      </c>
      <c r="H50" s="1647">
        <f t="shared" si="69"/>
        <v>1386.5</v>
      </c>
      <c r="I50" s="1647">
        <f t="shared" si="69"/>
        <v>1511.5</v>
      </c>
      <c r="J50" s="1647">
        <f t="shared" si="69"/>
        <v>1702</v>
      </c>
      <c r="K50" s="2048">
        <f t="shared" si="69"/>
        <v>1968</v>
      </c>
      <c r="L50" s="1647">
        <f t="shared" si="69"/>
        <v>2384</v>
      </c>
      <c r="M50" s="1647">
        <f t="shared" si="69"/>
        <v>1942</v>
      </c>
      <c r="N50" s="1647">
        <f t="shared" si="69"/>
        <v>1846</v>
      </c>
      <c r="O50" s="1647">
        <f t="shared" si="69"/>
        <v>1790.5</v>
      </c>
      <c r="P50" s="1107">
        <f t="shared" si="69"/>
        <v>1695</v>
      </c>
      <c r="Q50" s="1107">
        <f t="shared" si="69"/>
        <v>1486</v>
      </c>
      <c r="R50" s="1107">
        <f t="shared" si="69"/>
        <v>1466.5</v>
      </c>
      <c r="S50" s="1647">
        <f t="shared" si="69"/>
        <v>1461</v>
      </c>
      <c r="T50" s="1647">
        <f t="shared" si="69"/>
        <v>1447.5</v>
      </c>
      <c r="U50" s="1647">
        <f t="shared" si="69"/>
        <v>1458.5</v>
      </c>
      <c r="V50" s="1647">
        <f t="shared" si="69"/>
        <v>1440</v>
      </c>
      <c r="W50" s="1647">
        <f t="shared" si="69"/>
        <v>1409</v>
      </c>
      <c r="X50" s="1647">
        <f t="shared" si="69"/>
        <v>1383.5</v>
      </c>
      <c r="Y50" s="1647">
        <f t="shared" si="69"/>
        <v>1384</v>
      </c>
      <c r="Z50" s="1647">
        <f t="shared" si="69"/>
        <v>1402</v>
      </c>
      <c r="AA50" s="1647">
        <f t="shared" si="69"/>
        <v>1380.5</v>
      </c>
      <c r="AB50" s="1647">
        <f>(+AB49+AB46)/2</f>
        <v>1332.5</v>
      </c>
      <c r="AC50" s="1647">
        <f>(+AC49+AC46)/2</f>
        <v>1298.5</v>
      </c>
      <c r="AD50" s="1647">
        <f>(+AD49+AD46)/2</f>
        <v>1242.5</v>
      </c>
      <c r="AE50" s="1107">
        <f>(+AE49+AE46)/2</f>
        <v>1204.5</v>
      </c>
      <c r="AF50" s="1107">
        <f t="shared" ref="AF50:AH50" si="70">(+AF49+AF46)/2</f>
        <v>1199.5</v>
      </c>
      <c r="AG50" s="1107">
        <f t="shared" si="70"/>
        <v>1194.5</v>
      </c>
      <c r="AH50" s="1647">
        <f t="shared" si="70"/>
        <v>1187</v>
      </c>
      <c r="AI50" s="1100"/>
      <c r="AJ50" s="1094"/>
      <c r="AK50" s="1128"/>
      <c r="AL50" s="1683"/>
      <c r="AM50" s="1101"/>
    </row>
    <row r="51" spans="1:39">
      <c r="A51" s="2033" t="s">
        <v>500</v>
      </c>
      <c r="B51" s="1648"/>
      <c r="C51" s="1648">
        <f t="shared" ref="C51" si="71">(C50/B50-1)</f>
        <v>0.12030905077262699</v>
      </c>
      <c r="D51" s="1648">
        <f t="shared" ref="D51" si="72">(D50/C50-1)</f>
        <v>8.8669950738916148E-2</v>
      </c>
      <c r="E51" s="1648">
        <f t="shared" ref="E51" si="73">(E50/D50-1)</f>
        <v>3.5746606334841724E-2</v>
      </c>
      <c r="F51" s="1648">
        <f t="shared" ref="F51" si="74">(F50/E50-1)</f>
        <v>5.1550895587592738E-2</v>
      </c>
      <c r="G51" s="1648">
        <f t="shared" ref="G51" si="75">(G50/F50-1)</f>
        <v>8.0182800166181956E-2</v>
      </c>
      <c r="H51" s="1648">
        <f t="shared" ref="H51" si="76">(H50/G50-1)</f>
        <v>6.6538461538461435E-2</v>
      </c>
      <c r="I51" s="1648">
        <f t="shared" ref="I51" si="77">(I50/H50-1)</f>
        <v>9.0155066714749266E-2</v>
      </c>
      <c r="J51" s="1648">
        <f t="shared" ref="J51" si="78">(J50/I50-1)</f>
        <v>0.12603374131657286</v>
      </c>
      <c r="K51" s="1661">
        <f t="shared" ref="K51" si="79">(K50/J50-1)</f>
        <v>0.15628672150411282</v>
      </c>
      <c r="L51" s="1648">
        <f t="shared" ref="L51" si="80">(L50/K50-1)</f>
        <v>0.21138211382113825</v>
      </c>
      <c r="M51" s="1648">
        <f t="shared" ref="M51" si="81">(M50/L50-1)</f>
        <v>-0.18540268456375841</v>
      </c>
      <c r="N51" s="1648">
        <f t="shared" ref="N51" si="82">(N50/M50-1)</f>
        <v>-4.9433573635427441E-2</v>
      </c>
      <c r="O51" s="1648">
        <f t="shared" ref="O51" si="83">(O50/N50-1)</f>
        <v>-3.0065005417118096E-2</v>
      </c>
      <c r="P51" s="1089">
        <f t="shared" ref="P51" si="84">(P50/O50-1)</f>
        <v>-5.3337056688075979E-2</v>
      </c>
      <c r="Q51" s="1089">
        <f t="shared" ref="Q51" si="85">(Q50/P50-1)</f>
        <v>-0.12330383480825957</v>
      </c>
      <c r="R51" s="1089">
        <f t="shared" ref="R51" si="86">(R50/Q50-1)</f>
        <v>-1.3122476446837172E-2</v>
      </c>
      <c r="S51" s="1648">
        <f t="shared" ref="S51" si="87">(S50/R50-1)</f>
        <v>-3.7504261847937093E-3</v>
      </c>
      <c r="T51" s="1648">
        <f t="shared" ref="T51" si="88">(T50/S50-1)</f>
        <v>-9.2402464065708401E-3</v>
      </c>
      <c r="U51" s="1648">
        <f t="shared" ref="U51" si="89">(U50/T50-1)</f>
        <v>7.5993091537132074E-3</v>
      </c>
      <c r="V51" s="1648">
        <f t="shared" ref="V51" si="90">(V50/U50-1)</f>
        <v>-1.2684264655467903E-2</v>
      </c>
      <c r="W51" s="1648">
        <f t="shared" ref="W51" si="91">(W50/V50-1)</f>
        <v>-2.1527777777777812E-2</v>
      </c>
      <c r="X51" s="1648">
        <f t="shared" ref="X51" si="92">(X50/W50-1)</f>
        <v>-1.8097941802696971E-2</v>
      </c>
      <c r="Y51" s="1648">
        <f t="shared" ref="Y51" si="93">(Y50/X50-1)</f>
        <v>3.6140224069391991E-4</v>
      </c>
      <c r="Z51" s="1648">
        <f t="shared" ref="Z51" si="94">(Z50/Y50-1)</f>
        <v>1.3005780346820872E-2</v>
      </c>
      <c r="AA51" s="1648">
        <f t="shared" ref="AA51" si="95">(AA50/Z50-1)</f>
        <v>-1.5335235378031387E-2</v>
      </c>
      <c r="AB51" s="1648">
        <f>(AB50/AA50-1)</f>
        <v>-3.4770010865628365E-2</v>
      </c>
      <c r="AC51" s="1648">
        <f>(AC50/AB50-1)</f>
        <v>-2.5515947467167011E-2</v>
      </c>
      <c r="AD51" s="1648">
        <f>(AD50/AC50-1)</f>
        <v>-4.3126684636118573E-2</v>
      </c>
      <c r="AE51" s="1089">
        <f>(AE50/AD50-1)</f>
        <v>-3.058350100603624E-2</v>
      </c>
      <c r="AF51" s="1089">
        <f t="shared" ref="AF51" si="96">(AF50/AE50-1)</f>
        <v>-4.15110004151098E-3</v>
      </c>
      <c r="AG51" s="1089">
        <f>(AG50/AF50-1)</f>
        <v>-4.1684035014589726E-3</v>
      </c>
      <c r="AH51" s="1648">
        <f>(AH50/AG50-1)</f>
        <v>-6.2787777312682813E-3</v>
      </c>
      <c r="AI51" s="1090"/>
      <c r="AJ51" s="1094"/>
      <c r="AK51" s="1079"/>
      <c r="AL51" s="1683"/>
      <c r="AM51" s="1091"/>
    </row>
    <row r="52" spans="1:39" hidden="1" outlineLevel="1">
      <c r="A52" s="2033" t="s">
        <v>128</v>
      </c>
      <c r="B52" s="1648">
        <f t="shared" ref="B52:M52" si="97">+B49/B46-1</f>
        <v>0.13427561837455837</v>
      </c>
      <c r="C52" s="1648">
        <f t="shared" si="97"/>
        <v>0.10799584631360326</v>
      </c>
      <c r="D52" s="1648">
        <f t="shared" si="97"/>
        <v>7.1227741330834204E-2</v>
      </c>
      <c r="E52" s="1648">
        <f t="shared" si="97"/>
        <v>2.624671916010568E-3</v>
      </c>
      <c r="F52" s="1648">
        <f t="shared" si="97"/>
        <v>0.1003490401396161</v>
      </c>
      <c r="G52" s="1648">
        <f t="shared" si="97"/>
        <v>6.1855670103092786E-2</v>
      </c>
      <c r="H52" s="1648">
        <f t="shared" si="97"/>
        <v>7.0948469006721471E-2</v>
      </c>
      <c r="I52" s="1648">
        <f t="shared" si="97"/>
        <v>0.10808926080892611</v>
      </c>
      <c r="J52" s="1648">
        <f t="shared" si="97"/>
        <v>0.14222781623662684</v>
      </c>
      <c r="K52" s="1648">
        <f t="shared" si="97"/>
        <v>0.21621621621621623</v>
      </c>
      <c r="L52" s="1648">
        <f t="shared" si="97"/>
        <v>0.20740740740740748</v>
      </c>
      <c r="M52" s="1648">
        <f t="shared" si="97"/>
        <v>0.18202247191011245</v>
      </c>
      <c r="N52" s="1648"/>
      <c r="O52" s="1648"/>
      <c r="P52" s="1089"/>
      <c r="Q52" s="1089"/>
      <c r="R52" s="1089"/>
      <c r="S52" s="1648"/>
      <c r="T52" s="1648"/>
      <c r="U52" s="1648"/>
      <c r="V52" s="1648"/>
      <c r="W52" s="1648"/>
      <c r="X52" s="1648"/>
      <c r="Y52" s="1648"/>
      <c r="Z52" s="1648"/>
      <c r="AA52" s="1648"/>
      <c r="AB52" s="1648"/>
      <c r="AC52" s="1648"/>
      <c r="AD52" s="1648"/>
      <c r="AE52" s="1089"/>
      <c r="AF52" s="1089"/>
      <c r="AG52" s="1089"/>
      <c r="AH52" s="1648"/>
      <c r="AI52" s="1090"/>
      <c r="AJ52" s="1094"/>
      <c r="AK52" s="1079"/>
      <c r="AL52" s="1683"/>
      <c r="AM52" s="1091"/>
    </row>
    <row r="53" spans="1:39" collapsed="1">
      <c r="A53" s="1651"/>
      <c r="B53" s="1651"/>
      <c r="C53" s="1651"/>
      <c r="D53" s="1651"/>
      <c r="E53" s="1651"/>
      <c r="F53" s="1651"/>
      <c r="G53" s="1651"/>
      <c r="H53" s="1648"/>
      <c r="I53" s="1648"/>
      <c r="J53" s="1651"/>
      <c r="K53" s="1651"/>
      <c r="L53" s="1651"/>
      <c r="M53" s="1651"/>
      <c r="N53" s="1651"/>
      <c r="O53" s="1651"/>
      <c r="P53" s="1069"/>
      <c r="Q53" s="1069"/>
      <c r="R53" s="1069"/>
      <c r="S53" s="1651"/>
      <c r="T53" s="1651"/>
      <c r="U53" s="1651"/>
      <c r="V53" s="1651"/>
      <c r="W53" s="1651"/>
      <c r="X53" s="1651"/>
      <c r="Y53" s="1651"/>
      <c r="Z53" s="1651"/>
      <c r="AA53" s="1651"/>
      <c r="AB53" s="1651"/>
      <c r="AC53" s="1651"/>
      <c r="AD53" s="1651"/>
      <c r="AE53" s="1069"/>
      <c r="AF53" s="1069"/>
      <c r="AG53" s="1069"/>
      <c r="AH53" s="1651"/>
      <c r="AI53" s="1090"/>
      <c r="AJ53" s="1094"/>
      <c r="AK53" s="1079"/>
      <c r="AL53" s="1683"/>
      <c r="AM53" s="1091"/>
    </row>
    <row r="54" spans="1:39">
      <c r="A54" s="2033" t="s">
        <v>62</v>
      </c>
      <c r="B54" s="1649">
        <f t="shared" ref="B54:AH54" si="98">(B43)/B50</f>
        <v>1.8763796909492274</v>
      </c>
      <c r="C54" s="1649">
        <f t="shared" si="98"/>
        <v>2.1625615763546797</v>
      </c>
      <c r="D54" s="1649">
        <f t="shared" si="98"/>
        <v>2.3402714932126698</v>
      </c>
      <c r="E54" s="1649">
        <f t="shared" si="98"/>
        <v>2.450851900393185</v>
      </c>
      <c r="F54" s="1649">
        <f t="shared" si="98"/>
        <v>2.5326132114665558</v>
      </c>
      <c r="G54" s="1649">
        <f t="shared" si="98"/>
        <v>2.5730769230769233</v>
      </c>
      <c r="H54" s="1649">
        <f t="shared" si="98"/>
        <v>2.3252794807068158</v>
      </c>
      <c r="I54" s="1649">
        <f t="shared" si="98"/>
        <v>2.4545153820707908</v>
      </c>
      <c r="J54" s="1649">
        <f t="shared" si="98"/>
        <v>2.7056404230317272</v>
      </c>
      <c r="K54" s="1649">
        <f t="shared" si="98"/>
        <v>2.4898373983739837</v>
      </c>
      <c r="L54" s="1649">
        <f t="shared" si="98"/>
        <v>2.4744127516778525</v>
      </c>
      <c r="M54" s="1649">
        <f t="shared" si="98"/>
        <v>2.8887744593202882</v>
      </c>
      <c r="N54" s="1649">
        <f t="shared" si="98"/>
        <v>2.9447453954496208</v>
      </c>
      <c r="O54" s="1649">
        <f t="shared" si="98"/>
        <v>3.2264730522200504</v>
      </c>
      <c r="P54" s="1102">
        <f t="shared" si="98"/>
        <v>4.2713864306784659</v>
      </c>
      <c r="Q54" s="1102">
        <f t="shared" si="98"/>
        <v>4.6009421265141315</v>
      </c>
      <c r="R54" s="1102">
        <f t="shared" si="98"/>
        <v>4.4370951244459595</v>
      </c>
      <c r="S54" s="1649">
        <f t="shared" si="98"/>
        <v>4.2799452429842573</v>
      </c>
      <c r="T54" s="1649">
        <f t="shared" si="98"/>
        <v>4.1160621761658032</v>
      </c>
      <c r="U54" s="1649">
        <f t="shared" si="98"/>
        <v>3.8402468289338363</v>
      </c>
      <c r="V54" s="1649">
        <f t="shared" si="98"/>
        <v>3.9826388888888888</v>
      </c>
      <c r="W54" s="1649">
        <f t="shared" si="98"/>
        <v>4.0205819730305183</v>
      </c>
      <c r="X54" s="1649">
        <f t="shared" si="98"/>
        <v>4.311528731478135</v>
      </c>
      <c r="Y54" s="1649">
        <f t="shared" si="98"/>
        <v>4.5888728323699421</v>
      </c>
      <c r="Z54" s="1649">
        <f t="shared" si="98"/>
        <v>4.3972895863052779</v>
      </c>
      <c r="AA54" s="1649">
        <f t="shared" si="98"/>
        <v>4.165881926838102</v>
      </c>
      <c r="AB54" s="1649">
        <f t="shared" si="98"/>
        <v>4.0938086303939967</v>
      </c>
      <c r="AC54" s="1649">
        <f t="shared" si="98"/>
        <v>4.0954948016942625</v>
      </c>
      <c r="AD54" s="1649">
        <f t="shared" si="98"/>
        <v>4.1568695029791556</v>
      </c>
      <c r="AE54" s="1102">
        <f t="shared" si="98"/>
        <v>4.2358333594511626</v>
      </c>
      <c r="AF54" s="1102">
        <f t="shared" si="98"/>
        <v>4.2015582903245452</v>
      </c>
      <c r="AG54" s="1102">
        <f t="shared" si="98"/>
        <v>4.1683101796973157</v>
      </c>
      <c r="AH54" s="1649">
        <f t="shared" si="98"/>
        <v>4.1354559099001404</v>
      </c>
      <c r="AI54" s="1090"/>
      <c r="AJ54" s="1094"/>
      <c r="AK54" s="1079"/>
      <c r="AL54" s="1683"/>
      <c r="AM54" s="1091"/>
    </row>
    <row r="55" spans="1:39">
      <c r="A55" s="2033" t="s">
        <v>490</v>
      </c>
      <c r="B55" s="1650"/>
      <c r="C55" s="1650"/>
      <c r="D55" s="1650">
        <f t="shared" ref="D55" si="99">D54/C54-1</f>
        <v>8.2175656314742662E-2</v>
      </c>
      <c r="E55" s="1650">
        <f t="shared" ref="E55" si="100">E54/D54-1</f>
        <v>4.7251102062826567E-2</v>
      </c>
      <c r="F55" s="1650">
        <f t="shared" ref="F55" si="101">F54/E54-1</f>
        <v>3.3360363822984906E-2</v>
      </c>
      <c r="G55" s="1650">
        <f t="shared" ref="G55" si="102">G54/F54-1</f>
        <v>1.5977059357964896E-2</v>
      </c>
      <c r="H55" s="1650">
        <f t="shared" ref="H55" si="103">H54/G54-1</f>
        <v>-9.6303938738756312E-2</v>
      </c>
      <c r="I55" s="1650">
        <f t="shared" ref="I55" si="104">I54/H54-1</f>
        <v>5.5578652990431632E-2</v>
      </c>
      <c r="J55" s="1650">
        <f t="shared" ref="J55" si="105">J54/I54-1</f>
        <v>0.10231145536723862</v>
      </c>
      <c r="K55" s="1650">
        <f t="shared" ref="K55" si="106">K54/J54-1</f>
        <v>-7.9760423011396187E-2</v>
      </c>
      <c r="L55" s="1650">
        <f t="shared" ref="L55" si="107">L54/K54-1</f>
        <v>-6.1950417750992193E-3</v>
      </c>
      <c r="M55" s="1650">
        <f t="shared" ref="M55" si="108">M54/L54-1</f>
        <v>0.16745860502111665</v>
      </c>
      <c r="N55" s="1650">
        <f t="shared" ref="N55" si="109">N54/M54-1</f>
        <v>1.9375322275073881E-2</v>
      </c>
      <c r="O55" s="1650">
        <f t="shared" ref="O55" si="110">O54/N54-1</f>
        <v>9.5671312435285705E-2</v>
      </c>
      <c r="P55" s="1103">
        <f t="shared" ref="P55" si="111">P54/O54-1</f>
        <v>0.32385622366795785</v>
      </c>
      <c r="Q55" s="1103">
        <f t="shared" ref="Q55" si="112">Q54/P54-1</f>
        <v>7.7154268569261442E-2</v>
      </c>
      <c r="R55" s="1103">
        <f t="shared" ref="R55" si="113">R54/Q54-1</f>
        <v>-3.5611619873234357E-2</v>
      </c>
      <c r="S55" s="1650">
        <f t="shared" ref="S55" si="114">S54/R54-1</f>
        <v>-3.5417289252126394E-2</v>
      </c>
      <c r="T55" s="1650">
        <f t="shared" ref="T55" si="115">T54/S54-1</f>
        <v>-3.8290926054975416E-2</v>
      </c>
      <c r="U55" s="1650">
        <f t="shared" ref="U55" si="116">U54/T54-1</f>
        <v>-6.7009519153788499E-2</v>
      </c>
      <c r="V55" s="1650">
        <f t="shared" ref="V55" si="117">V54/U54-1</f>
        <v>3.7078882243250177E-2</v>
      </c>
      <c r="W55" s="1650">
        <f t="shared" ref="W55" si="118">W54/V54-1</f>
        <v>9.5271213886567452E-3</v>
      </c>
      <c r="X55" s="1650">
        <f t="shared" ref="X55" si="119">X54/W54-1</f>
        <v>7.2364339391472576E-2</v>
      </c>
      <c r="Y55" s="1650">
        <f t="shared" ref="Y55" si="120">Y54/X54-1</f>
        <v>6.4326163216062993E-2</v>
      </c>
      <c r="Z55" s="1650">
        <f t="shared" ref="Z55" si="121">Z54/Y54-1</f>
        <v>-4.1749521737284745E-2</v>
      </c>
      <c r="AA55" s="1650">
        <f t="shared" ref="AA55" si="122">AA54/Z54-1</f>
        <v>-5.2625067084019594E-2</v>
      </c>
      <c r="AB55" s="1650">
        <f>AB54/AA54-1</f>
        <v>-1.7300849546354913E-2</v>
      </c>
      <c r="AC55" s="1650">
        <f>AC54/AB54-1</f>
        <v>4.1188327362129407E-4</v>
      </c>
      <c r="AD55" s="1650">
        <f>AD54/AC54-1</f>
        <v>1.4985906284022965E-2</v>
      </c>
      <c r="AE55" s="1103">
        <f>AE54/AD54-1</f>
        <v>1.8995991193713202E-2</v>
      </c>
      <c r="AF55" s="1103">
        <f t="shared" ref="AF55" si="123">AF54/AE54-1</f>
        <v>-8.0916944124209689E-3</v>
      </c>
      <c r="AG55" s="1103">
        <f>AG54/AF54-1</f>
        <v>-7.9132808186415105E-3</v>
      </c>
      <c r="AH55" s="1650">
        <f>AH54/AG54-1</f>
        <v>-7.8819157838107001E-3</v>
      </c>
      <c r="AI55" s="1090"/>
      <c r="AJ55" s="1094"/>
      <c r="AK55" s="1079"/>
      <c r="AL55" s="1683"/>
      <c r="AM55" s="1091"/>
    </row>
    <row r="56" spans="1:39">
      <c r="A56" s="1651"/>
      <c r="B56" s="1651"/>
      <c r="C56" s="1651"/>
      <c r="D56" s="1651"/>
      <c r="E56" s="1651"/>
      <c r="F56" s="1651"/>
      <c r="G56" s="1651"/>
      <c r="H56" s="1651"/>
      <c r="I56" s="1651"/>
      <c r="J56" s="1651"/>
      <c r="K56" s="1651"/>
      <c r="L56" s="1651"/>
      <c r="M56" s="1651"/>
      <c r="N56" s="1651"/>
      <c r="O56" s="1651"/>
      <c r="P56" s="1069"/>
      <c r="Q56" s="1069"/>
      <c r="R56" s="1069"/>
      <c r="S56" s="1651"/>
      <c r="T56" s="1651"/>
      <c r="U56" s="1651"/>
      <c r="V56" s="1651"/>
      <c r="W56" s="1651"/>
      <c r="X56" s="1651"/>
      <c r="Y56" s="1651"/>
      <c r="Z56" s="1651"/>
      <c r="AA56" s="1651"/>
      <c r="AB56" s="1651"/>
      <c r="AC56" s="1651"/>
      <c r="AD56" s="1651"/>
      <c r="AE56" s="1069"/>
      <c r="AF56" s="1069"/>
      <c r="AG56" s="1069"/>
      <c r="AH56" s="1651"/>
      <c r="AI56" s="1090"/>
      <c r="AJ56" s="1094"/>
      <c r="AK56" s="1079"/>
      <c r="AL56" s="1683"/>
      <c r="AM56" s="1091"/>
    </row>
    <row r="57" spans="1:39">
      <c r="A57" s="2033" t="s">
        <v>502</v>
      </c>
      <c r="B57" s="2049"/>
      <c r="C57" s="2049"/>
      <c r="D57" s="1652">
        <f t="shared" ref="D57" si="124">+(C60+D60)/2</f>
        <v>5.3755000000000006</v>
      </c>
      <c r="E57" s="1652">
        <f t="shared" ref="E57" si="125">+(D60+E60)/2</f>
        <v>6.0086335000000002</v>
      </c>
      <c r="F57" s="1652">
        <f t="shared" ref="F57" si="126">+(E60+F60)/2</f>
        <v>6.7510669999999999</v>
      </c>
      <c r="G57" s="1652">
        <f t="shared" ref="G57" si="127">+(F60+G60)/2</f>
        <v>7.543015500000001</v>
      </c>
      <c r="H57" s="1652">
        <f t="shared" ref="H57" si="128">+(G60+H60)/2</f>
        <v>8.1235859999999995</v>
      </c>
      <c r="I57" s="1652">
        <f t="shared" ref="I57" si="129">+(H60+I60)/2</f>
        <v>8.8538540000000001</v>
      </c>
      <c r="J57" s="1652">
        <f t="shared" ref="J57" si="130">+(I60+J60)/2</f>
        <v>9.9211953887884263</v>
      </c>
      <c r="K57" s="1652">
        <f>+(J60+K60)/2</f>
        <v>11.462345388788426</v>
      </c>
      <c r="L57" s="1652">
        <f>+(K60+L60)/2</f>
        <v>13.75</v>
      </c>
      <c r="M57" s="1652">
        <f t="shared" ref="M57" si="131">+(L60+M60)/2</f>
        <v>15.899999999999999</v>
      </c>
      <c r="N57" s="1652">
        <f t="shared" ref="N57" si="132">+(M60+N60)/2</f>
        <v>16.75</v>
      </c>
      <c r="O57" s="1652">
        <f t="shared" ref="O57" si="133">+(N60+O60)/2</f>
        <v>16.503728500000001</v>
      </c>
      <c r="P57" s="1104">
        <f t="shared" ref="P57" si="134">+(O60+P60)/2</f>
        <v>15.803728500000002</v>
      </c>
      <c r="Q57" s="1104">
        <f t="shared" ref="Q57" si="135">+(P60+Q60)/2</f>
        <v>15.25</v>
      </c>
      <c r="R57" s="1104">
        <f t="shared" ref="R57" si="136">+(Q60+R60)/2</f>
        <v>14.95</v>
      </c>
      <c r="S57" s="1652">
        <f t="shared" ref="S57" si="137">+(R60+S60)/2</f>
        <v>14.8</v>
      </c>
      <c r="T57" s="1652">
        <f t="shared" ref="T57" si="138">+(S60+T60)/2</f>
        <v>14.55</v>
      </c>
      <c r="U57" s="1652">
        <f t="shared" ref="U57" si="139">+(T60+U60)/2</f>
        <v>14.25</v>
      </c>
      <c r="V57" s="1652">
        <f t="shared" ref="V57" si="140">+(U60+V60)/2</f>
        <v>14.1</v>
      </c>
      <c r="W57" s="1652">
        <f t="shared" ref="W57" si="141">+(V60+W60)/2</f>
        <v>13.95</v>
      </c>
      <c r="X57" s="1652">
        <f t="shared" ref="X57" si="142">+(W60+X60)/2</f>
        <v>13.849999999999998</v>
      </c>
      <c r="Y57" s="1652">
        <f t="shared" ref="Y57" si="143">+(X60+Y60)/2</f>
        <v>13.95</v>
      </c>
      <c r="Z57" s="1652">
        <f t="shared" ref="Z57" si="144">+(Y60+Z60)/2</f>
        <v>14.2</v>
      </c>
      <c r="AA57" s="1652">
        <f>+(Z60+AA60)/2</f>
        <v>13.95</v>
      </c>
      <c r="AB57" s="1652">
        <f>+(AA60+AB60)/2</f>
        <v>13.4</v>
      </c>
      <c r="AC57" s="1652">
        <f>+(AB60+AC60)/2</f>
        <v>12.950000000000001</v>
      </c>
      <c r="AD57" s="1652">
        <f>+(AC60+AD60)/2</f>
        <v>12.345000000000001</v>
      </c>
      <c r="AE57" s="1104">
        <f>+(AD60+AE60)/2</f>
        <v>11.97</v>
      </c>
      <c r="AF57" s="1104">
        <f t="shared" ref="AF57" si="145">+(AE60+AF60)/2</f>
        <v>11.930000000000001</v>
      </c>
      <c r="AG57" s="1104">
        <f>+(AF60+AG60)/2</f>
        <v>11.890000000000002</v>
      </c>
      <c r="AH57" s="1652">
        <f>+(AG60+AH60)/2</f>
        <v>11.830000000000002</v>
      </c>
      <c r="AI57" s="1090"/>
      <c r="AJ57" s="1094">
        <f>((AB57/W57)^(1/5)-1)*100</f>
        <v>-0.80126861751996792</v>
      </c>
      <c r="AK57" s="1110" t="s">
        <v>489</v>
      </c>
      <c r="AL57" s="1683">
        <f>((AH57/AB57)^(1/6)-1)*100</f>
        <v>-2.0555140931863503</v>
      </c>
      <c r="AM57" s="1091" t="s">
        <v>489</v>
      </c>
    </row>
    <row r="58" spans="1:39">
      <c r="A58" s="2033" t="s">
        <v>490</v>
      </c>
      <c r="B58" s="1648"/>
      <c r="C58" s="1648"/>
      <c r="D58" s="1648"/>
      <c r="E58" s="1648">
        <f t="shared" ref="E58" si="146">E57/D57-1</f>
        <v>0.11778132266765873</v>
      </c>
      <c r="F58" s="1648">
        <f t="shared" ref="F58" si="147">F57/E57-1</f>
        <v>0.12356112250813767</v>
      </c>
      <c r="G58" s="1648">
        <f t="shared" ref="G58" si="148">G57/F57-1</f>
        <v>0.11730716048292833</v>
      </c>
      <c r="H58" s="1648">
        <f t="shared" ref="H58" si="149">H57/G57-1</f>
        <v>7.6967957973836709E-2</v>
      </c>
      <c r="I58" s="1648">
        <f t="shared" ref="I58" si="150">I57/H57-1</f>
        <v>8.989478291975983E-2</v>
      </c>
      <c r="J58" s="1648">
        <f t="shared" ref="J58" si="151">J57/I57-1</f>
        <v>0.12055104915762405</v>
      </c>
      <c r="K58" s="1648">
        <f>K57/J57-1</f>
        <v>0.15533914408556004</v>
      </c>
      <c r="L58" s="1648">
        <f>L57/K57-1</f>
        <v>0.19957997544282513</v>
      </c>
      <c r="M58" s="1648">
        <f t="shared" ref="M58" si="152">M57/L57-1</f>
        <v>0.15636363636363626</v>
      </c>
      <c r="N58" s="1648">
        <f t="shared" ref="N58" si="153">N57/M57-1</f>
        <v>5.3459119496855445E-2</v>
      </c>
      <c r="O58" s="1648">
        <f t="shared" ref="O58" si="154">O57/N57-1</f>
        <v>-1.470277611940296E-2</v>
      </c>
      <c r="P58" s="1089">
        <f t="shared" ref="P58" si="155">P57/O57-1</f>
        <v>-4.2414657996827754E-2</v>
      </c>
      <c r="Q58" s="1089">
        <f t="shared" ref="Q58" si="156">Q57/P57-1</f>
        <v>-3.5037839330130383E-2</v>
      </c>
      <c r="R58" s="1089">
        <f t="shared" ref="R58" si="157">R57/Q57-1</f>
        <v>-1.9672131147541072E-2</v>
      </c>
      <c r="S58" s="1648">
        <f t="shared" ref="S58" si="158">S57/R57-1</f>
        <v>-1.0033444816053394E-2</v>
      </c>
      <c r="T58" s="1648">
        <f t="shared" ref="T58" si="159">T57/S57-1</f>
        <v>-1.6891891891891886E-2</v>
      </c>
      <c r="U58" s="1648">
        <f t="shared" ref="U58" si="160">U57/T57-1</f>
        <v>-2.0618556701030966E-2</v>
      </c>
      <c r="V58" s="1648">
        <f t="shared" ref="V58" si="161">V57/U57-1</f>
        <v>-1.0526315789473717E-2</v>
      </c>
      <c r="W58" s="1648">
        <f t="shared" ref="W58" si="162">W57/V57-1</f>
        <v>-1.0638297872340496E-2</v>
      </c>
      <c r="X58" s="1648">
        <f t="shared" ref="X58" si="163">X57/W57-1</f>
        <v>-7.1684587813620748E-3</v>
      </c>
      <c r="Y58" s="1648">
        <f t="shared" ref="Y58" si="164">Y57/X57-1</f>
        <v>7.2202166064982976E-3</v>
      </c>
      <c r="Z58" s="1648">
        <f t="shared" ref="Z58" si="165">Z57/Y57-1</f>
        <v>1.7921146953405076E-2</v>
      </c>
      <c r="AA58" s="1648">
        <f t="shared" ref="AA58" si="166">AA57/Z57-1</f>
        <v>-1.7605633802816878E-2</v>
      </c>
      <c r="AB58" s="1648">
        <f>AB57/AA57-1</f>
        <v>-3.9426523297490967E-2</v>
      </c>
      <c r="AC58" s="1648">
        <f>AC57/AB57-1</f>
        <v>-3.3582089552238736E-2</v>
      </c>
      <c r="AD58" s="1648">
        <f>AD57/AC57-1</f>
        <v>-4.671814671814678E-2</v>
      </c>
      <c r="AE58" s="1089">
        <f>AE57/AD57-1</f>
        <v>-3.0376670716889431E-2</v>
      </c>
      <c r="AF58" s="1089">
        <f t="shared" ref="AF58" si="167">AF57/AE57-1</f>
        <v>-3.3416875522137568E-3</v>
      </c>
      <c r="AG58" s="1089">
        <f>AG57/AF57-1</f>
        <v>-3.3528918692371512E-3</v>
      </c>
      <c r="AH58" s="1648">
        <f>AH57/AG57-1</f>
        <v>-5.046257359125339E-3</v>
      </c>
      <c r="AI58" s="1090"/>
      <c r="AJ58" s="1094"/>
      <c r="AK58" s="1079"/>
      <c r="AL58" s="1683"/>
      <c r="AM58" s="1091"/>
    </row>
    <row r="59" spans="1:39">
      <c r="A59" s="1651"/>
      <c r="B59" s="1651"/>
      <c r="C59" s="1651"/>
      <c r="D59" s="1651"/>
      <c r="E59" s="1651"/>
      <c r="F59" s="1651"/>
      <c r="G59" s="1651"/>
      <c r="H59" s="1651"/>
      <c r="I59" s="1651"/>
      <c r="J59" s="1651"/>
      <c r="K59" s="1651"/>
      <c r="L59" s="1651"/>
      <c r="M59" s="1651"/>
      <c r="N59" s="1651"/>
      <c r="O59" s="1651"/>
      <c r="P59" s="1069"/>
      <c r="Q59" s="1069"/>
      <c r="R59" s="1069"/>
      <c r="S59" s="1651"/>
      <c r="T59" s="1651"/>
      <c r="U59" s="1651"/>
      <c r="V59" s="1651"/>
      <c r="W59" s="1651"/>
      <c r="X59" s="1651"/>
      <c r="Y59" s="1651"/>
      <c r="Z59" s="1651"/>
      <c r="AA59" s="1651"/>
      <c r="AB59" s="1651"/>
      <c r="AC59" s="1651"/>
      <c r="AD59" s="1651"/>
      <c r="AE59" s="1069"/>
      <c r="AF59" s="1069"/>
      <c r="AG59" s="1069"/>
      <c r="AH59" s="1651"/>
      <c r="AI59" s="1090"/>
      <c r="AJ59" s="1094"/>
      <c r="AK59" s="1079"/>
      <c r="AL59" s="1683"/>
      <c r="AM59" s="1091"/>
    </row>
    <row r="60" spans="1:39">
      <c r="A60" s="2033" t="s">
        <v>503</v>
      </c>
      <c r="B60" s="2049"/>
      <c r="C60" s="1644">
        <f>C216+C258+C301</f>
        <v>5.0070000000000006</v>
      </c>
      <c r="D60" s="1644">
        <f t="shared" ref="D60:O60" si="168">D216+D258+D301</f>
        <v>5.7439999999999998</v>
      </c>
      <c r="E60" s="1644">
        <f t="shared" si="168"/>
        <v>6.2732669999999997</v>
      </c>
      <c r="F60" s="1644">
        <f t="shared" si="168"/>
        <v>7.2288670000000002</v>
      </c>
      <c r="G60" s="1644">
        <f t="shared" si="168"/>
        <v>7.8571640000000009</v>
      </c>
      <c r="H60" s="1644">
        <f t="shared" si="168"/>
        <v>8.3900079999999999</v>
      </c>
      <c r="I60" s="1644">
        <f t="shared" si="168"/>
        <v>9.3177000000000003</v>
      </c>
      <c r="J60" s="1644">
        <f t="shared" si="168"/>
        <v>10.524690777576852</v>
      </c>
      <c r="K60" s="1644">
        <f t="shared" si="168"/>
        <v>12.4</v>
      </c>
      <c r="L60" s="1644">
        <f t="shared" si="168"/>
        <v>15.1</v>
      </c>
      <c r="M60" s="1644">
        <f t="shared" si="168"/>
        <v>16.7</v>
      </c>
      <c r="N60" s="1644">
        <f t="shared" si="168"/>
        <v>16.8</v>
      </c>
      <c r="O60" s="1644">
        <f t="shared" si="168"/>
        <v>16.207457000000002</v>
      </c>
      <c r="P60" s="1644">
        <f>'Store New'!E28</f>
        <v>15.4</v>
      </c>
      <c r="Q60" s="1644">
        <f>'Store New'!I28</f>
        <v>15.1</v>
      </c>
      <c r="R60" s="1644">
        <f>'Store New'!M28</f>
        <v>14.8</v>
      </c>
      <c r="S60" s="1644">
        <f>'Store New'!Q28</f>
        <v>14.799999999999999</v>
      </c>
      <c r="T60" s="1644">
        <f>'Store New'!U28</f>
        <v>14.3</v>
      </c>
      <c r="U60" s="1644">
        <f>'Store New'!Y28</f>
        <v>14.2</v>
      </c>
      <c r="V60" s="1644">
        <f>'Store New'!AC28</f>
        <v>14</v>
      </c>
      <c r="W60" s="1644">
        <f>'Store New'!AG28</f>
        <v>13.899999999999999</v>
      </c>
      <c r="X60" s="1644">
        <f>'Store New'!AK28</f>
        <v>13.799999999999999</v>
      </c>
      <c r="Y60" s="1644">
        <f>'Store New'!AO28</f>
        <v>14.099999999999998</v>
      </c>
      <c r="Z60" s="1644">
        <f>'Store New'!AS28</f>
        <v>14.3</v>
      </c>
      <c r="AA60" s="1644">
        <f>'Store New'!AW28</f>
        <v>13.6</v>
      </c>
      <c r="AB60" s="1644">
        <f>'Store New'!BA28</f>
        <v>13.200000000000001</v>
      </c>
      <c r="AC60" s="1644">
        <f>'Store New'!BE28</f>
        <v>12.700000000000001</v>
      </c>
      <c r="AD60" s="1659">
        <f>'Store New'!BI28</f>
        <v>11.99</v>
      </c>
      <c r="AE60" s="1659">
        <f>AD60+((AE47+AE48)*AE72/1000000)</f>
        <v>11.950000000000001</v>
      </c>
      <c r="AF60" s="1659">
        <f>AE60+((AF47+AF48)*AF72/1000000)</f>
        <v>11.910000000000002</v>
      </c>
      <c r="AG60" s="1659">
        <f>AF60+((AG47+AG48)*AG72/1000000)</f>
        <v>11.870000000000003</v>
      </c>
      <c r="AH60" s="1659">
        <f>AG60+((AH47+AH48)*AH72/1000000)</f>
        <v>11.790000000000003</v>
      </c>
      <c r="AI60" s="1090"/>
      <c r="AJ60" s="1094">
        <f>((AB60/W60)^(1/5)-1)*100</f>
        <v>-1.0281185653240432</v>
      </c>
      <c r="AK60" s="1110" t="s">
        <v>489</v>
      </c>
      <c r="AL60" s="1683">
        <f>((AH60/AB60)^(1/6)-1)*100</f>
        <v>-1.8651388534480784</v>
      </c>
      <c r="AM60" s="1091" t="s">
        <v>489</v>
      </c>
    </row>
    <row r="61" spans="1:39">
      <c r="A61" s="2033" t="s">
        <v>490</v>
      </c>
      <c r="B61" s="1648"/>
      <c r="C61" s="1648"/>
      <c r="D61" s="1648">
        <f t="shared" ref="D61" si="169">D60/C60-1</f>
        <v>0.1471939285000996</v>
      </c>
      <c r="E61" s="1648">
        <f t="shared" ref="E61" si="170">E60/D60-1</f>
        <v>9.2142583565459679E-2</v>
      </c>
      <c r="F61" s="1648">
        <f t="shared" ref="F61" si="171">F60/E60-1</f>
        <v>0.1523289220752122</v>
      </c>
      <c r="G61" s="1648">
        <f t="shared" ref="G61" si="172">G60/F60-1</f>
        <v>8.691500341616476E-2</v>
      </c>
      <c r="H61" s="1648">
        <f t="shared" ref="H61" si="173">H60/G60-1</f>
        <v>6.7816326603339139E-2</v>
      </c>
      <c r="I61" s="1648">
        <f t="shared" ref="I61" si="174">I60/H60-1</f>
        <v>0.11057105070698392</v>
      </c>
      <c r="J61" s="1648">
        <f t="shared" ref="J61" si="175">J60/I60-1</f>
        <v>0.12953741562583598</v>
      </c>
      <c r="K61" s="1648">
        <f t="shared" ref="K61" si="176">K60/J60-1</f>
        <v>0.17818188315979278</v>
      </c>
      <c r="L61" s="1648">
        <f t="shared" ref="L61" si="177">L60/K60-1</f>
        <v>0.217741935483871</v>
      </c>
      <c r="M61" s="1648">
        <f t="shared" ref="M61" si="178">M60/L60-1</f>
        <v>0.10596026490066213</v>
      </c>
      <c r="N61" s="1648">
        <f t="shared" ref="N61" si="179">N60/M60-1</f>
        <v>5.9880239520959666E-3</v>
      </c>
      <c r="O61" s="1648">
        <f t="shared" ref="O61" si="180">O60/N60-1</f>
        <v>-3.5270416666666637E-2</v>
      </c>
      <c r="P61" s="1089">
        <f t="shared" ref="P61" si="181">P60/O60-1</f>
        <v>-4.9820092072433098E-2</v>
      </c>
      <c r="Q61" s="1089">
        <f t="shared" ref="Q61" si="182">Q60/P60-1</f>
        <v>-1.9480519480519543E-2</v>
      </c>
      <c r="R61" s="1089">
        <f t="shared" ref="R61" si="183">R60/Q60-1</f>
        <v>-1.9867549668874052E-2</v>
      </c>
      <c r="S61" s="1648">
        <f t="shared" ref="S61" si="184">S60/R60-1</f>
        <v>0</v>
      </c>
      <c r="T61" s="1648">
        <f t="shared" ref="T61" si="185">T60/S60-1</f>
        <v>-3.3783783783783661E-2</v>
      </c>
      <c r="U61" s="1648">
        <f t="shared" ref="U61" si="186">U60/T60-1</f>
        <v>-6.9930069930070893E-3</v>
      </c>
      <c r="V61" s="1648">
        <f t="shared" ref="V61" si="187">V60/U60-1</f>
        <v>-1.4084507042253502E-2</v>
      </c>
      <c r="W61" s="1648">
        <f t="shared" ref="W61" si="188">W60/V60-1</f>
        <v>-7.1428571428572285E-3</v>
      </c>
      <c r="X61" s="1648">
        <f t="shared" ref="X61" si="189">X60/W60-1</f>
        <v>-7.194244604316502E-3</v>
      </c>
      <c r="Y61" s="1648">
        <f t="shared" ref="Y61" si="190">Y60/X60-1</f>
        <v>2.1739130434782483E-2</v>
      </c>
      <c r="Z61" s="1648">
        <f t="shared" ref="Z61" si="191">Z60/Y60-1</f>
        <v>1.418439716312081E-2</v>
      </c>
      <c r="AA61" s="1648">
        <f t="shared" ref="AA61" si="192">AA60/Z60-1</f>
        <v>-4.895104895104907E-2</v>
      </c>
      <c r="AB61" s="1648">
        <f t="shared" ref="AB61" si="193">AB60/AA60-1</f>
        <v>-2.9411764705882248E-2</v>
      </c>
      <c r="AC61" s="1648">
        <f>AC60/AB60-1</f>
        <v>-3.7878787878787845E-2</v>
      </c>
      <c r="AD61" s="1648">
        <f>AD60/AC60-1</f>
        <v>-5.5905511811023656E-2</v>
      </c>
      <c r="AE61" s="1089">
        <f>AE60/AD60-1</f>
        <v>-3.3361134278564464E-3</v>
      </c>
      <c r="AF61" s="1089">
        <f t="shared" ref="AF61" si="194">AF60/AE60-1</f>
        <v>-3.3472803347279756E-3</v>
      </c>
      <c r="AG61" s="1089">
        <f>AG60/AF60-1</f>
        <v>-3.3585222502098278E-3</v>
      </c>
      <c r="AH61" s="1648">
        <f>AH60/AG60-1</f>
        <v>-6.7396798652064049E-3</v>
      </c>
      <c r="AI61" s="1090"/>
      <c r="AJ61" s="1094"/>
      <c r="AK61" s="1079"/>
      <c r="AL61" s="1683"/>
      <c r="AM61" s="1091"/>
    </row>
    <row r="62" spans="1:39">
      <c r="A62" s="1651"/>
      <c r="B62" s="1651"/>
      <c r="C62" s="1651"/>
      <c r="D62" s="1651"/>
      <c r="E62" s="1651"/>
      <c r="F62" s="1651"/>
      <c r="G62" s="1651"/>
      <c r="H62" s="1651"/>
      <c r="I62" s="1651"/>
      <c r="J62" s="1651"/>
      <c r="K62" s="1651"/>
      <c r="L62" s="1651"/>
      <c r="M62" s="1651"/>
      <c r="N62" s="1651"/>
      <c r="O62" s="1651"/>
      <c r="P62" s="1069"/>
      <c r="Q62" s="1069"/>
      <c r="R62" s="1069"/>
      <c r="S62" s="1651"/>
      <c r="T62" s="1651"/>
      <c r="U62" s="1651"/>
      <c r="V62" s="1651"/>
      <c r="W62" s="1651"/>
      <c r="X62" s="1651"/>
      <c r="Y62" s="1651"/>
      <c r="Z62" s="1651"/>
      <c r="AA62" s="1651"/>
      <c r="AB62" s="1651"/>
      <c r="AC62" s="1651"/>
      <c r="AD62" s="1651"/>
      <c r="AE62" s="1069"/>
      <c r="AF62" s="1069"/>
      <c r="AG62" s="1069"/>
      <c r="AH62" s="1651"/>
      <c r="AI62" s="1090"/>
      <c r="AJ62" s="1094"/>
      <c r="AK62" s="1079"/>
      <c r="AL62" s="1683"/>
      <c r="AM62" s="1091"/>
    </row>
    <row r="63" spans="1:39">
      <c r="A63" s="2033" t="s">
        <v>504</v>
      </c>
      <c r="B63" s="1647"/>
      <c r="C63" s="1647">
        <f t="shared" ref="C63:AA63" si="195">C60/C49*1000000</f>
        <v>4692.596063730085</v>
      </c>
      <c r="D63" s="1647">
        <f t="shared" si="195"/>
        <v>5025.3718285214345</v>
      </c>
      <c r="E63" s="1647">
        <f t="shared" si="195"/>
        <v>5474.0549738219888</v>
      </c>
      <c r="F63" s="1647">
        <f t="shared" si="195"/>
        <v>5732.6463124504362</v>
      </c>
      <c r="G63" s="1647">
        <f t="shared" si="195"/>
        <v>5867.9342793129208</v>
      </c>
      <c r="H63" s="1647">
        <f t="shared" si="195"/>
        <v>5850.7726638772665</v>
      </c>
      <c r="I63" s="1647">
        <f t="shared" si="195"/>
        <v>5863.8766519823794</v>
      </c>
      <c r="J63" s="1647">
        <f t="shared" si="195"/>
        <v>5798.7277011442711</v>
      </c>
      <c r="K63" s="1647">
        <f t="shared" si="195"/>
        <v>5740.7407407407409</v>
      </c>
      <c r="L63" s="1647">
        <f t="shared" si="195"/>
        <v>5789.8773006134961</v>
      </c>
      <c r="M63" s="1647">
        <f t="shared" si="195"/>
        <v>7937.2623574144473</v>
      </c>
      <c r="N63" s="1647">
        <f t="shared" si="195"/>
        <v>9160.3053435114507</v>
      </c>
      <c r="O63" s="1647">
        <f t="shared" si="195"/>
        <v>9277.3079564968521</v>
      </c>
      <c r="P63" s="1107">
        <f t="shared" si="195"/>
        <v>9373.0979914790023</v>
      </c>
      <c r="Q63" s="1107">
        <f t="shared" si="195"/>
        <v>10342.465753424658</v>
      </c>
      <c r="R63" s="1107">
        <f t="shared" si="195"/>
        <v>10178.81705639615</v>
      </c>
      <c r="S63" s="1647">
        <f t="shared" si="195"/>
        <v>10249.307479224377</v>
      </c>
      <c r="T63" s="1647">
        <f t="shared" si="195"/>
        <v>10063.335679099226</v>
      </c>
      <c r="U63" s="1647">
        <f t="shared" si="195"/>
        <v>9833.7950138504148</v>
      </c>
      <c r="V63" s="1647">
        <f t="shared" si="195"/>
        <v>9790.2097902097903</v>
      </c>
      <c r="W63" s="1647">
        <f t="shared" si="195"/>
        <v>10014.409221902017</v>
      </c>
      <c r="X63" s="1647">
        <f t="shared" si="195"/>
        <v>10007.251631617113</v>
      </c>
      <c r="Y63" s="1647">
        <f t="shared" si="195"/>
        <v>10151.187904967601</v>
      </c>
      <c r="Z63" s="1647">
        <f t="shared" si="195"/>
        <v>10106.007067137809</v>
      </c>
      <c r="AA63" s="1647">
        <f t="shared" si="195"/>
        <v>10104.011887072809</v>
      </c>
      <c r="AB63" s="1647">
        <f>AB60/AB49*1000000</f>
        <v>10007.581501137225</v>
      </c>
      <c r="AC63" s="1647">
        <f t="shared" ref="AC63:AD63" si="196">AC60/AC49*1000000</f>
        <v>9937.4021909233179</v>
      </c>
      <c r="AD63" s="1647">
        <f t="shared" si="196"/>
        <v>9933.7199668599824</v>
      </c>
      <c r="AE63" s="1107">
        <f>AE60/AE49*1000000</f>
        <v>9941.7637271214644</v>
      </c>
      <c r="AF63" s="1107">
        <f t="shared" ref="AF63:AH63" si="197">AF60/AF49*1000000</f>
        <v>9949.8746867167938</v>
      </c>
      <c r="AG63" s="1107">
        <f t="shared" si="197"/>
        <v>9958.0536912751704</v>
      </c>
      <c r="AH63" s="1647">
        <f t="shared" si="197"/>
        <v>9974.6192893401039</v>
      </c>
      <c r="AI63" s="1100"/>
      <c r="AJ63" s="1094"/>
      <c r="AK63" s="1128"/>
      <c r="AL63" s="1683"/>
      <c r="AM63" s="1101"/>
    </row>
    <row r="64" spans="1:39">
      <c r="A64" s="2033" t="s">
        <v>490</v>
      </c>
      <c r="B64" s="1650"/>
      <c r="C64" s="1650"/>
      <c r="D64" s="1650">
        <f t="shared" ref="D64" si="198">D63/C63-1</f>
        <v>7.0915067112516494E-2</v>
      </c>
      <c r="E64" s="1650">
        <f t="shared" ref="E64" si="199">E63/D63-1</f>
        <v>8.9283571566597164E-2</v>
      </c>
      <c r="F64" s="1650">
        <f t="shared" ref="F64" si="200">F63/E63-1</f>
        <v>4.7239448610779888E-2</v>
      </c>
      <c r="G64" s="1650">
        <f t="shared" ref="G64" si="201">G63/F63-1</f>
        <v>2.3599566323960985E-2</v>
      </c>
      <c r="H64" s="1650">
        <f t="shared" ref="H64" si="202">H63/G63-1</f>
        <v>-2.9246434296574808E-3</v>
      </c>
      <c r="I64" s="1650">
        <f t="shared" ref="I64" si="203">I63/H63-1</f>
        <v>2.239702148404632E-3</v>
      </c>
      <c r="J64" s="1650">
        <f t="shared" ref="J64" si="204">J63/I63-1</f>
        <v>-1.1110218496169E-2</v>
      </c>
      <c r="K64" s="1650">
        <f t="shared" ref="K64" si="205">K63/J63-1</f>
        <v>-9.9999454004517929E-3</v>
      </c>
      <c r="L64" s="1650">
        <f t="shared" ref="L64" si="206">L63/K63-1</f>
        <v>8.5592717197702228E-3</v>
      </c>
      <c r="M64" s="1650">
        <f t="shared" ref="M64" si="207">M63/L63-1</f>
        <v>0.37088610782363451</v>
      </c>
      <c r="N64" s="1650">
        <f t="shared" ref="N64" si="208">N63/M63-1</f>
        <v>0.154088769026832</v>
      </c>
      <c r="O64" s="1650">
        <f t="shared" ref="O64" si="209">O63/N63-1</f>
        <v>1.2772785250906304E-2</v>
      </c>
      <c r="P64" s="1103">
        <f t="shared" ref="P64" si="210">P63/O63-1</f>
        <v>1.0325197291210841E-2</v>
      </c>
      <c r="Q64" s="1103">
        <f t="shared" ref="Q64" si="211">Q63/P63-1</f>
        <v>0.10342020992705914</v>
      </c>
      <c r="R64" s="1103">
        <f t="shared" ref="R64" si="212">R63/Q63-1</f>
        <v>-1.5822986600107392E-2</v>
      </c>
      <c r="S64" s="1650">
        <f t="shared" ref="S64" si="213">S63/R63-1</f>
        <v>6.9252077562325098E-3</v>
      </c>
      <c r="T64" s="1650">
        <f t="shared" ref="T64" si="214">T63/S63-1</f>
        <v>-1.8144816174372913E-2</v>
      </c>
      <c r="U64" s="1650">
        <f t="shared" ref="U64" si="215">U63/T63-1</f>
        <v>-2.2809600371927252E-2</v>
      </c>
      <c r="V64" s="1650">
        <f t="shared" ref="V64" si="216">V63/U63-1</f>
        <v>-4.4321875307790082E-3</v>
      </c>
      <c r="W64" s="1650">
        <f t="shared" ref="W64" si="217">W63/V63-1</f>
        <v>2.2900370522848768E-2</v>
      </c>
      <c r="X64" s="1650">
        <f t="shared" ref="X64" si="218">X63/W63-1</f>
        <v>-7.1472915938464165E-4</v>
      </c>
      <c r="Y64" s="1650">
        <f t="shared" ref="Y64" si="219">Y63/X63-1</f>
        <v>1.4383197170313222E-2</v>
      </c>
      <c r="Z64" s="1650">
        <f t="shared" ref="Z64" si="220">Z63/Y63-1</f>
        <v>-4.4507931734454331E-3</v>
      </c>
      <c r="AA64" s="1650">
        <f t="shared" ref="AA64" si="221">AA63/Z63-1</f>
        <v>-1.974251602779864E-4</v>
      </c>
      <c r="AB64" s="1650">
        <f>AB63/AA63-1</f>
        <v>-9.5437720198011666E-3</v>
      </c>
      <c r="AC64" s="1650">
        <f>AC63/AB63-1</f>
        <v>-7.012614406980533E-3</v>
      </c>
      <c r="AD64" s="1650">
        <f>AD63/AC63-1</f>
        <v>-3.7054191755458987E-4</v>
      </c>
      <c r="AE64" s="1103">
        <f>AE63/AD63-1</f>
        <v>8.0974300547187461E-4</v>
      </c>
      <c r="AF64" s="1103">
        <f t="shared" ref="AF64" si="222">AF63/AE63-1</f>
        <v>8.1584714925408974E-4</v>
      </c>
      <c r="AG64" s="1103">
        <f>AG63/AF63-1</f>
        <v>8.2202086115668038E-4</v>
      </c>
      <c r="AH64" s="1650">
        <f>AH63/AG63-1</f>
        <v>1.6635377332265833E-3</v>
      </c>
      <c r="AI64" s="1090"/>
      <c r="AJ64" s="1094"/>
      <c r="AK64" s="1079"/>
      <c r="AL64" s="1683"/>
      <c r="AM64" s="1091"/>
    </row>
    <row r="65" spans="1:43">
      <c r="A65" s="1651"/>
      <c r="B65" s="1651"/>
      <c r="C65" s="1651"/>
      <c r="D65" s="1651"/>
      <c r="E65" s="1651"/>
      <c r="F65" s="1651"/>
      <c r="G65" s="1651"/>
      <c r="H65" s="1651"/>
      <c r="I65" s="1651"/>
      <c r="J65" s="1651"/>
      <c r="K65" s="1651"/>
      <c r="L65" s="1651"/>
      <c r="M65" s="1651"/>
      <c r="N65" s="1651"/>
      <c r="O65" s="1651"/>
      <c r="P65" s="1069"/>
      <c r="Q65" s="1069"/>
      <c r="R65" s="1069"/>
      <c r="S65" s="1651"/>
      <c r="T65" s="1651"/>
      <c r="U65" s="1651"/>
      <c r="V65" s="1651"/>
      <c r="W65" s="1651"/>
      <c r="X65" s="1651"/>
      <c r="Y65" s="1651"/>
      <c r="Z65" s="1651"/>
      <c r="AA65" s="1651"/>
      <c r="AB65" s="1651"/>
      <c r="AC65" s="1651"/>
      <c r="AD65" s="1651"/>
      <c r="AE65" s="1069"/>
      <c r="AF65" s="1069"/>
      <c r="AG65" s="1069"/>
      <c r="AH65" s="1651"/>
      <c r="AI65" s="1090"/>
      <c r="AJ65" s="1094"/>
      <c r="AK65" s="1079"/>
      <c r="AL65" s="1683"/>
      <c r="AM65" s="1091"/>
      <c r="AQ65" s="1148"/>
    </row>
    <row r="66" spans="1:43">
      <c r="A66" s="2033" t="s">
        <v>63</v>
      </c>
      <c r="B66" s="1640"/>
      <c r="C66" s="1640"/>
      <c r="D66" s="1640">
        <f t="shared" ref="D66:AH66" si="223">+D43/D57</f>
        <v>481.07152822993203</v>
      </c>
      <c r="E66" s="1640">
        <f t="shared" si="223"/>
        <v>466.82827301748392</v>
      </c>
      <c r="F66" s="1640">
        <f t="shared" si="223"/>
        <v>451.48418761063994</v>
      </c>
      <c r="G66" s="1640">
        <f t="shared" si="223"/>
        <v>443.45659902196934</v>
      </c>
      <c r="H66" s="1640">
        <f t="shared" si="223"/>
        <v>396.8690674290886</v>
      </c>
      <c r="I66" s="1640">
        <f t="shared" si="223"/>
        <v>419.0265617662094</v>
      </c>
      <c r="J66" s="1640">
        <f t="shared" si="223"/>
        <v>464.1577773182392</v>
      </c>
      <c r="K66" s="1640">
        <f t="shared" si="223"/>
        <v>427.48668215780674</v>
      </c>
      <c r="L66" s="1640">
        <f t="shared" si="223"/>
        <v>429.0181818181818</v>
      </c>
      <c r="M66" s="1640">
        <f t="shared" si="223"/>
        <v>352.83018867924534</v>
      </c>
      <c r="N66" s="1640">
        <f t="shared" si="223"/>
        <v>324.53731343283584</v>
      </c>
      <c r="O66" s="1640">
        <f t="shared" si="223"/>
        <v>350.04211321096318</v>
      </c>
      <c r="P66" s="1093">
        <f t="shared" si="223"/>
        <v>458.11974054097419</v>
      </c>
      <c r="Q66" s="1093">
        <f t="shared" si="223"/>
        <v>448.32786885245901</v>
      </c>
      <c r="R66" s="1093">
        <f t="shared" si="223"/>
        <v>435.25083612040135</v>
      </c>
      <c r="S66" s="1640">
        <f t="shared" si="223"/>
        <v>422.5</v>
      </c>
      <c r="T66" s="1640">
        <f t="shared" si="223"/>
        <v>409.48453608247422</v>
      </c>
      <c r="U66" s="1640">
        <f t="shared" si="223"/>
        <v>393.05263157894734</v>
      </c>
      <c r="V66" s="1640">
        <f t="shared" si="223"/>
        <v>406.73758865248226</v>
      </c>
      <c r="W66" s="1640">
        <f t="shared" si="223"/>
        <v>406.09318996415772</v>
      </c>
      <c r="X66" s="1640">
        <f t="shared" si="223"/>
        <v>430.68592057761737</v>
      </c>
      <c r="Y66" s="1640">
        <f t="shared" si="223"/>
        <v>455.26881720430111</v>
      </c>
      <c r="Z66" s="1640">
        <f t="shared" si="223"/>
        <v>434.15492957746483</v>
      </c>
      <c r="AA66" s="1640">
        <f t="shared" si="223"/>
        <v>412.25806451612902</v>
      </c>
      <c r="AB66" s="1640">
        <f t="shared" si="223"/>
        <v>407.08955223880594</v>
      </c>
      <c r="AC66" s="1640">
        <f t="shared" si="223"/>
        <v>410.6563706563706</v>
      </c>
      <c r="AD66" s="1640">
        <f t="shared" si="223"/>
        <v>418.38074989482391</v>
      </c>
      <c r="AE66" s="1093">
        <f t="shared" si="223"/>
        <v>426.2373668720906</v>
      </c>
      <c r="AF66" s="1093">
        <f t="shared" si="223"/>
        <v>422.44502675978976</v>
      </c>
      <c r="AG66" s="1093">
        <f t="shared" si="223"/>
        <v>418.75916817901117</v>
      </c>
      <c r="AH66" s="1640">
        <f t="shared" si="223"/>
        <v>414.94388546504365</v>
      </c>
      <c r="AI66" s="1090"/>
      <c r="AJ66" s="1094">
        <f>((AB66/W66)^(1/5)-1)*100</f>
        <v>4.9022534430265274E-2</v>
      </c>
      <c r="AK66" s="1110" t="s">
        <v>489</v>
      </c>
      <c r="AL66" s="1683">
        <f>((AH66/AB66)^(1/6)-1)*100</f>
        <v>0.31900948955005948</v>
      </c>
      <c r="AM66" s="1091" t="s">
        <v>489</v>
      </c>
    </row>
    <row r="67" spans="1:43">
      <c r="A67" s="2033" t="s">
        <v>490</v>
      </c>
      <c r="B67" s="1650"/>
      <c r="C67" s="1650"/>
      <c r="D67" s="1650"/>
      <c r="E67" s="1650">
        <f t="shared" ref="E67" si="224">E66/D66-1</f>
        <v>-2.9607354367561789E-2</v>
      </c>
      <c r="F67" s="1650">
        <f t="shared" ref="F67" si="225">F66/E66-1</f>
        <v>-3.286880057127417E-2</v>
      </c>
      <c r="G67" s="1650">
        <f t="shared" ref="G67" si="226">G66/F66-1</f>
        <v>-1.7780442391912898E-2</v>
      </c>
      <c r="H67" s="1650">
        <f t="shared" ref="H67" si="227">H66/G66-1</f>
        <v>-0.10505544780622988</v>
      </c>
      <c r="I67" s="1650">
        <f t="shared" ref="I67" si="228">I66/H66-1</f>
        <v>5.5830741560829233E-2</v>
      </c>
      <c r="J67" s="1650">
        <f t="shared" ref="J67" si="229">J66/I66-1</f>
        <v>0.10770490386528331</v>
      </c>
      <c r="K67" s="1650">
        <f t="shared" ref="K67" si="230">K66/J66-1</f>
        <v>-7.900566779750362E-2</v>
      </c>
      <c r="L67" s="1650">
        <f t="shared" ref="L67" si="231">L66/K66-1</f>
        <v>3.5825669530675786E-3</v>
      </c>
      <c r="M67" s="1650">
        <f t="shared" ref="M67" si="232">M66/L66-1</f>
        <v>-0.17758686313957894</v>
      </c>
      <c r="N67" s="1650">
        <f t="shared" ref="N67" si="233">N66/M66-1</f>
        <v>-8.0188362997845042E-2</v>
      </c>
      <c r="O67" s="1650">
        <f t="shared" ref="O67" si="234">O66/N66-1</f>
        <v>7.8588189161816091E-2</v>
      </c>
      <c r="P67" s="1103">
        <f t="shared" ref="P67" si="235">P66/O66-1</f>
        <v>0.30875607034424135</v>
      </c>
      <c r="Q67" s="1103">
        <f t="shared" ref="Q67" si="236">Q66/P66-1</f>
        <v>-2.1374044429852246E-2</v>
      </c>
      <c r="R67" s="1103">
        <f t="shared" ref="R67" si="237">R66/Q66-1</f>
        <v>-2.9168458265888431E-2</v>
      </c>
      <c r="S67" s="1650">
        <f t="shared" ref="S67" si="238">S66/R66-1</f>
        <v>-2.9295374212386704E-2</v>
      </c>
      <c r="T67" s="1650">
        <f t="shared" ref="T67" si="239">T66/S66-1</f>
        <v>-3.0805831757457436E-2</v>
      </c>
      <c r="U67" s="1650">
        <f t="shared" ref="U67" si="240">U66/T66-1</f>
        <v>-4.0128266285048064E-2</v>
      </c>
      <c r="V67" s="1650">
        <f t="shared" ref="V67" si="241">V66/U66-1</f>
        <v>3.4817110926240513E-2</v>
      </c>
      <c r="W67" s="1650">
        <f t="shared" ref="W67" si="242">W66/V66-1</f>
        <v>-1.5843106373802929E-3</v>
      </c>
      <c r="X67" s="1650">
        <f t="shared" ref="X67" si="243">X66/W66-1</f>
        <v>6.0559327812491182E-2</v>
      </c>
      <c r="Y67" s="1650">
        <f t="shared" ref="Y67" si="244">Y66/X66-1</f>
        <v>5.7078477498670566E-2</v>
      </c>
      <c r="Z67" s="1650">
        <f t="shared" ref="Z67" si="245">Z66/Y66-1</f>
        <v>-4.6376748920542665E-2</v>
      </c>
      <c r="AA67" s="1650">
        <f t="shared" ref="AA67" si="246">AA66/Z66-1</f>
        <v>-5.0435601601130364E-2</v>
      </c>
      <c r="AB67" s="1650">
        <f>AB66/AA66-1</f>
        <v>-1.2537079858921385E-2</v>
      </c>
      <c r="AC67" s="1650">
        <f>AC66/AB66-1</f>
        <v>8.7617537663366996E-3</v>
      </c>
      <c r="AD67" s="1650">
        <f>AD66/AC66-1</f>
        <v>1.880983661864799E-2</v>
      </c>
      <c r="AE67" s="1103">
        <f>AE66/AD66-1</f>
        <v>1.8778629225273402E-2</v>
      </c>
      <c r="AF67" s="1103">
        <f t="shared" ref="AF67" si="247">AF66/AE66-1</f>
        <v>-8.8972492959278338E-3</v>
      </c>
      <c r="AG67" s="1103">
        <f>AG66/AF66-1</f>
        <v>-8.72506088910463E-3</v>
      </c>
      <c r="AH67" s="1650">
        <f>AH66/AG66-1</f>
        <v>-9.1109234230223324E-3</v>
      </c>
      <c r="AI67" s="1090"/>
      <c r="AJ67" s="1077"/>
      <c r="AK67" s="1079"/>
      <c r="AL67" s="1664"/>
      <c r="AM67" s="1091"/>
    </row>
    <row r="68" spans="1:43">
      <c r="A68" s="1651"/>
      <c r="B68" s="1651"/>
      <c r="C68" s="1651"/>
      <c r="D68" s="1651"/>
      <c r="E68" s="1651"/>
      <c r="F68" s="1651"/>
      <c r="G68" s="1651"/>
      <c r="H68" s="1651"/>
      <c r="I68" s="1651"/>
      <c r="J68" s="1651"/>
      <c r="K68" s="1651"/>
      <c r="L68" s="1651"/>
      <c r="M68" s="1651"/>
      <c r="N68" s="1651"/>
      <c r="O68" s="1651"/>
      <c r="P68" s="1131"/>
      <c r="Q68" s="1069"/>
      <c r="R68" s="1069"/>
      <c r="S68" s="1651"/>
      <c r="T68" s="1651"/>
      <c r="U68" s="1651"/>
      <c r="V68" s="1651"/>
      <c r="W68" s="1651"/>
      <c r="X68" s="1651"/>
      <c r="Y68" s="1651"/>
      <c r="Z68" s="1651"/>
      <c r="AA68" s="1651"/>
      <c r="AB68" s="1651"/>
      <c r="AC68" s="1651"/>
      <c r="AD68" s="1651"/>
      <c r="AE68" s="1069"/>
      <c r="AF68" s="1069"/>
      <c r="AG68" s="1069"/>
      <c r="AH68" s="1651"/>
      <c r="AI68" s="1090"/>
      <c r="AJ68" s="1077"/>
      <c r="AK68" s="1079"/>
      <c r="AL68" s="1664"/>
      <c r="AM68" s="1091"/>
    </row>
    <row r="69" spans="1:43">
      <c r="A69" s="2033" t="s">
        <v>506</v>
      </c>
      <c r="B69" s="1650"/>
      <c r="C69" s="1650"/>
      <c r="D69" s="1650"/>
      <c r="E69" s="1650"/>
      <c r="F69" s="1650"/>
      <c r="G69" s="1650"/>
      <c r="H69" s="1830"/>
      <c r="I69" s="1830"/>
      <c r="J69" s="1830"/>
      <c r="K69" s="1830">
        <f>segQtrSales!F438/100</f>
        <v>0.01</v>
      </c>
      <c r="L69" s="1831">
        <f>segQtrSales!F445/100</f>
        <v>-0.01</v>
      </c>
      <c r="M69" s="1831">
        <f>segQtrSales!F452/100</f>
        <v>-0.12</v>
      </c>
      <c r="N69" s="1832">
        <f>segQtrSales!F459/100</f>
        <v>-7.0000000000000007E-2</v>
      </c>
      <c r="O69" s="1832">
        <f>segQtrSales!F466/100</f>
        <v>0.06</v>
      </c>
      <c r="P69" s="1832">
        <f>segQtrSales!F473/100</f>
        <v>0.01</v>
      </c>
      <c r="Q69" s="1833">
        <f>segQtrSales!F480/100</f>
        <v>-4.9129229062673321E-2</v>
      </c>
      <c r="R69" s="1650">
        <f>segQtrSales!F487/100</f>
        <v>-7.300350603817686E-2</v>
      </c>
      <c r="S69" s="1650">
        <f>segQtrSales!F494/100</f>
        <v>-5.2525944375259447E-2</v>
      </c>
      <c r="T69" s="1650">
        <f>segQtrSales!F501/100</f>
        <v>-8.3837850803550024E-2</v>
      </c>
      <c r="U69" s="1650">
        <f>segQtrSales!F508/100</f>
        <v>-7.0204188481675395E-2</v>
      </c>
      <c r="V69" s="1650">
        <f>segQtrSales!F515/100</f>
        <v>8.0105401844532246E-4</v>
      </c>
      <c r="W69" s="1650">
        <f>segQtrSales!F522/100</f>
        <v>-0.05</v>
      </c>
      <c r="X69" s="1650">
        <f>segQtrSales!F529/100</f>
        <v>0.03</v>
      </c>
      <c r="Y69" s="1650">
        <f>segQtrSales!F536/100</f>
        <v>0.03</v>
      </c>
      <c r="Z69" s="1650">
        <f>segQtrSales!F543/100</f>
        <v>0.05</v>
      </c>
      <c r="AA69" s="1650">
        <f>segQtrSales!F550/100</f>
        <v>0.06</v>
      </c>
      <c r="AB69" s="1650">
        <f>segQtrSales!F557/100</f>
        <v>-0.03</v>
      </c>
      <c r="AC69" s="1650">
        <f>segQtrSales!F564/100</f>
        <v>-0.01</v>
      </c>
      <c r="AD69" s="1660">
        <f>segQtrSales!F571/100</f>
        <v>-9.6992212923408989E-3</v>
      </c>
      <c r="AE69" s="1134">
        <v>-0.01</v>
      </c>
      <c r="AF69" s="1134">
        <v>-0.01</v>
      </c>
      <c r="AG69" s="1134">
        <v>-0.01</v>
      </c>
      <c r="AH69" s="1660">
        <v>-0.01</v>
      </c>
      <c r="AI69" s="1108"/>
      <c r="AJ69" s="1077"/>
      <c r="AK69" s="1079"/>
      <c r="AL69" s="1664"/>
      <c r="AM69" s="1091"/>
    </row>
    <row r="70" spans="1:43">
      <c r="A70" s="2033" t="s">
        <v>152</v>
      </c>
      <c r="B70" s="1650"/>
      <c r="C70" s="1650"/>
      <c r="D70" s="1650"/>
      <c r="E70" s="1650"/>
      <c r="F70" s="1650"/>
      <c r="G70" s="1650"/>
      <c r="H70" s="1830"/>
      <c r="I70" s="1830"/>
      <c r="J70" s="1830"/>
      <c r="K70" s="2016">
        <f t="shared" ref="K70:AD70" si="248">+K44-K69</f>
        <v>5.4060803474484283E-2</v>
      </c>
      <c r="L70" s="2016">
        <f t="shared" si="248"/>
        <v>0.21387755102040806</v>
      </c>
      <c r="M70" s="2016">
        <f t="shared" si="248"/>
        <v>7.1008645533141235E-2</v>
      </c>
      <c r="N70" s="2016">
        <f t="shared" si="248"/>
        <v>3.8983957219251353E-2</v>
      </c>
      <c r="O70" s="2016">
        <f t="shared" si="248"/>
        <v>2.7299484915377925E-3</v>
      </c>
      <c r="P70" s="1133">
        <f t="shared" si="248"/>
        <v>0.24324562921931792</v>
      </c>
      <c r="Q70" s="1133">
        <f t="shared" si="248"/>
        <v>-6.5337543627409927E-3</v>
      </c>
      <c r="R70" s="1133">
        <f t="shared" si="248"/>
        <v>2.4736722361125577E-2</v>
      </c>
      <c r="S70" s="2016">
        <f t="shared" si="248"/>
        <v>1.3491058867344884E-2</v>
      </c>
      <c r="T70" s="2016">
        <f t="shared" si="248"/>
        <v>3.6660495933887455E-2</v>
      </c>
      <c r="U70" s="2016">
        <f t="shared" si="248"/>
        <v>1.0284752429308791E-2</v>
      </c>
      <c r="V70" s="2016">
        <f t="shared" si="248"/>
        <v>2.3123245213834576E-2</v>
      </c>
      <c r="W70" s="2016">
        <f t="shared" si="248"/>
        <v>3.7794245858761968E-2</v>
      </c>
      <c r="X70" s="2016">
        <f t="shared" si="248"/>
        <v>2.2956751985878238E-2</v>
      </c>
      <c r="Y70" s="2016">
        <f t="shared" si="248"/>
        <v>3.4710813076278352E-2</v>
      </c>
      <c r="Z70" s="2016">
        <f t="shared" si="248"/>
        <v>-7.9286726499763829E-2</v>
      </c>
      <c r="AA70" s="2016">
        <f t="shared" si="248"/>
        <v>-0.12715328467153281</v>
      </c>
      <c r="AB70" s="2016">
        <f t="shared" si="248"/>
        <v>-2.1469309685272081E-2</v>
      </c>
      <c r="AC70" s="2016">
        <f t="shared" si="248"/>
        <v>-1.5114573785517846E-2</v>
      </c>
      <c r="AD70" s="2016">
        <f t="shared" si="248"/>
        <v>-1.9087849514052301E-2</v>
      </c>
      <c r="AE70" s="1134">
        <v>-0.01</v>
      </c>
      <c r="AF70" s="1134">
        <v>-0.01</v>
      </c>
      <c r="AG70" s="1134">
        <v>-0.01</v>
      </c>
      <c r="AH70" s="1660">
        <v>-0.01</v>
      </c>
      <c r="AI70" s="1108"/>
      <c r="AJ70" s="1077"/>
      <c r="AK70" s="1079"/>
      <c r="AL70" s="1664"/>
      <c r="AM70" s="1091"/>
      <c r="AO70" s="1098"/>
    </row>
    <row r="71" spans="1:43">
      <c r="A71" s="1651"/>
      <c r="B71" s="1651"/>
      <c r="C71" s="1651"/>
      <c r="D71" s="1651"/>
      <c r="E71" s="1651"/>
      <c r="F71" s="1651"/>
      <c r="G71" s="1651"/>
      <c r="H71" s="1651"/>
      <c r="I71" s="1651"/>
      <c r="J71" s="1651"/>
      <c r="K71" s="1651"/>
      <c r="L71" s="1651"/>
      <c r="M71" s="1651"/>
      <c r="N71" s="1651"/>
      <c r="O71" s="1651"/>
      <c r="P71" s="1069"/>
      <c r="Q71" s="1069"/>
      <c r="R71" s="1069"/>
      <c r="S71" s="1651"/>
      <c r="T71" s="1651"/>
      <c r="U71" s="1651"/>
      <c r="V71" s="1651"/>
      <c r="W71" s="1651"/>
      <c r="X71" s="1651"/>
      <c r="Y71" s="1651"/>
      <c r="Z71" s="1651"/>
      <c r="AA71" s="1651"/>
      <c r="AB71" s="1651"/>
      <c r="AC71" s="1651"/>
      <c r="AD71" s="1651"/>
      <c r="AE71" s="1069"/>
      <c r="AF71" s="1069"/>
      <c r="AG71" s="1069"/>
      <c r="AH71" s="1651"/>
      <c r="AI71" s="1090"/>
      <c r="AJ71" s="1077"/>
      <c r="AK71" s="1079"/>
      <c r="AL71" s="1664"/>
      <c r="AM71" s="1091"/>
      <c r="AO71" s="1099"/>
    </row>
    <row r="72" spans="1:43">
      <c r="A72" s="2033" t="s">
        <v>658</v>
      </c>
      <c r="B72" s="1647"/>
      <c r="C72" s="1647"/>
      <c r="D72" s="1647">
        <f>+(D60-C60)*1000000/(D49-D46)</f>
        <v>9697.3684210526208</v>
      </c>
      <c r="E72" s="1647">
        <f t="shared" ref="E72" si="249">+(E60-D60)*1000000/(E49-E46)</f>
        <v>176422.33333333328</v>
      </c>
      <c r="F72" s="1647">
        <f t="shared" ref="F72" si="250">+(F60-E60)*1000000/(F49-F46)</f>
        <v>8309.5652173913077</v>
      </c>
      <c r="G72" s="1647">
        <f t="shared" ref="G72" si="251">+(G60-F60)*1000000/(G49-G46)</f>
        <v>8055.0897435897541</v>
      </c>
      <c r="H72" s="1647">
        <f t="shared" ref="H72" si="252">+(H60-G60)*1000000/(H49-H46)</f>
        <v>5608.8842105263047</v>
      </c>
      <c r="I72" s="1647">
        <f t="shared" ref="I72" si="253">+(I60-H60)*1000000/(I49-I46)</f>
        <v>5985.1096774193575</v>
      </c>
      <c r="J72" s="1647">
        <f t="shared" ref="J72" si="254">+(J60-I60)*1000000/(J49-J46)</f>
        <v>5340.6671574196998</v>
      </c>
      <c r="K72" s="1647">
        <v>32291.666666666668</v>
      </c>
      <c r="L72" s="1647">
        <f>+(L60-K60)*1000000/(L49-L46)</f>
        <v>6026.7857142857119</v>
      </c>
      <c r="M72" s="1647">
        <v>0</v>
      </c>
      <c r="N72" s="1647" t="s">
        <v>60</v>
      </c>
      <c r="O72" s="2050">
        <v>10612.903225806453</v>
      </c>
      <c r="P72" s="1107">
        <v>10214.285714285714</v>
      </c>
      <c r="Q72" s="1107">
        <v>10526.315789473685</v>
      </c>
      <c r="R72" s="1107">
        <v>10256.410256410258</v>
      </c>
      <c r="S72" s="1647" t="e">
        <v>#VALUE!</v>
      </c>
      <c r="T72" s="1647">
        <v>4914.1666666666879</v>
      </c>
      <c r="U72" s="1647">
        <v>10000</v>
      </c>
      <c r="V72" s="1647">
        <v>9375</v>
      </c>
      <c r="W72" s="1647" t="s">
        <v>60</v>
      </c>
      <c r="X72" s="1647" t="s">
        <v>60</v>
      </c>
      <c r="Y72" s="1647">
        <v>11111.111111111111</v>
      </c>
      <c r="Z72" s="1647">
        <v>11111.111111111111</v>
      </c>
      <c r="AA72" s="1647">
        <f>Z72</f>
        <v>11111.111111111111</v>
      </c>
      <c r="AB72" s="1647">
        <v>9090.9090909090919</v>
      </c>
      <c r="AC72" s="1647">
        <v>8000</v>
      </c>
      <c r="AD72" s="1655">
        <f>AC72</f>
        <v>8000</v>
      </c>
      <c r="AE72" s="1149">
        <f>AD72</f>
        <v>8000</v>
      </c>
      <c r="AF72" s="1149">
        <f t="shared" ref="AF72" si="255">AE72</f>
        <v>8000</v>
      </c>
      <c r="AG72" s="1149">
        <f>AF72</f>
        <v>8000</v>
      </c>
      <c r="AH72" s="1655">
        <f>AG72</f>
        <v>8000</v>
      </c>
      <c r="AI72" s="1100"/>
      <c r="AJ72" s="1135"/>
      <c r="AK72" s="1128"/>
      <c r="AL72" s="1664"/>
      <c r="AM72" s="1091"/>
      <c r="AO72" s="1099"/>
    </row>
    <row r="73" spans="1:43">
      <c r="A73" s="1651"/>
      <c r="B73" s="1651"/>
      <c r="C73" s="1651"/>
      <c r="D73" s="1651"/>
      <c r="E73" s="1651"/>
      <c r="F73" s="1651"/>
      <c r="G73" s="1651"/>
      <c r="H73" s="1651"/>
      <c r="I73" s="1651"/>
      <c r="J73" s="1651"/>
      <c r="K73" s="1651"/>
      <c r="L73" s="2051"/>
      <c r="M73" s="1651"/>
      <c r="N73" s="1651"/>
      <c r="O73" s="1651"/>
      <c r="P73" s="1069"/>
      <c r="Q73" s="1069"/>
      <c r="R73" s="1069"/>
      <c r="S73" s="1651"/>
      <c r="T73" s="1651"/>
      <c r="U73" s="1651"/>
      <c r="V73" s="1651"/>
      <c r="W73" s="1651"/>
      <c r="X73" s="1651"/>
      <c r="Y73" s="1651"/>
      <c r="Z73" s="1651"/>
      <c r="AA73" s="1651"/>
      <c r="AB73" s="1651"/>
      <c r="AC73" s="1651"/>
      <c r="AD73" s="1651"/>
      <c r="AE73" s="1069"/>
      <c r="AF73" s="1069"/>
      <c r="AG73" s="1069"/>
      <c r="AH73" s="1651"/>
      <c r="AI73" s="1090"/>
      <c r="AJ73" s="1077"/>
      <c r="AK73" s="1079"/>
      <c r="AL73" s="1664"/>
      <c r="AM73" s="1091"/>
    </row>
    <row r="74" spans="1:43">
      <c r="A74" s="2033" t="s">
        <v>507</v>
      </c>
      <c r="B74" s="1648"/>
      <c r="C74" s="1648"/>
      <c r="D74" s="1648"/>
      <c r="E74" s="1648"/>
      <c r="F74" s="1648"/>
      <c r="G74" s="1648"/>
      <c r="H74" s="1648"/>
      <c r="I74" s="1648"/>
      <c r="J74" s="1648"/>
      <c r="K74" s="1661">
        <f t="shared" ref="K74:U74" si="256">K70/K58</f>
        <v>0.34801790490559065</v>
      </c>
      <c r="L74" s="1661">
        <f t="shared" si="256"/>
        <v>1.0716383271711487</v>
      </c>
      <c r="M74" s="1661">
        <f t="shared" si="256"/>
        <v>0.45412505864218261</v>
      </c>
      <c r="N74" s="1661">
        <f t="shared" si="256"/>
        <v>0.72922931739540631</v>
      </c>
      <c r="O74" s="1661">
        <f t="shared" si="256"/>
        <v>-0.18567571656995674</v>
      </c>
      <c r="P74" s="1109">
        <f t="shared" si="256"/>
        <v>-5.734942604924707</v>
      </c>
      <c r="Q74" s="1109">
        <f t="shared" si="256"/>
        <v>0.18647709127207415</v>
      </c>
      <c r="R74" s="1109">
        <f t="shared" si="256"/>
        <v>-1.2574500533572111</v>
      </c>
      <c r="S74" s="1661">
        <f t="shared" si="256"/>
        <v>-1.3446088671120557</v>
      </c>
      <c r="T74" s="1661">
        <f t="shared" si="256"/>
        <v>-2.170301359286138</v>
      </c>
      <c r="U74" s="1661">
        <f t="shared" si="256"/>
        <v>-0.49881049282147544</v>
      </c>
      <c r="V74" s="2077" t="s">
        <v>60</v>
      </c>
      <c r="W74" s="2077" t="s">
        <v>60</v>
      </c>
      <c r="X74" s="2077" t="s">
        <v>60</v>
      </c>
      <c r="Y74" s="2077" t="s">
        <v>60</v>
      </c>
      <c r="Z74" s="2077">
        <f>Z70/Z58</f>
        <v>-4.4241993386868073</v>
      </c>
      <c r="AA74" s="1661">
        <f>AA70/AA58</f>
        <v>7.2223065693430728</v>
      </c>
      <c r="AB74" s="1661">
        <f>IFERROR(AB70/AB58,"N/A")</f>
        <v>0.54453976383553837</v>
      </c>
      <c r="AC74" s="1661">
        <f>AC70/AC58</f>
        <v>0.45007841939097681</v>
      </c>
      <c r="AD74" s="1661">
        <f>AD70/AD58</f>
        <v>0.40857463009417683</v>
      </c>
      <c r="AE74" s="1134">
        <v>0.65</v>
      </c>
      <c r="AF74" s="1134">
        <v>0.66</v>
      </c>
      <c r="AG74" s="1134">
        <v>0.61</v>
      </c>
      <c r="AH74" s="1660">
        <v>0.61</v>
      </c>
      <c r="AI74" s="1111"/>
      <c r="AJ74" s="1074"/>
      <c r="AK74" s="1076"/>
      <c r="AL74" s="1662"/>
      <c r="AM74" s="1112"/>
      <c r="AO74" s="1098"/>
    </row>
    <row r="75" spans="1:43">
      <c r="A75" s="39" t="s">
        <v>194</v>
      </c>
      <c r="T75" s="1668">
        <f t="shared" ref="T75:Y75" si="257">T43/(SUM(T156,T198,T43,T82))</f>
        <v>0.56195422728416322</v>
      </c>
      <c r="U75" s="1668">
        <f t="shared" si="257"/>
        <v>0.55619169264982471</v>
      </c>
      <c r="V75" s="1668">
        <f t="shared" si="257"/>
        <v>0.55527268561820198</v>
      </c>
      <c r="W75" s="1668">
        <f t="shared" si="257"/>
        <v>0.54987403014083147</v>
      </c>
      <c r="X75" s="1668">
        <f t="shared" si="257"/>
        <v>0.55101892080869186</v>
      </c>
      <c r="Y75" s="1668">
        <f t="shared" si="257"/>
        <v>0.56541823551478776</v>
      </c>
      <c r="Z75" s="1668">
        <f t="shared" ref="Z75:AH75" si="258">Z43/(SUM(Z156,Z43,Z82))</f>
        <v>0.55535537338978469</v>
      </c>
      <c r="AA75" s="1668">
        <f t="shared" si="258"/>
        <v>0.55181347150259064</v>
      </c>
      <c r="AB75" s="1668">
        <f t="shared" si="258"/>
        <v>0.54868235767451212</v>
      </c>
      <c r="AC75" s="1668">
        <f t="shared" si="258"/>
        <v>0.5474009264024704</v>
      </c>
      <c r="AD75" s="1668">
        <f t="shared" si="258"/>
        <v>0.55006855501007434</v>
      </c>
      <c r="AE75" s="1114">
        <f t="shared" si="258"/>
        <v>0.55288175698800612</v>
      </c>
      <c r="AF75" s="1114">
        <f t="shared" si="258"/>
        <v>0.55521007908021325</v>
      </c>
      <c r="AG75" s="1114">
        <f t="shared" si="258"/>
        <v>0.55713923873338611</v>
      </c>
      <c r="AH75" s="1668">
        <f t="shared" si="258"/>
        <v>0.55844629754789332</v>
      </c>
      <c r="AK75" s="1136"/>
      <c r="AM75" s="1136"/>
    </row>
    <row r="77" spans="1:43">
      <c r="A77" s="2045" t="s">
        <v>93</v>
      </c>
      <c r="B77" s="1651"/>
      <c r="C77" s="1651"/>
      <c r="D77" s="1651"/>
      <c r="E77" s="1651"/>
      <c r="F77" s="1651"/>
      <c r="G77" s="1651"/>
      <c r="H77" s="1651"/>
      <c r="I77" s="1651"/>
      <c r="J77" s="1651"/>
      <c r="K77" s="1651"/>
      <c r="L77" s="1651"/>
      <c r="M77" s="1651"/>
      <c r="N77" s="1651"/>
      <c r="O77" s="1651"/>
      <c r="P77" s="1122"/>
      <c r="Q77" s="1122"/>
      <c r="R77" s="1122"/>
      <c r="S77" s="1656"/>
      <c r="T77" s="1656"/>
      <c r="U77" s="1656"/>
      <c r="V77" s="1656"/>
      <c r="W77" s="1656"/>
      <c r="X77" s="1656"/>
      <c r="Y77" s="1656"/>
      <c r="Z77" s="1656"/>
      <c r="AA77" s="1656"/>
      <c r="AB77" s="1656"/>
      <c r="AC77" s="1834"/>
      <c r="AD77" s="1656"/>
      <c r="AE77" s="1122"/>
      <c r="AF77" s="1122"/>
      <c r="AG77" s="1122"/>
      <c r="AH77" s="1656"/>
      <c r="AI77" s="1069"/>
      <c r="AJ77" s="1122"/>
      <c r="AK77" s="1073"/>
      <c r="AL77" s="1651"/>
      <c r="AM77" s="1073"/>
    </row>
    <row r="78" spans="1:43">
      <c r="A78" s="2046" t="str">
        <f>+A2</f>
        <v>Annual Sales Model, Fiscal 1997A-2022E</v>
      </c>
      <c r="B78" s="1662"/>
      <c r="C78" s="1662"/>
      <c r="D78" s="1662"/>
      <c r="E78" s="1662"/>
      <c r="F78" s="1662"/>
      <c r="G78" s="1662"/>
      <c r="H78" s="1662"/>
      <c r="I78" s="1662"/>
      <c r="J78" s="1662"/>
      <c r="K78" s="1662"/>
      <c r="L78" s="1662"/>
      <c r="M78" s="1662"/>
      <c r="N78" s="1662"/>
      <c r="O78" s="1662"/>
      <c r="P78" s="1074"/>
      <c r="Q78" s="1074"/>
      <c r="R78" s="1074"/>
      <c r="S78" s="1662"/>
      <c r="T78" s="1662"/>
      <c r="U78" s="1662"/>
      <c r="V78" s="1662"/>
      <c r="W78" s="1662"/>
      <c r="X78" s="1662"/>
      <c r="Y78" s="1662"/>
      <c r="Z78" s="1662"/>
      <c r="AA78" s="1662"/>
      <c r="AB78" s="1662"/>
      <c r="AC78" s="1662"/>
      <c r="AD78" s="1662"/>
      <c r="AE78" s="1074"/>
      <c r="AF78" s="1074"/>
      <c r="AG78" s="1074"/>
      <c r="AH78" s="1662"/>
      <c r="AI78" s="1074"/>
      <c r="AJ78" s="1074"/>
      <c r="AK78" s="1076"/>
      <c r="AL78" s="1651"/>
      <c r="AM78" s="1076"/>
    </row>
    <row r="79" spans="1:43">
      <c r="A79" s="2032"/>
      <c r="B79" s="1651"/>
      <c r="C79" s="1651"/>
      <c r="D79" s="1651"/>
      <c r="E79" s="1651"/>
      <c r="F79" s="1651"/>
      <c r="G79" s="1651"/>
      <c r="H79" s="1651"/>
      <c r="I79" s="1651"/>
      <c r="J79" s="1651"/>
      <c r="K79" s="1651"/>
      <c r="L79" s="1651"/>
      <c r="M79" s="1651"/>
      <c r="N79" s="1651"/>
      <c r="O79" s="1651"/>
      <c r="P79" s="1069"/>
      <c r="Q79" s="1069"/>
      <c r="R79" s="1069"/>
      <c r="S79" s="1651"/>
      <c r="T79" s="1651"/>
      <c r="U79" s="1651"/>
      <c r="V79" s="1651"/>
      <c r="W79" s="1651"/>
      <c r="X79" s="1651"/>
      <c r="Y79" s="1651"/>
      <c r="Z79" s="1651"/>
      <c r="AA79" s="1651"/>
      <c r="AB79" s="1651"/>
      <c r="AC79" s="1651"/>
      <c r="AD79" s="1651"/>
      <c r="AE79" s="1069"/>
      <c r="AF79" s="1069"/>
      <c r="AG79" s="1069"/>
      <c r="AH79" s="1651"/>
      <c r="AI79" s="1117"/>
      <c r="AJ79" s="1078"/>
      <c r="AK79" s="1118" t="s">
        <v>488</v>
      </c>
      <c r="AL79" s="1681"/>
      <c r="AM79" s="1119"/>
    </row>
    <row r="80" spans="1:43">
      <c r="A80" s="1644"/>
      <c r="B80" s="2052">
        <f t="shared" ref="B80:N80" si="259">+B5</f>
        <v>1990</v>
      </c>
      <c r="C80" s="1995">
        <f t="shared" si="259"/>
        <v>1991</v>
      </c>
      <c r="D80" s="1995">
        <f t="shared" si="259"/>
        <v>1992</v>
      </c>
      <c r="E80" s="1995">
        <f t="shared" si="259"/>
        <v>1993</v>
      </c>
      <c r="F80" s="1995">
        <f t="shared" si="259"/>
        <v>1994</v>
      </c>
      <c r="G80" s="1995">
        <f t="shared" si="259"/>
        <v>1995</v>
      </c>
      <c r="H80" s="1995">
        <f t="shared" si="259"/>
        <v>1996</v>
      </c>
      <c r="I80" s="1995">
        <f t="shared" si="259"/>
        <v>1997</v>
      </c>
      <c r="J80" s="1995">
        <f t="shared" si="259"/>
        <v>1998</v>
      </c>
      <c r="K80" s="1995">
        <f t="shared" si="259"/>
        <v>1999</v>
      </c>
      <c r="L80" s="1995">
        <f t="shared" si="259"/>
        <v>2000</v>
      </c>
      <c r="M80" s="1995">
        <f t="shared" si="259"/>
        <v>2001</v>
      </c>
      <c r="N80" s="1995">
        <f t="shared" si="259"/>
        <v>2002</v>
      </c>
      <c r="O80" s="1995">
        <f t="shared" ref="O80:AB80" si="260">N80+1</f>
        <v>2003</v>
      </c>
      <c r="P80" s="1085">
        <f t="shared" si="260"/>
        <v>2004</v>
      </c>
      <c r="Q80" s="1086">
        <f t="shared" si="260"/>
        <v>2005</v>
      </c>
      <c r="R80" s="1086">
        <f t="shared" si="260"/>
        <v>2006</v>
      </c>
      <c r="S80" s="2076">
        <f t="shared" si="260"/>
        <v>2007</v>
      </c>
      <c r="T80" s="2076">
        <f t="shared" si="260"/>
        <v>2008</v>
      </c>
      <c r="U80" s="2076">
        <f t="shared" si="260"/>
        <v>2009</v>
      </c>
      <c r="V80" s="2076">
        <f t="shared" si="260"/>
        <v>2010</v>
      </c>
      <c r="W80" s="2076">
        <f t="shared" si="260"/>
        <v>2011</v>
      </c>
      <c r="X80" s="2076">
        <f t="shared" si="260"/>
        <v>2012</v>
      </c>
      <c r="Y80" s="2076">
        <f t="shared" si="260"/>
        <v>2013</v>
      </c>
      <c r="Z80" s="2076">
        <f t="shared" si="260"/>
        <v>2014</v>
      </c>
      <c r="AA80" s="2076">
        <f t="shared" si="260"/>
        <v>2015</v>
      </c>
      <c r="AB80" s="2076">
        <f t="shared" si="260"/>
        <v>2016</v>
      </c>
      <c r="AC80" s="1639">
        <f>AB80+1</f>
        <v>2017</v>
      </c>
      <c r="AD80" s="1639">
        <f>AC80+1</f>
        <v>2018</v>
      </c>
      <c r="AE80" s="1087">
        <f>AD80+1</f>
        <v>2019</v>
      </c>
      <c r="AF80" s="1087">
        <f t="shared" ref="AF80" si="261">AE80+1</f>
        <v>2020</v>
      </c>
      <c r="AG80" s="1087">
        <f>AF80+1</f>
        <v>2021</v>
      </c>
      <c r="AH80" s="1639">
        <f>AG80+1</f>
        <v>2022</v>
      </c>
      <c r="AI80" s="1120"/>
      <c r="AJ80" s="1121" t="str">
        <f>$AJ$5</f>
        <v>11-16</v>
      </c>
      <c r="AK80" s="1079"/>
      <c r="AL80" s="1685" t="str">
        <f>+AL5</f>
        <v>16-22E</v>
      </c>
      <c r="AM80" s="1091"/>
    </row>
    <row r="81" spans="1:45">
      <c r="A81" s="1644"/>
      <c r="B81" s="1644"/>
      <c r="C81" s="1644"/>
      <c r="D81" s="1644"/>
      <c r="E81" s="1644"/>
      <c r="F81" s="1644"/>
      <c r="G81" s="1644"/>
      <c r="H81" s="1644"/>
      <c r="I81" s="1651"/>
      <c r="J81" s="1651"/>
      <c r="K81" s="1651"/>
      <c r="L81" s="1651"/>
      <c r="M81" s="1651"/>
      <c r="N81" s="1651"/>
      <c r="O81" s="1651"/>
      <c r="P81" s="1122"/>
      <c r="Q81" s="1122"/>
      <c r="R81" s="1122"/>
      <c r="S81" s="1656"/>
      <c r="T81" s="1656"/>
      <c r="U81" s="1656"/>
      <c r="V81" s="1656"/>
      <c r="W81" s="1656"/>
      <c r="X81" s="1656"/>
      <c r="Y81" s="1656"/>
      <c r="Z81" s="1656"/>
      <c r="AA81" s="1656"/>
      <c r="AB81" s="2079"/>
      <c r="AC81" s="1834"/>
      <c r="AD81" s="1834"/>
      <c r="AE81" s="1123"/>
      <c r="AF81" s="1123"/>
      <c r="AG81" s="1123"/>
      <c r="AH81" s="1657"/>
      <c r="AI81" s="1090"/>
      <c r="AJ81" s="1077"/>
      <c r="AK81" s="1079"/>
      <c r="AL81" s="1664"/>
      <c r="AM81" s="1091"/>
    </row>
    <row r="82" spans="1:45">
      <c r="A82" s="2033" t="s">
        <v>646</v>
      </c>
      <c r="B82" s="1666">
        <v>234</v>
      </c>
      <c r="C82" s="2015">
        <f>segQtrSales!S217</f>
        <v>314</v>
      </c>
      <c r="D82" s="2015">
        <f>segQtrSales!S224</f>
        <v>386</v>
      </c>
      <c r="E82" s="2015">
        <f>segQtrSales!S231</f>
        <v>460</v>
      </c>
      <c r="F82" s="2015">
        <f>segQtrSales!S238</f>
        <v>560</v>
      </c>
      <c r="G82" s="2015">
        <f>segQtrSales!S245</f>
        <v>630</v>
      </c>
      <c r="H82" s="2015">
        <f>segQtrSales!S252</f>
        <v>750</v>
      </c>
      <c r="I82" s="2015">
        <f>segQtrSales!S259</f>
        <v>890</v>
      </c>
      <c r="J82" s="2015">
        <f>segQtrSales!S266</f>
        <v>1230</v>
      </c>
      <c r="K82" s="2015">
        <f>segQtrSales!S273</f>
        <v>1500</v>
      </c>
      <c r="L82" s="2015">
        <f>segQtrSales!S280</f>
        <v>1829</v>
      </c>
      <c r="M82" s="2015">
        <f>segQtrSales!S287</f>
        <v>1868</v>
      </c>
      <c r="N82" s="2015">
        <f>segQtrSales!S294</f>
        <v>1928</v>
      </c>
      <c r="O82" s="2015">
        <f>segQtrSales!S301</f>
        <v>2090</v>
      </c>
      <c r="P82" s="2006">
        <f>segQtrSales!S308</f>
        <v>2269</v>
      </c>
      <c r="Q82" s="1640">
        <f>segQtrSales!S315</f>
        <v>2301</v>
      </c>
      <c r="R82" s="1640">
        <f>segQtrSales!S322</f>
        <v>2548</v>
      </c>
      <c r="S82" s="1640">
        <f>segQtrSales!S329</f>
        <v>2723</v>
      </c>
      <c r="T82" s="1640">
        <f>segQtrSales!S336</f>
        <v>2636</v>
      </c>
      <c r="U82" s="1640">
        <f>segQtrSales!S343</f>
        <v>2460</v>
      </c>
      <c r="V82" s="1640">
        <f>segQtrSales!S350</f>
        <v>2583</v>
      </c>
      <c r="W82" s="1640">
        <f>segQtrSales!S357</f>
        <v>2626</v>
      </c>
      <c r="X82" s="1640">
        <f>segQtrSales!S364</f>
        <v>2848</v>
      </c>
      <c r="Y82" s="1640">
        <f>segQtrSales!S371</f>
        <v>2868</v>
      </c>
      <c r="Z82" s="1640">
        <f>segQtrSales!S378</f>
        <v>2922</v>
      </c>
      <c r="AA82" s="1640">
        <f>segQtrSales!S385</f>
        <v>2656</v>
      </c>
      <c r="AB82" s="1640">
        <f>segQtrSales!S392</f>
        <v>2471</v>
      </c>
      <c r="AC82" s="1640">
        <f>segQtrSales!S399</f>
        <v>2380</v>
      </c>
      <c r="AD82" s="1640">
        <f>segQtrSales!S406</f>
        <v>2206.6653788982198</v>
      </c>
      <c r="AE82" s="1093">
        <f>AD82*(1+AE109+(AE101*AE114))</f>
        <v>2107.0624845592884</v>
      </c>
      <c r="AF82" s="1093">
        <f t="shared" ref="AF82:AH82" si="262">AE82*(1+AF109+(AF101*AF114))</f>
        <v>2017.4600798957931</v>
      </c>
      <c r="AG82" s="1093">
        <f t="shared" si="262"/>
        <v>1936.7616766999613</v>
      </c>
      <c r="AH82" s="1640">
        <f t="shared" si="262"/>
        <v>1859.2912096319628</v>
      </c>
      <c r="AI82" s="1090"/>
      <c r="AJ82" s="1094">
        <f>((AB82/W82)^(1/5)-1)*100</f>
        <v>-1.2094041802148348</v>
      </c>
      <c r="AK82" s="1110" t="s">
        <v>489</v>
      </c>
      <c r="AL82" s="1683">
        <f>((AH82/AB82)^(1/6)-1)*100</f>
        <v>-4.629854522709465</v>
      </c>
      <c r="AM82" s="1091" t="s">
        <v>489</v>
      </c>
    </row>
    <row r="83" spans="1:45">
      <c r="A83" s="2033" t="s">
        <v>490</v>
      </c>
      <c r="B83" s="1648">
        <f>+B82/195-1</f>
        <v>0.19999999999999996</v>
      </c>
      <c r="C83" s="1648">
        <f t="shared" ref="C83:W83" si="263">C82/B82-1</f>
        <v>0.34188034188034178</v>
      </c>
      <c r="D83" s="1648">
        <f t="shared" si="263"/>
        <v>0.22929936305732479</v>
      </c>
      <c r="E83" s="1648">
        <f t="shared" si="263"/>
        <v>0.19170984455958551</v>
      </c>
      <c r="F83" s="1648">
        <f t="shared" si="263"/>
        <v>0.21739130434782616</v>
      </c>
      <c r="G83" s="1648">
        <f t="shared" si="263"/>
        <v>0.125</v>
      </c>
      <c r="H83" s="1648">
        <f t="shared" si="263"/>
        <v>0.19047619047619047</v>
      </c>
      <c r="I83" s="1648">
        <f t="shared" si="263"/>
        <v>0.18666666666666676</v>
      </c>
      <c r="J83" s="1648">
        <f t="shared" si="263"/>
        <v>0.3820224719101124</v>
      </c>
      <c r="K83" s="1648">
        <f t="shared" si="263"/>
        <v>0.21951219512195119</v>
      </c>
      <c r="L83" s="1648">
        <f t="shared" si="263"/>
        <v>0.21933333333333338</v>
      </c>
      <c r="M83" s="1648">
        <f t="shared" si="263"/>
        <v>2.1323127392017582E-2</v>
      </c>
      <c r="N83" s="1648">
        <f t="shared" si="263"/>
        <v>3.2119914346895095E-2</v>
      </c>
      <c r="O83" s="1648">
        <f t="shared" si="263"/>
        <v>8.402489626556009E-2</v>
      </c>
      <c r="P83" s="1089">
        <f t="shared" si="263"/>
        <v>8.564593301435397E-2</v>
      </c>
      <c r="Q83" s="1089">
        <f t="shared" si="263"/>
        <v>1.4103129131776138E-2</v>
      </c>
      <c r="R83" s="1089">
        <f t="shared" si="263"/>
        <v>0.10734463276836159</v>
      </c>
      <c r="S83" s="1648">
        <f t="shared" si="263"/>
        <v>6.8681318681318659E-2</v>
      </c>
      <c r="T83" s="1648">
        <f t="shared" si="263"/>
        <v>-3.1950055086301887E-2</v>
      </c>
      <c r="U83" s="1648">
        <f t="shared" si="263"/>
        <v>-6.6767830045523557E-2</v>
      </c>
      <c r="V83" s="1648">
        <f t="shared" si="263"/>
        <v>5.0000000000000044E-2</v>
      </c>
      <c r="W83" s="1648">
        <f t="shared" si="263"/>
        <v>1.6647309330236171E-2</v>
      </c>
      <c r="X83" s="1648">
        <v>8.4539223153084597E-2</v>
      </c>
      <c r="Y83" s="1648">
        <v>-7.6124567474048499E-3</v>
      </c>
      <c r="Z83" s="1648">
        <v>1.882845188284521E-2</v>
      </c>
      <c r="AA83" s="1648">
        <f t="shared" ref="AA83:AH83" si="264">AA82/Z82-1</f>
        <v>-9.1033538672142367E-2</v>
      </c>
      <c r="AB83" s="1648">
        <f t="shared" si="264"/>
        <v>-6.9653614457831359E-2</v>
      </c>
      <c r="AC83" s="1648">
        <f t="shared" si="264"/>
        <v>-3.682719546742208E-2</v>
      </c>
      <c r="AD83" s="1648">
        <f t="shared" si="264"/>
        <v>-7.2829672731840378E-2</v>
      </c>
      <c r="AE83" s="1089">
        <f t="shared" si="264"/>
        <v>-4.5137289636846933E-2</v>
      </c>
      <c r="AF83" s="1089">
        <f t="shared" si="264"/>
        <v>-4.2524797114517621E-2</v>
      </c>
      <c r="AG83" s="1089">
        <f t="shared" si="264"/>
        <v>-4.0000000000000036E-2</v>
      </c>
      <c r="AH83" s="1089">
        <f t="shared" si="264"/>
        <v>-4.0000000000000036E-2</v>
      </c>
      <c r="AI83" s="1090"/>
      <c r="AJ83" s="1094"/>
      <c r="AK83" s="1079"/>
      <c r="AL83" s="1683"/>
      <c r="AM83" s="1091"/>
    </row>
    <row r="84" spans="1:45">
      <c r="A84" s="2033" t="s">
        <v>487</v>
      </c>
      <c r="B84" s="1648"/>
      <c r="C84" s="1648"/>
      <c r="D84" s="1648"/>
      <c r="E84" s="1648"/>
      <c r="F84" s="1648"/>
      <c r="G84" s="1648"/>
      <c r="H84" s="1648"/>
      <c r="I84" s="1648">
        <f t="shared" ref="I84:AH84" si="265">I82/I7</f>
        <v>0.13675844080011371</v>
      </c>
      <c r="J84" s="1648">
        <f t="shared" si="265"/>
        <v>0.13584462555588617</v>
      </c>
      <c r="K84" s="1648">
        <f t="shared" si="265"/>
        <v>0.12891694809236434</v>
      </c>
      <c r="L84" s="1648">
        <f t="shared" si="265"/>
        <v>0.13376277840429562</v>
      </c>
      <c r="M84" s="1648">
        <f t="shared" si="265"/>
        <v>0.13489436247718331</v>
      </c>
      <c r="N84" s="1648">
        <f t="shared" si="265"/>
        <v>0.13338213865114823</v>
      </c>
      <c r="O84" s="1648">
        <f t="shared" si="265"/>
        <v>0.13182967605853238</v>
      </c>
      <c r="P84" s="1089">
        <f t="shared" si="265"/>
        <v>0.13948140824708261</v>
      </c>
      <c r="Q84" s="1089">
        <f t="shared" si="265"/>
        <v>0.14360266061218047</v>
      </c>
      <c r="R84" s="1089">
        <f t="shared" si="265"/>
        <v>0.16002009671544307</v>
      </c>
      <c r="S84" s="1648">
        <f t="shared" si="265"/>
        <v>0.17274630463744212</v>
      </c>
      <c r="T84" s="1648">
        <f t="shared" si="265"/>
        <v>0.18146771306622608</v>
      </c>
      <c r="U84" s="1648">
        <f t="shared" si="265"/>
        <v>0.17327604423469747</v>
      </c>
      <c r="V84" s="1648">
        <f t="shared" si="265"/>
        <v>0.17614566284779051</v>
      </c>
      <c r="W84" s="1648">
        <f t="shared" si="265"/>
        <v>0.18049350470822736</v>
      </c>
      <c r="X84" s="1648">
        <f t="shared" si="265"/>
        <v>0.18196920324579899</v>
      </c>
      <c r="Y84" s="1648">
        <f t="shared" si="265"/>
        <v>0.17760713401040376</v>
      </c>
      <c r="Z84" s="1648">
        <f t="shared" si="265"/>
        <v>0.17779129905689078</v>
      </c>
      <c r="AA84" s="1648">
        <f t="shared" si="265"/>
        <v>0.16813318984617331</v>
      </c>
      <c r="AB84" s="1648">
        <f t="shared" si="265"/>
        <v>0.15925496261923175</v>
      </c>
      <c r="AC84" s="1648">
        <f t="shared" si="265"/>
        <v>0.15011037527593818</v>
      </c>
      <c r="AD84" s="1648">
        <f t="shared" si="265"/>
        <v>0.13785305108928234</v>
      </c>
      <c r="AE84" s="1089">
        <f t="shared" si="265"/>
        <v>0.1322749680094305</v>
      </c>
      <c r="AF84" s="1089">
        <f t="shared" si="265"/>
        <v>0.12725913214774279</v>
      </c>
      <c r="AG84" s="1089">
        <f t="shared" si="265"/>
        <v>0.12266493742530998</v>
      </c>
      <c r="AH84" s="1648">
        <f t="shared" si="265"/>
        <v>0.11828519895894155</v>
      </c>
      <c r="AI84" s="1090"/>
      <c r="AJ84" s="1094"/>
      <c r="AK84" s="1079"/>
      <c r="AL84" s="1683"/>
      <c r="AM84" s="1091"/>
    </row>
    <row r="85" spans="1:45">
      <c r="A85" s="1651"/>
      <c r="B85" s="1651"/>
      <c r="C85" s="1651"/>
      <c r="D85" s="1651"/>
      <c r="E85" s="1651"/>
      <c r="F85" s="1651"/>
      <c r="G85" s="1651"/>
      <c r="H85" s="1651"/>
      <c r="I85" s="1651"/>
      <c r="J85" s="1651"/>
      <c r="K85" s="1651"/>
      <c r="L85" s="1651"/>
      <c r="M85" s="1651"/>
      <c r="N85" s="1651"/>
      <c r="O85" s="1651"/>
      <c r="P85" s="1069"/>
      <c r="Q85" s="1069"/>
      <c r="R85" s="1125"/>
      <c r="S85" s="1658"/>
      <c r="T85" s="1658"/>
      <c r="U85" s="1658"/>
      <c r="V85" s="1658"/>
      <c r="W85" s="1658"/>
      <c r="X85" s="1658"/>
      <c r="Y85" s="1658"/>
      <c r="Z85" s="1658"/>
      <c r="AA85" s="1658"/>
      <c r="AB85" s="1658"/>
      <c r="AC85" s="1658"/>
      <c r="AD85" s="1658"/>
      <c r="AE85" s="1125"/>
      <c r="AF85" s="1125"/>
      <c r="AG85" s="1125"/>
      <c r="AH85" s="1658"/>
      <c r="AI85" s="1090"/>
      <c r="AJ85" s="1094"/>
      <c r="AK85" s="1079"/>
      <c r="AL85" s="1683"/>
      <c r="AM85" s="1091"/>
    </row>
    <row r="86" spans="1:45">
      <c r="A86" s="2033" t="s">
        <v>491</v>
      </c>
      <c r="B86" s="1644">
        <v>111</v>
      </c>
      <c r="C86" s="1644">
        <f t="shared" ref="C86:U86" si="266">B89</f>
        <v>129</v>
      </c>
      <c r="D86" s="1644">
        <f t="shared" si="266"/>
        <v>149</v>
      </c>
      <c r="E86" s="1644">
        <f t="shared" si="266"/>
        <v>164</v>
      </c>
      <c r="F86" s="1644">
        <f t="shared" si="266"/>
        <v>179</v>
      </c>
      <c r="G86" s="1644">
        <f t="shared" si="266"/>
        <v>188</v>
      </c>
      <c r="H86" s="1644">
        <f t="shared" si="266"/>
        <v>210</v>
      </c>
      <c r="I86" s="1644">
        <f t="shared" si="266"/>
        <v>226</v>
      </c>
      <c r="J86" s="1644">
        <f t="shared" si="266"/>
        <v>258</v>
      </c>
      <c r="K86" s="2047">
        <v>292</v>
      </c>
      <c r="L86" s="1644">
        <f t="shared" si="266"/>
        <v>345</v>
      </c>
      <c r="M86" s="1644">
        <f t="shared" si="266"/>
        <v>402</v>
      </c>
      <c r="N86" s="1644">
        <f t="shared" si="266"/>
        <v>441</v>
      </c>
      <c r="O86" s="1644">
        <f t="shared" si="266"/>
        <v>441</v>
      </c>
      <c r="P86" s="1644">
        <f>'Store New'!B18</f>
        <v>435</v>
      </c>
      <c r="Q86" s="1644">
        <f t="shared" si="266"/>
        <v>484</v>
      </c>
      <c r="R86" s="1644">
        <f t="shared" si="266"/>
        <v>520</v>
      </c>
      <c r="S86" s="1644">
        <f t="shared" si="266"/>
        <v>534</v>
      </c>
      <c r="T86" s="1644">
        <f t="shared" si="266"/>
        <v>576</v>
      </c>
      <c r="U86" s="1644">
        <f t="shared" si="266"/>
        <v>603</v>
      </c>
      <c r="V86" s="1644">
        <f>'Store New'!Z18</f>
        <v>606</v>
      </c>
      <c r="W86" s="1644">
        <f>V89</f>
        <v>610</v>
      </c>
      <c r="X86" s="1644">
        <f t="shared" ref="X86:AD86" si="267">W89</f>
        <v>622</v>
      </c>
      <c r="Y86" s="1644">
        <f t="shared" si="267"/>
        <v>638</v>
      </c>
      <c r="Z86" s="1644">
        <f t="shared" si="267"/>
        <v>650</v>
      </c>
      <c r="AA86" s="1644">
        <f t="shared" si="267"/>
        <v>665</v>
      </c>
      <c r="AB86" s="1644">
        <f t="shared" si="267"/>
        <v>673</v>
      </c>
      <c r="AC86" s="1644">
        <f t="shared" si="267"/>
        <v>650</v>
      </c>
      <c r="AD86" s="1644">
        <f t="shared" si="267"/>
        <v>621</v>
      </c>
      <c r="AE86" s="1084">
        <f>AD89</f>
        <v>548</v>
      </c>
      <c r="AF86" s="1084">
        <f t="shared" ref="AF86" si="268">AE89</f>
        <v>538</v>
      </c>
      <c r="AG86" s="1084">
        <f>AF89</f>
        <v>533</v>
      </c>
      <c r="AH86" s="1644">
        <f>AG89</f>
        <v>533</v>
      </c>
      <c r="AI86" s="1090"/>
      <c r="AJ86" s="1094"/>
      <c r="AK86" s="1079"/>
      <c r="AL86" s="1683"/>
      <c r="AM86" s="1091"/>
      <c r="AS86" s="1809">
        <f>250*0.3</f>
        <v>75</v>
      </c>
    </row>
    <row r="87" spans="1:45" outlineLevel="1">
      <c r="A87" s="2033" t="s">
        <v>56</v>
      </c>
      <c r="B87" s="1644">
        <v>19</v>
      </c>
      <c r="C87" s="1644">
        <v>20</v>
      </c>
      <c r="D87" s="1644">
        <v>15</v>
      </c>
      <c r="E87" s="1644">
        <v>19</v>
      </c>
      <c r="F87" s="1644">
        <v>12</v>
      </c>
      <c r="G87" s="1644">
        <v>26</v>
      </c>
      <c r="H87" s="1644">
        <v>18</v>
      </c>
      <c r="I87" s="1644">
        <v>34</v>
      </c>
      <c r="J87" s="1644">
        <v>36</v>
      </c>
      <c r="K87" s="2047">
        <v>56</v>
      </c>
      <c r="L87" s="1644">
        <v>61</v>
      </c>
      <c r="M87" s="1644">
        <v>49</v>
      </c>
      <c r="N87" s="1644">
        <v>16</v>
      </c>
      <c r="O87" s="1644">
        <v>6</v>
      </c>
      <c r="P87" s="1644">
        <f>SUM('Store New'!B11:E11)</f>
        <v>68</v>
      </c>
      <c r="Q87" s="1644">
        <f>SUM('Store New'!F19:I19)</f>
        <v>42</v>
      </c>
      <c r="R87" s="1644">
        <f>SUM('Store New'!J19:M19)</f>
        <v>46</v>
      </c>
      <c r="S87" s="1644">
        <f>SUM('Store New'!N19:Q19)</f>
        <v>51</v>
      </c>
      <c r="T87" s="1644">
        <f>SUM('Store New'!R19:U19)</f>
        <v>37</v>
      </c>
      <c r="U87" s="1644">
        <f>SUM('Store New'!V19:Y19)</f>
        <v>15</v>
      </c>
      <c r="V87" s="1644">
        <f>SUM('Store New'!Z19:AC19)</f>
        <v>11</v>
      </c>
      <c r="W87" s="1644">
        <f>SUM('Store New'!AD19:AG19)</f>
        <v>22</v>
      </c>
      <c r="X87" s="1644">
        <f>SUM('Store New'!AH19:AK19)</f>
        <v>31</v>
      </c>
      <c r="Y87" s="1644">
        <f>SUM('Store New'!AL19:AO19)</f>
        <v>28</v>
      </c>
      <c r="Z87" s="1644">
        <f>SUM('Store New'!AP19:AS19)</f>
        <v>34</v>
      </c>
      <c r="AA87" s="1644">
        <f>SUM('Store New'!AT19:AW19)</f>
        <v>32</v>
      </c>
      <c r="AB87" s="1644">
        <f>SUM('Store New'!AX19:BA19)</f>
        <v>9</v>
      </c>
      <c r="AC87" s="1644">
        <f>SUM('Store New'!BB19:BE19)</f>
        <v>6</v>
      </c>
      <c r="AD87" s="1645">
        <f>SUM('Store New'!BF19:BI19)</f>
        <v>27</v>
      </c>
      <c r="AE87" s="1126">
        <v>10</v>
      </c>
      <c r="AF87" s="1126">
        <v>10</v>
      </c>
      <c r="AG87" s="1126">
        <v>10</v>
      </c>
      <c r="AH87" s="1645">
        <v>10</v>
      </c>
      <c r="AI87" s="1090"/>
      <c r="AJ87" s="1094"/>
      <c r="AK87" s="1079"/>
      <c r="AL87" s="1683"/>
      <c r="AM87" s="1091"/>
    </row>
    <row r="88" spans="1:45" outlineLevel="1">
      <c r="A88" s="2036" t="s">
        <v>497</v>
      </c>
      <c r="B88" s="1644">
        <v>-1</v>
      </c>
      <c r="C88" s="1644">
        <v>0</v>
      </c>
      <c r="D88" s="1644">
        <v>0</v>
      </c>
      <c r="E88" s="1644">
        <v>-4</v>
      </c>
      <c r="F88" s="1644">
        <v>-3</v>
      </c>
      <c r="G88" s="1644">
        <v>-4</v>
      </c>
      <c r="H88" s="1673">
        <v>-2</v>
      </c>
      <c r="I88" s="1673">
        <v>-2</v>
      </c>
      <c r="J88" s="1673">
        <v>-2</v>
      </c>
      <c r="K88" s="2053">
        <v>-3</v>
      </c>
      <c r="L88" s="1673">
        <v>-4</v>
      </c>
      <c r="M88" s="1673">
        <v>-10</v>
      </c>
      <c r="N88" s="1673">
        <v>-16</v>
      </c>
      <c r="O88" s="1673">
        <v>-12</v>
      </c>
      <c r="P88" s="1644">
        <f>-SUM('Store New'!B12:E12)</f>
        <v>-19</v>
      </c>
      <c r="Q88" s="1644">
        <f>-SUM('Store New'!F20:I20)</f>
        <v>-6</v>
      </c>
      <c r="R88" s="1644">
        <f>-SUM('Store New'!J20:M20)</f>
        <v>-10</v>
      </c>
      <c r="S88" s="1644">
        <f>-SUM('Store New'!N20:Q20)</f>
        <v>-9</v>
      </c>
      <c r="T88" s="1644">
        <f>-SUM('Store New'!R20:U20)</f>
        <v>-10</v>
      </c>
      <c r="U88" s="1644">
        <f>-SUM('Store New'!V20:Y20)</f>
        <v>-12</v>
      </c>
      <c r="V88" s="1644">
        <f>-SUM('Store New'!Z20:AC20)</f>
        <v>-7</v>
      </c>
      <c r="W88" s="1644">
        <f>-SUM('Store New'!AD20:AG20)</f>
        <v>-10</v>
      </c>
      <c r="X88" s="1644">
        <f>-SUM('Store New'!AH20:AK20)</f>
        <v>-15</v>
      </c>
      <c r="Y88" s="1644">
        <f>-SUM('Store New'!AL20:AO20)</f>
        <v>-16</v>
      </c>
      <c r="Z88" s="1644">
        <f>-SUM('Store New'!AP20:AS20)</f>
        <v>-19</v>
      </c>
      <c r="AA88" s="1644">
        <f>-SUM('Store New'!AT20:AW20)</f>
        <v>-24</v>
      </c>
      <c r="AB88" s="1644">
        <f>-SUM('Store New'!AX20:BA20)</f>
        <v>-32</v>
      </c>
      <c r="AC88" s="1644">
        <f>-SUM('Store New'!BB20:BE20)</f>
        <v>-35</v>
      </c>
      <c r="AD88" s="1645">
        <f>-SUM('Store New'!BF20:BI20)</f>
        <v>-100</v>
      </c>
      <c r="AE88" s="1127">
        <v>-20</v>
      </c>
      <c r="AF88" s="1127">
        <v>-15</v>
      </c>
      <c r="AG88" s="1127">
        <v>-10</v>
      </c>
      <c r="AH88" s="1646">
        <v>-10</v>
      </c>
      <c r="AI88" s="1090"/>
      <c r="AJ88" s="1094"/>
      <c r="AK88" s="1079"/>
      <c r="AL88" s="1683"/>
      <c r="AM88" s="1091"/>
    </row>
    <row r="89" spans="1:45">
      <c r="A89" s="2033" t="s">
        <v>498</v>
      </c>
      <c r="B89" s="1644">
        <f t="shared" ref="B89:U89" si="269">+SUM(B86:B88)</f>
        <v>129</v>
      </c>
      <c r="C89" s="1644">
        <f t="shared" si="269"/>
        <v>149</v>
      </c>
      <c r="D89" s="1644">
        <f t="shared" si="269"/>
        <v>164</v>
      </c>
      <c r="E89" s="1644">
        <f t="shared" si="269"/>
        <v>179</v>
      </c>
      <c r="F89" s="1644">
        <f t="shared" si="269"/>
        <v>188</v>
      </c>
      <c r="G89" s="1644">
        <f t="shared" si="269"/>
        <v>210</v>
      </c>
      <c r="H89" s="1644">
        <f t="shared" si="269"/>
        <v>226</v>
      </c>
      <c r="I89" s="1644">
        <f t="shared" si="269"/>
        <v>258</v>
      </c>
      <c r="J89" s="1644">
        <f t="shared" si="269"/>
        <v>292</v>
      </c>
      <c r="K89" s="2047">
        <f t="shared" si="269"/>
        <v>345</v>
      </c>
      <c r="L89" s="1644">
        <f t="shared" si="269"/>
        <v>402</v>
      </c>
      <c r="M89" s="1644">
        <f t="shared" si="269"/>
        <v>441</v>
      </c>
      <c r="N89" s="1644">
        <f t="shared" si="269"/>
        <v>441</v>
      </c>
      <c r="O89" s="1644">
        <f t="shared" si="269"/>
        <v>435</v>
      </c>
      <c r="P89" s="1644">
        <f t="shared" si="269"/>
        <v>484</v>
      </c>
      <c r="Q89" s="1644">
        <f t="shared" si="269"/>
        <v>520</v>
      </c>
      <c r="R89" s="1644">
        <f>segQtrSales!J321</f>
        <v>534</v>
      </c>
      <c r="S89" s="1644">
        <f t="shared" si="269"/>
        <v>576</v>
      </c>
      <c r="T89" s="1644">
        <f t="shared" si="269"/>
        <v>603</v>
      </c>
      <c r="U89" s="1644">
        <f t="shared" si="269"/>
        <v>606</v>
      </c>
      <c r="V89" s="1644">
        <f>'Store New'!AC21</f>
        <v>610</v>
      </c>
      <c r="W89" s="1644">
        <f>'Store New'!AG21</f>
        <v>622</v>
      </c>
      <c r="X89" s="1644">
        <f>'Store New'!AK21</f>
        <v>638</v>
      </c>
      <c r="Y89" s="1644">
        <f>'Store New'!AO21</f>
        <v>650</v>
      </c>
      <c r="Z89" s="1644">
        <f>'Store New'!AS21</f>
        <v>665</v>
      </c>
      <c r="AA89" s="1644">
        <f>'Store New'!AW21</f>
        <v>673</v>
      </c>
      <c r="AB89" s="1644">
        <f>'Store New'!BA21</f>
        <v>650</v>
      </c>
      <c r="AC89" s="1644">
        <f>'Store New'!BE21</f>
        <v>621</v>
      </c>
      <c r="AD89" s="1644">
        <f>'Store New'!BI21</f>
        <v>548</v>
      </c>
      <c r="AE89" s="1084">
        <f>+SUM(AE86:AE88)</f>
        <v>538</v>
      </c>
      <c r="AF89" s="1084">
        <f t="shared" ref="AF89:AH89" si="270">+SUM(AF86:AF88)</f>
        <v>533</v>
      </c>
      <c r="AG89" s="1084">
        <f t="shared" si="270"/>
        <v>533</v>
      </c>
      <c r="AH89" s="1644">
        <f t="shared" si="270"/>
        <v>533</v>
      </c>
      <c r="AI89" s="1090"/>
      <c r="AJ89" s="1094">
        <f>((AB89/W89)^(1/5)-1)*100</f>
        <v>0.88453449261918227</v>
      </c>
      <c r="AK89" s="1110" t="s">
        <v>489</v>
      </c>
      <c r="AL89" s="1683">
        <f>((AH89/AB89)^(1/6)-1)*100</f>
        <v>-3.2534154445690189</v>
      </c>
      <c r="AM89" s="1091" t="s">
        <v>489</v>
      </c>
    </row>
    <row r="90" spans="1:45">
      <c r="A90" s="2033" t="s">
        <v>499</v>
      </c>
      <c r="B90" s="1647">
        <f t="shared" ref="B90:AA90" si="271">(+B89+B86)/2</f>
        <v>120</v>
      </c>
      <c r="C90" s="1647">
        <f t="shared" si="271"/>
        <v>139</v>
      </c>
      <c r="D90" s="1647">
        <f t="shared" si="271"/>
        <v>156.5</v>
      </c>
      <c r="E90" s="1647">
        <f t="shared" si="271"/>
        <v>171.5</v>
      </c>
      <c r="F90" s="1647">
        <f t="shared" si="271"/>
        <v>183.5</v>
      </c>
      <c r="G90" s="1647">
        <f t="shared" si="271"/>
        <v>199</v>
      </c>
      <c r="H90" s="1647">
        <f t="shared" si="271"/>
        <v>218</v>
      </c>
      <c r="I90" s="1647">
        <f t="shared" si="271"/>
        <v>242</v>
      </c>
      <c r="J90" s="1647">
        <f t="shared" si="271"/>
        <v>275</v>
      </c>
      <c r="K90" s="2048">
        <f t="shared" si="271"/>
        <v>318.5</v>
      </c>
      <c r="L90" s="1647">
        <f t="shared" si="271"/>
        <v>373.5</v>
      </c>
      <c r="M90" s="1647">
        <f t="shared" si="271"/>
        <v>421.5</v>
      </c>
      <c r="N90" s="1647">
        <f t="shared" si="271"/>
        <v>441</v>
      </c>
      <c r="O90" s="1647">
        <f t="shared" si="271"/>
        <v>438</v>
      </c>
      <c r="P90" s="1107">
        <f t="shared" si="271"/>
        <v>459.5</v>
      </c>
      <c r="Q90" s="1107">
        <f t="shared" si="271"/>
        <v>502</v>
      </c>
      <c r="R90" s="1107">
        <f t="shared" si="271"/>
        <v>527</v>
      </c>
      <c r="S90" s="1647">
        <f t="shared" si="271"/>
        <v>555</v>
      </c>
      <c r="T90" s="1647">
        <f t="shared" si="271"/>
        <v>589.5</v>
      </c>
      <c r="U90" s="1647">
        <f t="shared" si="271"/>
        <v>604.5</v>
      </c>
      <c r="V90" s="1647">
        <f t="shared" si="271"/>
        <v>608</v>
      </c>
      <c r="W90" s="1647">
        <f t="shared" si="271"/>
        <v>616</v>
      </c>
      <c r="X90" s="1647">
        <f t="shared" si="271"/>
        <v>630</v>
      </c>
      <c r="Y90" s="1647">
        <f t="shared" si="271"/>
        <v>644</v>
      </c>
      <c r="Z90" s="1647">
        <f t="shared" si="271"/>
        <v>657.5</v>
      </c>
      <c r="AA90" s="1647">
        <f t="shared" si="271"/>
        <v>669</v>
      </c>
      <c r="AB90" s="1647">
        <f>(+AB89+AB86)/2</f>
        <v>661.5</v>
      </c>
      <c r="AC90" s="1647">
        <f>(+AC89+AC86)/2</f>
        <v>635.5</v>
      </c>
      <c r="AD90" s="1647">
        <f>(+AD89+AD86)/2</f>
        <v>584.5</v>
      </c>
      <c r="AE90" s="1107">
        <f>(+AE89+AE86)/2</f>
        <v>543</v>
      </c>
      <c r="AF90" s="1107">
        <f t="shared" ref="AF90:AH90" si="272">(+AF89+AF86)/2</f>
        <v>535.5</v>
      </c>
      <c r="AG90" s="1107">
        <f t="shared" si="272"/>
        <v>533</v>
      </c>
      <c r="AH90" s="1647">
        <f t="shared" si="272"/>
        <v>533</v>
      </c>
      <c r="AI90" s="1100"/>
      <c r="AJ90" s="1094"/>
      <c r="AK90" s="1128"/>
      <c r="AL90" s="1683"/>
      <c r="AM90" s="1101"/>
    </row>
    <row r="91" spans="1:45">
      <c r="A91" s="2033" t="s">
        <v>500</v>
      </c>
      <c r="B91" s="1648"/>
      <c r="C91" s="1648">
        <f t="shared" ref="C91:AA91" si="273">(C90/B90-1)</f>
        <v>0.15833333333333344</v>
      </c>
      <c r="D91" s="1648">
        <f t="shared" si="273"/>
        <v>0.12589928057553967</v>
      </c>
      <c r="E91" s="1648">
        <f t="shared" si="273"/>
        <v>9.5846645367412053E-2</v>
      </c>
      <c r="F91" s="1648">
        <f t="shared" si="273"/>
        <v>6.9970845481049482E-2</v>
      </c>
      <c r="G91" s="1648">
        <f t="shared" si="273"/>
        <v>8.4468664850136266E-2</v>
      </c>
      <c r="H91" s="1648">
        <f t="shared" si="273"/>
        <v>9.5477386934673447E-2</v>
      </c>
      <c r="I91" s="1648">
        <f t="shared" si="273"/>
        <v>0.11009174311926606</v>
      </c>
      <c r="J91" s="1648">
        <f t="shared" si="273"/>
        <v>0.13636363636363646</v>
      </c>
      <c r="K91" s="1661">
        <f t="shared" si="273"/>
        <v>0.1581818181818182</v>
      </c>
      <c r="L91" s="1648">
        <f t="shared" si="273"/>
        <v>0.17268445839874413</v>
      </c>
      <c r="M91" s="1648">
        <f t="shared" si="273"/>
        <v>0.12851405622489964</v>
      </c>
      <c r="N91" s="1648">
        <f t="shared" si="273"/>
        <v>4.6263345195729499E-2</v>
      </c>
      <c r="O91" s="1648">
        <f t="shared" si="273"/>
        <v>-6.8027210884353817E-3</v>
      </c>
      <c r="P91" s="1089">
        <f t="shared" si="273"/>
        <v>4.9086757990867591E-2</v>
      </c>
      <c r="Q91" s="1089">
        <f t="shared" si="273"/>
        <v>9.2491838955386374E-2</v>
      </c>
      <c r="R91" s="1089">
        <f t="shared" si="273"/>
        <v>4.980079681274896E-2</v>
      </c>
      <c r="S91" s="1648">
        <f t="shared" si="273"/>
        <v>5.3130929791271431E-2</v>
      </c>
      <c r="T91" s="1648">
        <f t="shared" si="273"/>
        <v>6.2162162162162193E-2</v>
      </c>
      <c r="U91" s="1648">
        <f t="shared" si="273"/>
        <v>2.5445292620865034E-2</v>
      </c>
      <c r="V91" s="1648">
        <f t="shared" si="273"/>
        <v>5.7899090157154109E-3</v>
      </c>
      <c r="W91" s="1648">
        <f t="shared" si="273"/>
        <v>1.3157894736842035E-2</v>
      </c>
      <c r="X91" s="1648">
        <f t="shared" si="273"/>
        <v>2.2727272727272707E-2</v>
      </c>
      <c r="Y91" s="1648">
        <f t="shared" si="273"/>
        <v>2.2222222222222143E-2</v>
      </c>
      <c r="Z91" s="1648">
        <f t="shared" si="273"/>
        <v>2.0962732919254767E-2</v>
      </c>
      <c r="AA91" s="1648">
        <f t="shared" si="273"/>
        <v>1.7490494296577896E-2</v>
      </c>
      <c r="AB91" s="1648">
        <f>(AB90/AA90-1)</f>
        <v>-1.1210762331838597E-2</v>
      </c>
      <c r="AC91" s="1648">
        <f>(AC90/AB90-1)</f>
        <v>-3.9304610733182144E-2</v>
      </c>
      <c r="AD91" s="1648">
        <f>(AD90/AC90-1)</f>
        <v>-8.0251770259638033E-2</v>
      </c>
      <c r="AE91" s="1089">
        <f>(AE90/AD90-1)</f>
        <v>-7.1000855431993193E-2</v>
      </c>
      <c r="AF91" s="1089">
        <f t="shared" ref="AF91" si="274">(AF90/AE90-1)</f>
        <v>-1.3812154696132617E-2</v>
      </c>
      <c r="AG91" s="1089">
        <f>(AG90/AF90-1)</f>
        <v>-4.6685340802987696E-3</v>
      </c>
      <c r="AH91" s="1648">
        <f>(AH90/AG90-1)</f>
        <v>0</v>
      </c>
      <c r="AI91" s="1090"/>
      <c r="AJ91" s="1094"/>
      <c r="AK91" s="1079"/>
      <c r="AL91" s="1683"/>
      <c r="AM91" s="1091"/>
    </row>
    <row r="92" spans="1:45" hidden="1" outlineLevel="1">
      <c r="A92" s="2033" t="s">
        <v>128</v>
      </c>
      <c r="B92" s="1648">
        <f t="shared" ref="B92:M92" si="275">+B89/B86-1</f>
        <v>0.16216216216216206</v>
      </c>
      <c r="C92" s="1648">
        <f t="shared" si="275"/>
        <v>0.15503875968992253</v>
      </c>
      <c r="D92" s="1648">
        <f t="shared" si="275"/>
        <v>0.10067114093959728</v>
      </c>
      <c r="E92" s="1648">
        <f t="shared" si="275"/>
        <v>9.1463414634146423E-2</v>
      </c>
      <c r="F92" s="1648">
        <f t="shared" si="275"/>
        <v>5.027932960893855E-2</v>
      </c>
      <c r="G92" s="1648">
        <f t="shared" si="275"/>
        <v>0.11702127659574457</v>
      </c>
      <c r="H92" s="1648">
        <f t="shared" si="275"/>
        <v>7.6190476190476142E-2</v>
      </c>
      <c r="I92" s="1648">
        <f t="shared" si="275"/>
        <v>0.1415929203539823</v>
      </c>
      <c r="J92" s="1648">
        <f t="shared" si="275"/>
        <v>0.13178294573643412</v>
      </c>
      <c r="K92" s="1648">
        <f t="shared" si="275"/>
        <v>0.18150684931506844</v>
      </c>
      <c r="L92" s="1648">
        <f t="shared" si="275"/>
        <v>0.16521739130434776</v>
      </c>
      <c r="M92" s="1648">
        <f t="shared" si="275"/>
        <v>9.7014925373134275E-2</v>
      </c>
      <c r="N92" s="1648"/>
      <c r="O92" s="1648"/>
      <c r="P92" s="1089"/>
      <c r="Q92" s="1089"/>
      <c r="R92" s="1089"/>
      <c r="S92" s="1648"/>
      <c r="T92" s="1648"/>
      <c r="U92" s="1648"/>
      <c r="V92" s="1648"/>
      <c r="W92" s="1648"/>
      <c r="X92" s="1648"/>
      <c r="Y92" s="1648"/>
      <c r="Z92" s="1648"/>
      <c r="AA92" s="1648"/>
      <c r="AB92" s="1648"/>
      <c r="AC92" s="1648"/>
      <c r="AD92" s="1648"/>
      <c r="AE92" s="1089"/>
      <c r="AF92" s="1089"/>
      <c r="AG92" s="1089"/>
      <c r="AH92" s="1648"/>
      <c r="AI92" s="1090"/>
      <c r="AJ92" s="1094"/>
      <c r="AK92" s="1079"/>
      <c r="AL92" s="1683"/>
      <c r="AM92" s="1091"/>
    </row>
    <row r="93" spans="1:45" collapsed="1">
      <c r="A93" s="1651"/>
      <c r="B93" s="1651"/>
      <c r="C93" s="1651"/>
      <c r="D93" s="1651"/>
      <c r="E93" s="1651"/>
      <c r="F93" s="1651"/>
      <c r="G93" s="1651"/>
      <c r="H93" s="1648"/>
      <c r="I93" s="1648"/>
      <c r="J93" s="1651"/>
      <c r="K93" s="1651"/>
      <c r="L93" s="1651"/>
      <c r="M93" s="1651"/>
      <c r="N93" s="1651"/>
      <c r="O93" s="1651"/>
      <c r="P93" s="1069"/>
      <c r="Q93" s="1069"/>
      <c r="R93" s="1069"/>
      <c r="S93" s="1651"/>
      <c r="T93" s="1651"/>
      <c r="U93" s="1651"/>
      <c r="V93" s="1651"/>
      <c r="W93" s="1651"/>
      <c r="X93" s="1651"/>
      <c r="Y93" s="1651"/>
      <c r="Z93" s="1651"/>
      <c r="AA93" s="1651"/>
      <c r="AB93" s="1651"/>
      <c r="AC93" s="1651"/>
      <c r="AD93" s="1651"/>
      <c r="AE93" s="1069"/>
      <c r="AF93" s="1069"/>
      <c r="AG93" s="1069"/>
      <c r="AH93" s="1651"/>
      <c r="AI93" s="1090"/>
      <c r="AJ93" s="1094"/>
      <c r="AK93" s="1079"/>
      <c r="AL93" s="1683"/>
      <c r="AM93" s="1091"/>
    </row>
    <row r="94" spans="1:45">
      <c r="A94" s="2033" t="s">
        <v>62</v>
      </c>
      <c r="B94" s="1649">
        <f t="shared" ref="B94:AD94" si="276">(B82)/B90</f>
        <v>1.95</v>
      </c>
      <c r="C94" s="1649">
        <f t="shared" si="276"/>
        <v>2.2589928057553958</v>
      </c>
      <c r="D94" s="1649">
        <f t="shared" si="276"/>
        <v>2.4664536741214058</v>
      </c>
      <c r="E94" s="1649">
        <f t="shared" si="276"/>
        <v>2.6822157434402332</v>
      </c>
      <c r="F94" s="1649">
        <f t="shared" si="276"/>
        <v>3.0517711171662127</v>
      </c>
      <c r="G94" s="1649">
        <f t="shared" si="276"/>
        <v>3.1658291457286434</v>
      </c>
      <c r="H94" s="1649">
        <f t="shared" si="276"/>
        <v>3.4403669724770642</v>
      </c>
      <c r="I94" s="1649">
        <f t="shared" si="276"/>
        <v>3.6776859504132231</v>
      </c>
      <c r="J94" s="1649">
        <f t="shared" si="276"/>
        <v>4.4727272727272727</v>
      </c>
      <c r="K94" s="1649">
        <f t="shared" si="276"/>
        <v>4.7095761381475665</v>
      </c>
      <c r="L94" s="1649">
        <f t="shared" si="276"/>
        <v>4.8969210174029447</v>
      </c>
      <c r="M94" s="1649">
        <f t="shared" si="276"/>
        <v>4.431791221826809</v>
      </c>
      <c r="N94" s="1649">
        <f t="shared" si="276"/>
        <v>4.3718820861678003</v>
      </c>
      <c r="O94" s="1649">
        <f t="shared" si="276"/>
        <v>4.7716894977168947</v>
      </c>
      <c r="P94" s="1102">
        <f t="shared" si="276"/>
        <v>4.9379760609357994</v>
      </c>
      <c r="Q94" s="1102">
        <f t="shared" si="276"/>
        <v>4.5836653386454183</v>
      </c>
      <c r="R94" s="1102">
        <f t="shared" si="276"/>
        <v>4.8349146110056926</v>
      </c>
      <c r="S94" s="1649">
        <f t="shared" si="276"/>
        <v>4.9063063063063064</v>
      </c>
      <c r="T94" s="1649">
        <f t="shared" si="276"/>
        <v>4.471586089906701</v>
      </c>
      <c r="U94" s="1649">
        <f t="shared" si="276"/>
        <v>4.0694789081885858</v>
      </c>
      <c r="V94" s="1649">
        <f t="shared" si="276"/>
        <v>4.2483552631578947</v>
      </c>
      <c r="W94" s="1649">
        <f t="shared" si="276"/>
        <v>4.2629870129870131</v>
      </c>
      <c r="X94" s="1649">
        <f t="shared" si="276"/>
        <v>4.5206349206349206</v>
      </c>
      <c r="Y94" s="1649">
        <f t="shared" si="276"/>
        <v>4.4534161490683228</v>
      </c>
      <c r="Z94" s="1649">
        <f t="shared" si="276"/>
        <v>4.4441064638783274</v>
      </c>
      <c r="AA94" s="1649">
        <f t="shared" si="276"/>
        <v>3.970104633781764</v>
      </c>
      <c r="AB94" s="1649">
        <f t="shared" si="276"/>
        <v>3.7354497354497354</v>
      </c>
      <c r="AC94" s="1649">
        <f t="shared" si="276"/>
        <v>3.7450826121164438</v>
      </c>
      <c r="AD94" s="1649">
        <f t="shared" si="276"/>
        <v>3.7753043266008892</v>
      </c>
      <c r="AE94" s="1102">
        <f>(AE82)/AE90</f>
        <v>3.8804097321533857</v>
      </c>
      <c r="AF94" s="1102">
        <f t="shared" ref="AF94:AH94" si="277">(AF82)/AF90</f>
        <v>3.7674324554543288</v>
      </c>
      <c r="AG94" s="1102">
        <f t="shared" si="277"/>
        <v>3.6336992058160624</v>
      </c>
      <c r="AH94" s="1649">
        <f t="shared" si="277"/>
        <v>3.4883512375834198</v>
      </c>
      <c r="AI94" s="1090"/>
      <c r="AJ94" s="1094"/>
      <c r="AK94" s="1079"/>
      <c r="AL94" s="1683"/>
      <c r="AM94" s="1091"/>
    </row>
    <row r="95" spans="1:45">
      <c r="A95" s="2033" t="s">
        <v>490</v>
      </c>
      <c r="B95" s="1650"/>
      <c r="C95" s="1650"/>
      <c r="D95" s="1650">
        <f t="shared" ref="D95:AA95" si="278">D94/C94-1</f>
        <v>9.1837772939093565E-2</v>
      </c>
      <c r="E95" s="1650">
        <f t="shared" si="278"/>
        <v>8.7478662819679975E-2</v>
      </c>
      <c r="F95" s="1650">
        <f t="shared" si="278"/>
        <v>0.13777988390001195</v>
      </c>
      <c r="G95" s="1650">
        <f t="shared" si="278"/>
        <v>3.7374371859296485E-2</v>
      </c>
      <c r="H95" s="1650">
        <f t="shared" si="278"/>
        <v>8.671909130624722E-2</v>
      </c>
      <c r="I95" s="1650">
        <f t="shared" si="278"/>
        <v>6.8980716253443486E-2</v>
      </c>
      <c r="J95" s="1650">
        <f t="shared" si="278"/>
        <v>0.21617977528089893</v>
      </c>
      <c r="K95" s="1650">
        <f t="shared" si="278"/>
        <v>5.295401462648841E-2</v>
      </c>
      <c r="L95" s="1650">
        <f t="shared" si="278"/>
        <v>3.9779562695225312E-2</v>
      </c>
      <c r="M95" s="1650">
        <f t="shared" si="278"/>
        <v>-9.49841326668599E-2</v>
      </c>
      <c r="N95" s="1650">
        <f t="shared" si="278"/>
        <v>-1.3518041049396246E-2</v>
      </c>
      <c r="O95" s="1650">
        <f t="shared" si="278"/>
        <v>9.1449724322173465E-2</v>
      </c>
      <c r="P95" s="1103">
        <f t="shared" si="278"/>
        <v>3.4848571621952207E-2</v>
      </c>
      <c r="Q95" s="1103">
        <f t="shared" si="278"/>
        <v>-7.1752215466033609E-2</v>
      </c>
      <c r="R95" s="1103">
        <f t="shared" si="278"/>
        <v>5.4814052466257257E-2</v>
      </c>
      <c r="S95" s="1650">
        <f t="shared" si="278"/>
        <v>1.4765864765864833E-2</v>
      </c>
      <c r="T95" s="1650">
        <f t="shared" si="278"/>
        <v>-8.8604377562167103E-2</v>
      </c>
      <c r="U95" s="1650">
        <f t="shared" si="278"/>
        <v>-8.9924955850845589E-2</v>
      </c>
      <c r="V95" s="1650">
        <f t="shared" si="278"/>
        <v>4.3955592105263008E-2</v>
      </c>
      <c r="W95" s="1650">
        <f t="shared" si="278"/>
        <v>3.444097520752587E-3</v>
      </c>
      <c r="X95" s="1650">
        <f t="shared" si="278"/>
        <v>6.0438351527460465E-2</v>
      </c>
      <c r="Y95" s="1650">
        <f t="shared" si="278"/>
        <v>-1.4869320957498822E-2</v>
      </c>
      <c r="Z95" s="1650">
        <f t="shared" si="278"/>
        <v>-2.0904592964983149E-3</v>
      </c>
      <c r="AA95" s="1650">
        <f t="shared" si="278"/>
        <v>-0.1066585226859994</v>
      </c>
      <c r="AB95" s="1650">
        <f>AB94/AA94-1</f>
        <v>-5.9105469497035878E-2</v>
      </c>
      <c r="AC95" s="1650">
        <f>AC94/AB94-1</f>
        <v>2.5787729320225772E-3</v>
      </c>
      <c r="AD95" s="1650">
        <f>AD94/AC94-1</f>
        <v>8.0697056953213941E-3</v>
      </c>
      <c r="AE95" s="1103">
        <f>AE94/AD94-1</f>
        <v>2.7840247158863685E-2</v>
      </c>
      <c r="AF95" s="1103">
        <f t="shared" ref="AF95" si="279">AF94/AE94-1</f>
        <v>-2.9114780267382123E-2</v>
      </c>
      <c r="AG95" s="1103">
        <f>AG94/AF94-1</f>
        <v>-3.5497185741088177E-2</v>
      </c>
      <c r="AH95" s="1650">
        <f>AH94/AG94-1</f>
        <v>-4.0000000000000036E-2</v>
      </c>
      <c r="AI95" s="1090"/>
      <c r="AJ95" s="1094"/>
      <c r="AK95" s="1079"/>
      <c r="AL95" s="1683"/>
      <c r="AM95" s="1091"/>
    </row>
    <row r="96" spans="1:45">
      <c r="A96" s="1651"/>
      <c r="B96" s="1651"/>
      <c r="C96" s="1651"/>
      <c r="D96" s="1651"/>
      <c r="E96" s="1651"/>
      <c r="F96" s="1651"/>
      <c r="G96" s="1651"/>
      <c r="H96" s="1651"/>
      <c r="I96" s="1651"/>
      <c r="J96" s="1651"/>
      <c r="K96" s="1651"/>
      <c r="L96" s="1651"/>
      <c r="M96" s="1651"/>
      <c r="N96" s="1651"/>
      <c r="O96" s="1651"/>
      <c r="P96" s="1069"/>
      <c r="Q96" s="1069"/>
      <c r="R96" s="1069"/>
      <c r="S96" s="1651"/>
      <c r="T96" s="1651"/>
      <c r="U96" s="1651"/>
      <c r="V96" s="1651"/>
      <c r="W96" s="1651"/>
      <c r="X96" s="1651"/>
      <c r="Y96" s="1651"/>
      <c r="Z96" s="1651"/>
      <c r="AA96" s="1651"/>
      <c r="AB96" s="1651"/>
      <c r="AC96" s="1651"/>
      <c r="AD96" s="1651"/>
      <c r="AE96" s="1069"/>
      <c r="AF96" s="1069"/>
      <c r="AG96" s="1069"/>
      <c r="AH96" s="1651"/>
      <c r="AI96" s="1090"/>
      <c r="AJ96" s="1094"/>
      <c r="AK96" s="1079"/>
      <c r="AL96" s="1683"/>
      <c r="AM96" s="1091"/>
    </row>
    <row r="97" spans="1:43">
      <c r="A97" s="2033" t="s">
        <v>502</v>
      </c>
      <c r="B97" s="2049"/>
      <c r="C97" s="2049"/>
      <c r="D97" s="1652">
        <f t="shared" ref="D97:J97" si="280">+(C100+D100)/2</f>
        <v>0.69799999999999995</v>
      </c>
      <c r="E97" s="1652">
        <f t="shared" si="280"/>
        <v>0.85149999999999992</v>
      </c>
      <c r="F97" s="1652">
        <f t="shared" si="280"/>
        <v>0.99549999999999994</v>
      </c>
      <c r="G97" s="1652">
        <f t="shared" si="280"/>
        <v>1.143</v>
      </c>
      <c r="H97" s="1652">
        <f t="shared" si="280"/>
        <v>1.2975000000000001</v>
      </c>
      <c r="I97" s="1652">
        <f t="shared" si="280"/>
        <v>1.5305</v>
      </c>
      <c r="J97" s="1652">
        <f t="shared" si="280"/>
        <v>1.8635000000000002</v>
      </c>
      <c r="K97" s="1652">
        <f>+(J100+K100)/2</f>
        <v>2.3140000000000001</v>
      </c>
      <c r="L97" s="1652">
        <f>+(K100+L100)/2</f>
        <v>2.9000000000000004</v>
      </c>
      <c r="M97" s="1652">
        <f t="shared" ref="M97:Z97" si="281">+(L100+M100)/2</f>
        <v>3.4000000000000004</v>
      </c>
      <c r="N97" s="1652">
        <f t="shared" si="281"/>
        <v>3.6500000000000004</v>
      </c>
      <c r="O97" s="1652">
        <f t="shared" si="281"/>
        <v>3.6852575000000001</v>
      </c>
      <c r="P97" s="1104">
        <f t="shared" si="281"/>
        <v>3.7852575000000002</v>
      </c>
      <c r="Q97" s="1104">
        <f t="shared" si="281"/>
        <v>4.05</v>
      </c>
      <c r="R97" s="1104">
        <f t="shared" si="281"/>
        <v>4.4000000000000004</v>
      </c>
      <c r="S97" s="1652">
        <f t="shared" si="281"/>
        <v>4.6999999999999993</v>
      </c>
      <c r="T97" s="1652">
        <f t="shared" si="281"/>
        <v>4.95</v>
      </c>
      <c r="U97" s="1652">
        <f t="shared" si="281"/>
        <v>5.1000000000000005</v>
      </c>
      <c r="V97" s="1652">
        <f t="shared" si="281"/>
        <v>5.15</v>
      </c>
      <c r="W97" s="1652">
        <f t="shared" si="281"/>
        <v>5.2</v>
      </c>
      <c r="X97" s="1652">
        <f t="shared" si="281"/>
        <v>5.2</v>
      </c>
      <c r="Y97" s="1652">
        <f t="shared" si="281"/>
        <v>5.25</v>
      </c>
      <c r="Z97" s="1652">
        <f t="shared" si="281"/>
        <v>5.35</v>
      </c>
      <c r="AA97" s="1652">
        <f>+(Z100+AA100)/2</f>
        <v>5.3999999999999995</v>
      </c>
      <c r="AB97" s="1652">
        <f>+(AA100+AB100)/2</f>
        <v>5.3</v>
      </c>
      <c r="AC97" s="1652">
        <f>+(AB100+AC100)/2</f>
        <v>5.15</v>
      </c>
      <c r="AD97" s="1652">
        <f>+(AC100+AD100)/2</f>
        <v>4.8079999999999998</v>
      </c>
      <c r="AE97" s="1104">
        <f>+(AD100+AE100)/2</f>
        <v>4.476</v>
      </c>
      <c r="AF97" s="1104">
        <f t="shared" ref="AF97" si="282">+(AE100+AF100)/2</f>
        <v>4.4160000000000004</v>
      </c>
      <c r="AG97" s="1104">
        <f>+(AF100+AG100)/2</f>
        <v>4.3959999999999999</v>
      </c>
      <c r="AH97" s="1652">
        <f>+(AG100+AH100)/2</f>
        <v>4.3959999999999999</v>
      </c>
      <c r="AI97" s="1090"/>
      <c r="AJ97" s="1094">
        <f>((AB97/W97)^(1/5)-1)*100</f>
        <v>0.38169048926584015</v>
      </c>
      <c r="AK97" s="1110" t="s">
        <v>489</v>
      </c>
      <c r="AL97" s="1683">
        <f>((AH97/AB97)^(1/6)-1)*100</f>
        <v>-3.0687896455501851</v>
      </c>
      <c r="AM97" s="1091" t="s">
        <v>489</v>
      </c>
    </row>
    <row r="98" spans="1:43">
      <c r="A98" s="2033" t="s">
        <v>490</v>
      </c>
      <c r="B98" s="1648"/>
      <c r="C98" s="1648"/>
      <c r="D98" s="1648"/>
      <c r="E98" s="1648">
        <f t="shared" ref="E98:J98" si="283">E97/D97-1</f>
        <v>0.21991404011461313</v>
      </c>
      <c r="F98" s="1648">
        <f t="shared" si="283"/>
        <v>0.16911332941867308</v>
      </c>
      <c r="G98" s="1648">
        <f t="shared" si="283"/>
        <v>0.14816675037669524</v>
      </c>
      <c r="H98" s="1648">
        <f t="shared" si="283"/>
        <v>0.13517060367454081</v>
      </c>
      <c r="I98" s="1648">
        <f t="shared" si="283"/>
        <v>0.17957610789980727</v>
      </c>
      <c r="J98" s="1648">
        <f t="shared" si="283"/>
        <v>0.21757595557007536</v>
      </c>
      <c r="K98" s="1648">
        <f>K97/J97-1</f>
        <v>0.24174939629728986</v>
      </c>
      <c r="L98" s="1648">
        <f>L97/K97-1</f>
        <v>0.25324114088159044</v>
      </c>
      <c r="M98" s="1648">
        <f t="shared" ref="M98:AA98" si="284">M97/L97-1</f>
        <v>0.17241379310344818</v>
      </c>
      <c r="N98" s="1648">
        <f t="shared" si="284"/>
        <v>7.3529411764705843E-2</v>
      </c>
      <c r="O98" s="1648">
        <f t="shared" si="284"/>
        <v>9.6595890410957619E-3</v>
      </c>
      <c r="P98" s="1089">
        <f t="shared" si="284"/>
        <v>2.7135145915855308E-2</v>
      </c>
      <c r="Q98" s="1089">
        <f t="shared" si="284"/>
        <v>6.9940420169565698E-2</v>
      </c>
      <c r="R98" s="1089">
        <f t="shared" si="284"/>
        <v>8.6419753086419915E-2</v>
      </c>
      <c r="S98" s="1648">
        <f t="shared" si="284"/>
        <v>6.8181818181817899E-2</v>
      </c>
      <c r="T98" s="1648">
        <f t="shared" si="284"/>
        <v>5.319148936170226E-2</v>
      </c>
      <c r="U98" s="1648">
        <f t="shared" si="284"/>
        <v>3.0303030303030276E-2</v>
      </c>
      <c r="V98" s="1648">
        <f t="shared" si="284"/>
        <v>9.8039215686274161E-3</v>
      </c>
      <c r="W98" s="1648">
        <f t="shared" si="284"/>
        <v>9.7087378640776656E-3</v>
      </c>
      <c r="X98" s="1648">
        <f t="shared" si="284"/>
        <v>0</v>
      </c>
      <c r="Y98" s="1648">
        <f t="shared" si="284"/>
        <v>9.6153846153845812E-3</v>
      </c>
      <c r="Z98" s="1648">
        <f t="shared" si="284"/>
        <v>1.904761904761898E-2</v>
      </c>
      <c r="AA98" s="1648">
        <f t="shared" si="284"/>
        <v>9.3457943925232545E-3</v>
      </c>
      <c r="AB98" s="1648">
        <f>AB97/AA97-1</f>
        <v>-1.851851851851849E-2</v>
      </c>
      <c r="AC98" s="1648">
        <f>AC97/AB97-1</f>
        <v>-2.8301886792452713E-2</v>
      </c>
      <c r="AD98" s="1648">
        <f>AD97/AC97-1</f>
        <v>-6.6407766990291384E-2</v>
      </c>
      <c r="AE98" s="1089">
        <f>AE97/AD97-1</f>
        <v>-6.9051580698835213E-2</v>
      </c>
      <c r="AF98" s="1089">
        <f t="shared" ref="AF98" si="285">AF97/AE97-1</f>
        <v>-1.3404825737265313E-2</v>
      </c>
      <c r="AG98" s="1089">
        <f>AG97/AF97-1</f>
        <v>-4.5289855072464524E-3</v>
      </c>
      <c r="AH98" s="1648">
        <f>AH97/AG97-1</f>
        <v>0</v>
      </c>
      <c r="AI98" s="1090"/>
      <c r="AJ98" s="1094"/>
      <c r="AK98" s="1079"/>
      <c r="AL98" s="1683"/>
      <c r="AM98" s="1091"/>
    </row>
    <row r="99" spans="1:43">
      <c r="A99" s="1651"/>
      <c r="B99" s="1651"/>
      <c r="C99" s="1651"/>
      <c r="D99" s="1651"/>
      <c r="E99" s="1651"/>
      <c r="F99" s="1651"/>
      <c r="G99" s="1651"/>
      <c r="H99" s="1651"/>
      <c r="I99" s="1651"/>
      <c r="J99" s="1651"/>
      <c r="K99" s="1651"/>
      <c r="L99" s="1651"/>
      <c r="M99" s="1651"/>
      <c r="N99" s="1651"/>
      <c r="O99" s="1651"/>
      <c r="P99" s="1069"/>
      <c r="Q99" s="1069"/>
      <c r="R99" s="1069"/>
      <c r="S99" s="1651"/>
      <c r="T99" s="1651"/>
      <c r="U99" s="1651"/>
      <c r="V99" s="1651"/>
      <c r="W99" s="1651"/>
      <c r="X99" s="1651"/>
      <c r="Y99" s="1651"/>
      <c r="Z99" s="1651"/>
      <c r="AA99" s="1651"/>
      <c r="AB99" s="1651"/>
      <c r="AC99" s="1651"/>
      <c r="AD99" s="1651"/>
      <c r="AE99" s="1069"/>
      <c r="AF99" s="1069"/>
      <c r="AG99" s="1069"/>
      <c r="AH99" s="1651"/>
      <c r="AI99" s="1090"/>
      <c r="AJ99" s="1094"/>
      <c r="AK99" s="1079"/>
      <c r="AL99" s="1683"/>
      <c r="AM99" s="1091"/>
    </row>
    <row r="100" spans="1:43">
      <c r="A100" s="2033" t="s">
        <v>503</v>
      </c>
      <c r="B100" s="2049"/>
      <c r="C100" s="1653">
        <v>0.63100000000000001</v>
      </c>
      <c r="D100" s="1653">
        <v>0.76500000000000001</v>
      </c>
      <c r="E100" s="1653">
        <v>0.93799999999999994</v>
      </c>
      <c r="F100" s="1653">
        <v>1.0529999999999999</v>
      </c>
      <c r="G100" s="1653">
        <v>1.2330000000000001</v>
      </c>
      <c r="H100" s="1653">
        <v>1.3620000000000001</v>
      </c>
      <c r="I100" s="1653">
        <v>1.6990000000000001</v>
      </c>
      <c r="J100" s="1653">
        <v>2.028</v>
      </c>
      <c r="K100" s="1653">
        <v>2.6</v>
      </c>
      <c r="L100" s="1653">
        <v>3.2</v>
      </c>
      <c r="M100" s="1653">
        <v>3.6</v>
      </c>
      <c r="N100" s="1653">
        <v>3.7</v>
      </c>
      <c r="O100" s="1653">
        <v>3.670515</v>
      </c>
      <c r="P100" s="1129">
        <f>'Store New'!E38</f>
        <v>3.9</v>
      </c>
      <c r="Q100" s="1653">
        <f>'Store New'!I38</f>
        <v>4.2</v>
      </c>
      <c r="R100" s="1653">
        <f>'Store New'!M38</f>
        <v>4.5999999999999996</v>
      </c>
      <c r="S100" s="1653">
        <f>'Store New'!Q38</f>
        <v>4.8</v>
      </c>
      <c r="T100" s="1653">
        <f>'Store New'!U38</f>
        <v>5.1000000000000005</v>
      </c>
      <c r="U100" s="1653">
        <f>'Store New'!Y38</f>
        <v>5.1000000000000005</v>
      </c>
      <c r="V100" s="1653">
        <f>'Store New'!AC38</f>
        <v>5.2</v>
      </c>
      <c r="W100" s="1653">
        <f>'Store New'!AG38</f>
        <v>5.2</v>
      </c>
      <c r="X100" s="1653">
        <f>'Store New'!AK38</f>
        <v>5.2</v>
      </c>
      <c r="Y100" s="1653">
        <f>'Store New'!AO38</f>
        <v>5.3</v>
      </c>
      <c r="Z100" s="1653">
        <f>'Store New'!AS38</f>
        <v>5.3999999999999995</v>
      </c>
      <c r="AA100" s="1653">
        <f>'Store New'!AW38</f>
        <v>5.3999999999999995</v>
      </c>
      <c r="AB100" s="1653">
        <f>'Store New'!BA38</f>
        <v>5.2</v>
      </c>
      <c r="AC100" s="1653">
        <f>'Store New'!BE38</f>
        <v>5.1000000000000005</v>
      </c>
      <c r="AD100" s="1659">
        <f>'Store New'!BI38</f>
        <v>4.516</v>
      </c>
      <c r="AE100" s="1130">
        <f>AD100+((AE87+AE88)*AE112/1000000)</f>
        <v>4.4359999999999999</v>
      </c>
      <c r="AF100" s="1130">
        <f t="shared" ref="AF100" si="286">AE100+((AF87+AF88)*AF112/1000000)</f>
        <v>4.3959999999999999</v>
      </c>
      <c r="AG100" s="1130">
        <f>AF100+((AG87+AG88)*AG112/1000000)</f>
        <v>4.3959999999999999</v>
      </c>
      <c r="AH100" s="1659">
        <f>AG100+((AH87+AH88)*AH112/1000000)</f>
        <v>4.3959999999999999</v>
      </c>
      <c r="AI100" s="1090"/>
      <c r="AJ100" s="1094">
        <f>((AB100/W100)^(1/5)-1)*100</f>
        <v>0</v>
      </c>
      <c r="AK100" s="1110" t="s">
        <v>489</v>
      </c>
      <c r="AL100" s="1683">
        <f>((AH100/AB100)^(1/6)-1)*100</f>
        <v>-2.7605732249500359</v>
      </c>
      <c r="AM100" s="1091" t="s">
        <v>489</v>
      </c>
    </row>
    <row r="101" spans="1:43">
      <c r="A101" s="2033" t="s">
        <v>490</v>
      </c>
      <c r="B101" s="1648"/>
      <c r="C101" s="1648"/>
      <c r="D101" s="1648">
        <f t="shared" ref="D101:AB101" si="287">D100/C100-1</f>
        <v>0.21236133122028522</v>
      </c>
      <c r="E101" s="1648">
        <f t="shared" si="287"/>
        <v>0.22614379084967307</v>
      </c>
      <c r="F101" s="1648">
        <f t="shared" si="287"/>
        <v>0.12260127931769715</v>
      </c>
      <c r="G101" s="1648">
        <f t="shared" si="287"/>
        <v>0.170940170940171</v>
      </c>
      <c r="H101" s="1648">
        <f t="shared" si="287"/>
        <v>0.10462287104622869</v>
      </c>
      <c r="I101" s="1648">
        <f t="shared" si="287"/>
        <v>0.24743024963289284</v>
      </c>
      <c r="J101" s="1648">
        <f t="shared" si="287"/>
        <v>0.19364331959976444</v>
      </c>
      <c r="K101" s="1648">
        <f t="shared" si="287"/>
        <v>0.28205128205128216</v>
      </c>
      <c r="L101" s="1648">
        <f t="shared" si="287"/>
        <v>0.23076923076923084</v>
      </c>
      <c r="M101" s="1648">
        <f t="shared" si="287"/>
        <v>0.125</v>
      </c>
      <c r="N101" s="1648">
        <f t="shared" si="287"/>
        <v>2.7777777777777901E-2</v>
      </c>
      <c r="O101" s="1648">
        <f t="shared" si="287"/>
        <v>-7.9689189189189324E-3</v>
      </c>
      <c r="P101" s="1089">
        <f t="shared" si="287"/>
        <v>6.2521199341236899E-2</v>
      </c>
      <c r="Q101" s="1089">
        <f t="shared" si="287"/>
        <v>7.6923076923077094E-2</v>
      </c>
      <c r="R101" s="1089">
        <f t="shared" si="287"/>
        <v>9.5238095238095122E-2</v>
      </c>
      <c r="S101" s="1648">
        <f t="shared" si="287"/>
        <v>4.3478260869565188E-2</v>
      </c>
      <c r="T101" s="1648">
        <f t="shared" si="287"/>
        <v>6.2500000000000222E-2</v>
      </c>
      <c r="U101" s="1648">
        <f t="shared" si="287"/>
        <v>0</v>
      </c>
      <c r="V101" s="1648">
        <f t="shared" si="287"/>
        <v>1.9607843137254832E-2</v>
      </c>
      <c r="W101" s="1648">
        <f t="shared" si="287"/>
        <v>0</v>
      </c>
      <c r="X101" s="1648">
        <f t="shared" si="287"/>
        <v>0</v>
      </c>
      <c r="Y101" s="1648">
        <f t="shared" si="287"/>
        <v>1.9230769230769162E-2</v>
      </c>
      <c r="Z101" s="1648">
        <f t="shared" si="287"/>
        <v>1.8867924528301883E-2</v>
      </c>
      <c r="AA101" s="1648">
        <f t="shared" si="287"/>
        <v>0</v>
      </c>
      <c r="AB101" s="1648">
        <f t="shared" si="287"/>
        <v>-3.7037037037036868E-2</v>
      </c>
      <c r="AC101" s="1648">
        <f>AC100/AB100-1</f>
        <v>-1.9230769230769162E-2</v>
      </c>
      <c r="AD101" s="1648">
        <f>AD100/AC100-1</f>
        <v>-0.11450980392156873</v>
      </c>
      <c r="AE101" s="1089">
        <f>AE100/AD100-1</f>
        <v>-1.7714791851195733E-2</v>
      </c>
      <c r="AF101" s="1089">
        <f t="shared" ref="AF101" si="288">AF100/AE100-1</f>
        <v>-9.0171325518485501E-3</v>
      </c>
      <c r="AG101" s="1089">
        <f>AG100/AF100-1</f>
        <v>0</v>
      </c>
      <c r="AH101" s="1648">
        <f>AH100/AG100-1</f>
        <v>0</v>
      </c>
      <c r="AI101" s="1090"/>
      <c r="AJ101" s="1094"/>
      <c r="AK101" s="1079"/>
      <c r="AL101" s="1683"/>
      <c r="AM101" s="1091"/>
    </row>
    <row r="102" spans="1:43">
      <c r="A102" s="1651"/>
      <c r="B102" s="1651"/>
      <c r="C102" s="1651"/>
      <c r="D102" s="1651"/>
      <c r="E102" s="1651"/>
      <c r="F102" s="1651"/>
      <c r="G102" s="1651"/>
      <c r="H102" s="1651"/>
      <c r="I102" s="1651"/>
      <c r="J102" s="1651"/>
      <c r="K102" s="1651"/>
      <c r="L102" s="1651"/>
      <c r="M102" s="1651"/>
      <c r="N102" s="1651"/>
      <c r="O102" s="1651"/>
      <c r="P102" s="1069"/>
      <c r="Q102" s="1069"/>
      <c r="R102" s="1069"/>
      <c r="S102" s="1651"/>
      <c r="T102" s="1651"/>
      <c r="U102" s="1651"/>
      <c r="V102" s="1651"/>
      <c r="W102" s="1651"/>
      <c r="X102" s="1651"/>
      <c r="Y102" s="1651"/>
      <c r="Z102" s="1651"/>
      <c r="AA102" s="1651"/>
      <c r="AB102" s="1651"/>
      <c r="AC102" s="1651"/>
      <c r="AD102" s="1651"/>
      <c r="AE102" s="1069"/>
      <c r="AF102" s="1069"/>
      <c r="AG102" s="1069"/>
      <c r="AH102" s="1651"/>
      <c r="AI102" s="1090"/>
      <c r="AJ102" s="1094"/>
      <c r="AK102" s="1079"/>
      <c r="AL102" s="1683"/>
      <c r="AM102" s="1091"/>
    </row>
    <row r="103" spans="1:43">
      <c r="A103" s="2033" t="s">
        <v>504</v>
      </c>
      <c r="B103" s="1647"/>
      <c r="C103" s="1647">
        <f t="shared" ref="C103:AD103" si="289">C100/C89*1000000</f>
        <v>4234.89932885906</v>
      </c>
      <c r="D103" s="1647">
        <f t="shared" si="289"/>
        <v>4664.6341463414628</v>
      </c>
      <c r="E103" s="1647">
        <f t="shared" si="289"/>
        <v>5240.2234636871508</v>
      </c>
      <c r="F103" s="1647">
        <f t="shared" si="289"/>
        <v>5601.0638297872338</v>
      </c>
      <c r="G103" s="1647">
        <f t="shared" si="289"/>
        <v>5871.4285714285716</v>
      </c>
      <c r="H103" s="1647">
        <f t="shared" si="289"/>
        <v>6026.5486725663723</v>
      </c>
      <c r="I103" s="1647">
        <f t="shared" si="289"/>
        <v>6585.2713178294571</v>
      </c>
      <c r="J103" s="1647">
        <f t="shared" si="289"/>
        <v>6945.2054794520545</v>
      </c>
      <c r="K103" s="1647">
        <f t="shared" si="289"/>
        <v>7536.231884057971</v>
      </c>
      <c r="L103" s="1647">
        <f t="shared" si="289"/>
        <v>7960.1990049751257</v>
      </c>
      <c r="M103" s="1647">
        <f t="shared" si="289"/>
        <v>8163.2653061224501</v>
      </c>
      <c r="N103" s="1647">
        <f t="shared" si="289"/>
        <v>8390.0226757369619</v>
      </c>
      <c r="O103" s="1647">
        <f t="shared" si="289"/>
        <v>8437.9655172413786</v>
      </c>
      <c r="P103" s="1107">
        <f t="shared" si="289"/>
        <v>8057.8512396694214</v>
      </c>
      <c r="Q103" s="1107">
        <f t="shared" si="289"/>
        <v>8076.9230769230771</v>
      </c>
      <c r="R103" s="1107">
        <f t="shared" si="289"/>
        <v>8614.2322097378274</v>
      </c>
      <c r="S103" s="1647">
        <f t="shared" si="289"/>
        <v>8333.3333333333339</v>
      </c>
      <c r="T103" s="1647">
        <f t="shared" si="289"/>
        <v>8457.7114427860706</v>
      </c>
      <c r="U103" s="1647">
        <f t="shared" si="289"/>
        <v>8415.8415841584156</v>
      </c>
      <c r="V103" s="1647">
        <f t="shared" si="289"/>
        <v>8524.5901639344265</v>
      </c>
      <c r="W103" s="1647">
        <f t="shared" si="289"/>
        <v>8360.1286173633434</v>
      </c>
      <c r="X103" s="1647">
        <f t="shared" si="289"/>
        <v>8150.4702194357369</v>
      </c>
      <c r="Y103" s="1647">
        <f t="shared" si="289"/>
        <v>8153.8461538461543</v>
      </c>
      <c r="Z103" s="1647">
        <f t="shared" si="289"/>
        <v>8120.3007518796976</v>
      </c>
      <c r="AA103" s="1647">
        <f t="shared" si="289"/>
        <v>8023.7741456166414</v>
      </c>
      <c r="AB103" s="1647">
        <f>AB100/AB89*1000000</f>
        <v>8000</v>
      </c>
      <c r="AC103" s="1647">
        <f t="shared" si="289"/>
        <v>8212.5603864734312</v>
      </c>
      <c r="AD103" s="1647">
        <f t="shared" si="289"/>
        <v>8240.8759124087592</v>
      </c>
      <c r="AE103" s="1107">
        <f>AE100/AE89*1000000</f>
        <v>8245.3531598513018</v>
      </c>
      <c r="AF103" s="1107">
        <f t="shared" ref="AF103:AH103" si="290">AF100/AF89*1000000</f>
        <v>8247.6547842401505</v>
      </c>
      <c r="AG103" s="1107">
        <f t="shared" si="290"/>
        <v>8247.6547842401505</v>
      </c>
      <c r="AH103" s="1647">
        <f t="shared" si="290"/>
        <v>8247.6547842401505</v>
      </c>
      <c r="AI103" s="1100"/>
      <c r="AJ103" s="1094"/>
      <c r="AK103" s="1128"/>
      <c r="AL103" s="1683"/>
      <c r="AM103" s="1101"/>
    </row>
    <row r="104" spans="1:43">
      <c r="A104" s="2033" t="s">
        <v>490</v>
      </c>
      <c r="B104" s="1650"/>
      <c r="C104" s="1650"/>
      <c r="D104" s="1650">
        <f t="shared" ref="D104:AA104" si="291">D103/C103-1</f>
        <v>0.10147462409647856</v>
      </c>
      <c r="E104" s="1650">
        <f t="shared" si="291"/>
        <v>0.12339431116953303</v>
      </c>
      <c r="F104" s="1650">
        <f t="shared" si="291"/>
        <v>6.8859728712062696E-2</v>
      </c>
      <c r="G104" s="1650">
        <f t="shared" si="291"/>
        <v>4.8270248270248395E-2</v>
      </c>
      <c r="H104" s="1650">
        <f t="shared" si="291"/>
        <v>2.6419481945610723E-2</v>
      </c>
      <c r="I104" s="1650">
        <f t="shared" si="291"/>
        <v>9.2710218670673417E-2</v>
      </c>
      <c r="J104" s="1650">
        <f t="shared" si="291"/>
        <v>5.465745361897012E-2</v>
      </c>
      <c r="K104" s="1650">
        <f t="shared" si="291"/>
        <v>8.5098476402824197E-2</v>
      </c>
      <c r="L104" s="1650">
        <f t="shared" si="291"/>
        <v>5.6257175660160863E-2</v>
      </c>
      <c r="M104" s="1650">
        <f t="shared" si="291"/>
        <v>2.5510204081632626E-2</v>
      </c>
      <c r="N104" s="1650">
        <f t="shared" si="291"/>
        <v>2.7777777777777679E-2</v>
      </c>
      <c r="O104" s="1650">
        <f t="shared" si="291"/>
        <v>5.7142684063371529E-3</v>
      </c>
      <c r="P104" s="1103">
        <f t="shared" si="291"/>
        <v>-4.5048095633392404E-2</v>
      </c>
      <c r="Q104" s="1103">
        <f t="shared" si="291"/>
        <v>2.3668639053255891E-3</v>
      </c>
      <c r="R104" s="1103">
        <f t="shared" si="291"/>
        <v>6.6523987872302515E-2</v>
      </c>
      <c r="S104" s="1650">
        <f t="shared" si="291"/>
        <v>-3.2608695652173836E-2</v>
      </c>
      <c r="T104" s="1650">
        <f t="shared" si="291"/>
        <v>1.4925373134328401E-2</v>
      </c>
      <c r="U104" s="1650">
        <f t="shared" si="291"/>
        <v>-4.9504950495050659E-3</v>
      </c>
      <c r="V104" s="1650">
        <f t="shared" si="291"/>
        <v>1.2921890067502551E-2</v>
      </c>
      <c r="W104" s="1650">
        <f t="shared" si="291"/>
        <v>-1.9292604501607857E-2</v>
      </c>
      <c r="X104" s="1650">
        <f t="shared" si="291"/>
        <v>-2.5078369905956022E-2</v>
      </c>
      <c r="Y104" s="1650">
        <f t="shared" si="291"/>
        <v>4.1420118343205026E-4</v>
      </c>
      <c r="Z104" s="1650">
        <f t="shared" si="291"/>
        <v>-4.114058731735204E-3</v>
      </c>
      <c r="AA104" s="1650">
        <f t="shared" si="291"/>
        <v>-1.1887072808320798E-2</v>
      </c>
      <c r="AB104" s="1650">
        <f>AB103/AA103-1</f>
        <v>-2.962962962962945E-3</v>
      </c>
      <c r="AC104" s="1650">
        <f>AC103/AB103-1</f>
        <v>2.6570048309178862E-2</v>
      </c>
      <c r="AD104" s="1650">
        <f>AD103/AC103-1</f>
        <v>3.447831687419356E-3</v>
      </c>
      <c r="AE104" s="1103">
        <f>AE103/AD103-1</f>
        <v>5.4329751960002781E-4</v>
      </c>
      <c r="AF104" s="1103">
        <f t="shared" ref="AF104" si="292">AF103/AE103-1</f>
        <v>2.7914200207401763E-4</v>
      </c>
      <c r="AG104" s="1103">
        <f>AG103/AF103-1</f>
        <v>0</v>
      </c>
      <c r="AH104" s="1650">
        <f>AH103/AG103-1</f>
        <v>0</v>
      </c>
      <c r="AI104" s="1090"/>
      <c r="AJ104" s="1094"/>
      <c r="AK104" s="1079"/>
      <c r="AL104" s="1683"/>
      <c r="AM104" s="1091"/>
    </row>
    <row r="105" spans="1:43">
      <c r="A105" s="1651"/>
      <c r="B105" s="1651"/>
      <c r="C105" s="1651"/>
      <c r="D105" s="1651"/>
      <c r="E105" s="1651"/>
      <c r="F105" s="1651"/>
      <c r="G105" s="1651"/>
      <c r="H105" s="1651"/>
      <c r="I105" s="1651"/>
      <c r="J105" s="1651"/>
      <c r="K105" s="1651"/>
      <c r="L105" s="1651"/>
      <c r="M105" s="1651"/>
      <c r="N105" s="1651"/>
      <c r="O105" s="1651"/>
      <c r="P105" s="1069"/>
      <c r="Q105" s="1069"/>
      <c r="R105" s="1069"/>
      <c r="S105" s="1651"/>
      <c r="T105" s="1651"/>
      <c r="U105" s="1651"/>
      <c r="V105" s="1651"/>
      <c r="W105" s="1651"/>
      <c r="X105" s="1651"/>
      <c r="Y105" s="1651"/>
      <c r="Z105" s="1651"/>
      <c r="AA105" s="1651"/>
      <c r="AB105" s="1651"/>
      <c r="AC105" s="1651"/>
      <c r="AD105" s="1651"/>
      <c r="AE105" s="1069"/>
      <c r="AF105" s="1069"/>
      <c r="AG105" s="1069"/>
      <c r="AH105" s="1651"/>
      <c r="AI105" s="1090"/>
      <c r="AJ105" s="1094"/>
      <c r="AK105" s="1079"/>
      <c r="AL105" s="1683"/>
      <c r="AM105" s="1091"/>
      <c r="AQ105" s="1148"/>
    </row>
    <row r="106" spans="1:43">
      <c r="A106" s="2033" t="s">
        <v>63</v>
      </c>
      <c r="B106" s="1640"/>
      <c r="C106" s="1640"/>
      <c r="D106" s="1640">
        <f t="shared" ref="D106:AC106" si="293">+D82/D97</f>
        <v>553.00859598853867</v>
      </c>
      <c r="E106" s="1640">
        <f t="shared" si="293"/>
        <v>540.22313564298304</v>
      </c>
      <c r="F106" s="1640">
        <f t="shared" si="293"/>
        <v>562.5313912606731</v>
      </c>
      <c r="G106" s="1640">
        <f t="shared" si="293"/>
        <v>551.18110236220468</v>
      </c>
      <c r="H106" s="1640">
        <f t="shared" si="293"/>
        <v>578.03468208092477</v>
      </c>
      <c r="I106" s="1640">
        <f t="shared" si="293"/>
        <v>581.50931068278339</v>
      </c>
      <c r="J106" s="1640">
        <f t="shared" si="293"/>
        <v>660.0482962167963</v>
      </c>
      <c r="K106" s="1640">
        <f t="shared" si="293"/>
        <v>648.2281763180639</v>
      </c>
      <c r="L106" s="1640">
        <f t="shared" si="293"/>
        <v>630.68965517241372</v>
      </c>
      <c r="M106" s="1640">
        <f t="shared" si="293"/>
        <v>549.41176470588232</v>
      </c>
      <c r="N106" s="1640">
        <f t="shared" si="293"/>
        <v>528.21917808219177</v>
      </c>
      <c r="O106" s="1640">
        <f t="shared" si="293"/>
        <v>567.1245496413751</v>
      </c>
      <c r="P106" s="1093">
        <f t="shared" si="293"/>
        <v>599.43081811475179</v>
      </c>
      <c r="Q106" s="1093">
        <f t="shared" si="293"/>
        <v>568.14814814814815</v>
      </c>
      <c r="R106" s="1093">
        <f t="shared" si="293"/>
        <v>579.09090909090901</v>
      </c>
      <c r="S106" s="1640">
        <f t="shared" si="293"/>
        <v>579.36170212765967</v>
      </c>
      <c r="T106" s="1640">
        <f t="shared" si="293"/>
        <v>532.52525252525254</v>
      </c>
      <c r="U106" s="1640">
        <f t="shared" si="293"/>
        <v>482.35294117647055</v>
      </c>
      <c r="V106" s="1640">
        <f t="shared" si="293"/>
        <v>501.55339805825241</v>
      </c>
      <c r="W106" s="1640">
        <f t="shared" si="293"/>
        <v>505</v>
      </c>
      <c r="X106" s="1640">
        <f t="shared" si="293"/>
        <v>547.69230769230762</v>
      </c>
      <c r="Y106" s="1640">
        <f t="shared" si="293"/>
        <v>546.28571428571433</v>
      </c>
      <c r="Z106" s="1640">
        <f t="shared" si="293"/>
        <v>546.1682242990654</v>
      </c>
      <c r="AA106" s="1640">
        <f t="shared" si="293"/>
        <v>491.8518518518519</v>
      </c>
      <c r="AB106" s="1640">
        <f t="shared" si="293"/>
        <v>466.22641509433964</v>
      </c>
      <c r="AC106" s="1640">
        <f t="shared" si="293"/>
        <v>462.13592233009706</v>
      </c>
      <c r="AD106" s="1640">
        <f>+AD82/AD97</f>
        <v>458.9570255611938</v>
      </c>
      <c r="AE106" s="1093">
        <f>+AE82/AE97</f>
        <v>470.74675705077937</v>
      </c>
      <c r="AF106" s="1093">
        <f t="shared" ref="AF106:AH106" si="294">+AF82/AF97</f>
        <v>456.85237316480817</v>
      </c>
      <c r="AG106" s="1093">
        <f t="shared" si="294"/>
        <v>440.57362982255717</v>
      </c>
      <c r="AH106" s="1640">
        <f t="shared" si="294"/>
        <v>422.95068462965486</v>
      </c>
      <c r="AI106" s="1090"/>
      <c r="AJ106" s="1094">
        <f>((AB106/W106)^(1/5)-1)*100</f>
        <v>-1.585044704592653</v>
      </c>
      <c r="AK106" s="1110" t="s">
        <v>489</v>
      </c>
      <c r="AL106" s="1683">
        <f>((AH106/AB106)^(1/6)-1)*100</f>
        <v>-1.6104873460786373</v>
      </c>
      <c r="AM106" s="1091" t="s">
        <v>489</v>
      </c>
    </row>
    <row r="107" spans="1:43">
      <c r="A107" s="2033" t="s">
        <v>490</v>
      </c>
      <c r="B107" s="1650"/>
      <c r="C107" s="1650"/>
      <c r="D107" s="1650"/>
      <c r="E107" s="1650">
        <f t="shared" ref="E107:AA107" si="295">E106/D106-1</f>
        <v>-2.3119822075642005E-2</v>
      </c>
      <c r="F107" s="1650">
        <f t="shared" si="295"/>
        <v>4.1294520996658868E-2</v>
      </c>
      <c r="G107" s="1650">
        <f t="shared" si="295"/>
        <v>-2.0177165354330895E-2</v>
      </c>
      <c r="H107" s="1650">
        <f t="shared" si="295"/>
        <v>4.872006606110646E-2</v>
      </c>
      <c r="I107" s="1650">
        <f t="shared" si="295"/>
        <v>6.0111074812154719E-3</v>
      </c>
      <c r="J107" s="1650">
        <f t="shared" si="295"/>
        <v>0.13506058130315357</v>
      </c>
      <c r="K107" s="1650">
        <f t="shared" si="295"/>
        <v>-1.7907962139258382E-2</v>
      </c>
      <c r="L107" s="1650">
        <f t="shared" si="295"/>
        <v>-2.7056091954023032E-2</v>
      </c>
      <c r="M107" s="1650">
        <f t="shared" si="295"/>
        <v>-0.12887145016563206</v>
      </c>
      <c r="N107" s="1650">
        <f t="shared" si="295"/>
        <v>-3.8573230471385389E-2</v>
      </c>
      <c r="O107" s="1650">
        <f t="shared" si="295"/>
        <v>7.3653841385383334E-2</v>
      </c>
      <c r="P107" s="1103">
        <f t="shared" si="295"/>
        <v>5.696503262608843E-2</v>
      </c>
      <c r="Q107" s="1103">
        <f t="shared" si="295"/>
        <v>-5.2187290044562018E-2</v>
      </c>
      <c r="R107" s="1103">
        <f t="shared" si="295"/>
        <v>1.9260400616332607E-2</v>
      </c>
      <c r="S107" s="1650">
        <f t="shared" si="295"/>
        <v>4.676174888944562E-4</v>
      </c>
      <c r="T107" s="1650">
        <f t="shared" si="295"/>
        <v>-8.0841466445579657E-2</v>
      </c>
      <c r="U107" s="1650">
        <f t="shared" si="295"/>
        <v>-9.4215835044184737E-2</v>
      </c>
      <c r="V107" s="1650">
        <f t="shared" si="295"/>
        <v>3.9805825242718473E-2</v>
      </c>
      <c r="W107" s="1650">
        <f t="shared" si="295"/>
        <v>6.8718544328301157E-3</v>
      </c>
      <c r="X107" s="1650">
        <f t="shared" si="295"/>
        <v>8.4539223153084375E-2</v>
      </c>
      <c r="Y107" s="1650">
        <f t="shared" si="295"/>
        <v>-2.5682182985551361E-3</v>
      </c>
      <c r="Z107" s="1650">
        <f t="shared" si="295"/>
        <v>-2.1507058225489484E-4</v>
      </c>
      <c r="AA107" s="1650">
        <f t="shared" si="295"/>
        <v>-9.9449894795548333E-2</v>
      </c>
      <c r="AB107" s="1650">
        <f>AB106/AA106-1</f>
        <v>-5.2099909070243311E-2</v>
      </c>
      <c r="AC107" s="1650">
        <f>AC106/AB106-1</f>
        <v>-8.773618636376268E-3</v>
      </c>
      <c r="AD107" s="1650">
        <f>AD106/AC106-1</f>
        <v>-6.8787051932149845E-3</v>
      </c>
      <c r="AE107" s="1103">
        <f>AE106/AD106-1</f>
        <v>2.5688094599204625E-2</v>
      </c>
      <c r="AF107" s="1103">
        <f t="shared" ref="AF107" si="296">AF106/AE106-1</f>
        <v>-2.9515623162269411E-2</v>
      </c>
      <c r="AG107" s="1103">
        <f>AG106/AF106-1</f>
        <v>-3.5632393084622294E-2</v>
      </c>
      <c r="AH107" s="1650">
        <f>AH106/AG106-1</f>
        <v>-4.0000000000000036E-2</v>
      </c>
      <c r="AI107" s="1090"/>
      <c r="AJ107" s="1077"/>
      <c r="AK107" s="1079"/>
      <c r="AL107" s="1664"/>
      <c r="AM107" s="1091"/>
    </row>
    <row r="108" spans="1:43">
      <c r="A108" s="1651"/>
      <c r="B108" s="1651"/>
      <c r="C108" s="1651"/>
      <c r="D108" s="1651"/>
      <c r="E108" s="1651"/>
      <c r="F108" s="1651"/>
      <c r="G108" s="1651"/>
      <c r="H108" s="1651"/>
      <c r="I108" s="1651"/>
      <c r="J108" s="1651"/>
      <c r="K108" s="1651"/>
      <c r="L108" s="1651"/>
      <c r="M108" s="1651"/>
      <c r="N108" s="1651"/>
      <c r="O108" s="1651"/>
      <c r="P108" s="1131"/>
      <c r="Q108" s="1069"/>
      <c r="R108" s="1069"/>
      <c r="S108" s="1651"/>
      <c r="T108" s="1651"/>
      <c r="U108" s="1651"/>
      <c r="V108" s="1651"/>
      <c r="W108" s="1651"/>
      <c r="X108" s="1651"/>
      <c r="Y108" s="1651"/>
      <c r="Z108" s="1651"/>
      <c r="AA108" s="1651"/>
      <c r="AB108" s="1651"/>
      <c r="AC108" s="1651"/>
      <c r="AD108" s="1651"/>
      <c r="AE108" s="1069"/>
      <c r="AF108" s="1069"/>
      <c r="AG108" s="1069"/>
      <c r="AH108" s="1651"/>
      <c r="AI108" s="1090"/>
      <c r="AJ108" s="1077"/>
      <c r="AK108" s="1079"/>
      <c r="AL108" s="1664"/>
      <c r="AM108" s="1091"/>
    </row>
    <row r="109" spans="1:43">
      <c r="A109" s="2033" t="s">
        <v>506</v>
      </c>
      <c r="B109" s="1650"/>
      <c r="C109" s="1650"/>
      <c r="D109" s="1650"/>
      <c r="E109" s="1650"/>
      <c r="F109" s="1650"/>
      <c r="G109" s="1650"/>
      <c r="H109" s="1830"/>
      <c r="I109" s="1830"/>
      <c r="J109" s="1830" t="s">
        <v>121</v>
      </c>
      <c r="K109" s="2011">
        <f>segQtrSales!F273/100</f>
        <v>0.1</v>
      </c>
      <c r="L109" s="2012">
        <f>segQtrSales!F280/100</f>
        <v>-0.02</v>
      </c>
      <c r="M109" s="2012">
        <f>segQtrSales!F287/100</f>
        <v>-0.08</v>
      </c>
      <c r="N109" s="2013">
        <f>segQtrSales!F294/100</f>
        <v>-0.01</v>
      </c>
      <c r="O109" s="2013">
        <f>segQtrSales!F301/100</f>
        <v>7.0000000000000007E-2</v>
      </c>
      <c r="P109" s="2013">
        <f>segQtrSales!F308/100</f>
        <v>0.06</v>
      </c>
      <c r="Q109" s="2013">
        <f>segQtrSales!F315/100</f>
        <v>-4.7804984696108443E-2</v>
      </c>
      <c r="R109" s="2014">
        <f>segQtrSales!F322/100</f>
        <v>4.1535987133092091E-3</v>
      </c>
      <c r="S109" s="2014">
        <f>segQtrSales!F329/100</f>
        <v>1.380030372057707E-2</v>
      </c>
      <c r="T109" s="2014">
        <f>segQtrSales!F336/100</f>
        <v>-9.2657372201098445E-2</v>
      </c>
      <c r="U109" s="2014">
        <f>segQtrSales!F343/100</f>
        <v>-8.4193989071038255E-2</v>
      </c>
      <c r="V109" s="2014">
        <f>segQtrSales!F350/100</f>
        <v>2.9085312225153915E-2</v>
      </c>
      <c r="W109" s="2014">
        <f>segQtrSales!F357/100</f>
        <v>-0.01</v>
      </c>
      <c r="X109" s="2014">
        <f>segQtrSales!F364/100</f>
        <v>0.05</v>
      </c>
      <c r="Y109" s="2014">
        <f>segQtrSales!F371/100</f>
        <v>-0.01</v>
      </c>
      <c r="Z109" s="2014">
        <f>segQtrSales!F378/100</f>
        <v>0</v>
      </c>
      <c r="AA109" s="2014">
        <f>segQtrSales!F385/100</f>
        <v>-0.1</v>
      </c>
      <c r="AB109" s="2014">
        <f>segQtrSales!F392/100</f>
        <v>-7.0000000000000007E-2</v>
      </c>
      <c r="AC109" s="2014">
        <f>segQtrSales!F399/100</f>
        <v>-0.02</v>
      </c>
      <c r="AD109" s="2014">
        <f>segQtrSales!F406/100</f>
        <v>-4.0059185623663111E-2</v>
      </c>
      <c r="AE109" s="1134">
        <v>-0.04</v>
      </c>
      <c r="AF109" s="1134">
        <v>-0.04</v>
      </c>
      <c r="AG109" s="1134">
        <v>-0.04</v>
      </c>
      <c r="AH109" s="1660">
        <v>-0.04</v>
      </c>
      <c r="AI109" s="1108"/>
      <c r="AJ109" s="1077"/>
      <c r="AK109" s="1079"/>
      <c r="AL109" s="1664"/>
      <c r="AM109" s="1091"/>
    </row>
    <row r="110" spans="1:43">
      <c r="A110" s="2033" t="s">
        <v>152</v>
      </c>
      <c r="B110" s="1650"/>
      <c r="C110" s="1650"/>
      <c r="D110" s="1650"/>
      <c r="E110" s="1650"/>
      <c r="F110" s="1650"/>
      <c r="G110" s="1650"/>
      <c r="H110" s="1830"/>
      <c r="I110" s="1830"/>
      <c r="J110" s="1830"/>
      <c r="K110" s="2016">
        <f t="shared" ref="K110:AH110" si="297">+K83-K109</f>
        <v>0.11951219512195119</v>
      </c>
      <c r="L110" s="2016">
        <f t="shared" si="297"/>
        <v>0.23933333333333337</v>
      </c>
      <c r="M110" s="2016">
        <f t="shared" si="297"/>
        <v>0.10132312739201758</v>
      </c>
      <c r="N110" s="2016">
        <f t="shared" si="297"/>
        <v>4.2119914346895097E-2</v>
      </c>
      <c r="O110" s="2016">
        <f t="shared" si="297"/>
        <v>1.4024896265560083E-2</v>
      </c>
      <c r="P110" s="1133">
        <f t="shared" si="297"/>
        <v>2.5645933014353972E-2</v>
      </c>
      <c r="Q110" s="1133">
        <f t="shared" si="297"/>
        <v>6.1908113827884581E-2</v>
      </c>
      <c r="R110" s="1133">
        <f t="shared" si="297"/>
        <v>0.10319103405505238</v>
      </c>
      <c r="S110" s="2016">
        <f t="shared" si="297"/>
        <v>5.4881014960741589E-2</v>
      </c>
      <c r="T110" s="2016">
        <f t="shared" si="297"/>
        <v>6.0707317114796558E-2</v>
      </c>
      <c r="U110" s="2016">
        <f t="shared" si="297"/>
        <v>1.7426159025514698E-2</v>
      </c>
      <c r="V110" s="2016">
        <f t="shared" si="297"/>
        <v>2.0914687774846129E-2</v>
      </c>
      <c r="W110" s="2016">
        <f t="shared" si="297"/>
        <v>2.6647309330236173E-2</v>
      </c>
      <c r="X110" s="2016">
        <f t="shared" si="297"/>
        <v>3.4539223153084594E-2</v>
      </c>
      <c r="Y110" s="2016">
        <f t="shared" si="297"/>
        <v>2.3875432525951503E-3</v>
      </c>
      <c r="Z110" s="2016">
        <f t="shared" si="297"/>
        <v>1.882845188284521E-2</v>
      </c>
      <c r="AA110" s="2016">
        <f t="shared" si="297"/>
        <v>8.9664613278576388E-3</v>
      </c>
      <c r="AB110" s="2016">
        <f t="shared" si="297"/>
        <v>3.4638554216864792E-4</v>
      </c>
      <c r="AC110" s="2016">
        <f t="shared" si="297"/>
        <v>-1.682719546742208E-2</v>
      </c>
      <c r="AD110" s="2016">
        <f t="shared" si="297"/>
        <v>-3.2770487108177267E-2</v>
      </c>
      <c r="AE110" s="1133">
        <f t="shared" si="297"/>
        <v>-5.1372896368469326E-3</v>
      </c>
      <c r="AF110" s="1133">
        <f t="shared" si="297"/>
        <v>-2.5247971145176198E-3</v>
      </c>
      <c r="AG110" s="1133">
        <f t="shared" si="297"/>
        <v>0</v>
      </c>
      <c r="AH110" s="1133">
        <f t="shared" si="297"/>
        <v>0</v>
      </c>
      <c r="AI110" s="1108"/>
      <c r="AJ110" s="1077"/>
      <c r="AK110" s="1079"/>
      <c r="AL110" s="1664"/>
      <c r="AM110" s="1091"/>
      <c r="AO110" s="1098"/>
    </row>
    <row r="111" spans="1:43">
      <c r="A111" s="1651"/>
      <c r="B111" s="1651"/>
      <c r="C111" s="1651"/>
      <c r="D111" s="1651"/>
      <c r="E111" s="1651"/>
      <c r="F111" s="1651"/>
      <c r="G111" s="1651"/>
      <c r="H111" s="1651"/>
      <c r="I111" s="1651"/>
      <c r="J111" s="1651"/>
      <c r="K111" s="1651"/>
      <c r="L111" s="1651"/>
      <c r="M111" s="1651"/>
      <c r="N111" s="1651"/>
      <c r="O111" s="1651"/>
      <c r="P111" s="1069"/>
      <c r="Q111" s="1069"/>
      <c r="R111" s="1069"/>
      <c r="S111" s="1651"/>
      <c r="T111" s="1651"/>
      <c r="U111" s="1651"/>
      <c r="V111" s="1651"/>
      <c r="W111" s="1651"/>
      <c r="X111" s="1651"/>
      <c r="Y111" s="1651"/>
      <c r="Z111" s="1651"/>
      <c r="AA111" s="1651"/>
      <c r="AB111" s="1651"/>
      <c r="AC111" s="1651"/>
      <c r="AD111" s="1651"/>
      <c r="AE111" s="1069"/>
      <c r="AF111" s="1069"/>
      <c r="AG111" s="1069"/>
      <c r="AH111" s="1651"/>
      <c r="AI111" s="1090"/>
      <c r="AJ111" s="1077"/>
      <c r="AK111" s="1079"/>
      <c r="AL111" s="1664"/>
      <c r="AM111" s="1091"/>
      <c r="AO111" s="1099"/>
    </row>
    <row r="112" spans="1:43">
      <c r="A112" s="2033" t="s">
        <v>658</v>
      </c>
      <c r="B112" s="1647"/>
      <c r="C112" s="1647"/>
      <c r="D112" s="1647">
        <f>+(D100-C100)*1000000/(D89-D86)</f>
        <v>8933.3333333333339</v>
      </c>
      <c r="E112" s="1647">
        <f t="shared" ref="E112:J112" si="298">+(E100-D100)*1000000/(E89-E86)</f>
        <v>11533.33333333333</v>
      </c>
      <c r="F112" s="1647">
        <f t="shared" si="298"/>
        <v>12777.777777777776</v>
      </c>
      <c r="G112" s="1647">
        <f t="shared" si="298"/>
        <v>8181.8181818181884</v>
      </c>
      <c r="H112" s="1647">
        <f t="shared" si="298"/>
        <v>8062.5</v>
      </c>
      <c r="I112" s="1647">
        <f t="shared" si="298"/>
        <v>10531.249999999998</v>
      </c>
      <c r="J112" s="1647">
        <f t="shared" si="298"/>
        <v>9676.4705882352919</v>
      </c>
      <c r="K112" s="1647">
        <v>10792.452830188682</v>
      </c>
      <c r="L112" s="1647">
        <f>+(L100-K100)*1000000/(L89-L86)</f>
        <v>10526.315789473687</v>
      </c>
      <c r="M112" s="1647">
        <v>10256.410256410258</v>
      </c>
      <c r="N112" s="1647" t="s">
        <v>60</v>
      </c>
      <c r="O112" s="1647">
        <v>4914.1666666666879</v>
      </c>
      <c r="P112" s="1107">
        <v>8499.4444444444489</v>
      </c>
      <c r="Q112" s="1966">
        <v>9375</v>
      </c>
      <c r="R112" s="1966">
        <v>11111.111111111111</v>
      </c>
      <c r="S112" s="1647">
        <v>5882.3529411764712</v>
      </c>
      <c r="T112" s="1647">
        <v>11111.111111111111</v>
      </c>
      <c r="U112" s="1647">
        <v>10000</v>
      </c>
      <c r="V112" s="1647">
        <v>11111.111111111111</v>
      </c>
      <c r="W112" s="1647" t="s">
        <v>60</v>
      </c>
      <c r="X112" s="1647" t="s">
        <v>60</v>
      </c>
      <c r="Y112" s="1647">
        <v>16666.666666666668</v>
      </c>
      <c r="Z112" s="1647">
        <v>7142.8571428571431</v>
      </c>
      <c r="AA112" s="1647">
        <f>Z112</f>
        <v>7142.8571428571431</v>
      </c>
      <c r="AB112" s="1647">
        <v>9090.9090909090919</v>
      </c>
      <c r="AC112" s="1647">
        <v>8000</v>
      </c>
      <c r="AD112" s="1655">
        <f>AC112</f>
        <v>8000</v>
      </c>
      <c r="AE112" s="1149">
        <f>AD112</f>
        <v>8000</v>
      </c>
      <c r="AF112" s="1149">
        <f t="shared" ref="AF112" si="299">AE112</f>
        <v>8000</v>
      </c>
      <c r="AG112" s="1149">
        <f>AF112</f>
        <v>8000</v>
      </c>
      <c r="AH112" s="1655">
        <f>AG112</f>
        <v>8000</v>
      </c>
      <c r="AI112" s="1100"/>
      <c r="AJ112" s="1135"/>
      <c r="AK112" s="1128"/>
      <c r="AL112" s="1664"/>
      <c r="AM112" s="1091"/>
      <c r="AO112" s="1099"/>
    </row>
    <row r="113" spans="1:45">
      <c r="A113" s="1651"/>
      <c r="B113" s="1651"/>
      <c r="C113" s="1651"/>
      <c r="D113" s="1651"/>
      <c r="E113" s="1651"/>
      <c r="F113" s="1651"/>
      <c r="G113" s="1651"/>
      <c r="H113" s="1651"/>
      <c r="I113" s="1651"/>
      <c r="J113" s="1651"/>
      <c r="K113" s="1651"/>
      <c r="L113" s="2051"/>
      <c r="M113" s="1651"/>
      <c r="N113" s="1651"/>
      <c r="O113" s="1651"/>
      <c r="P113" s="1069"/>
      <c r="Q113" s="1069"/>
      <c r="R113" s="1069"/>
      <c r="S113" s="1651"/>
      <c r="T113" s="1651"/>
      <c r="U113" s="1651"/>
      <c r="V113" s="1651"/>
      <c r="W113" s="1651"/>
      <c r="X113" s="1651"/>
      <c r="Y113" s="1651"/>
      <c r="Z113" s="1651"/>
      <c r="AA113" s="1651"/>
      <c r="AB113" s="1651"/>
      <c r="AC113" s="1651"/>
      <c r="AD113" s="1651"/>
      <c r="AE113" s="1069"/>
      <c r="AF113" s="1069"/>
      <c r="AG113" s="1069"/>
      <c r="AH113" s="1651"/>
      <c r="AI113" s="1090"/>
      <c r="AJ113" s="1077"/>
      <c r="AK113" s="1079"/>
      <c r="AL113" s="1664"/>
      <c r="AM113" s="1091"/>
    </row>
    <row r="114" spans="1:45">
      <c r="A114" s="2033" t="s">
        <v>507</v>
      </c>
      <c r="B114" s="1648"/>
      <c r="C114" s="1648"/>
      <c r="D114" s="1648"/>
      <c r="E114" s="1648"/>
      <c r="F114" s="1648"/>
      <c r="G114" s="1648"/>
      <c r="H114" s="1648"/>
      <c r="I114" s="1648"/>
      <c r="J114" s="1648"/>
      <c r="K114" s="1661">
        <f t="shared" ref="K114:U114" si="300">K110/K98</f>
        <v>0.49436398581521912</v>
      </c>
      <c r="L114" s="1661">
        <f t="shared" si="300"/>
        <v>0.94508077360637055</v>
      </c>
      <c r="M114" s="1661">
        <f t="shared" si="300"/>
        <v>0.58767413887370235</v>
      </c>
      <c r="N114" s="1661">
        <f t="shared" si="300"/>
        <v>0.57283083511777366</v>
      </c>
      <c r="O114" s="1661">
        <f t="shared" si="300"/>
        <v>1.4519143833027011</v>
      </c>
      <c r="P114" s="1109">
        <f t="shared" si="300"/>
        <v>0.94511866985645454</v>
      </c>
      <c r="Q114" s="1109">
        <f t="shared" si="300"/>
        <v>0.88515501733893864</v>
      </c>
      <c r="R114" s="1109">
        <f t="shared" si="300"/>
        <v>1.1940676797798897</v>
      </c>
      <c r="S114" s="1661">
        <f t="shared" si="300"/>
        <v>0.80492155275754662</v>
      </c>
      <c r="T114" s="1661">
        <f t="shared" si="300"/>
        <v>1.1412975617581724</v>
      </c>
      <c r="U114" s="1661">
        <f t="shared" si="300"/>
        <v>0.57506324784198559</v>
      </c>
      <c r="V114" s="2077" t="s">
        <v>60</v>
      </c>
      <c r="W114" s="2077" t="s">
        <v>60</v>
      </c>
      <c r="X114" s="2077" t="s">
        <v>60</v>
      </c>
      <c r="Y114" s="2077" t="s">
        <v>60</v>
      </c>
      <c r="Z114" s="2077">
        <f t="shared" ref="Z114:AD114" si="301">Z110/Z98</f>
        <v>0.98849372384937706</v>
      </c>
      <c r="AA114" s="1661">
        <f t="shared" si="301"/>
        <v>0.9594113620807786</v>
      </c>
      <c r="AB114" s="1661">
        <f>IFERROR(AB110/AB98,"N/A")</f>
        <v>-1.8704819277107015E-2</v>
      </c>
      <c r="AC114" s="1661">
        <f t="shared" si="301"/>
        <v>0.59456090651558258</v>
      </c>
      <c r="AD114" s="1661">
        <f t="shared" si="301"/>
        <v>0.49347370937752227</v>
      </c>
      <c r="AE114" s="1134">
        <v>0.28999999999999998</v>
      </c>
      <c r="AF114" s="1134">
        <v>0.28000000000000003</v>
      </c>
      <c r="AG114" s="1134">
        <v>0.27</v>
      </c>
      <c r="AH114" s="1660">
        <v>0.27</v>
      </c>
      <c r="AI114" s="1111"/>
      <c r="AJ114" s="1074"/>
      <c r="AK114" s="1076"/>
      <c r="AL114" s="1662"/>
      <c r="AM114" s="1112"/>
      <c r="AO114" s="1098"/>
    </row>
    <row r="115" spans="1:45">
      <c r="A115" s="39" t="s">
        <v>194</v>
      </c>
      <c r="T115" s="1668">
        <f t="shared" ref="T115:Y115" si="302">T82/(SUM(T196,T238,T82,T122))</f>
        <v>0.18511235955056179</v>
      </c>
      <c r="U115" s="1668">
        <f t="shared" si="302"/>
        <v>0.17805442964678633</v>
      </c>
      <c r="V115" s="1668">
        <f t="shared" si="302"/>
        <v>0.18181178292391076</v>
      </c>
      <c r="W115" s="1668">
        <f t="shared" si="302"/>
        <v>0.16760275721215215</v>
      </c>
      <c r="X115" s="1668">
        <f t="shared" si="302"/>
        <v>0.15896405447644563</v>
      </c>
      <c r="Y115" s="1668">
        <f t="shared" si="302"/>
        <v>0.15559894375284178</v>
      </c>
      <c r="Z115" s="1668">
        <f t="shared" ref="Z115:AH115" si="303">Z82/(SUM(Z196,Z82,Z122))</f>
        <v>0.18604355023557875</v>
      </c>
      <c r="AA115" s="1668">
        <f t="shared" si="303"/>
        <v>0.17610396499138045</v>
      </c>
      <c r="AB115" s="1668">
        <f t="shared" si="303"/>
        <v>0.16763907734056988</v>
      </c>
      <c r="AC115" s="1668">
        <f t="shared" si="303"/>
        <v>0.15971969863979887</v>
      </c>
      <c r="AD115" s="1668">
        <f t="shared" si="303"/>
        <v>0.14747423678072277</v>
      </c>
      <c r="AE115" s="1114">
        <f t="shared" si="303"/>
        <v>0.14167447822079016</v>
      </c>
      <c r="AF115" s="1114">
        <f t="shared" si="303"/>
        <v>0.13634881491743267</v>
      </c>
      <c r="AG115" s="1114">
        <f t="shared" si="303"/>
        <v>0.1314646090202557</v>
      </c>
      <c r="AH115" s="1668">
        <f t="shared" si="303"/>
        <v>0.12681138040170123</v>
      </c>
      <c r="AK115" s="1136"/>
      <c r="AM115" s="1136"/>
    </row>
    <row r="116" spans="1:45">
      <c r="A116" s="24"/>
      <c r="AK116" s="1136"/>
      <c r="AM116" s="1136"/>
    </row>
    <row r="117" spans="1:45">
      <c r="A117" s="2045" t="s">
        <v>94</v>
      </c>
      <c r="B117" s="1651"/>
      <c r="C117" s="1651"/>
      <c r="D117" s="1651"/>
      <c r="E117" s="1651"/>
      <c r="F117" s="1651"/>
      <c r="G117" s="1651"/>
      <c r="H117" s="1651"/>
      <c r="I117" s="1651"/>
      <c r="J117" s="1651"/>
      <c r="K117" s="1651"/>
      <c r="L117" s="1651"/>
      <c r="M117" s="1651"/>
      <c r="N117" s="1651"/>
      <c r="O117" s="1651"/>
      <c r="P117" s="1122"/>
      <c r="Q117" s="1122"/>
      <c r="R117" s="1122"/>
      <c r="S117" s="1656"/>
      <c r="T117" s="1656"/>
      <c r="U117" s="1656"/>
      <c r="V117" s="1656"/>
      <c r="W117" s="1656"/>
      <c r="X117" s="1656"/>
      <c r="Y117" s="1656"/>
      <c r="Z117" s="1656"/>
      <c r="AA117" s="1656"/>
      <c r="AB117" s="1656"/>
      <c r="AC117" s="1834"/>
      <c r="AD117" s="1656"/>
      <c r="AE117" s="1122"/>
      <c r="AF117" s="1122"/>
      <c r="AG117" s="1122"/>
      <c r="AH117" s="1656"/>
      <c r="AI117" s="1069"/>
      <c r="AJ117" s="1069"/>
      <c r="AK117" s="1073"/>
      <c r="AL117" s="1651"/>
      <c r="AM117" s="1073"/>
      <c r="AS117" s="1099"/>
    </row>
    <row r="118" spans="1:45">
      <c r="A118" s="2046" t="str">
        <f>+A2</f>
        <v>Annual Sales Model, Fiscal 1997A-2022E</v>
      </c>
      <c r="B118" s="1662"/>
      <c r="C118" s="1662"/>
      <c r="D118" s="1662"/>
      <c r="E118" s="1662"/>
      <c r="F118" s="1662"/>
      <c r="G118" s="1662"/>
      <c r="H118" s="1662"/>
      <c r="I118" s="1662"/>
      <c r="J118" s="1662"/>
      <c r="K118" s="1662"/>
      <c r="L118" s="1662"/>
      <c r="M118" s="1662"/>
      <c r="N118" s="1662"/>
      <c r="O118" s="1662"/>
      <c r="P118" s="1074"/>
      <c r="Q118" s="1074"/>
      <c r="R118" s="1074"/>
      <c r="S118" s="1662"/>
      <c r="T118" s="1662"/>
      <c r="U118" s="1662"/>
      <c r="V118" s="1662"/>
      <c r="W118" s="1662"/>
      <c r="X118" s="1662"/>
      <c r="Y118" s="1662"/>
      <c r="Z118" s="1662"/>
      <c r="AA118" s="1662"/>
      <c r="AB118" s="1662"/>
      <c r="AC118" s="1662"/>
      <c r="AD118" s="1662"/>
      <c r="AE118" s="1074"/>
      <c r="AF118" s="1074"/>
      <c r="AG118" s="1074"/>
      <c r="AH118" s="1662"/>
      <c r="AI118" s="1074"/>
      <c r="AJ118" s="1074"/>
      <c r="AK118" s="1076"/>
      <c r="AL118" s="1651"/>
      <c r="AM118" s="1076"/>
    </row>
    <row r="119" spans="1:45">
      <c r="A119" s="2032"/>
      <c r="B119" s="1651"/>
      <c r="C119" s="1651"/>
      <c r="D119" s="1651"/>
      <c r="E119" s="1651"/>
      <c r="F119" s="1651"/>
      <c r="G119" s="1651"/>
      <c r="H119" s="1651"/>
      <c r="I119" s="1651"/>
      <c r="J119" s="1651"/>
      <c r="K119" s="1651"/>
      <c r="L119" s="1651"/>
      <c r="M119" s="1651"/>
      <c r="N119" s="1651"/>
      <c r="O119" s="1651"/>
      <c r="P119" s="1069"/>
      <c r="Q119" s="1069"/>
      <c r="R119" s="1069"/>
      <c r="S119" s="1651"/>
      <c r="T119" s="1651"/>
      <c r="U119" s="1651"/>
      <c r="V119" s="1651"/>
      <c r="W119" s="1651"/>
      <c r="X119" s="1651"/>
      <c r="Y119" s="1651"/>
      <c r="Z119" s="1651"/>
      <c r="AA119" s="1651"/>
      <c r="AB119" s="1651"/>
      <c r="AC119" s="1651"/>
      <c r="AD119" s="1651"/>
      <c r="AE119" s="1069"/>
      <c r="AF119" s="1069"/>
      <c r="AG119" s="1069"/>
      <c r="AH119" s="1651"/>
      <c r="AI119" s="1117"/>
      <c r="AJ119" s="1078"/>
      <c r="AK119" s="1118" t="s">
        <v>488</v>
      </c>
      <c r="AL119" s="1681"/>
      <c r="AM119" s="1119"/>
    </row>
    <row r="120" spans="1:45">
      <c r="A120" s="1644"/>
      <c r="B120" s="2052">
        <f t="shared" ref="B120:N120" si="304">+B5</f>
        <v>1990</v>
      </c>
      <c r="C120" s="1995">
        <f t="shared" si="304"/>
        <v>1991</v>
      </c>
      <c r="D120" s="1995">
        <f t="shared" si="304"/>
        <v>1992</v>
      </c>
      <c r="E120" s="1995">
        <f t="shared" si="304"/>
        <v>1993</v>
      </c>
      <c r="F120" s="1995">
        <f t="shared" si="304"/>
        <v>1994</v>
      </c>
      <c r="G120" s="1995">
        <f t="shared" si="304"/>
        <v>1995</v>
      </c>
      <c r="H120" s="1995">
        <f t="shared" si="304"/>
        <v>1996</v>
      </c>
      <c r="I120" s="1995">
        <f t="shared" si="304"/>
        <v>1997</v>
      </c>
      <c r="J120" s="1995">
        <f t="shared" si="304"/>
        <v>1998</v>
      </c>
      <c r="K120" s="1995">
        <f t="shared" si="304"/>
        <v>1999</v>
      </c>
      <c r="L120" s="1995">
        <f t="shared" si="304"/>
        <v>2000</v>
      </c>
      <c r="M120" s="1995">
        <f t="shared" si="304"/>
        <v>2001</v>
      </c>
      <c r="N120" s="1995">
        <f t="shared" si="304"/>
        <v>2002</v>
      </c>
      <c r="O120" s="1995">
        <f t="shared" ref="O120:AB120" si="305">N120+1</f>
        <v>2003</v>
      </c>
      <c r="P120" s="1085">
        <f t="shared" si="305"/>
        <v>2004</v>
      </c>
      <c r="Q120" s="1086">
        <f t="shared" si="305"/>
        <v>2005</v>
      </c>
      <c r="R120" s="1086">
        <f t="shared" si="305"/>
        <v>2006</v>
      </c>
      <c r="S120" s="2076">
        <f t="shared" si="305"/>
        <v>2007</v>
      </c>
      <c r="T120" s="2076">
        <f t="shared" si="305"/>
        <v>2008</v>
      </c>
      <c r="U120" s="2076">
        <f t="shared" si="305"/>
        <v>2009</v>
      </c>
      <c r="V120" s="2076">
        <f t="shared" si="305"/>
        <v>2010</v>
      </c>
      <c r="W120" s="2076">
        <f t="shared" si="305"/>
        <v>2011</v>
      </c>
      <c r="X120" s="2076">
        <f t="shared" si="305"/>
        <v>2012</v>
      </c>
      <c r="Y120" s="2076">
        <f t="shared" si="305"/>
        <v>2013</v>
      </c>
      <c r="Z120" s="2076">
        <f t="shared" si="305"/>
        <v>2014</v>
      </c>
      <c r="AA120" s="2076">
        <f t="shared" si="305"/>
        <v>2015</v>
      </c>
      <c r="AB120" s="2076">
        <f t="shared" si="305"/>
        <v>2016</v>
      </c>
      <c r="AC120" s="1639">
        <f>AB120+1</f>
        <v>2017</v>
      </c>
      <c r="AD120" s="1639">
        <f>AC120+1</f>
        <v>2018</v>
      </c>
      <c r="AE120" s="1087">
        <f>AD120+1</f>
        <v>2019</v>
      </c>
      <c r="AF120" s="1087">
        <f t="shared" ref="AF120" si="306">AE120+1</f>
        <v>2020</v>
      </c>
      <c r="AG120" s="1087">
        <f>AF120+1</f>
        <v>2021</v>
      </c>
      <c r="AH120" s="1639">
        <f>AG120+1</f>
        <v>2022</v>
      </c>
      <c r="AI120" s="1120"/>
      <c r="AJ120" s="1121" t="str">
        <f>$AJ$5</f>
        <v>11-16</v>
      </c>
      <c r="AK120" s="1079"/>
      <c r="AL120" s="1685" t="str">
        <f>+AL5</f>
        <v>16-22E</v>
      </c>
      <c r="AM120" s="1145"/>
    </row>
    <row r="121" spans="1:45">
      <c r="A121" s="1644"/>
      <c r="B121" s="1644"/>
      <c r="C121" s="1644"/>
      <c r="D121" s="1644"/>
      <c r="E121" s="1644"/>
      <c r="F121" s="1644"/>
      <c r="G121" s="1644"/>
      <c r="H121" s="1644"/>
      <c r="I121" s="1651"/>
      <c r="J121" s="1651"/>
      <c r="K121" s="1651"/>
      <c r="L121" s="1651"/>
      <c r="M121" s="1651"/>
      <c r="N121" s="1651"/>
      <c r="O121" s="1651"/>
      <c r="P121" s="1122"/>
      <c r="Q121" s="1122"/>
      <c r="R121" s="1122"/>
      <c r="S121" s="1656"/>
      <c r="T121" s="1656"/>
      <c r="U121" s="1656"/>
      <c r="V121" s="1656"/>
      <c r="W121" s="1656"/>
      <c r="X121" s="1656"/>
      <c r="Y121" s="1656"/>
      <c r="Z121" s="1656"/>
      <c r="AA121" s="1656"/>
      <c r="AB121" s="2079"/>
      <c r="AC121" s="2079"/>
      <c r="AD121" s="2080"/>
      <c r="AE121" s="2007"/>
      <c r="AF121" s="2007"/>
      <c r="AG121" s="2007"/>
      <c r="AH121" s="2008"/>
      <c r="AI121" s="1090"/>
      <c r="AJ121" s="1077"/>
      <c r="AK121" s="1079"/>
      <c r="AL121" s="1664"/>
      <c r="AM121" s="1091"/>
    </row>
    <row r="122" spans="1:45">
      <c r="A122" s="2033" t="s">
        <v>646</v>
      </c>
      <c r="B122" s="1640"/>
      <c r="C122" s="1666"/>
      <c r="D122" s="1666"/>
      <c r="E122" s="1666">
        <v>30</v>
      </c>
      <c r="F122" s="2015">
        <f>segQtrSales!S31</f>
        <v>115</v>
      </c>
      <c r="G122" s="2015">
        <f>segQtrSales!S38</f>
        <v>420</v>
      </c>
      <c r="H122" s="2015">
        <f>segQtrSales!S45</f>
        <v>810</v>
      </c>
      <c r="I122" s="2015">
        <f>segQtrSales!S52</f>
        <v>1280</v>
      </c>
      <c r="J122" s="2015">
        <f>segQtrSales!S59</f>
        <v>2299</v>
      </c>
      <c r="K122" s="2015">
        <f>segQtrSales!S66</f>
        <v>3900</v>
      </c>
      <c r="L122" s="2015">
        <f>segQtrSales!S73</f>
        <v>4730</v>
      </c>
      <c r="M122" s="2015">
        <f>segQtrSales!S80</f>
        <v>5121</v>
      </c>
      <c r="N122" s="2015">
        <f>segQtrSales!S87</f>
        <v>5804</v>
      </c>
      <c r="O122" s="2015">
        <f>segQtrSales!S94</f>
        <v>6456</v>
      </c>
      <c r="P122" s="2015">
        <f>segQtrSales!S101</f>
        <v>6747</v>
      </c>
      <c r="Q122" s="2015">
        <f>segQtrSales!S108</f>
        <v>6856</v>
      </c>
      <c r="R122" s="2015">
        <f>segQtrSales!S115</f>
        <v>6829</v>
      </c>
      <c r="S122" s="2015">
        <f>segQtrSales!S122</f>
        <v>6665</v>
      </c>
      <c r="T122" s="2015">
        <f>segQtrSales!S129</f>
        <v>5707</v>
      </c>
      <c r="U122" s="2015">
        <f>segQtrSales!S136</f>
        <v>5808</v>
      </c>
      <c r="V122" s="2015">
        <f>segQtrSales!S143</f>
        <v>5905</v>
      </c>
      <c r="W122" s="2015">
        <f>segQtrSales!S150</f>
        <v>5674</v>
      </c>
      <c r="X122" s="2015">
        <f>segQtrSales!S157</f>
        <v>6112</v>
      </c>
      <c r="Y122" s="2015">
        <f>segQtrSales!S164</f>
        <v>6257</v>
      </c>
      <c r="Z122" s="2015">
        <f>segQtrSales!S171</f>
        <v>6619</v>
      </c>
      <c r="AA122" s="2015">
        <f>segQtrSales!S178</f>
        <v>6675</v>
      </c>
      <c r="AB122" s="2015">
        <f>segQtrSales!S185</f>
        <v>6814</v>
      </c>
      <c r="AC122" s="2015">
        <f>segQtrSales!S192</f>
        <v>7238</v>
      </c>
      <c r="AD122" s="2015">
        <f>segQtrSales!S199</f>
        <v>7578.9485035503494</v>
      </c>
      <c r="AE122" s="1093">
        <f>AD122*(1+AE148+(AE140*AE153))</f>
        <v>7691.6056386288074</v>
      </c>
      <c r="AF122" s="1093">
        <f t="shared" ref="AF122:AH122" si="307">AE122*(1+AF148+(AF140*AF153))</f>
        <v>7806.4392320012003</v>
      </c>
      <c r="AG122" s="1093">
        <f t="shared" si="307"/>
        <v>7922.4610812486362</v>
      </c>
      <c r="AH122" s="1093">
        <f t="shared" si="307"/>
        <v>8027.0642818261349</v>
      </c>
      <c r="AI122" s="1090"/>
      <c r="AJ122" s="1094">
        <f>((AB122/W122)^(1/5)-1)*100</f>
        <v>3.7295656953050926</v>
      </c>
      <c r="AK122" s="1110" t="s">
        <v>489</v>
      </c>
      <c r="AL122" s="1683">
        <f>((AH122/AB122)^(1/6)-1)*100</f>
        <v>2.7682833131846607</v>
      </c>
      <c r="AM122" s="1091" t="s">
        <v>489</v>
      </c>
    </row>
    <row r="123" spans="1:45">
      <c r="A123" s="2033" t="s">
        <v>490</v>
      </c>
      <c r="B123" s="1648"/>
      <c r="C123" s="2054"/>
      <c r="D123" s="2054"/>
      <c r="E123" s="1648"/>
      <c r="F123" s="1648">
        <f t="shared" ref="F123:W123" si="308">F122/E122-1</f>
        <v>2.8333333333333335</v>
      </c>
      <c r="G123" s="1648">
        <f t="shared" si="308"/>
        <v>2.652173913043478</v>
      </c>
      <c r="H123" s="1648">
        <f t="shared" si="308"/>
        <v>0.9285714285714286</v>
      </c>
      <c r="I123" s="1648">
        <f t="shared" si="308"/>
        <v>0.58024691358024683</v>
      </c>
      <c r="J123" s="1648">
        <f t="shared" si="308"/>
        <v>0.79609375000000004</v>
      </c>
      <c r="K123" s="1648">
        <f t="shared" si="308"/>
        <v>0.69638973466724652</v>
      </c>
      <c r="L123" s="1648">
        <f t="shared" si="308"/>
        <v>0.21282051282051273</v>
      </c>
      <c r="M123" s="1648">
        <f t="shared" si="308"/>
        <v>8.266384778012692E-2</v>
      </c>
      <c r="N123" s="1648">
        <f t="shared" si="308"/>
        <v>0.13337238820542874</v>
      </c>
      <c r="O123" s="1648">
        <f t="shared" si="308"/>
        <v>0.11233631977946246</v>
      </c>
      <c r="P123" s="1089">
        <f t="shared" si="308"/>
        <v>4.5074349442379091E-2</v>
      </c>
      <c r="Q123" s="1089">
        <f t="shared" si="308"/>
        <v>1.6155328294056526E-2</v>
      </c>
      <c r="R123" s="1089">
        <f t="shared" si="308"/>
        <v>-3.9381563593932079E-3</v>
      </c>
      <c r="S123" s="1648">
        <f t="shared" si="308"/>
        <v>-2.4015229169717434E-2</v>
      </c>
      <c r="T123" s="1648">
        <f t="shared" si="308"/>
        <v>-0.14373593398349582</v>
      </c>
      <c r="U123" s="1648">
        <f t="shared" si="308"/>
        <v>1.7697564394603127E-2</v>
      </c>
      <c r="V123" s="1648">
        <f t="shared" si="308"/>
        <v>1.6701101928374706E-2</v>
      </c>
      <c r="W123" s="1648">
        <f t="shared" si="308"/>
        <v>-3.9119390347163385E-2</v>
      </c>
      <c r="X123" s="1648">
        <v>7.7194219245682039E-2</v>
      </c>
      <c r="Y123" s="1648">
        <v>2.3723821989528826E-2</v>
      </c>
      <c r="Z123" s="1648">
        <v>5.7855202173565656E-2</v>
      </c>
      <c r="AA123" s="1648">
        <f t="shared" ref="AA123:AH123" si="309">AA122/Z122-1</f>
        <v>8.4604925215290283E-3</v>
      </c>
      <c r="AB123" s="1648">
        <f t="shared" si="309"/>
        <v>2.0823970037453288E-2</v>
      </c>
      <c r="AC123" s="1648">
        <f t="shared" si="309"/>
        <v>6.2224831229821032E-2</v>
      </c>
      <c r="AD123" s="1648">
        <f t="shared" si="309"/>
        <v>4.7105347271394038E-2</v>
      </c>
      <c r="AE123" s="1089">
        <f t="shared" si="309"/>
        <v>1.4864480874317021E-2</v>
      </c>
      <c r="AF123" s="1089">
        <f t="shared" si="309"/>
        <v>1.4929729729729724E-2</v>
      </c>
      <c r="AG123" s="1089">
        <f t="shared" si="309"/>
        <v>1.4862326574172746E-2</v>
      </c>
      <c r="AH123" s="1648">
        <f t="shared" si="309"/>
        <v>1.320337197049537E-2</v>
      </c>
      <c r="AI123" s="1090"/>
      <c r="AJ123" s="1094"/>
      <c r="AK123" s="1079"/>
      <c r="AL123" s="1683"/>
      <c r="AM123" s="1091"/>
    </row>
    <row r="124" spans="1:45">
      <c r="A124" s="2033" t="s">
        <v>487</v>
      </c>
      <c r="B124" s="1648"/>
      <c r="C124" s="2054"/>
      <c r="D124" s="2054"/>
      <c r="E124" s="1648"/>
      <c r="F124" s="1648"/>
      <c r="G124" s="1648"/>
      <c r="H124" s="1648"/>
      <c r="I124" s="1648">
        <f t="shared" ref="I124:AH124" si="310">I122/I7</f>
        <v>0.1966862968810624</v>
      </c>
      <c r="J124" s="1648">
        <f t="shared" si="310"/>
        <v>0.25390796272600186</v>
      </c>
      <c r="K124" s="1648">
        <f t="shared" si="310"/>
        <v>0.33518406504014731</v>
      </c>
      <c r="L124" s="1648">
        <f t="shared" si="310"/>
        <v>0.34592561063549387</v>
      </c>
      <c r="M124" s="1648">
        <f t="shared" si="310"/>
        <v>0.36980408471394849</v>
      </c>
      <c r="N124" s="1648">
        <f t="shared" si="310"/>
        <v>0.40153004809712878</v>
      </c>
      <c r="O124" s="1648">
        <f t="shared" si="310"/>
        <v>0.40722123858080622</v>
      </c>
      <c r="P124" s="1089">
        <f t="shared" si="310"/>
        <v>0.41475586665626546</v>
      </c>
      <c r="Q124" s="1089">
        <f t="shared" si="310"/>
        <v>0.42787476799526691</v>
      </c>
      <c r="R124" s="1089">
        <f t="shared" si="310"/>
        <v>0.42887646800226087</v>
      </c>
      <c r="S124" s="1648">
        <f t="shared" si="310"/>
        <v>0.42282560426314786</v>
      </c>
      <c r="T124" s="1648">
        <f t="shared" si="310"/>
        <v>0.39288172931295606</v>
      </c>
      <c r="U124" s="1648">
        <f t="shared" si="310"/>
        <v>0.40910051419313942</v>
      </c>
      <c r="V124" s="1648">
        <f t="shared" si="310"/>
        <v>0.40268685215493727</v>
      </c>
      <c r="W124" s="1648">
        <f t="shared" si="310"/>
        <v>0.38999243934291017</v>
      </c>
      <c r="X124" s="1648">
        <f t="shared" si="310"/>
        <v>0.39051817775222031</v>
      </c>
      <c r="Y124" s="1648">
        <f t="shared" si="310"/>
        <v>0.38747832548922467</v>
      </c>
      <c r="Z124" s="1648">
        <f t="shared" si="310"/>
        <v>0.40273805902038334</v>
      </c>
      <c r="AA124" s="1648">
        <f t="shared" si="310"/>
        <v>0.42254858517440019</v>
      </c>
      <c r="AB124" s="1648">
        <f t="shared" si="310"/>
        <v>0.43915957721062132</v>
      </c>
      <c r="AC124" s="1648">
        <f t="shared" si="310"/>
        <v>0.45651214128035322</v>
      </c>
      <c r="AD124" s="1648">
        <f t="shared" si="310"/>
        <v>0.47346606569983057</v>
      </c>
      <c r="AE124" s="1089">
        <f t="shared" si="310"/>
        <v>0.48285558555876473</v>
      </c>
      <c r="AF124" s="1089">
        <f t="shared" si="310"/>
        <v>0.492421481707771</v>
      </c>
      <c r="AG124" s="1089">
        <f t="shared" si="310"/>
        <v>0.50176963148180254</v>
      </c>
      <c r="AH124" s="1648">
        <f t="shared" si="310"/>
        <v>0.51066927585806354</v>
      </c>
      <c r="AI124" s="1090"/>
      <c r="AJ124" s="1094"/>
      <c r="AK124" s="1079"/>
      <c r="AL124" s="1683"/>
      <c r="AM124" s="1091"/>
    </row>
    <row r="125" spans="1:45">
      <c r="A125" s="1651"/>
      <c r="B125" s="1651"/>
      <c r="C125" s="1651"/>
      <c r="D125" s="1651"/>
      <c r="E125" s="1651"/>
      <c r="F125" s="1651"/>
      <c r="G125" s="1651"/>
      <c r="H125" s="1651"/>
      <c r="I125" s="1651"/>
      <c r="J125" s="1651"/>
      <c r="K125" s="1651"/>
      <c r="L125" s="1651"/>
      <c r="M125" s="1651"/>
      <c r="N125" s="1651"/>
      <c r="O125" s="1651"/>
      <c r="P125" s="1069"/>
      <c r="Q125" s="1069"/>
      <c r="R125" s="1125"/>
      <c r="S125" s="1658"/>
      <c r="T125" s="1658"/>
      <c r="U125" s="1658"/>
      <c r="V125" s="1658"/>
      <c r="W125" s="1658"/>
      <c r="X125" s="1658"/>
      <c r="Y125" s="1658"/>
      <c r="Z125" s="1658"/>
      <c r="AA125" s="1658"/>
      <c r="AB125" s="1658"/>
      <c r="AC125" s="1658"/>
      <c r="AD125" s="1658"/>
      <c r="AE125" s="1125"/>
      <c r="AF125" s="1125"/>
      <c r="AG125" s="1125"/>
      <c r="AH125" s="1658"/>
      <c r="AI125" s="1090"/>
      <c r="AJ125" s="1094"/>
      <c r="AK125" s="1079"/>
      <c r="AL125" s="1683"/>
      <c r="AM125" s="1091"/>
    </row>
    <row r="126" spans="1:45" ht="13.5" customHeight="1">
      <c r="A126" s="2033" t="s">
        <v>491</v>
      </c>
      <c r="B126" s="1644"/>
      <c r="C126" s="1644"/>
      <c r="D126" s="1644"/>
      <c r="E126" s="1644"/>
      <c r="F126" s="1644">
        <f t="shared" ref="F126:AA126" si="311">E129</f>
        <v>45</v>
      </c>
      <c r="G126" s="1644">
        <f t="shared" si="311"/>
        <v>59</v>
      </c>
      <c r="H126" s="1644">
        <f t="shared" si="311"/>
        <v>131</v>
      </c>
      <c r="I126" s="1644">
        <f t="shared" si="311"/>
        <v>193</v>
      </c>
      <c r="J126" s="1644">
        <f t="shared" si="311"/>
        <v>282</v>
      </c>
      <c r="K126" s="2047">
        <f t="shared" si="311"/>
        <v>398</v>
      </c>
      <c r="L126" s="1644">
        <f t="shared" si="311"/>
        <v>513</v>
      </c>
      <c r="M126" s="1644">
        <f t="shared" si="311"/>
        <v>666</v>
      </c>
      <c r="N126" s="1644">
        <f t="shared" si="311"/>
        <v>798</v>
      </c>
      <c r="O126" s="1644">
        <f t="shared" si="311"/>
        <v>842</v>
      </c>
      <c r="P126" s="1084">
        <f>'Store New'!B10</f>
        <v>840</v>
      </c>
      <c r="Q126" s="1084">
        <f t="shared" si="311"/>
        <v>889</v>
      </c>
      <c r="R126" s="1084">
        <f t="shared" si="311"/>
        <v>959</v>
      </c>
      <c r="S126" s="1644">
        <f t="shared" si="311"/>
        <v>1012</v>
      </c>
      <c r="T126" s="1644">
        <f t="shared" si="311"/>
        <v>1059</v>
      </c>
      <c r="U126" s="1644">
        <f t="shared" si="311"/>
        <v>1067</v>
      </c>
      <c r="V126" s="1644">
        <f>'Store New'!Z10</f>
        <v>1039</v>
      </c>
      <c r="W126" s="1644">
        <f t="shared" si="311"/>
        <v>1027</v>
      </c>
      <c r="X126" s="1644">
        <f t="shared" si="311"/>
        <v>1016</v>
      </c>
      <c r="Y126" s="1644">
        <f t="shared" si="311"/>
        <v>1011</v>
      </c>
      <c r="Z126" s="1644">
        <f t="shared" si="311"/>
        <v>1022</v>
      </c>
      <c r="AA126" s="1644">
        <f t="shared" si="311"/>
        <v>1056</v>
      </c>
      <c r="AB126" s="1644">
        <f>AA129</f>
        <v>1095</v>
      </c>
      <c r="AC126" s="1644">
        <f>AB129</f>
        <v>1056</v>
      </c>
      <c r="AD126" s="1644">
        <f>AC129</f>
        <v>1080</v>
      </c>
      <c r="AE126" s="1084">
        <f>AD129</f>
        <v>1130</v>
      </c>
      <c r="AF126" s="1084">
        <f t="shared" ref="AF126" si="312">AE129</f>
        <v>1155</v>
      </c>
      <c r="AG126" s="1084">
        <f>AF129</f>
        <v>1185</v>
      </c>
      <c r="AH126" s="1644">
        <f>AG129</f>
        <v>1215</v>
      </c>
      <c r="AI126" s="1090"/>
      <c r="AJ126" s="1094"/>
      <c r="AK126" s="1079"/>
      <c r="AL126" s="1683"/>
      <c r="AM126" s="1091"/>
    </row>
    <row r="127" spans="1:45" ht="13.5" customHeight="1" outlineLevel="1">
      <c r="A127" s="2033" t="s">
        <v>56</v>
      </c>
      <c r="B127" s="1644"/>
      <c r="C127" s="1644"/>
      <c r="D127" s="1644"/>
      <c r="E127" s="1644"/>
      <c r="F127" s="1644">
        <v>21</v>
      </c>
      <c r="G127" s="1644">
        <v>72</v>
      </c>
      <c r="H127" s="1644">
        <v>63</v>
      </c>
      <c r="I127" s="1644">
        <v>90</v>
      </c>
      <c r="J127" s="1644">
        <v>118</v>
      </c>
      <c r="K127" s="2047">
        <v>117</v>
      </c>
      <c r="L127" s="1644">
        <v>177</v>
      </c>
      <c r="M127" s="1644">
        <v>139</v>
      </c>
      <c r="N127" s="1644">
        <v>62</v>
      </c>
      <c r="O127" s="1644">
        <v>13</v>
      </c>
      <c r="P127" s="1084">
        <f>SUM('Store New'!B11:E11)</f>
        <v>68</v>
      </c>
      <c r="Q127" s="1644">
        <f>SUM('Store New'!F11:I11)</f>
        <v>93</v>
      </c>
      <c r="R127" s="1644">
        <f>SUM('Store New'!J11:M11)</f>
        <v>69</v>
      </c>
      <c r="S127" s="1644">
        <f>SUM('Store New'!N11:Q11)</f>
        <v>113</v>
      </c>
      <c r="T127" s="1644">
        <f>SUM('Store New'!R11:U11)</f>
        <v>34</v>
      </c>
      <c r="U127" s="1644">
        <f>SUM('Store New'!V11:Y11)</f>
        <v>3</v>
      </c>
      <c r="V127" s="1644">
        <f>SUM('Store New'!Z11:AC11)</f>
        <v>18</v>
      </c>
      <c r="W127" s="1644">
        <f>SUM('Store New'!AD11:AG11)</f>
        <v>32</v>
      </c>
      <c r="X127" s="1644">
        <f>SUM('Store New'!AH11:AK11)</f>
        <v>27</v>
      </c>
      <c r="Y127" s="1644">
        <f>SUM('Store New'!AL11:AO11)</f>
        <v>44</v>
      </c>
      <c r="Z127" s="1644">
        <f>SUM('Store New'!AP11:AS11)</f>
        <v>58</v>
      </c>
      <c r="AA127" s="1644">
        <f>SUM('Store New'!AT11:AW11)</f>
        <v>58</v>
      </c>
      <c r="AB127" s="1644">
        <f>SUM('Store New'!AX11:BA11)</f>
        <v>32</v>
      </c>
      <c r="AC127" s="1644">
        <f>SUM('Store New'!BB11:BE11)</f>
        <v>33</v>
      </c>
      <c r="AD127" s="1645">
        <f>SUM('Store New'!BF11:BI11)</f>
        <v>60</v>
      </c>
      <c r="AE127" s="1126">
        <v>35</v>
      </c>
      <c r="AF127" s="1126">
        <v>40</v>
      </c>
      <c r="AG127" s="1126">
        <v>40</v>
      </c>
      <c r="AH127" s="1645">
        <v>30</v>
      </c>
      <c r="AI127" s="1090"/>
      <c r="AJ127" s="1094"/>
      <c r="AK127" s="1079"/>
      <c r="AL127" s="1683"/>
      <c r="AM127" s="1091"/>
    </row>
    <row r="128" spans="1:45" ht="13.5" customHeight="1" outlineLevel="1">
      <c r="A128" s="2036" t="s">
        <v>497</v>
      </c>
      <c r="B128" s="1644"/>
      <c r="C128" s="1644"/>
      <c r="D128" s="1644"/>
      <c r="E128" s="1644"/>
      <c r="F128" s="1644">
        <v>-7</v>
      </c>
      <c r="G128" s="1644">
        <v>0</v>
      </c>
      <c r="H128" s="1673">
        <v>-1</v>
      </c>
      <c r="I128" s="1673">
        <v>-1</v>
      </c>
      <c r="J128" s="1673">
        <v>-2</v>
      </c>
      <c r="K128" s="2053">
        <v>-2</v>
      </c>
      <c r="L128" s="1673">
        <v>-24</v>
      </c>
      <c r="M128" s="1673">
        <v>-7</v>
      </c>
      <c r="N128" s="1673">
        <v>-18</v>
      </c>
      <c r="O128" s="1673">
        <v>-15</v>
      </c>
      <c r="P128" s="1084">
        <f>-SUM('Store New'!B12:E12)</f>
        <v>-19</v>
      </c>
      <c r="Q128" s="1644">
        <f>-SUM('Store New'!F12:I12)</f>
        <v>-23</v>
      </c>
      <c r="R128" s="1644">
        <f>-SUM('Store New'!J12:M12)</f>
        <v>-16</v>
      </c>
      <c r="S128" s="1644">
        <f>-SUM('Store New'!N12:Q12)</f>
        <v>-66</v>
      </c>
      <c r="T128" s="1644">
        <f>-SUM('Store New'!R12:U12)</f>
        <v>-26</v>
      </c>
      <c r="U128" s="1644">
        <f>-SUM('Store New'!V12:Y12)</f>
        <v>-31</v>
      </c>
      <c r="V128" s="1644">
        <f>-SUM('Store New'!Z12:AC12)</f>
        <v>-30</v>
      </c>
      <c r="W128" s="1644">
        <f>-SUM('Store New'!AD12:AG12)</f>
        <v>-43</v>
      </c>
      <c r="X128" s="1644">
        <f>-SUM('Store New'!AH12:AK12)</f>
        <v>-32</v>
      </c>
      <c r="Y128" s="1644">
        <f>-SUM('Store New'!AL12:AO12)</f>
        <v>-33</v>
      </c>
      <c r="Z128" s="1644">
        <f>-SUM('Store New'!AP12:AS12)</f>
        <v>-24</v>
      </c>
      <c r="AA128" s="1644">
        <f>-SUM('Store New'!AT12:AW12)</f>
        <v>-19</v>
      </c>
      <c r="AB128" s="1644">
        <f>-SUM('Store New'!AX12:BA12)</f>
        <v>-71</v>
      </c>
      <c r="AC128" s="1644">
        <f>-SUM('Store New'!BB12:BE12)</f>
        <v>-9</v>
      </c>
      <c r="AD128" s="1645">
        <f>-SUM('Store New'!BF12:BI12)</f>
        <v>-10</v>
      </c>
      <c r="AE128" s="1127">
        <v>-10</v>
      </c>
      <c r="AF128" s="1127">
        <v>-10</v>
      </c>
      <c r="AG128" s="1127">
        <v>-10</v>
      </c>
      <c r="AH128" s="1646">
        <v>-10</v>
      </c>
      <c r="AI128" s="1090"/>
      <c r="AJ128" s="1094"/>
      <c r="AK128" s="1079"/>
      <c r="AL128" s="1683"/>
      <c r="AM128" s="1091"/>
    </row>
    <row r="129" spans="1:39">
      <c r="A129" s="2033" t="s">
        <v>498</v>
      </c>
      <c r="B129" s="1644"/>
      <c r="C129" s="1644"/>
      <c r="D129" s="1644"/>
      <c r="E129" s="1644">
        <v>45</v>
      </c>
      <c r="F129" s="1644">
        <f t="shared" ref="F129:U129" si="313">+SUM(F126:F128)</f>
        <v>59</v>
      </c>
      <c r="G129" s="1644">
        <f t="shared" si="313"/>
        <v>131</v>
      </c>
      <c r="H129" s="1644">
        <f t="shared" si="313"/>
        <v>193</v>
      </c>
      <c r="I129" s="1644">
        <f t="shared" si="313"/>
        <v>282</v>
      </c>
      <c r="J129" s="1644">
        <f t="shared" si="313"/>
        <v>398</v>
      </c>
      <c r="K129" s="2047">
        <f t="shared" si="313"/>
        <v>513</v>
      </c>
      <c r="L129" s="1644">
        <f t="shared" si="313"/>
        <v>666</v>
      </c>
      <c r="M129" s="1644">
        <f t="shared" si="313"/>
        <v>798</v>
      </c>
      <c r="N129" s="1644">
        <f t="shared" si="313"/>
        <v>842</v>
      </c>
      <c r="O129" s="1644">
        <f t="shared" si="313"/>
        <v>840</v>
      </c>
      <c r="P129" s="1084">
        <f t="shared" si="313"/>
        <v>889</v>
      </c>
      <c r="Q129" s="1084">
        <f t="shared" si="313"/>
        <v>959</v>
      </c>
      <c r="R129" s="1084">
        <f t="shared" si="313"/>
        <v>1012</v>
      </c>
      <c r="S129" s="1644">
        <f t="shared" si="313"/>
        <v>1059</v>
      </c>
      <c r="T129" s="1644">
        <f t="shared" si="313"/>
        <v>1067</v>
      </c>
      <c r="U129" s="1644">
        <f t="shared" si="313"/>
        <v>1039</v>
      </c>
      <c r="V129" s="1644">
        <f>'Store New'!AC13</f>
        <v>1027</v>
      </c>
      <c r="W129" s="1644">
        <f>'Store New'!AG13</f>
        <v>1016</v>
      </c>
      <c r="X129" s="1644">
        <f>'Store New'!AK13</f>
        <v>1011</v>
      </c>
      <c r="Y129" s="1644">
        <f>'Store New'!AO13</f>
        <v>1022</v>
      </c>
      <c r="Z129" s="1644">
        <f>'Store New'!AS13</f>
        <v>1056</v>
      </c>
      <c r="AA129" s="1644">
        <f>'Store New'!AW13</f>
        <v>1095</v>
      </c>
      <c r="AB129" s="1644">
        <f>'Store New'!BA13</f>
        <v>1056</v>
      </c>
      <c r="AC129" s="1644">
        <f>'Store New'!BE13</f>
        <v>1080</v>
      </c>
      <c r="AD129" s="1644">
        <f>'Store New'!BI13</f>
        <v>1130</v>
      </c>
      <c r="AE129" s="1084">
        <f>+SUM(AE126:AE128)</f>
        <v>1155</v>
      </c>
      <c r="AF129" s="1084">
        <f t="shared" ref="AF129:AH129" si="314">+SUM(AF126:AF128)</f>
        <v>1185</v>
      </c>
      <c r="AG129" s="1084">
        <f t="shared" si="314"/>
        <v>1215</v>
      </c>
      <c r="AH129" s="1644">
        <f t="shared" si="314"/>
        <v>1235</v>
      </c>
      <c r="AI129" s="1090"/>
      <c r="AJ129" s="1094">
        <f>((AB129/W129)^(1/5)-1)*100</f>
        <v>0.77528662571246798</v>
      </c>
      <c r="AK129" s="1110" t="s">
        <v>489</v>
      </c>
      <c r="AL129" s="1683">
        <f>((AH129/AB129)^(1/6)-1)*100</f>
        <v>2.6440642631742062</v>
      </c>
      <c r="AM129" s="1091" t="s">
        <v>489</v>
      </c>
    </row>
    <row r="130" spans="1:39">
      <c r="A130" s="2033" t="s">
        <v>499</v>
      </c>
      <c r="B130" s="1647"/>
      <c r="C130" s="1647"/>
      <c r="D130" s="1647"/>
      <c r="E130" s="1647">
        <f t="shared" ref="E130:AA130" si="315">(+E129+E126)/2</f>
        <v>22.5</v>
      </c>
      <c r="F130" s="1647">
        <f t="shared" si="315"/>
        <v>52</v>
      </c>
      <c r="G130" s="1647">
        <f t="shared" si="315"/>
        <v>95</v>
      </c>
      <c r="H130" s="1647">
        <f t="shared" si="315"/>
        <v>162</v>
      </c>
      <c r="I130" s="1647">
        <f t="shared" si="315"/>
        <v>237.5</v>
      </c>
      <c r="J130" s="1647">
        <f t="shared" si="315"/>
        <v>340</v>
      </c>
      <c r="K130" s="2048">
        <f t="shared" si="315"/>
        <v>455.5</v>
      </c>
      <c r="L130" s="1647">
        <f t="shared" si="315"/>
        <v>589.5</v>
      </c>
      <c r="M130" s="1647">
        <f t="shared" si="315"/>
        <v>732</v>
      </c>
      <c r="N130" s="1647">
        <f t="shared" si="315"/>
        <v>820</v>
      </c>
      <c r="O130" s="1647">
        <f t="shared" si="315"/>
        <v>841</v>
      </c>
      <c r="P130" s="1107">
        <f t="shared" si="315"/>
        <v>864.5</v>
      </c>
      <c r="Q130" s="1107">
        <f t="shared" si="315"/>
        <v>924</v>
      </c>
      <c r="R130" s="1107">
        <f t="shared" si="315"/>
        <v>985.5</v>
      </c>
      <c r="S130" s="1647">
        <f t="shared" si="315"/>
        <v>1035.5</v>
      </c>
      <c r="T130" s="1647">
        <f t="shared" si="315"/>
        <v>1063</v>
      </c>
      <c r="U130" s="1647">
        <f t="shared" si="315"/>
        <v>1053</v>
      </c>
      <c r="V130" s="1647">
        <f t="shared" si="315"/>
        <v>1033</v>
      </c>
      <c r="W130" s="1647">
        <f t="shared" si="315"/>
        <v>1021.5</v>
      </c>
      <c r="X130" s="1647">
        <f t="shared" si="315"/>
        <v>1013.5</v>
      </c>
      <c r="Y130" s="1647">
        <f t="shared" si="315"/>
        <v>1016.5</v>
      </c>
      <c r="Z130" s="1647">
        <f t="shared" si="315"/>
        <v>1039</v>
      </c>
      <c r="AA130" s="1647">
        <f t="shared" si="315"/>
        <v>1075.5</v>
      </c>
      <c r="AB130" s="1647">
        <f>(+AB129+AB126)/2</f>
        <v>1075.5</v>
      </c>
      <c r="AC130" s="1647">
        <f>(+AC129+AC126)/2</f>
        <v>1068</v>
      </c>
      <c r="AD130" s="1647">
        <f>(+AD129+AD126)/2</f>
        <v>1105</v>
      </c>
      <c r="AE130" s="1107">
        <f>(+AE129+AE126)/2</f>
        <v>1142.5</v>
      </c>
      <c r="AF130" s="1107">
        <f t="shared" ref="AF130:AH130" si="316">(+AF129+AF126)/2</f>
        <v>1170</v>
      </c>
      <c r="AG130" s="1107">
        <f t="shared" si="316"/>
        <v>1200</v>
      </c>
      <c r="AH130" s="1647">
        <f t="shared" si="316"/>
        <v>1225</v>
      </c>
      <c r="AI130" s="1100"/>
      <c r="AJ130" s="1094"/>
      <c r="AK130" s="1128"/>
      <c r="AL130" s="1683"/>
      <c r="AM130" s="1101"/>
    </row>
    <row r="131" spans="1:39">
      <c r="A131" s="2033" t="s">
        <v>500</v>
      </c>
      <c r="B131" s="1648"/>
      <c r="C131" s="1648"/>
      <c r="D131" s="1648"/>
      <c r="E131" s="1648"/>
      <c r="F131" s="1648">
        <f t="shared" ref="F131:AA131" si="317">(F130/E130-1)</f>
        <v>1.3111111111111109</v>
      </c>
      <c r="G131" s="1648">
        <f t="shared" si="317"/>
        <v>0.82692307692307687</v>
      </c>
      <c r="H131" s="1648">
        <f t="shared" si="317"/>
        <v>0.70526315789473681</v>
      </c>
      <c r="I131" s="1648">
        <f t="shared" si="317"/>
        <v>0.46604938271604945</v>
      </c>
      <c r="J131" s="1648">
        <f t="shared" si="317"/>
        <v>0.43157894736842106</v>
      </c>
      <c r="K131" s="1661">
        <f t="shared" si="317"/>
        <v>0.33970588235294108</v>
      </c>
      <c r="L131" s="1648">
        <f t="shared" si="317"/>
        <v>0.29418221734357841</v>
      </c>
      <c r="M131" s="1648">
        <f t="shared" si="317"/>
        <v>0.24173027989821882</v>
      </c>
      <c r="N131" s="1648">
        <f t="shared" si="317"/>
        <v>0.12021857923497259</v>
      </c>
      <c r="O131" s="1648">
        <f t="shared" si="317"/>
        <v>2.5609756097560998E-2</v>
      </c>
      <c r="P131" s="1089">
        <f t="shared" si="317"/>
        <v>2.7942925089179615E-2</v>
      </c>
      <c r="Q131" s="1089">
        <f t="shared" si="317"/>
        <v>6.8825910931174183E-2</v>
      </c>
      <c r="R131" s="1089">
        <f t="shared" si="317"/>
        <v>6.6558441558441483E-2</v>
      </c>
      <c r="S131" s="1648">
        <f t="shared" si="317"/>
        <v>5.0735667174023336E-2</v>
      </c>
      <c r="T131" s="1648">
        <f t="shared" si="317"/>
        <v>2.655721873491057E-2</v>
      </c>
      <c r="U131" s="1648">
        <f t="shared" si="317"/>
        <v>-9.4073377234242805E-3</v>
      </c>
      <c r="V131" s="1648">
        <f t="shared" si="317"/>
        <v>-1.8993352326685642E-2</v>
      </c>
      <c r="W131" s="1648">
        <f t="shared" si="317"/>
        <v>-1.1132623426911903E-2</v>
      </c>
      <c r="X131" s="1648">
        <f t="shared" si="317"/>
        <v>-7.8316201664219154E-3</v>
      </c>
      <c r="Y131" s="1648">
        <f t="shared" si="317"/>
        <v>2.9600394671929209E-3</v>
      </c>
      <c r="Z131" s="1648">
        <f t="shared" si="317"/>
        <v>2.2134776192818562E-2</v>
      </c>
      <c r="AA131" s="1648">
        <f t="shared" si="317"/>
        <v>3.5129932627526506E-2</v>
      </c>
      <c r="AB131" s="1648">
        <f>(AB130/AA130-1)</f>
        <v>0</v>
      </c>
      <c r="AC131" s="1648">
        <f>(AC130/AB130-1)</f>
        <v>-6.9735006973500324E-3</v>
      </c>
      <c r="AD131" s="1648">
        <f>(AD130/AC130-1)</f>
        <v>3.4644194756554336E-2</v>
      </c>
      <c r="AE131" s="1089">
        <f>(AE130/AD130-1)</f>
        <v>3.3936651583710509E-2</v>
      </c>
      <c r="AF131" s="1089">
        <f t="shared" ref="AF131" si="318">(AF130/AE130-1)</f>
        <v>2.4070021881838155E-2</v>
      </c>
      <c r="AG131" s="1089">
        <f>(AG130/AF130-1)</f>
        <v>2.564102564102555E-2</v>
      </c>
      <c r="AH131" s="1648">
        <f>(AH130/AG130-1)</f>
        <v>2.0833333333333259E-2</v>
      </c>
      <c r="AI131" s="1090"/>
      <c r="AJ131" s="1094"/>
      <c r="AK131" s="1079"/>
      <c r="AL131" s="1683"/>
      <c r="AM131" s="1091"/>
    </row>
    <row r="132" spans="1:39">
      <c r="A132" s="1651"/>
      <c r="B132" s="1651"/>
      <c r="C132" s="1651"/>
      <c r="D132" s="1651"/>
      <c r="E132" s="1651"/>
      <c r="F132" s="1651"/>
      <c r="G132" s="1651"/>
      <c r="H132" s="1648"/>
      <c r="I132" s="1648"/>
      <c r="J132" s="1651"/>
      <c r="K132" s="1651"/>
      <c r="L132" s="1651"/>
      <c r="M132" s="1651"/>
      <c r="N132" s="1651"/>
      <c r="O132" s="1651"/>
      <c r="P132" s="1069"/>
      <c r="Q132" s="1069"/>
      <c r="R132" s="1069"/>
      <c r="S132" s="1651"/>
      <c r="T132" s="1651"/>
      <c r="U132" s="1651"/>
      <c r="V132" s="1651"/>
      <c r="W132" s="1651"/>
      <c r="X132" s="1651"/>
      <c r="Y132" s="1651"/>
      <c r="Z132" s="1651"/>
      <c r="AA132" s="1651"/>
      <c r="AB132" s="1651"/>
      <c r="AC132" s="1651"/>
      <c r="AD132" s="1651"/>
      <c r="AE132" s="1069"/>
      <c r="AF132" s="1069"/>
      <c r="AG132" s="1069"/>
      <c r="AH132" s="1651"/>
      <c r="AI132" s="1090"/>
      <c r="AJ132" s="1094"/>
      <c r="AK132" s="1079"/>
      <c r="AL132" s="1683"/>
      <c r="AM132" s="1091"/>
    </row>
    <row r="133" spans="1:39">
      <c r="A133" s="2033" t="s">
        <v>62</v>
      </c>
      <c r="B133" s="1649"/>
      <c r="C133" s="1649"/>
      <c r="D133" s="1649"/>
      <c r="E133" s="1649">
        <f t="shared" ref="E133:AD133" si="319">(E122)/E130</f>
        <v>1.3333333333333333</v>
      </c>
      <c r="F133" s="1649">
        <f t="shared" si="319"/>
        <v>2.2115384615384617</v>
      </c>
      <c r="G133" s="1649">
        <f t="shared" si="319"/>
        <v>4.4210526315789478</v>
      </c>
      <c r="H133" s="1649">
        <f t="shared" si="319"/>
        <v>5</v>
      </c>
      <c r="I133" s="1649">
        <f t="shared" si="319"/>
        <v>5.3894736842105262</v>
      </c>
      <c r="J133" s="1649">
        <f t="shared" si="319"/>
        <v>6.7617647058823529</v>
      </c>
      <c r="K133" s="1649">
        <f t="shared" si="319"/>
        <v>8.5620197585071356</v>
      </c>
      <c r="L133" s="1649">
        <f t="shared" si="319"/>
        <v>8.023748939779475</v>
      </c>
      <c r="M133" s="1649">
        <f t="shared" si="319"/>
        <v>6.9959016393442619</v>
      </c>
      <c r="N133" s="1649">
        <f t="shared" si="319"/>
        <v>7.0780487804878049</v>
      </c>
      <c r="O133" s="1649">
        <f t="shared" si="319"/>
        <v>7.6765755053507725</v>
      </c>
      <c r="P133" s="1102">
        <f t="shared" si="319"/>
        <v>7.8045112781954886</v>
      </c>
      <c r="Q133" s="1102">
        <f t="shared" si="319"/>
        <v>7.4199134199134198</v>
      </c>
      <c r="R133" s="1102">
        <f t="shared" si="319"/>
        <v>6.929477422628108</v>
      </c>
      <c r="S133" s="1649">
        <f t="shared" si="319"/>
        <v>6.4365041042974411</v>
      </c>
      <c r="T133" s="1649">
        <f t="shared" si="319"/>
        <v>5.3687676387582313</v>
      </c>
      <c r="U133" s="1649">
        <f t="shared" si="319"/>
        <v>5.5156695156695159</v>
      </c>
      <c r="V133" s="1649">
        <f t="shared" si="319"/>
        <v>5.7163601161665056</v>
      </c>
      <c r="W133" s="1649">
        <f t="shared" si="319"/>
        <v>5.5545766030347528</v>
      </c>
      <c r="X133" s="1649">
        <f t="shared" si="319"/>
        <v>6.0305870744943268</v>
      </c>
      <c r="Y133" s="1649">
        <f t="shared" si="319"/>
        <v>6.1554353172651251</v>
      </c>
      <c r="Z133" s="1649">
        <f t="shared" si="319"/>
        <v>6.3705486044273343</v>
      </c>
      <c r="AA133" s="1649">
        <f t="shared" si="319"/>
        <v>6.2064156206415619</v>
      </c>
      <c r="AB133" s="1649">
        <f t="shared" si="319"/>
        <v>6.3356578335657829</v>
      </c>
      <c r="AC133" s="1649">
        <f t="shared" si="319"/>
        <v>6.7771535580524347</v>
      </c>
      <c r="AD133" s="1649">
        <f t="shared" si="319"/>
        <v>6.8587769262899085</v>
      </c>
      <c r="AE133" s="1102">
        <f>(AE122)/AE130</f>
        <v>6.7322587646641638</v>
      </c>
      <c r="AF133" s="1102">
        <f t="shared" ref="AF133:AH133" si="320">(AF122)/AF130</f>
        <v>6.6721702837617096</v>
      </c>
      <c r="AG133" s="1102">
        <f t="shared" si="320"/>
        <v>6.6020509010405304</v>
      </c>
      <c r="AH133" s="1649">
        <f t="shared" si="320"/>
        <v>6.5527055361846003</v>
      </c>
      <c r="AI133" s="1090"/>
      <c r="AJ133" s="1094"/>
      <c r="AK133" s="1079"/>
      <c r="AL133" s="1683"/>
      <c r="AM133" s="1091"/>
    </row>
    <row r="134" spans="1:39">
      <c r="A134" s="2033" t="s">
        <v>490</v>
      </c>
      <c r="B134" s="1650"/>
      <c r="C134" s="1650"/>
      <c r="D134" s="1650"/>
      <c r="E134" s="1650"/>
      <c r="F134" s="1650">
        <f t="shared" ref="F134:AA134" si="321">F133/E133-1</f>
        <v>0.65865384615384626</v>
      </c>
      <c r="G134" s="1650">
        <f t="shared" si="321"/>
        <v>0.99908466819221964</v>
      </c>
      <c r="H134" s="1650">
        <f t="shared" si="321"/>
        <v>0.13095238095238093</v>
      </c>
      <c r="I134" s="1650">
        <f t="shared" si="321"/>
        <v>7.7894736842105239E-2</v>
      </c>
      <c r="J134" s="1650">
        <f t="shared" si="321"/>
        <v>0.25462431066176472</v>
      </c>
      <c r="K134" s="1650">
        <f t="shared" si="321"/>
        <v>0.26624041665612275</v>
      </c>
      <c r="L134" s="1650">
        <f t="shared" si="321"/>
        <v>-6.2867271264217761E-2</v>
      </c>
      <c r="M134" s="1650">
        <f t="shared" si="321"/>
        <v>-0.12810063078362754</v>
      </c>
      <c r="N134" s="1650">
        <f t="shared" si="321"/>
        <v>1.1742180690699877E-2</v>
      </c>
      <c r="O134" s="1650">
        <f t="shared" si="321"/>
        <v>8.4560977668441284E-2</v>
      </c>
      <c r="P134" s="1103">
        <f t="shared" si="321"/>
        <v>1.666573496939372E-2</v>
      </c>
      <c r="Q134" s="1103">
        <f t="shared" si="321"/>
        <v>-4.9278916330939504E-2</v>
      </c>
      <c r="R134" s="1103">
        <f t="shared" si="321"/>
        <v>-6.6097266845336677E-2</v>
      </c>
      <c r="S134" s="1650">
        <f t="shared" si="321"/>
        <v>-7.1141485607683741E-2</v>
      </c>
      <c r="T134" s="1650">
        <f t="shared" si="321"/>
        <v>-0.16588763841948262</v>
      </c>
      <c r="U134" s="1650">
        <f t="shared" si="321"/>
        <v>2.7362308595881402E-2</v>
      </c>
      <c r="V134" s="1650">
        <f t="shared" si="321"/>
        <v>3.6385537590104988E-2</v>
      </c>
      <c r="W134" s="1650">
        <f t="shared" si="321"/>
        <v>-2.8301840654547106E-2</v>
      </c>
      <c r="X134" s="1650">
        <f t="shared" si="321"/>
        <v>8.5696985653146873E-2</v>
      </c>
      <c r="Y134" s="1650">
        <f t="shared" si="321"/>
        <v>2.0702502298462599E-2</v>
      </c>
      <c r="Z134" s="1650">
        <f t="shared" si="321"/>
        <v>3.4946884513406662E-2</v>
      </c>
      <c r="AA134" s="1650">
        <f t="shared" si="321"/>
        <v>-2.5764340558002363E-2</v>
      </c>
      <c r="AB134" s="1650">
        <f>AB133/AA133-1</f>
        <v>2.0823970037453066E-2</v>
      </c>
      <c r="AC134" s="1650">
        <f>AC133/AB133-1</f>
        <v>6.9684275269356277E-2</v>
      </c>
      <c r="AD134" s="1650">
        <f>AD133/AC133-1</f>
        <v>1.2043901254161549E-2</v>
      </c>
      <c r="AE134" s="1103">
        <f>AE133/AD133-1</f>
        <v>-1.8446169482608021E-2</v>
      </c>
      <c r="AF134" s="1103">
        <f t="shared" ref="AF134" si="322">AF133/AE133-1</f>
        <v>-8.925456225456263E-3</v>
      </c>
      <c r="AG134" s="1103">
        <f>AG133/AF133-1</f>
        <v>-1.0509231590181578E-2</v>
      </c>
      <c r="AH134" s="1650">
        <f>AH133/AG133-1</f>
        <v>-7.474247865637218E-3</v>
      </c>
      <c r="AI134" s="1090"/>
      <c r="AJ134" s="1094"/>
      <c r="AK134" s="1079"/>
      <c r="AL134" s="1683"/>
      <c r="AM134" s="1091"/>
    </row>
    <row r="135" spans="1:39">
      <c r="A135" s="1651"/>
      <c r="B135" s="1651"/>
      <c r="C135" s="1651"/>
      <c r="D135" s="1651"/>
      <c r="E135" s="1651"/>
      <c r="F135" s="1651"/>
      <c r="G135" s="1651"/>
      <c r="H135" s="1651"/>
      <c r="I135" s="1651"/>
      <c r="J135" s="1651"/>
      <c r="K135" s="1651"/>
      <c r="L135" s="1651"/>
      <c r="M135" s="1651"/>
      <c r="N135" s="1651"/>
      <c r="O135" s="1651"/>
      <c r="P135" s="1069"/>
      <c r="Q135" s="1069"/>
      <c r="R135" s="1069"/>
      <c r="S135" s="1651"/>
      <c r="T135" s="1651"/>
      <c r="U135" s="1651"/>
      <c r="V135" s="1651"/>
      <c r="W135" s="1651"/>
      <c r="X135" s="1651"/>
      <c r="Y135" s="1651"/>
      <c r="Z135" s="1651"/>
      <c r="AA135" s="1651"/>
      <c r="AB135" s="1651"/>
      <c r="AC135" s="1651"/>
      <c r="AD135" s="1651"/>
      <c r="AE135" s="1069"/>
      <c r="AF135" s="1069"/>
      <c r="AG135" s="1069"/>
      <c r="AH135" s="1651"/>
      <c r="AI135" s="1090"/>
      <c r="AJ135" s="1094"/>
      <c r="AK135" s="1079"/>
      <c r="AL135" s="1683"/>
      <c r="AM135" s="1091"/>
    </row>
    <row r="136" spans="1:39">
      <c r="A136" s="2033" t="s">
        <v>502</v>
      </c>
      <c r="B136" s="2049"/>
      <c r="C136" s="2049"/>
      <c r="D136" s="1652"/>
      <c r="E136" s="1652"/>
      <c r="F136" s="1652">
        <f t="shared" ref="F136:AA136" si="323">+(E139+F139)/2</f>
        <v>0.442</v>
      </c>
      <c r="G136" s="1652">
        <f t="shared" si="323"/>
        <v>1.4469999999999998</v>
      </c>
      <c r="H136" s="1652">
        <f t="shared" si="323"/>
        <v>2.4514999999999998</v>
      </c>
      <c r="I136" s="1652">
        <f t="shared" si="323"/>
        <v>3.5945</v>
      </c>
      <c r="J136" s="1652">
        <f t="shared" si="323"/>
        <v>5.3045</v>
      </c>
      <c r="K136" s="1652">
        <f t="shared" si="323"/>
        <v>7.6564999999999994</v>
      </c>
      <c r="L136" s="1652">
        <f t="shared" si="323"/>
        <v>11.05</v>
      </c>
      <c r="M136" s="1652">
        <f t="shared" si="323"/>
        <v>14.55</v>
      </c>
      <c r="N136" s="1652">
        <f t="shared" si="323"/>
        <v>16.399999999999999</v>
      </c>
      <c r="O136" s="1652">
        <f t="shared" si="323"/>
        <v>16.720116000000001</v>
      </c>
      <c r="P136" s="1104">
        <f t="shared" si="323"/>
        <v>16.970116000000001</v>
      </c>
      <c r="Q136" s="1104">
        <f t="shared" si="323"/>
        <v>17.850000000000001</v>
      </c>
      <c r="R136" s="1104">
        <f t="shared" si="323"/>
        <v>18.850000000000001</v>
      </c>
      <c r="S136" s="1652">
        <f t="shared" si="323"/>
        <v>19.649999999999999</v>
      </c>
      <c r="T136" s="1652">
        <f t="shared" si="323"/>
        <v>20.05</v>
      </c>
      <c r="U136" s="1652">
        <f t="shared" si="323"/>
        <v>19.8</v>
      </c>
      <c r="V136" s="1652">
        <f t="shared" si="323"/>
        <v>19.25</v>
      </c>
      <c r="W136" s="1652">
        <f t="shared" si="323"/>
        <v>18.55</v>
      </c>
      <c r="X136" s="1652">
        <f t="shared" si="323"/>
        <v>17.850000000000001</v>
      </c>
      <c r="Y136" s="1652">
        <f t="shared" si="323"/>
        <v>17.5</v>
      </c>
      <c r="Z136" s="1652">
        <f t="shared" si="323"/>
        <v>17.649999999999999</v>
      </c>
      <c r="AA136" s="1652">
        <f t="shared" si="323"/>
        <v>18.100000000000001</v>
      </c>
      <c r="AB136" s="1652">
        <f>+(AA139+AB139)/2</f>
        <v>17.95</v>
      </c>
      <c r="AC136" s="1652">
        <f>+(AB139+AC139)/2</f>
        <v>17.75</v>
      </c>
      <c r="AD136" s="1652">
        <f>+(AC139+AD139)/2</f>
        <v>18.099999999999994</v>
      </c>
      <c r="AE136" s="1104">
        <f>+(AD139+AE139)/2</f>
        <v>18.399999999999991</v>
      </c>
      <c r="AF136" s="1104">
        <f t="shared" ref="AF136" si="324">+(AE139+AF139)/2</f>
        <v>18.61999999999999</v>
      </c>
      <c r="AG136" s="1104">
        <f>+(AF139+AG139)/2</f>
        <v>18.859999999999992</v>
      </c>
      <c r="AH136" s="1652">
        <f>+(AG139+AH139)/2</f>
        <v>19.059999999999988</v>
      </c>
      <c r="AI136" s="1090"/>
      <c r="AJ136" s="1094">
        <f>((AB136/W136)^(1/5)-1)*100</f>
        <v>-0.65543606803847299</v>
      </c>
      <c r="AK136" s="1110" t="s">
        <v>489</v>
      </c>
      <c r="AL136" s="1683">
        <f>((AH136/AB136)^(1/6)-1)*100</f>
        <v>1.0050467286570663</v>
      </c>
      <c r="AM136" s="1091" t="s">
        <v>489</v>
      </c>
    </row>
    <row r="137" spans="1:39">
      <c r="A137" s="2033" t="s">
        <v>490</v>
      </c>
      <c r="B137" s="1648"/>
      <c r="C137" s="1648"/>
      <c r="D137" s="1648"/>
      <c r="E137" s="1648"/>
      <c r="F137" s="1648"/>
      <c r="G137" s="1648">
        <f t="shared" ref="G137:AA137" si="325">G136/F136-1</f>
        <v>2.2737556561085968</v>
      </c>
      <c r="H137" s="1648">
        <f t="shared" si="325"/>
        <v>0.69419488597097456</v>
      </c>
      <c r="I137" s="1648">
        <f t="shared" si="325"/>
        <v>0.46624515602692251</v>
      </c>
      <c r="J137" s="1648">
        <f t="shared" si="325"/>
        <v>0.47572680484072882</v>
      </c>
      <c r="K137" s="1648">
        <f t="shared" si="325"/>
        <v>0.44339711565651796</v>
      </c>
      <c r="L137" s="1648">
        <f t="shared" si="325"/>
        <v>0.44321818063083684</v>
      </c>
      <c r="M137" s="1648">
        <f t="shared" si="325"/>
        <v>0.31674208144796379</v>
      </c>
      <c r="N137" s="1648">
        <f t="shared" si="325"/>
        <v>0.12714776632302383</v>
      </c>
      <c r="O137" s="1648">
        <f t="shared" si="325"/>
        <v>1.9519268292683023E-2</v>
      </c>
      <c r="P137" s="1089">
        <f t="shared" si="325"/>
        <v>1.4952049375734022E-2</v>
      </c>
      <c r="Q137" s="1089">
        <f t="shared" si="325"/>
        <v>5.1849026842244461E-2</v>
      </c>
      <c r="R137" s="1089">
        <f t="shared" si="325"/>
        <v>5.6022408963585457E-2</v>
      </c>
      <c r="S137" s="1648">
        <f t="shared" si="325"/>
        <v>4.2440318302387148E-2</v>
      </c>
      <c r="T137" s="1648">
        <f t="shared" si="325"/>
        <v>2.0356234096692294E-2</v>
      </c>
      <c r="U137" s="1648">
        <f t="shared" si="325"/>
        <v>-1.2468827930174564E-2</v>
      </c>
      <c r="V137" s="1648">
        <f t="shared" si="325"/>
        <v>-2.777777777777779E-2</v>
      </c>
      <c r="W137" s="1648">
        <f t="shared" si="325"/>
        <v>-3.6363636363636376E-2</v>
      </c>
      <c r="X137" s="1648">
        <f t="shared" si="325"/>
        <v>-3.7735849056603765E-2</v>
      </c>
      <c r="Y137" s="1648">
        <f t="shared" si="325"/>
        <v>-1.9607843137254943E-2</v>
      </c>
      <c r="Z137" s="1648">
        <f t="shared" si="325"/>
        <v>8.5714285714284522E-3</v>
      </c>
      <c r="AA137" s="1648">
        <f t="shared" si="325"/>
        <v>2.5495750708215414E-2</v>
      </c>
      <c r="AB137" s="1648">
        <f>AB136/AA136-1</f>
        <v>-8.2872928176797034E-3</v>
      </c>
      <c r="AC137" s="1648">
        <f>AC136/AB136-1</f>
        <v>-1.114206128133699E-2</v>
      </c>
      <c r="AD137" s="1648">
        <f>AD136/AC136-1</f>
        <v>1.9718309859154681E-2</v>
      </c>
      <c r="AE137" s="1089">
        <f>AE136/AD136-1</f>
        <v>1.6574585635358963E-2</v>
      </c>
      <c r="AF137" s="1089">
        <f t="shared" ref="AF137" si="326">AF136/AE136-1</f>
        <v>1.1956521739130421E-2</v>
      </c>
      <c r="AG137" s="1089">
        <f>AG136/AF136-1</f>
        <v>1.2889366272825109E-2</v>
      </c>
      <c r="AH137" s="1648">
        <f>AH136/AG136-1</f>
        <v>1.0604453870625363E-2</v>
      </c>
      <c r="AI137" s="1090"/>
      <c r="AJ137" s="1094"/>
      <c r="AK137" s="1079"/>
      <c r="AL137" s="1683"/>
      <c r="AM137" s="1091"/>
    </row>
    <row r="138" spans="1:39">
      <c r="A138" s="1651"/>
      <c r="B138" s="1651"/>
      <c r="C138" s="1651"/>
      <c r="D138" s="1651"/>
      <c r="E138" s="1651"/>
      <c r="F138" s="1651"/>
      <c r="G138" s="1651"/>
      <c r="H138" s="1651"/>
      <c r="I138" s="1651"/>
      <c r="J138" s="1651"/>
      <c r="K138" s="1651"/>
      <c r="L138" s="1651"/>
      <c r="M138" s="1651"/>
      <c r="N138" s="1651"/>
      <c r="O138" s="1651"/>
      <c r="P138" s="1069"/>
      <c r="Q138" s="1069"/>
      <c r="R138" s="1069"/>
      <c r="S138" s="1651"/>
      <c r="T138" s="1651"/>
      <c r="U138" s="1651"/>
      <c r="V138" s="1651"/>
      <c r="W138" s="1651"/>
      <c r="X138" s="1651"/>
      <c r="Y138" s="1651"/>
      <c r="Z138" s="1651"/>
      <c r="AA138" s="1651"/>
      <c r="AB138" s="1651"/>
      <c r="AC138" s="1651"/>
      <c r="AD138" s="1651"/>
      <c r="AE138" s="1069"/>
      <c r="AF138" s="1069"/>
      <c r="AG138" s="1069"/>
      <c r="AH138" s="1651"/>
      <c r="AI138" s="1090"/>
      <c r="AJ138" s="1094"/>
      <c r="AK138" s="1079"/>
      <c r="AL138" s="1683"/>
      <c r="AM138" s="1091"/>
    </row>
    <row r="139" spans="1:39">
      <c r="A139" s="2033" t="s">
        <v>503</v>
      </c>
      <c r="B139" s="2049"/>
      <c r="C139" s="1653"/>
      <c r="D139" s="1653"/>
      <c r="E139" s="1653"/>
      <c r="F139" s="1653">
        <v>0.88400000000000001</v>
      </c>
      <c r="G139" s="1653">
        <v>2.0099999999999998</v>
      </c>
      <c r="H139" s="1653">
        <v>2.8929999999999998</v>
      </c>
      <c r="I139" s="1653">
        <v>4.2960000000000003</v>
      </c>
      <c r="J139" s="1653">
        <v>6.3129999999999997</v>
      </c>
      <c r="K139" s="1653">
        <v>9</v>
      </c>
      <c r="L139" s="1653">
        <v>13.1</v>
      </c>
      <c r="M139" s="1653">
        <v>16</v>
      </c>
      <c r="N139" s="1653">
        <v>16.8</v>
      </c>
      <c r="O139" s="1653">
        <v>16.640232000000001</v>
      </c>
      <c r="P139" s="1129">
        <f>'Store New'!E33</f>
        <v>17.3</v>
      </c>
      <c r="Q139" s="1653">
        <f>'Store New'!I33</f>
        <v>18.399999999999999</v>
      </c>
      <c r="R139" s="1653">
        <f>'Store New'!M33</f>
        <v>19.3</v>
      </c>
      <c r="S139" s="1653">
        <f>'Store New'!Q33</f>
        <v>20</v>
      </c>
      <c r="T139" s="1653">
        <f>'Store New'!U33</f>
        <v>20.100000000000001</v>
      </c>
      <c r="U139" s="1653">
        <f>'Store New'!Y33</f>
        <v>19.5</v>
      </c>
      <c r="V139" s="1653">
        <f>'Store New'!AC33</f>
        <v>19</v>
      </c>
      <c r="W139" s="1653">
        <f>'Store New'!AG33</f>
        <v>18.100000000000001</v>
      </c>
      <c r="X139" s="1653">
        <f>'Store New'!AK33</f>
        <v>17.600000000000001</v>
      </c>
      <c r="Y139" s="1653">
        <f>'Store New'!AO33</f>
        <v>17.399999999999999</v>
      </c>
      <c r="Z139" s="1653">
        <f>'Store New'!AS33</f>
        <v>17.899999999999999</v>
      </c>
      <c r="AA139" s="1653">
        <f>'Store New'!AW33</f>
        <v>18.3</v>
      </c>
      <c r="AB139" s="1653">
        <f>'Store New'!BA33</f>
        <v>17.599999999999998</v>
      </c>
      <c r="AC139" s="1653">
        <f>'Store New'!BE33</f>
        <v>17.899999999999999</v>
      </c>
      <c r="AD139" s="1659">
        <f>'Store New'!BI33</f>
        <v>18.299999999999994</v>
      </c>
      <c r="AE139" s="1130">
        <f>AD139+((AE127+AE128)*AE151/1000000)</f>
        <v>18.499999999999993</v>
      </c>
      <c r="AF139" s="1130">
        <f t="shared" ref="AF139" si="327">AE139+((AF127+AF128)*AF151/1000000)</f>
        <v>18.739999999999991</v>
      </c>
      <c r="AG139" s="1130">
        <f>AF139+((AG127+AG128)*AG151/1000000)</f>
        <v>18.97999999999999</v>
      </c>
      <c r="AH139" s="1659">
        <f>AG139+((AH127+AH128)*AH151/1000000)</f>
        <v>19.13999999999999</v>
      </c>
      <c r="AI139" s="1090"/>
      <c r="AJ139" s="1094">
        <f>((AB139/W139)^(1/5)-1)*100</f>
        <v>-0.55869419107874574</v>
      </c>
      <c r="AK139" s="1110" t="s">
        <v>489</v>
      </c>
      <c r="AL139" s="1683">
        <f>((AH139/AB139)^(1/6)-1)*100</f>
        <v>1.4078427984236974</v>
      </c>
      <c r="AM139" s="1091" t="s">
        <v>489</v>
      </c>
    </row>
    <row r="140" spans="1:39">
      <c r="A140" s="2033" t="s">
        <v>490</v>
      </c>
      <c r="B140" s="1648"/>
      <c r="C140" s="1648"/>
      <c r="D140" s="1648"/>
      <c r="E140" s="1648"/>
      <c r="F140" s="1648"/>
      <c r="G140" s="1648">
        <f t="shared" ref="G140:AA140" si="328">G139/F139-1</f>
        <v>1.2737556561085972</v>
      </c>
      <c r="H140" s="1648">
        <f t="shared" si="328"/>
        <v>0.43930348258706475</v>
      </c>
      <c r="I140" s="1648">
        <f t="shared" si="328"/>
        <v>0.48496370549602519</v>
      </c>
      <c r="J140" s="1648">
        <f t="shared" si="328"/>
        <v>0.46950651769087504</v>
      </c>
      <c r="K140" s="1648">
        <f t="shared" si="328"/>
        <v>0.42562965309678447</v>
      </c>
      <c r="L140" s="1648">
        <f t="shared" si="328"/>
        <v>0.45555555555555549</v>
      </c>
      <c r="M140" s="1648">
        <f t="shared" si="328"/>
        <v>0.22137404580152675</v>
      </c>
      <c r="N140" s="1648">
        <f t="shared" si="328"/>
        <v>5.0000000000000044E-2</v>
      </c>
      <c r="O140" s="1648">
        <f t="shared" si="328"/>
        <v>-9.5100000000000184E-3</v>
      </c>
      <c r="P140" s="1089">
        <f t="shared" si="328"/>
        <v>3.9648966432679567E-2</v>
      </c>
      <c r="Q140" s="1089">
        <f t="shared" si="328"/>
        <v>6.3583815028901647E-2</v>
      </c>
      <c r="R140" s="1089">
        <f t="shared" si="328"/>
        <v>4.8913043478260976E-2</v>
      </c>
      <c r="S140" s="1648">
        <f t="shared" si="328"/>
        <v>3.6269430051813378E-2</v>
      </c>
      <c r="T140" s="1648">
        <f t="shared" si="328"/>
        <v>5.0000000000001155E-3</v>
      </c>
      <c r="U140" s="1648">
        <f t="shared" si="328"/>
        <v>-2.9850746268656803E-2</v>
      </c>
      <c r="V140" s="1648">
        <f t="shared" si="328"/>
        <v>-2.5641025641025661E-2</v>
      </c>
      <c r="W140" s="1648">
        <f t="shared" si="328"/>
        <v>-4.7368421052631504E-2</v>
      </c>
      <c r="X140" s="1648">
        <f t="shared" si="328"/>
        <v>-2.7624309392265234E-2</v>
      </c>
      <c r="Y140" s="1648">
        <f t="shared" si="328"/>
        <v>-1.1363636363636576E-2</v>
      </c>
      <c r="Z140" s="1648">
        <f t="shared" si="328"/>
        <v>2.8735632183908066E-2</v>
      </c>
      <c r="AA140" s="1648">
        <f t="shared" si="328"/>
        <v>2.2346368715083997E-2</v>
      </c>
      <c r="AB140" s="1648">
        <f>AB139/AA139-1</f>
        <v>-3.8251366120218733E-2</v>
      </c>
      <c r="AC140" s="1648">
        <f>AC139/AB139-1</f>
        <v>1.7045454545454586E-2</v>
      </c>
      <c r="AD140" s="1648">
        <f>AD139/AC139-1</f>
        <v>2.2346368715083553E-2</v>
      </c>
      <c r="AE140" s="1089">
        <f>AE139/AD139-1</f>
        <v>1.0928961748633892E-2</v>
      </c>
      <c r="AF140" s="1089">
        <f t="shared" ref="AF140" si="329">AF139/AE139-1</f>
        <v>1.297297297297284E-2</v>
      </c>
      <c r="AG140" s="1089">
        <f>AG139/AF139-1</f>
        <v>1.2806830309498363E-2</v>
      </c>
      <c r="AH140" s="1648">
        <f>AH139/AG139-1</f>
        <v>8.4299262381455353E-3</v>
      </c>
      <c r="AI140" s="1090"/>
      <c r="AJ140" s="1094"/>
      <c r="AK140" s="1079"/>
      <c r="AL140" s="1683"/>
      <c r="AM140" s="1091"/>
    </row>
    <row r="141" spans="1:39">
      <c r="A141" s="1651"/>
      <c r="B141" s="1651"/>
      <c r="C141" s="1651"/>
      <c r="D141" s="1651"/>
      <c r="E141" s="1651"/>
      <c r="F141" s="1651"/>
      <c r="G141" s="1651"/>
      <c r="H141" s="1651"/>
      <c r="I141" s="1651"/>
      <c r="J141" s="1651"/>
      <c r="K141" s="1651"/>
      <c r="L141" s="1651"/>
      <c r="M141" s="1651"/>
      <c r="N141" s="1651"/>
      <c r="O141" s="1651"/>
      <c r="P141" s="1069"/>
      <c r="Q141" s="1069"/>
      <c r="R141" s="1069"/>
      <c r="S141" s="1651"/>
      <c r="T141" s="1651"/>
      <c r="U141" s="1651"/>
      <c r="V141" s="1651"/>
      <c r="W141" s="1651"/>
      <c r="X141" s="1651"/>
      <c r="Y141" s="1651"/>
      <c r="Z141" s="1651"/>
      <c r="AA141" s="1651"/>
      <c r="AB141" s="1651"/>
      <c r="AC141" s="1651"/>
      <c r="AD141" s="1651"/>
      <c r="AE141" s="1069"/>
      <c r="AF141" s="1069"/>
      <c r="AG141" s="1069"/>
      <c r="AH141" s="1651"/>
      <c r="AI141" s="1090"/>
      <c r="AJ141" s="1094"/>
      <c r="AK141" s="1079"/>
      <c r="AL141" s="1683"/>
      <c r="AM141" s="1091"/>
    </row>
    <row r="142" spans="1:39">
      <c r="A142" s="2033" t="s">
        <v>504</v>
      </c>
      <c r="B142" s="1647"/>
      <c r="C142" s="1647"/>
      <c r="D142" s="1647"/>
      <c r="E142" s="1647"/>
      <c r="F142" s="1647">
        <f t="shared" ref="F142:AC142" si="330">F139/F129*1000000</f>
        <v>14983.050847457627</v>
      </c>
      <c r="G142" s="1647">
        <f t="shared" si="330"/>
        <v>15343.511450381677</v>
      </c>
      <c r="H142" s="1647">
        <f t="shared" si="330"/>
        <v>14989.637305699482</v>
      </c>
      <c r="I142" s="1647">
        <f t="shared" si="330"/>
        <v>15234.04255319149</v>
      </c>
      <c r="J142" s="1647">
        <f t="shared" si="330"/>
        <v>15861.809045226129</v>
      </c>
      <c r="K142" s="1647">
        <f t="shared" si="330"/>
        <v>17543.859649122805</v>
      </c>
      <c r="L142" s="1647">
        <f t="shared" si="330"/>
        <v>19669.669669669667</v>
      </c>
      <c r="M142" s="1647">
        <f t="shared" si="330"/>
        <v>20050.125313283206</v>
      </c>
      <c r="N142" s="1647">
        <f t="shared" si="330"/>
        <v>19952.494061757723</v>
      </c>
      <c r="O142" s="1647">
        <f t="shared" si="330"/>
        <v>19809.800000000003</v>
      </c>
      <c r="P142" s="1107">
        <f t="shared" si="330"/>
        <v>19460.067491563554</v>
      </c>
      <c r="Q142" s="1107">
        <f t="shared" si="330"/>
        <v>19186.6527632951</v>
      </c>
      <c r="R142" s="1107">
        <f t="shared" si="330"/>
        <v>19071.146245059288</v>
      </c>
      <c r="S142" s="1647">
        <f t="shared" si="330"/>
        <v>18885.741265344663</v>
      </c>
      <c r="T142" s="1647">
        <f t="shared" si="330"/>
        <v>18837.863167760075</v>
      </c>
      <c r="U142" s="1647">
        <f t="shared" si="330"/>
        <v>18768.046198267566</v>
      </c>
      <c r="V142" s="1647">
        <f t="shared" si="330"/>
        <v>18500.486854917235</v>
      </c>
      <c r="W142" s="1647">
        <f t="shared" si="330"/>
        <v>17814.960629921261</v>
      </c>
      <c r="X142" s="1647">
        <f t="shared" si="330"/>
        <v>17408.506429277943</v>
      </c>
      <c r="Y142" s="1647">
        <f t="shared" si="330"/>
        <v>17025.440313111543</v>
      </c>
      <c r="Z142" s="1647">
        <f t="shared" si="330"/>
        <v>16950.757575757572</v>
      </c>
      <c r="AA142" s="1647">
        <f t="shared" si="330"/>
        <v>16712.328767123287</v>
      </c>
      <c r="AB142" s="1647">
        <f>AB139/AB129*1000000</f>
        <v>16666.666666666664</v>
      </c>
      <c r="AC142" s="1647">
        <f t="shared" si="330"/>
        <v>16574.074074074073</v>
      </c>
      <c r="AD142" s="1647">
        <f>AD139/AD129*1000000</f>
        <v>16194.690265486721</v>
      </c>
      <c r="AE142" s="1107">
        <f>AE139/AE129*1000000</f>
        <v>16017.31601731601</v>
      </c>
      <c r="AF142" s="1107">
        <f t="shared" ref="AF142:AH142" si="331">AF139/AF129*1000000</f>
        <v>15814.345991561175</v>
      </c>
      <c r="AG142" s="1107">
        <f t="shared" si="331"/>
        <v>15621.399176954725</v>
      </c>
      <c r="AH142" s="1647">
        <f t="shared" si="331"/>
        <v>15497.975708502016</v>
      </c>
      <c r="AI142" s="1100"/>
      <c r="AJ142" s="1094"/>
      <c r="AK142" s="1128"/>
      <c r="AL142" s="1683"/>
      <c r="AM142" s="1101"/>
    </row>
    <row r="143" spans="1:39">
      <c r="A143" s="2033" t="s">
        <v>490</v>
      </c>
      <c r="B143" s="1650"/>
      <c r="C143" s="1650"/>
      <c r="D143" s="1650"/>
      <c r="E143" s="1650"/>
      <c r="F143" s="1650"/>
      <c r="G143" s="1650">
        <f t="shared" ref="G143:AA143" si="332">G142/F142-1</f>
        <v>2.4057890919139124E-2</v>
      </c>
      <c r="H143" s="1650">
        <f t="shared" si="332"/>
        <v>-2.3063439280282316E-2</v>
      </c>
      <c r="I143" s="1650">
        <f t="shared" si="332"/>
        <v>1.6304947378485091E-2</v>
      </c>
      <c r="J143" s="1650">
        <f t="shared" si="332"/>
        <v>4.1208135650318445E-2</v>
      </c>
      <c r="K143" s="1650">
        <f t="shared" si="332"/>
        <v>0.10604405834799246</v>
      </c>
      <c r="L143" s="1650">
        <f t="shared" si="332"/>
        <v>0.12117117117117115</v>
      </c>
      <c r="M143" s="1650">
        <f t="shared" si="332"/>
        <v>1.9342248751650137E-2</v>
      </c>
      <c r="N143" s="1650">
        <f t="shared" si="332"/>
        <v>-4.8693586698335123E-3</v>
      </c>
      <c r="O143" s="1650">
        <f t="shared" si="332"/>
        <v>-7.1516904761904643E-3</v>
      </c>
      <c r="P143" s="1103">
        <f t="shared" si="332"/>
        <v>-1.7654519906129762E-2</v>
      </c>
      <c r="Q143" s="1103">
        <f t="shared" si="332"/>
        <v>-1.4050040082696835E-2</v>
      </c>
      <c r="R143" s="1103">
        <f t="shared" si="332"/>
        <v>-6.0201495102252256E-3</v>
      </c>
      <c r="S143" s="1650">
        <f t="shared" si="332"/>
        <v>-9.7217533404767575E-3</v>
      </c>
      <c r="T143" s="1650">
        <f t="shared" si="332"/>
        <v>-2.5351452671038555E-3</v>
      </c>
      <c r="U143" s="1650">
        <f t="shared" si="332"/>
        <v>-3.7062043009207235E-3</v>
      </c>
      <c r="V143" s="1650">
        <f t="shared" si="332"/>
        <v>-1.425611065338428E-2</v>
      </c>
      <c r="W143" s="1650">
        <f t="shared" si="332"/>
        <v>-3.705449647741399E-2</v>
      </c>
      <c r="X143" s="1650">
        <f t="shared" si="332"/>
        <v>-2.281532971566913E-2</v>
      </c>
      <c r="Y143" s="1650">
        <f t="shared" si="332"/>
        <v>-2.2004536559331211E-2</v>
      </c>
      <c r="Z143" s="1650">
        <f t="shared" si="332"/>
        <v>-4.3865377917102766E-3</v>
      </c>
      <c r="AA143" s="1650">
        <f t="shared" si="332"/>
        <v>-1.4065967704905313E-2</v>
      </c>
      <c r="AB143" s="1650">
        <f>AB142/AA142-1</f>
        <v>-2.732240437158584E-3</v>
      </c>
      <c r="AC143" s="1650">
        <f>AC142/AB142-1</f>
        <v>-5.5555555555554248E-3</v>
      </c>
      <c r="AD143" s="1650">
        <f>AD142/AC142-1</f>
        <v>-2.2890196272309482E-2</v>
      </c>
      <c r="AE143" s="1103">
        <f>AE142/AD142-1</f>
        <v>-1.0952617509994655E-2</v>
      </c>
      <c r="AF143" s="1103">
        <f t="shared" ref="AF143" si="333">AF142/AE142-1</f>
        <v>-1.2671912418747877E-2</v>
      </c>
      <c r="AG143" s="1103">
        <f>AG142/AF142-1</f>
        <v>-1.2200745747526276E-2</v>
      </c>
      <c r="AH143" s="1650">
        <f>AH142/AG142-1</f>
        <v>-7.9009227697598439E-3</v>
      </c>
      <c r="AI143" s="1090"/>
      <c r="AJ143" s="1094"/>
      <c r="AK143" s="1079"/>
      <c r="AL143" s="1683"/>
      <c r="AM143" s="1091"/>
    </row>
    <row r="144" spans="1:39">
      <c r="A144" s="1651"/>
      <c r="B144" s="1651"/>
      <c r="C144" s="1651"/>
      <c r="D144" s="1651"/>
      <c r="E144" s="1651"/>
      <c r="F144" s="1651"/>
      <c r="G144" s="1651"/>
      <c r="H144" s="1651"/>
      <c r="I144" s="1651"/>
      <c r="J144" s="1651"/>
      <c r="K144" s="1651"/>
      <c r="L144" s="1651"/>
      <c r="M144" s="1651"/>
      <c r="N144" s="1651"/>
      <c r="O144" s="1651"/>
      <c r="P144" s="1069"/>
      <c r="Q144" s="1069"/>
      <c r="R144" s="1069"/>
      <c r="S144" s="1651"/>
      <c r="T144" s="1651"/>
      <c r="U144" s="1651"/>
      <c r="V144" s="1651"/>
      <c r="W144" s="1651"/>
      <c r="X144" s="1651"/>
      <c r="Y144" s="1651"/>
      <c r="Z144" s="1651"/>
      <c r="AA144" s="1651"/>
      <c r="AB144" s="1651"/>
      <c r="AC144" s="1651"/>
      <c r="AD144" s="1651"/>
      <c r="AE144" s="1069"/>
      <c r="AF144" s="1069"/>
      <c r="AG144" s="1069"/>
      <c r="AH144" s="1651"/>
      <c r="AI144" s="1090"/>
      <c r="AJ144" s="1094"/>
      <c r="AK144" s="1079"/>
      <c r="AL144" s="1683"/>
      <c r="AM144" s="1091"/>
    </row>
    <row r="145" spans="1:42">
      <c r="A145" s="2033" t="s">
        <v>63</v>
      </c>
      <c r="B145" s="1640"/>
      <c r="C145" s="1640"/>
      <c r="D145" s="1640"/>
      <c r="E145" s="1640"/>
      <c r="F145" s="1640">
        <f t="shared" ref="F145:AC145" si="334">+F122/F136</f>
        <v>260.18099547511309</v>
      </c>
      <c r="G145" s="1640">
        <f t="shared" si="334"/>
        <v>290.25570145127853</v>
      </c>
      <c r="H145" s="1640">
        <f t="shared" si="334"/>
        <v>330.40995308994496</v>
      </c>
      <c r="I145" s="1640">
        <f t="shared" si="334"/>
        <v>356.09959660592574</v>
      </c>
      <c r="J145" s="1640">
        <f t="shared" si="334"/>
        <v>433.40559901970028</v>
      </c>
      <c r="K145" s="1640">
        <f t="shared" si="334"/>
        <v>509.37112257558942</v>
      </c>
      <c r="L145" s="1640">
        <f t="shared" si="334"/>
        <v>428.05429864253392</v>
      </c>
      <c r="M145" s="1640">
        <f t="shared" si="334"/>
        <v>351.95876288659792</v>
      </c>
      <c r="N145" s="1640">
        <f t="shared" si="334"/>
        <v>353.90243902439028</v>
      </c>
      <c r="O145" s="1640">
        <f t="shared" si="334"/>
        <v>386.12172307895469</v>
      </c>
      <c r="P145" s="1093">
        <f t="shared" si="334"/>
        <v>397.58125401146344</v>
      </c>
      <c r="Q145" s="1093">
        <f t="shared" si="334"/>
        <v>384.08963585434168</v>
      </c>
      <c r="R145" s="1093">
        <f t="shared" si="334"/>
        <v>362.28116710875327</v>
      </c>
      <c r="S145" s="1640">
        <f t="shared" si="334"/>
        <v>339.18575063613235</v>
      </c>
      <c r="T145" s="1640">
        <f t="shared" si="334"/>
        <v>284.63840399002493</v>
      </c>
      <c r="U145" s="1640">
        <f t="shared" si="334"/>
        <v>293.33333333333331</v>
      </c>
      <c r="V145" s="1640">
        <f t="shared" si="334"/>
        <v>306.75324675324674</v>
      </c>
      <c r="W145" s="1640">
        <f t="shared" si="334"/>
        <v>305.87601078167114</v>
      </c>
      <c r="X145" s="1640">
        <f t="shared" si="334"/>
        <v>342.40896358543415</v>
      </c>
      <c r="Y145" s="1640">
        <f>+Y122/Y136</f>
        <v>357.54285714285714</v>
      </c>
      <c r="Z145" s="1640">
        <f t="shared" si="334"/>
        <v>375.01416430594907</v>
      </c>
      <c r="AA145" s="1640">
        <f t="shared" si="334"/>
        <v>368.7845303867403</v>
      </c>
      <c r="AB145" s="1640">
        <f>+AB122/AB136</f>
        <v>379.61002785515319</v>
      </c>
      <c r="AC145" s="1640">
        <f t="shared" si="334"/>
        <v>407.77464788732397</v>
      </c>
      <c r="AD145" s="1640">
        <f>+AD122/AD136</f>
        <v>418.72643666024044</v>
      </c>
      <c r="AE145" s="1093">
        <f>+AE122/AE136</f>
        <v>418.02204557765276</v>
      </c>
      <c r="AF145" s="1093">
        <f t="shared" ref="AF145:AH145" si="335">+AF122/AF136</f>
        <v>419.25022728255664</v>
      </c>
      <c r="AG145" s="1093">
        <f t="shared" si="335"/>
        <v>420.06686538964152</v>
      </c>
      <c r="AH145" s="1640">
        <f t="shared" si="335"/>
        <v>421.14712916191712</v>
      </c>
      <c r="AI145" s="1090"/>
      <c r="AJ145" s="1094">
        <f>((AB145/W145)^(1/5)-1)*100</f>
        <v>4.4139322674431547</v>
      </c>
      <c r="AK145" s="1110" t="s">
        <v>489</v>
      </c>
      <c r="AL145" s="1683">
        <f>((AH145/AB145)^(1/6)-1)*100</f>
        <v>1.7456915685256869</v>
      </c>
      <c r="AM145" s="1091" t="s">
        <v>489</v>
      </c>
    </row>
    <row r="146" spans="1:42">
      <c r="A146" s="2033" t="s">
        <v>490</v>
      </c>
      <c r="B146" s="1650"/>
      <c r="C146" s="1650"/>
      <c r="D146" s="1650"/>
      <c r="E146" s="1650"/>
      <c r="F146" s="1650"/>
      <c r="G146" s="1650">
        <f t="shared" ref="G146:AA146" si="336">G145/F145-1</f>
        <v>0.11559147862143582</v>
      </c>
      <c r="H146" s="1650">
        <f t="shared" si="336"/>
        <v>0.13834095743131036</v>
      </c>
      <c r="I146" s="1650">
        <f t="shared" si="336"/>
        <v>7.7750816147440505E-2</v>
      </c>
      <c r="J146" s="1650">
        <f t="shared" si="336"/>
        <v>0.21709095755961916</v>
      </c>
      <c r="K146" s="1650">
        <f t="shared" si="336"/>
        <v>0.17527582414189391</v>
      </c>
      <c r="L146" s="1650">
        <f t="shared" si="336"/>
        <v>-0.15964160575472808</v>
      </c>
      <c r="M146" s="1650">
        <f t="shared" si="336"/>
        <v>-0.17777075477866655</v>
      </c>
      <c r="N146" s="1650">
        <f t="shared" si="336"/>
        <v>5.5224541700602536E-3</v>
      </c>
      <c r="O146" s="1650">
        <f t="shared" si="336"/>
        <v>9.1040016970168169E-2</v>
      </c>
      <c r="P146" s="1103">
        <f t="shared" si="336"/>
        <v>2.9678544996458278E-2</v>
      </c>
      <c r="Q146" s="1103">
        <f t="shared" si="336"/>
        <v>-3.3934241167046464E-2</v>
      </c>
      <c r="R146" s="1103">
        <f t="shared" si="336"/>
        <v>-5.6779633475605773E-2</v>
      </c>
      <c r="S146" s="1650">
        <f t="shared" si="336"/>
        <v>-6.374997810937244E-2</v>
      </c>
      <c r="T146" s="1650">
        <f t="shared" si="336"/>
        <v>-0.1608185088666183</v>
      </c>
      <c r="U146" s="1650">
        <f t="shared" si="336"/>
        <v>3.0547281116757086E-2</v>
      </c>
      <c r="V146" s="1650">
        <f t="shared" si="336"/>
        <v>4.5749704840613914E-2</v>
      </c>
      <c r="W146" s="1650">
        <f t="shared" si="336"/>
        <v>-2.8597446998865905E-3</v>
      </c>
      <c r="X146" s="1650">
        <f t="shared" si="336"/>
        <v>0.11943712980433618</v>
      </c>
      <c r="Y146" s="1650">
        <f t="shared" si="336"/>
        <v>4.4198298429319438E-2</v>
      </c>
      <c r="Z146" s="1650">
        <f t="shared" si="336"/>
        <v>4.8864931333563844E-2</v>
      </c>
      <c r="AA146" s="1650">
        <f t="shared" si="336"/>
        <v>-1.6611729668233099E-2</v>
      </c>
      <c r="AB146" s="1650">
        <f>AB145/AA145-1</f>
        <v>2.9354532461164595E-2</v>
      </c>
      <c r="AC146" s="1650">
        <f>AC145/AB145-1</f>
        <v>7.4193561722551316E-2</v>
      </c>
      <c r="AD146" s="1650">
        <f>AD145/AC145-1</f>
        <v>2.6857453815870125E-2</v>
      </c>
      <c r="AE146" s="1103">
        <f>AE145/AD145-1</f>
        <v>-1.6822226181988365E-3</v>
      </c>
      <c r="AF146" s="1103">
        <f t="shared" ref="AF146" si="337">AF145/AE145-1</f>
        <v>2.9380787877029135E-3</v>
      </c>
      <c r="AG146" s="1103">
        <f>AG145/AF145-1</f>
        <v>1.9478537015424902E-3</v>
      </c>
      <c r="AH146" s="1650">
        <f>AH145/AG145-1</f>
        <v>2.5716471859154044E-3</v>
      </c>
      <c r="AI146" s="1090"/>
      <c r="AJ146" s="1077"/>
      <c r="AK146" s="1079"/>
      <c r="AL146" s="1664"/>
      <c r="AM146" s="1091"/>
    </row>
    <row r="147" spans="1:42">
      <c r="A147" s="1651"/>
      <c r="B147" s="1651"/>
      <c r="C147" s="1651"/>
      <c r="D147" s="1651"/>
      <c r="E147" s="1651"/>
      <c r="F147" s="1651"/>
      <c r="G147" s="1651"/>
      <c r="H147" s="1651"/>
      <c r="I147" s="1651"/>
      <c r="J147" s="1651"/>
      <c r="K147" s="1651"/>
      <c r="L147" s="1651"/>
      <c r="M147" s="1651"/>
      <c r="N147" s="1831"/>
      <c r="O147" s="1651"/>
      <c r="P147" s="1131"/>
      <c r="Q147" s="1651"/>
      <c r="R147" s="1651"/>
      <c r="S147" s="1651"/>
      <c r="T147" s="1651"/>
      <c r="U147" s="1651"/>
      <c r="V147" s="1651"/>
      <c r="W147" s="1651"/>
      <c r="X147" s="1651"/>
      <c r="Y147" s="1651"/>
      <c r="Z147" s="1651"/>
      <c r="AA147" s="1651"/>
      <c r="AB147" s="1651"/>
      <c r="AC147" s="1651"/>
      <c r="AD147" s="1651"/>
      <c r="AE147" s="1069"/>
      <c r="AF147" s="1069"/>
      <c r="AG147" s="1069"/>
      <c r="AH147" s="1651"/>
      <c r="AI147" s="1090"/>
      <c r="AJ147" s="1077"/>
      <c r="AK147" s="1079"/>
      <c r="AL147" s="1664"/>
      <c r="AM147" s="1091"/>
    </row>
    <row r="148" spans="1:42">
      <c r="A148" s="2033" t="s">
        <v>506</v>
      </c>
      <c r="B148" s="1650"/>
      <c r="C148" s="1650"/>
      <c r="D148" s="1650"/>
      <c r="E148" s="1650"/>
      <c r="F148" s="1650"/>
      <c r="G148" s="1650"/>
      <c r="H148" s="1831"/>
      <c r="I148" s="1831"/>
      <c r="J148" s="1831" t="s">
        <v>122</v>
      </c>
      <c r="K148" s="1831">
        <f>segQtrSales!F66/100</f>
        <v>0.14000000000000001</v>
      </c>
      <c r="L148" s="1831">
        <f>segQtrSales!F73/100</f>
        <v>-0.11</v>
      </c>
      <c r="M148" s="1831">
        <f>segQtrSales!F80/100</f>
        <v>-0.16</v>
      </c>
      <c r="N148" s="1831">
        <f>segQtrSales!F87/100</f>
        <v>0.01</v>
      </c>
      <c r="O148" s="1831">
        <f>segQtrSales!F94/100</f>
        <v>0.08</v>
      </c>
      <c r="P148" s="1132">
        <f>segQtrSales!F101/100</f>
        <v>0</v>
      </c>
      <c r="Q148" s="2016">
        <f>segQtrSales!F108/100</f>
        <v>-5.5516336056009336E-2</v>
      </c>
      <c r="R148" s="1650">
        <f>segQtrSales!F115/100</f>
        <v>-7.992824718113925E-2</v>
      </c>
      <c r="S148" s="1650">
        <f>segQtrSales!F122/100</f>
        <v>-6.6813203300825214E-2</v>
      </c>
      <c r="T148" s="1650">
        <f>segQtrSales!F129/100</f>
        <v>-0.17223623853211009</v>
      </c>
      <c r="U148" s="1650">
        <f>segQtrSales!F136/100</f>
        <v>2.9913776944704779E-2</v>
      </c>
      <c r="V148" s="1650">
        <f>segQtrSales!F143/100</f>
        <v>2.6814966492926286E-2</v>
      </c>
      <c r="W148" s="1650">
        <f>segQtrSales!F150/100</f>
        <v>-0.03</v>
      </c>
      <c r="X148" s="1650">
        <f>segQtrSales!F157/100</f>
        <v>0.06</v>
      </c>
      <c r="Y148" s="1650">
        <f>segQtrSales!F164/100</f>
        <v>0.02</v>
      </c>
      <c r="Z148" s="1650">
        <f>segQtrSales!F171/100</f>
        <v>0.05</v>
      </c>
      <c r="AA148" s="1650">
        <f>segQtrSales!F178/100</f>
        <v>0</v>
      </c>
      <c r="AB148" s="1650">
        <f>segQtrSales!F185/100</f>
        <v>0.01</v>
      </c>
      <c r="AC148" s="1650">
        <f>segQtrSales!F192/100</f>
        <v>0.06</v>
      </c>
      <c r="AD148" s="1660">
        <f>segQtrSales!F199/100</f>
        <v>1.9844826047940876E-2</v>
      </c>
      <c r="AE148" s="1134">
        <v>0.01</v>
      </c>
      <c r="AF148" s="1134">
        <v>0.01</v>
      </c>
      <c r="AG148" s="1134">
        <v>0.01</v>
      </c>
      <c r="AH148" s="1660">
        <v>0.01</v>
      </c>
      <c r="AI148" s="1108"/>
      <c r="AJ148" s="1077"/>
      <c r="AK148" s="1079"/>
      <c r="AL148" s="1664"/>
      <c r="AM148" s="1091"/>
    </row>
    <row r="149" spans="1:42">
      <c r="A149" s="2033" t="s">
        <v>152</v>
      </c>
      <c r="B149" s="1650"/>
      <c r="C149" s="1650"/>
      <c r="D149" s="1650"/>
      <c r="E149" s="1650"/>
      <c r="F149" s="1650"/>
      <c r="G149" s="1650"/>
      <c r="H149" s="1831"/>
      <c r="I149" s="1831"/>
      <c r="J149" s="1831"/>
      <c r="K149" s="2016">
        <f t="shared" ref="K149:AH149" si="338">+K123-K148</f>
        <v>0.5563897346672465</v>
      </c>
      <c r="L149" s="2016">
        <f t="shared" si="338"/>
        <v>0.32282051282051272</v>
      </c>
      <c r="M149" s="2016">
        <f t="shared" si="338"/>
        <v>0.24266384778012692</v>
      </c>
      <c r="N149" s="2016">
        <f t="shared" si="338"/>
        <v>0.12337238820542874</v>
      </c>
      <c r="O149" s="2016">
        <f t="shared" si="338"/>
        <v>3.2336319779462455E-2</v>
      </c>
      <c r="P149" s="1133">
        <f t="shared" si="338"/>
        <v>4.5074349442379091E-2</v>
      </c>
      <c r="Q149" s="1133">
        <f t="shared" si="338"/>
        <v>7.1671664350065861E-2</v>
      </c>
      <c r="R149" s="1133">
        <f t="shared" si="338"/>
        <v>7.5990090821746042E-2</v>
      </c>
      <c r="S149" s="2016">
        <f t="shared" si="338"/>
        <v>4.279797413110778E-2</v>
      </c>
      <c r="T149" s="2016">
        <f t="shared" si="338"/>
        <v>2.8500304548614269E-2</v>
      </c>
      <c r="U149" s="2016">
        <f t="shared" si="338"/>
        <v>-1.2216212550101652E-2</v>
      </c>
      <c r="V149" s="2016">
        <f t="shared" si="338"/>
        <v>-1.0113864564551579E-2</v>
      </c>
      <c r="W149" s="2016">
        <f t="shared" si="338"/>
        <v>-9.1193903471633864E-3</v>
      </c>
      <c r="X149" s="2016">
        <f t="shared" si="338"/>
        <v>1.7194219245682041E-2</v>
      </c>
      <c r="Y149" s="2016">
        <f t="shared" si="338"/>
        <v>3.7238219895288256E-3</v>
      </c>
      <c r="Z149" s="2016">
        <f t="shared" si="338"/>
        <v>7.8552021735656535E-3</v>
      </c>
      <c r="AA149" s="2016">
        <f t="shared" si="338"/>
        <v>8.4604925215290283E-3</v>
      </c>
      <c r="AB149" s="2016">
        <f t="shared" si="338"/>
        <v>1.0823970037453287E-2</v>
      </c>
      <c r="AC149" s="2016">
        <f t="shared" si="338"/>
        <v>2.2248312298210338E-3</v>
      </c>
      <c r="AD149" s="1660">
        <f t="shared" si="338"/>
        <v>2.7260521223453162E-2</v>
      </c>
      <c r="AE149" s="1660">
        <f t="shared" si="338"/>
        <v>4.8644808743170207E-3</v>
      </c>
      <c r="AF149" s="1660">
        <f t="shared" si="338"/>
        <v>4.9297297297297236E-3</v>
      </c>
      <c r="AG149" s="1660">
        <f t="shared" si="338"/>
        <v>4.862326574172746E-3</v>
      </c>
      <c r="AH149" s="1660">
        <f t="shared" si="338"/>
        <v>3.2033719704953698E-3</v>
      </c>
      <c r="AI149" s="1108"/>
      <c r="AJ149" s="1077"/>
      <c r="AK149" s="1079"/>
      <c r="AL149" s="1664"/>
      <c r="AM149" s="1091"/>
      <c r="AO149" s="1098"/>
    </row>
    <row r="150" spans="1:42">
      <c r="A150" s="1651"/>
      <c r="B150" s="1651"/>
      <c r="C150" s="1651"/>
      <c r="D150" s="1651"/>
      <c r="E150" s="1651"/>
      <c r="F150" s="1651"/>
      <c r="G150" s="1651"/>
      <c r="H150" s="1651"/>
      <c r="I150" s="1651"/>
      <c r="J150" s="1651"/>
      <c r="K150" s="1651"/>
      <c r="L150" s="1651"/>
      <c r="M150" s="1651"/>
      <c r="N150" s="1651"/>
      <c r="O150" s="1651"/>
      <c r="P150" s="1069"/>
      <c r="Q150" s="1069"/>
      <c r="R150" s="1069"/>
      <c r="S150" s="1651"/>
      <c r="T150" s="1651"/>
      <c r="U150" s="1651"/>
      <c r="V150" s="1651"/>
      <c r="W150" s="1651"/>
      <c r="X150" s="1651"/>
      <c r="Y150" s="1651"/>
      <c r="Z150" s="1651"/>
      <c r="AA150" s="1651"/>
      <c r="AB150" s="1651"/>
      <c r="AC150" s="1651"/>
      <c r="AD150" s="1651"/>
      <c r="AE150" s="1069"/>
      <c r="AF150" s="1069"/>
      <c r="AG150" s="1069"/>
      <c r="AH150" s="1651"/>
      <c r="AI150" s="1090"/>
      <c r="AJ150" s="1077"/>
      <c r="AK150" s="1079"/>
      <c r="AL150" s="1664"/>
      <c r="AM150" s="1091"/>
      <c r="AO150" s="1099"/>
    </row>
    <row r="151" spans="1:42">
      <c r="A151" s="2033" t="s">
        <v>658</v>
      </c>
      <c r="B151" s="1647"/>
      <c r="C151" s="1647"/>
      <c r="D151" s="1647"/>
      <c r="E151" s="1647"/>
      <c r="F151" s="1647"/>
      <c r="G151" s="1647">
        <f t="shared" ref="G151:L151" si="339">+(G139-F139)*1000000/(G129-G126)</f>
        <v>15638.888888888889</v>
      </c>
      <c r="H151" s="1647">
        <f t="shared" si="339"/>
        <v>14241.935483870968</v>
      </c>
      <c r="I151" s="1647">
        <f t="shared" si="339"/>
        <v>15764.04494382023</v>
      </c>
      <c r="J151" s="1647">
        <f t="shared" si="339"/>
        <v>17387.931034482754</v>
      </c>
      <c r="K151" s="1647">
        <f t="shared" si="339"/>
        <v>23365.217391304352</v>
      </c>
      <c r="L151" s="1647">
        <f t="shared" si="339"/>
        <v>26797.385620915029</v>
      </c>
      <c r="M151" s="1647">
        <v>21969.696969696968</v>
      </c>
      <c r="N151" s="1647">
        <v>18181.818181818184</v>
      </c>
      <c r="O151" s="1647">
        <v>79884.000000000015</v>
      </c>
      <c r="P151" s="1107">
        <v>13464.653061224491</v>
      </c>
      <c r="Q151" s="1966">
        <v>15714.285714285714</v>
      </c>
      <c r="R151" s="1966">
        <v>16981.132075471698</v>
      </c>
      <c r="S151" s="1647">
        <v>14893.617021276596</v>
      </c>
      <c r="T151" s="1647">
        <v>12500</v>
      </c>
      <c r="U151" s="1647">
        <v>21428.571428571428</v>
      </c>
      <c r="V151" s="1647">
        <v>41666.666666666664</v>
      </c>
      <c r="W151" s="1647">
        <v>81818.181818181809</v>
      </c>
      <c r="X151" s="1647">
        <v>83333.333333333328</v>
      </c>
      <c r="Y151" s="1647">
        <v>66666.666666666672</v>
      </c>
      <c r="Z151" s="1647">
        <v>0</v>
      </c>
      <c r="AA151" s="1647">
        <v>5882.3529411764712</v>
      </c>
      <c r="AB151" s="1647">
        <v>7692.3076923076924</v>
      </c>
      <c r="AC151" s="1647">
        <v>8000</v>
      </c>
      <c r="AD151" s="1655">
        <f>AC151</f>
        <v>8000</v>
      </c>
      <c r="AE151" s="1149">
        <f>AD151</f>
        <v>8000</v>
      </c>
      <c r="AF151" s="1149">
        <f t="shared" ref="AF151" si="340">AE151</f>
        <v>8000</v>
      </c>
      <c r="AG151" s="1149">
        <f>AF151</f>
        <v>8000</v>
      </c>
      <c r="AH151" s="1655">
        <f>AG151</f>
        <v>8000</v>
      </c>
      <c r="AI151" s="1100"/>
      <c r="AJ151" s="1135"/>
      <c r="AK151" s="1128"/>
      <c r="AL151" s="1664"/>
      <c r="AM151" s="1091"/>
    </row>
    <row r="152" spans="1:42">
      <c r="A152" s="1651"/>
      <c r="B152" s="1651"/>
      <c r="C152" s="1651"/>
      <c r="D152" s="1651"/>
      <c r="E152" s="1651"/>
      <c r="F152" s="1651"/>
      <c r="G152" s="1651"/>
      <c r="H152" s="1651"/>
      <c r="I152" s="1651"/>
      <c r="J152" s="1651"/>
      <c r="K152" s="1651"/>
      <c r="L152" s="1651"/>
      <c r="M152" s="1651"/>
      <c r="N152" s="1651"/>
      <c r="O152" s="1651"/>
      <c r="P152" s="1069"/>
      <c r="Q152" s="1069"/>
      <c r="R152" s="1069"/>
      <c r="S152" s="1651"/>
      <c r="T152" s="1651"/>
      <c r="U152" s="1651"/>
      <c r="V152" s="1651"/>
      <c r="W152" s="1651"/>
      <c r="X152" s="1651"/>
      <c r="Y152" s="1651"/>
      <c r="Z152" s="1651"/>
      <c r="AA152" s="1651"/>
      <c r="AB152" s="1651"/>
      <c r="AC152" s="1651"/>
      <c r="AD152" s="1651"/>
      <c r="AE152" s="1069"/>
      <c r="AF152" s="1069"/>
      <c r="AG152" s="1069"/>
      <c r="AH152" s="1651"/>
      <c r="AI152" s="1090"/>
      <c r="AJ152" s="1077"/>
      <c r="AK152" s="1079"/>
      <c r="AL152" s="1664"/>
      <c r="AM152" s="1091"/>
      <c r="AO152" s="1099"/>
    </row>
    <row r="153" spans="1:42">
      <c r="A153" s="2033" t="s">
        <v>507</v>
      </c>
      <c r="B153" s="1648"/>
      <c r="C153" s="1648"/>
      <c r="D153" s="1648"/>
      <c r="E153" s="1648"/>
      <c r="F153" s="1648"/>
      <c r="G153" s="1648"/>
      <c r="H153" s="1648"/>
      <c r="I153" s="1648"/>
      <c r="J153" s="1648"/>
      <c r="K153" s="1661">
        <f t="shared" ref="K153:X153" si="341">K149/K137</f>
        <v>1.2548339062680314</v>
      </c>
      <c r="L153" s="1661">
        <f t="shared" si="341"/>
        <v>0.72835575553565757</v>
      </c>
      <c r="M153" s="1661">
        <f t="shared" si="341"/>
        <v>0.76612443370582928</v>
      </c>
      <c r="N153" s="1661">
        <f t="shared" si="341"/>
        <v>0.97030716129134675</v>
      </c>
      <c r="O153" s="1661">
        <f t="shared" si="341"/>
        <v>1.6566358581988456</v>
      </c>
      <c r="P153" s="1109">
        <f t="shared" si="341"/>
        <v>3.0145934052044496</v>
      </c>
      <c r="Q153" s="1109">
        <f t="shared" si="341"/>
        <v>1.3823145527520437</v>
      </c>
      <c r="R153" s="1109">
        <f t="shared" si="341"/>
        <v>1.3564231211681663</v>
      </c>
      <c r="S153" s="1661">
        <f t="shared" si="341"/>
        <v>1.0084272654642299</v>
      </c>
      <c r="T153" s="1661">
        <f t="shared" si="341"/>
        <v>1.4000774609506634</v>
      </c>
      <c r="U153" s="1661">
        <f t="shared" si="341"/>
        <v>0.9797402465181525</v>
      </c>
      <c r="V153" s="1661">
        <f t="shared" si="341"/>
        <v>0.36409912432385672</v>
      </c>
      <c r="W153" s="1661">
        <f t="shared" si="341"/>
        <v>0.25078323454699303</v>
      </c>
      <c r="X153" s="1661">
        <f t="shared" si="341"/>
        <v>-0.45564681001057417</v>
      </c>
      <c r="Y153" s="1661">
        <f>Y149/Y137</f>
        <v>-0.18991492146596969</v>
      </c>
      <c r="Z153" s="1661">
        <f>Z149/Z137</f>
        <v>0.91644025358267234</v>
      </c>
      <c r="AA153" s="1661">
        <f>IF(ISERROR(AA149/AA137),"nm",(AA149/AA137))</f>
        <v>0.33183931778885928</v>
      </c>
      <c r="AB153" s="1661">
        <f>IF(ISERROR(AB149/AB137),"nm",(AB149/AB137))</f>
        <v>-1.3060923845193404</v>
      </c>
      <c r="AC153" s="1661">
        <f>IF(ISERROR(AC149/AC137),"nm",(AC149/AC137))</f>
        <v>-0.19967860287643879</v>
      </c>
      <c r="AD153" s="1661">
        <f>IF(ISERROR(AD149/AD137),"nm",(AD149/AD137))</f>
        <v>1.3824978620465707</v>
      </c>
      <c r="AE153" s="1134">
        <v>0.44510000000001082</v>
      </c>
      <c r="AF153" s="1134">
        <v>0.38</v>
      </c>
      <c r="AG153" s="1134">
        <v>0.37966666666666182</v>
      </c>
      <c r="AH153" s="1660">
        <v>0.38</v>
      </c>
      <c r="AI153" s="1111"/>
      <c r="AJ153" s="1074"/>
      <c r="AK153" s="1076"/>
      <c r="AL153" s="1662"/>
      <c r="AM153" s="1112"/>
      <c r="AO153" s="1098"/>
    </row>
    <row r="154" spans="1:42">
      <c r="A154" s="24"/>
      <c r="AK154" s="1136"/>
      <c r="AM154" s="1136"/>
      <c r="AP154" s="1148"/>
    </row>
    <row r="155" spans="1:42">
      <c r="A155" s="2045" t="s">
        <v>193</v>
      </c>
      <c r="B155" s="1651"/>
      <c r="C155" s="1651"/>
      <c r="D155" s="1651"/>
      <c r="E155" s="1651"/>
      <c r="F155" s="1651"/>
      <c r="G155" s="1651"/>
      <c r="H155" s="1651"/>
      <c r="I155" s="1651"/>
      <c r="J155" s="1651"/>
      <c r="K155" s="1651"/>
      <c r="L155" s="1651"/>
      <c r="M155" s="1651"/>
      <c r="N155" s="1651"/>
      <c r="O155" s="1651"/>
      <c r="P155" s="1122"/>
      <c r="Q155" s="1122"/>
      <c r="R155" s="1122"/>
      <c r="S155" s="1656"/>
      <c r="T155" s="1656"/>
      <c r="U155" s="1656"/>
      <c r="V155" s="1656"/>
      <c r="W155" s="1656"/>
      <c r="X155" s="1656"/>
      <c r="Y155" s="1656"/>
      <c r="Z155" s="1656"/>
      <c r="AA155" s="1656"/>
      <c r="AB155" s="1656"/>
      <c r="AC155" s="1656"/>
      <c r="AD155" s="1656"/>
      <c r="AE155" s="1122"/>
      <c r="AF155" s="1122"/>
      <c r="AG155" s="1122"/>
      <c r="AH155" s="1656"/>
      <c r="AI155" s="1069"/>
      <c r="AJ155" s="1069"/>
      <c r="AK155" s="1073"/>
      <c r="AL155" s="1651"/>
      <c r="AM155" s="1073"/>
    </row>
    <row r="156" spans="1:42">
      <c r="A156" s="2046" t="str">
        <f>A118</f>
        <v>Annual Sales Model, Fiscal 1997A-2022E</v>
      </c>
      <c r="B156" s="1662"/>
      <c r="C156" s="1662"/>
      <c r="D156" s="1662"/>
      <c r="E156" s="1662"/>
      <c r="F156" s="1662"/>
      <c r="G156" s="1662"/>
      <c r="H156" s="1662"/>
      <c r="I156" s="1662">
        <f t="shared" ref="I156:AH156" si="342">I5</f>
        <v>1997</v>
      </c>
      <c r="J156" s="1662">
        <f t="shared" si="342"/>
        <v>1998</v>
      </c>
      <c r="K156" s="1662">
        <f t="shared" si="342"/>
        <v>1999</v>
      </c>
      <c r="L156" s="1662">
        <f t="shared" si="342"/>
        <v>2000</v>
      </c>
      <c r="M156" s="1662">
        <f t="shared" si="342"/>
        <v>2001</v>
      </c>
      <c r="N156" s="1662">
        <f t="shared" si="342"/>
        <v>2002</v>
      </c>
      <c r="O156" s="1662">
        <f t="shared" si="342"/>
        <v>2003</v>
      </c>
      <c r="P156" s="1074">
        <f t="shared" si="342"/>
        <v>2004</v>
      </c>
      <c r="Q156" s="1074">
        <f t="shared" si="342"/>
        <v>2005</v>
      </c>
      <c r="R156" s="1074">
        <f t="shared" si="342"/>
        <v>2006</v>
      </c>
      <c r="S156" s="1662">
        <f t="shared" si="342"/>
        <v>2007</v>
      </c>
      <c r="T156" s="1662">
        <f t="shared" si="342"/>
        <v>2008</v>
      </c>
      <c r="U156" s="1662">
        <f t="shared" si="342"/>
        <v>2009</v>
      </c>
      <c r="V156" s="1662">
        <f t="shared" si="342"/>
        <v>2010</v>
      </c>
      <c r="W156" s="1662">
        <f t="shared" si="342"/>
        <v>2011</v>
      </c>
      <c r="X156" s="2076">
        <f t="shared" si="342"/>
        <v>2012</v>
      </c>
      <c r="Y156" s="2076">
        <f t="shared" si="342"/>
        <v>2013</v>
      </c>
      <c r="Z156" s="2076">
        <f t="shared" si="342"/>
        <v>2014</v>
      </c>
      <c r="AA156" s="2076">
        <f t="shared" si="342"/>
        <v>2015</v>
      </c>
      <c r="AB156" s="1639">
        <f t="shared" si="342"/>
        <v>2016</v>
      </c>
      <c r="AC156" s="1639">
        <f t="shared" si="342"/>
        <v>2017</v>
      </c>
      <c r="AD156" s="1639">
        <f t="shared" si="342"/>
        <v>2018</v>
      </c>
      <c r="AE156" s="1087">
        <f t="shared" si="342"/>
        <v>2019</v>
      </c>
      <c r="AF156" s="1087">
        <f t="shared" si="342"/>
        <v>2020</v>
      </c>
      <c r="AG156" s="1087">
        <f t="shared" si="342"/>
        <v>2021</v>
      </c>
      <c r="AH156" s="1639">
        <f t="shared" si="342"/>
        <v>2022</v>
      </c>
      <c r="AI156" s="1077"/>
      <c r="AJ156" s="1077"/>
      <c r="AK156" s="1079"/>
      <c r="AL156" s="1664"/>
      <c r="AM156" s="1079"/>
    </row>
    <row r="157" spans="1:42" hidden="1" outlineLevel="1">
      <c r="A157" s="2033" t="s">
        <v>373</v>
      </c>
      <c r="B157" s="1640"/>
      <c r="C157" s="1666"/>
      <c r="D157" s="1666"/>
      <c r="E157" s="1666"/>
      <c r="F157" s="1666"/>
      <c r="G157" s="1666"/>
      <c r="H157" s="1640"/>
      <c r="I157" s="1640"/>
      <c r="J157" s="1640"/>
      <c r="K157" s="1666"/>
      <c r="L157" s="1666"/>
      <c r="M157" s="1666"/>
      <c r="N157" s="1666"/>
      <c r="O157" s="1666"/>
      <c r="P157" s="1124"/>
      <c r="Q157" s="1093">
        <v>595</v>
      </c>
      <c r="R157" s="1093">
        <v>730</v>
      </c>
      <c r="S157" s="1640">
        <v>903</v>
      </c>
      <c r="T157" s="1640">
        <v>953</v>
      </c>
      <c r="U157" s="1640">
        <v>931</v>
      </c>
      <c r="V157" s="1640">
        <v>1053</v>
      </c>
      <c r="W157" s="1640">
        <v>1348</v>
      </c>
      <c r="X157" s="1640">
        <v>1767</v>
      </c>
      <c r="Y157" s="1640">
        <v>2262</v>
      </c>
      <c r="Z157" s="1640">
        <v>2503</v>
      </c>
      <c r="AA157" s="1640">
        <v>2516</v>
      </c>
      <c r="AB157" s="1640">
        <v>2610.0500000000002</v>
      </c>
      <c r="AC157" s="1640">
        <v>2740.5524999999998</v>
      </c>
      <c r="AD157" s="1640">
        <f>AC157*(1+AD158)</f>
        <v>2877.580125</v>
      </c>
      <c r="AE157" s="1093">
        <f>AD157*(1+AE158)</f>
        <v>3021.4591312500002</v>
      </c>
      <c r="AF157" s="1093">
        <f t="shared" ref="AF157" si="343">AE157*(1+AF158)</f>
        <v>3172.5320878125003</v>
      </c>
      <c r="AG157" s="1093">
        <f>AF157*(1+AG158)</f>
        <v>3331.1586922031256</v>
      </c>
      <c r="AH157" s="1640">
        <f>AG157*(1+AH158)</f>
        <v>3497.7166268132819</v>
      </c>
      <c r="AI157" s="1090"/>
      <c r="AJ157" s="1094"/>
      <c r="AK157" s="1110"/>
      <c r="AL157" s="1683"/>
      <c r="AM157" s="1079"/>
    </row>
    <row r="158" spans="1:42" hidden="1" outlineLevel="1">
      <c r="A158" s="24"/>
      <c r="T158" s="2078"/>
      <c r="U158" s="2078">
        <f t="shared" ref="U158:AC158" si="344">U157/T157-1</f>
        <v>-2.3084994753410304E-2</v>
      </c>
      <c r="V158" s="2078">
        <f t="shared" si="344"/>
        <v>0.13104189044038672</v>
      </c>
      <c r="W158" s="2078">
        <f t="shared" si="344"/>
        <v>0.28015194681861355</v>
      </c>
      <c r="X158" s="2078">
        <f t="shared" si="344"/>
        <v>0.31083086053412456</v>
      </c>
      <c r="Y158" s="2078">
        <f t="shared" si="344"/>
        <v>0.28013582342954169</v>
      </c>
      <c r="Z158" s="2078">
        <f t="shared" si="344"/>
        <v>0.10654288240495147</v>
      </c>
      <c r="AA158" s="2078">
        <f t="shared" si="344"/>
        <v>5.1937674790252242E-3</v>
      </c>
      <c r="AB158" s="2078">
        <f t="shared" si="344"/>
        <v>3.7380763116057203E-2</v>
      </c>
      <c r="AC158" s="2078">
        <f t="shared" si="344"/>
        <v>4.9999999999999822E-2</v>
      </c>
      <c r="AD158" s="1641">
        <v>0.05</v>
      </c>
      <c r="AE158" s="1151">
        <v>0.05</v>
      </c>
      <c r="AF158" s="1151">
        <v>0.05</v>
      </c>
      <c r="AG158" s="1151">
        <v>0.05</v>
      </c>
      <c r="AH158" s="1641">
        <v>0.05</v>
      </c>
      <c r="AK158" s="1136"/>
      <c r="AM158" s="1136"/>
    </row>
    <row r="159" spans="1:42" collapsed="1"/>
    <row r="160" spans="1:42">
      <c r="A160" s="2033" t="s">
        <v>646</v>
      </c>
      <c r="Q160" s="1809">
        <f>qtrSales!AU121</f>
        <v>3</v>
      </c>
      <c r="R160" s="1809">
        <f>qtrSales!AU128</f>
        <v>7</v>
      </c>
      <c r="S160" s="69">
        <f>qtrSales!AU135</f>
        <v>31</v>
      </c>
      <c r="T160" s="1640">
        <f>qtrSales!AU142</f>
        <v>77</v>
      </c>
      <c r="U160" s="1640">
        <f>qtrSales!AU149</f>
        <v>187</v>
      </c>
      <c r="V160" s="1640">
        <f>qtrSales!AU156</f>
        <v>246</v>
      </c>
      <c r="W160" s="1640">
        <f>qtrSales!AU163</f>
        <v>301</v>
      </c>
      <c r="X160" s="1640">
        <f>qtrSales!AU170</f>
        <v>395</v>
      </c>
      <c r="Y160" s="1640">
        <f>qtrSales!AU177</f>
        <v>672</v>
      </c>
      <c r="Z160" s="1640">
        <f>qtrSales!AU184</f>
        <v>729</v>
      </c>
      <c r="AA160" s="1640">
        <f>qtrSales!AU191</f>
        <v>715</v>
      </c>
      <c r="AB160" s="1640">
        <f>qtrSales!AU198</f>
        <v>776</v>
      </c>
      <c r="AC160" s="1640">
        <f>qtrSales!AU205</f>
        <v>919</v>
      </c>
      <c r="AD160" s="1640">
        <f>qtrSales!AU212</f>
        <v>1056.8499999999999</v>
      </c>
      <c r="AE160" s="1093">
        <f>AD160*(1+AE161)</f>
        <v>1056.8499999999999</v>
      </c>
      <c r="AF160" s="1093">
        <f t="shared" ref="AF160" si="345">AE160*(1+AF161)</f>
        <v>1056.8499999999999</v>
      </c>
      <c r="AG160" s="1093">
        <f>AF160*(1+AG161)</f>
        <v>1056.8499999999999</v>
      </c>
      <c r="AH160" s="1640">
        <f>AG160*(1+AH161)</f>
        <v>1056.8499999999999</v>
      </c>
      <c r="AK160" s="1136"/>
      <c r="AM160" s="1136"/>
    </row>
    <row r="161" spans="1:39">
      <c r="A161" s="2033" t="s">
        <v>490</v>
      </c>
      <c r="T161" s="2078"/>
      <c r="U161" s="2078">
        <f t="shared" ref="U161:AD161" si="346">U160/T160-1</f>
        <v>1.4285714285714284</v>
      </c>
      <c r="V161" s="2078">
        <f t="shared" si="346"/>
        <v>0.31550802139037426</v>
      </c>
      <c r="W161" s="2078">
        <f t="shared" si="346"/>
        <v>0.22357723577235777</v>
      </c>
      <c r="X161" s="2078">
        <f t="shared" si="346"/>
        <v>0.31229235880398676</v>
      </c>
      <c r="Y161" s="2078">
        <f t="shared" si="346"/>
        <v>0.70126582278481009</v>
      </c>
      <c r="Z161" s="2078">
        <f t="shared" si="346"/>
        <v>8.4821428571428603E-2</v>
      </c>
      <c r="AA161" s="2078">
        <f t="shared" si="346"/>
        <v>-1.9204389574759895E-2</v>
      </c>
      <c r="AB161" s="2078">
        <f t="shared" si="346"/>
        <v>8.5314685314685335E-2</v>
      </c>
      <c r="AC161" s="2078">
        <f t="shared" si="346"/>
        <v>0.18427835051546393</v>
      </c>
      <c r="AD161" s="2078">
        <f t="shared" si="346"/>
        <v>0.14999999999999991</v>
      </c>
      <c r="AE161" s="1151">
        <v>0</v>
      </c>
      <c r="AF161" s="1151">
        <v>0</v>
      </c>
      <c r="AG161" s="1151">
        <v>0</v>
      </c>
      <c r="AH161" s="1641">
        <v>0</v>
      </c>
      <c r="AK161" s="1136"/>
      <c r="AM161" s="1136"/>
    </row>
    <row r="162" spans="1:39">
      <c r="A162" s="2033" t="s">
        <v>487</v>
      </c>
      <c r="U162" s="1642">
        <f t="shared" ref="U162:AH162" si="347">U160/U7</f>
        <v>1.3171796858491231E-2</v>
      </c>
      <c r="V162" s="1642">
        <f t="shared" si="347"/>
        <v>1.6775777414075287E-2</v>
      </c>
      <c r="W162" s="1642">
        <f t="shared" si="347"/>
        <v>2.0688707127637637E-2</v>
      </c>
      <c r="X162" s="1642">
        <f t="shared" si="347"/>
        <v>2.5238003961408215E-2</v>
      </c>
      <c r="Y162" s="1642">
        <f t="shared" si="347"/>
        <v>4.1615060688630169E-2</v>
      </c>
      <c r="Z162" s="1642">
        <f t="shared" si="347"/>
        <v>4.4356556130209918E-2</v>
      </c>
      <c r="AA162" s="1642">
        <f t="shared" si="347"/>
        <v>4.5261758561752234E-2</v>
      </c>
      <c r="AB162" s="1642">
        <f t="shared" si="347"/>
        <v>5.0012889920082494E-2</v>
      </c>
      <c r="AC162" s="1642">
        <f t="shared" si="347"/>
        <v>5.7962787764112268E-2</v>
      </c>
      <c r="AD162" s="1642">
        <f t="shared" si="347"/>
        <v>6.602269580014461E-2</v>
      </c>
      <c r="AE162" s="1152">
        <f t="shared" si="347"/>
        <v>6.6345825510725653E-2</v>
      </c>
      <c r="AF162" s="1152">
        <f t="shared" si="347"/>
        <v>6.6664919494857561E-2</v>
      </c>
      <c r="AG162" s="1152">
        <f t="shared" si="347"/>
        <v>6.6935669306937728E-2</v>
      </c>
      <c r="AH162" s="1642">
        <f t="shared" si="347"/>
        <v>6.7235144162544822E-2</v>
      </c>
    </row>
    <row r="163" spans="1:39">
      <c r="A163" s="1651"/>
      <c r="T163" s="1643"/>
      <c r="U163" s="1643"/>
      <c r="V163" s="1643"/>
      <c r="W163" s="1643"/>
      <c r="X163" s="1643"/>
      <c r="Y163" s="1643"/>
      <c r="Z163" s="1643"/>
      <c r="AA163" s="1643"/>
      <c r="AB163" s="1643"/>
      <c r="AC163" s="1643"/>
      <c r="AD163" s="1643"/>
      <c r="AE163" s="1150"/>
      <c r="AF163" s="1150"/>
      <c r="AG163" s="1150"/>
      <c r="AH163" s="1643"/>
      <c r="AK163" s="1136"/>
      <c r="AM163" s="1136"/>
    </row>
    <row r="164" spans="1:39">
      <c r="A164" s="2033" t="s">
        <v>491</v>
      </c>
      <c r="T164" s="2078"/>
      <c r="U164" s="2078"/>
      <c r="V164" s="1644">
        <f>'Store New'!Z131+'Store New'!Z153+'Store New'!Z142</f>
        <v>0</v>
      </c>
      <c r="W164" s="1644">
        <f>V167</f>
        <v>1</v>
      </c>
      <c r="X164" s="1644">
        <f t="shared" ref="X164:AF164" si="348">W167</f>
        <v>10</v>
      </c>
      <c r="Y164" s="1644">
        <f t="shared" si="348"/>
        <v>67</v>
      </c>
      <c r="Z164" s="1644">
        <f t="shared" si="348"/>
        <v>105</v>
      </c>
      <c r="AA164" s="1644">
        <f t="shared" si="348"/>
        <v>146</v>
      </c>
      <c r="AB164" s="1644">
        <f t="shared" si="348"/>
        <v>171</v>
      </c>
      <c r="AC164" s="1644">
        <f t="shared" si="348"/>
        <v>187</v>
      </c>
      <c r="AD164" s="1644">
        <f t="shared" si="348"/>
        <v>208</v>
      </c>
      <c r="AE164" s="1084">
        <f t="shared" si="348"/>
        <v>232</v>
      </c>
      <c r="AF164" s="1084">
        <f t="shared" si="348"/>
        <v>252</v>
      </c>
      <c r="AG164" s="1084">
        <f>AF167</f>
        <v>277</v>
      </c>
      <c r="AH164" s="1644">
        <f>AG167</f>
        <v>302</v>
      </c>
      <c r="AK164" s="1136"/>
      <c r="AM164" s="1136"/>
    </row>
    <row r="165" spans="1:39">
      <c r="A165" s="2033" t="s">
        <v>56</v>
      </c>
      <c r="V165" s="1673">
        <f>SUM('Store New'!Z132:AC132)+SUM('Store New'!Z143:AC143)+SUM('Store New'!Z154:AC154)</f>
        <v>1</v>
      </c>
      <c r="W165" s="1673">
        <f>SUM('Store New'!AD132:AG132)+SUM('Store New'!AD143:AG143)+SUM('Store New'!AD154:AG154)</f>
        <v>9</v>
      </c>
      <c r="X165" s="1673">
        <f>SUM('Store New'!AH132:AK132)+SUM('Store New'!AH143:AK143)+SUM('Store New'!AH154:AK154)</f>
        <v>57</v>
      </c>
      <c r="Y165" s="1673">
        <f>SUM('Store New'!AL132:AO132)+SUM('Store New'!AL143:AO143)+SUM('Store New'!AL154:AO154)</f>
        <v>37</v>
      </c>
      <c r="Z165" s="1673">
        <f>SUM('Store New'!AP132:AS132)+SUM('Store New'!AP143:AS143)+SUM('Store New'!AP154:AS154)</f>
        <v>42</v>
      </c>
      <c r="AA165" s="1644">
        <f>SUM('Store New'!AT132:AW132)+SUM('Store New'!AT143:AW143)+SUM('Store New'!AT154:AW154)</f>
        <v>21</v>
      </c>
      <c r="AB165" s="1644">
        <f>SUM('Store New'!AX132:BA132)+SUM('Store New'!AX143:BA143)+SUM('Store New'!AX154:BA154)</f>
        <v>15</v>
      </c>
      <c r="AC165" s="1644">
        <f>SUM('Store New'!BB132:BE132)+SUM('Store New'!BB143:BE143)+SUM('Store New'!BB154:BE154)</f>
        <v>16</v>
      </c>
      <c r="AD165" s="2017">
        <f>SUM('Store New'!BF132:BI132)+SUM('Store New'!BF143:BI143)+SUM('Store New'!BF154:BI154)</f>
        <v>20</v>
      </c>
      <c r="AE165" s="1835">
        <v>20</v>
      </c>
      <c r="AF165" s="1835">
        <v>25</v>
      </c>
      <c r="AG165" s="1835">
        <v>25</v>
      </c>
      <c r="AH165" s="1836">
        <v>20</v>
      </c>
    </row>
    <row r="166" spans="1:39">
      <c r="A166" s="2036" t="s">
        <v>497</v>
      </c>
      <c r="V166" s="1673">
        <f>-SUM('Store New'!Z133:AC133)+SUM('Store New'!Z144:AC144)+SUM('Store New'!Z155:AC155)</f>
        <v>0</v>
      </c>
      <c r="W166" s="1673">
        <f>-SUM('Store New'!AD133:AG133)+SUM('Store New'!AD144:AG144)+SUM('Store New'!AD155:AG155)</f>
        <v>0</v>
      </c>
      <c r="X166" s="1673">
        <f>-SUM('Store New'!AH133:AK133)+SUM('Store New'!AH144:AK144)+SUM('Store New'!AH155:AK155)</f>
        <v>0</v>
      </c>
      <c r="Y166" s="1673">
        <f>-SUM('Store New'!AL133:AO133)+SUM('Store New'!AL144:AO144)+SUM('Store New'!AL155:AO155)</f>
        <v>1</v>
      </c>
      <c r="Z166" s="1673">
        <f>-SUM('Store New'!AP133:AS133)+SUM('Store New'!AP144:AS144)+SUM('Store New'!AP155:AS155)</f>
        <v>-1</v>
      </c>
      <c r="AA166" s="1644">
        <f>-SUM('Store New'!AT133:AW133)+SUM('Store New'!AT144:AW144)+SUM('Store New'!AT155:AW155)</f>
        <v>4</v>
      </c>
      <c r="AB166" s="1644">
        <f>-SUM('Store New'!AX133:BA133)+SUM('Store New'!AX144:BA144)+SUM('Store New'!AX155:BA155)</f>
        <v>1</v>
      </c>
      <c r="AC166" s="1644">
        <f>-SUM('Store New'!BB133:BE133)+SUM('Store New'!BB144:BE144)+SUM('Store New'!BB155:BE155)</f>
        <v>5</v>
      </c>
      <c r="AD166" s="2017">
        <f>-SUM('Store New'!BF133:BI133)+SUM('Store New'!BF144:BI144)+SUM('Store New'!BF155:BI155)</f>
        <v>4</v>
      </c>
      <c r="AE166" s="1837">
        <v>0</v>
      </c>
      <c r="AF166" s="1837">
        <v>0</v>
      </c>
      <c r="AG166" s="1837">
        <v>0</v>
      </c>
      <c r="AH166" s="1829">
        <v>0</v>
      </c>
    </row>
    <row r="167" spans="1:39">
      <c r="A167" s="2033" t="s">
        <v>498</v>
      </c>
      <c r="V167" s="1647">
        <f t="shared" ref="V167:AD167" si="349">V164+V165+V166</f>
        <v>1</v>
      </c>
      <c r="W167" s="1647">
        <f t="shared" si="349"/>
        <v>10</v>
      </c>
      <c r="X167" s="1647">
        <f t="shared" si="349"/>
        <v>67</v>
      </c>
      <c r="Y167" s="1647">
        <f t="shared" si="349"/>
        <v>105</v>
      </c>
      <c r="Z167" s="1647">
        <f t="shared" si="349"/>
        <v>146</v>
      </c>
      <c r="AA167" s="1647">
        <f t="shared" si="349"/>
        <v>171</v>
      </c>
      <c r="AB167" s="1647">
        <f t="shared" si="349"/>
        <v>187</v>
      </c>
      <c r="AC167" s="1647">
        <f t="shared" si="349"/>
        <v>208</v>
      </c>
      <c r="AD167" s="1647">
        <f t="shared" si="349"/>
        <v>232</v>
      </c>
      <c r="AE167" s="1107">
        <f>AE164+AE165+AE166</f>
        <v>252</v>
      </c>
      <c r="AF167" s="1107">
        <f t="shared" ref="AF167:AH167" si="350">AF164+AF165+AF166</f>
        <v>277</v>
      </c>
      <c r="AG167" s="1107">
        <f t="shared" si="350"/>
        <v>302</v>
      </c>
      <c r="AH167" s="1647">
        <f t="shared" si="350"/>
        <v>322</v>
      </c>
    </row>
    <row r="168" spans="1:39">
      <c r="A168" s="2033" t="s">
        <v>499</v>
      </c>
      <c r="V168" s="1647">
        <f t="shared" ref="V168:AF168" si="351">AVERAGE(U167:V167)</f>
        <v>1</v>
      </c>
      <c r="W168" s="1647">
        <f t="shared" si="351"/>
        <v>5.5</v>
      </c>
      <c r="X168" s="1647">
        <f t="shared" si="351"/>
        <v>38.5</v>
      </c>
      <c r="Y168" s="1647">
        <f t="shared" si="351"/>
        <v>86</v>
      </c>
      <c r="Z168" s="1647">
        <f t="shared" si="351"/>
        <v>125.5</v>
      </c>
      <c r="AA168" s="1647">
        <f t="shared" si="351"/>
        <v>158.5</v>
      </c>
      <c r="AB168" s="1647">
        <f>AVERAGE(AA167:AB167)</f>
        <v>179</v>
      </c>
      <c r="AC168" s="1647">
        <f t="shared" si="351"/>
        <v>197.5</v>
      </c>
      <c r="AD168" s="1647">
        <f t="shared" si="351"/>
        <v>220</v>
      </c>
      <c r="AE168" s="1107">
        <f t="shared" si="351"/>
        <v>242</v>
      </c>
      <c r="AF168" s="1107">
        <f t="shared" si="351"/>
        <v>264.5</v>
      </c>
      <c r="AG168" s="1107">
        <f>AVERAGE(AF167:AG167)</f>
        <v>289.5</v>
      </c>
      <c r="AH168" s="1647">
        <f>AVERAGE(AG167:AH167)</f>
        <v>312</v>
      </c>
    </row>
    <row r="169" spans="1:39">
      <c r="A169" s="2033" t="s">
        <v>500</v>
      </c>
      <c r="V169" s="1648"/>
      <c r="W169" s="1648">
        <f t="shared" ref="W169:AF169" si="352">W168/V168-1</f>
        <v>4.5</v>
      </c>
      <c r="X169" s="1648">
        <f t="shared" si="352"/>
        <v>6</v>
      </c>
      <c r="Y169" s="1648">
        <f t="shared" si="352"/>
        <v>1.2337662337662336</v>
      </c>
      <c r="Z169" s="1648">
        <f t="shared" si="352"/>
        <v>0.45930232558139528</v>
      </c>
      <c r="AA169" s="1648">
        <f t="shared" si="352"/>
        <v>0.26294820717131473</v>
      </c>
      <c r="AB169" s="1648">
        <f t="shared" si="352"/>
        <v>0.12933753943217674</v>
      </c>
      <c r="AC169" s="1648">
        <f t="shared" si="352"/>
        <v>0.1033519553072626</v>
      </c>
      <c r="AD169" s="1648">
        <f t="shared" si="352"/>
        <v>0.11392405063291133</v>
      </c>
      <c r="AE169" s="1089">
        <f t="shared" si="352"/>
        <v>0.10000000000000009</v>
      </c>
      <c r="AF169" s="1089">
        <f t="shared" si="352"/>
        <v>9.2975206611570327E-2</v>
      </c>
      <c r="AG169" s="1089">
        <f>AG168/AF168-1</f>
        <v>9.4517958412098313E-2</v>
      </c>
      <c r="AH169" s="1648">
        <f>AH168/AG168-1</f>
        <v>7.7720207253886064E-2</v>
      </c>
    </row>
    <row r="170" spans="1:39">
      <c r="A170" s="1651"/>
      <c r="V170" s="1651"/>
      <c r="W170" s="1651"/>
      <c r="X170" s="1651"/>
      <c r="Y170" s="1651"/>
      <c r="Z170" s="1651"/>
      <c r="AA170" s="1649"/>
      <c r="AB170" s="1649"/>
      <c r="AC170" s="1649"/>
    </row>
    <row r="171" spans="1:39">
      <c r="A171" s="2033" t="s">
        <v>62</v>
      </c>
      <c r="V171" s="1649"/>
      <c r="W171" s="1649">
        <f t="shared" ref="W171:AD171" si="353">W160/W168</f>
        <v>54.727272727272727</v>
      </c>
      <c r="X171" s="1649">
        <f t="shared" si="353"/>
        <v>10.25974025974026</v>
      </c>
      <c r="Y171" s="1649">
        <f t="shared" si="353"/>
        <v>7.8139534883720927</v>
      </c>
      <c r="Z171" s="1649">
        <f t="shared" si="353"/>
        <v>5.808764940239044</v>
      </c>
      <c r="AA171" s="1649">
        <f t="shared" si="353"/>
        <v>4.5110410094637228</v>
      </c>
      <c r="AB171" s="1649">
        <f>AB160/AB168</f>
        <v>4.3351955307262573</v>
      </c>
      <c r="AC171" s="1649">
        <f t="shared" si="353"/>
        <v>4.6531645569620252</v>
      </c>
      <c r="AD171" s="1649">
        <f t="shared" si="353"/>
        <v>4.8038636363636362</v>
      </c>
      <c r="AE171" s="1102">
        <f>AE160/AE168</f>
        <v>4.3671487603305783</v>
      </c>
      <c r="AF171" s="1102">
        <f t="shared" ref="AF171:AH171" si="354">AF160/AF168</f>
        <v>3.9956521739130433</v>
      </c>
      <c r="AG171" s="1102">
        <f t="shared" si="354"/>
        <v>3.6506044905008634</v>
      </c>
      <c r="AH171" s="1649">
        <f t="shared" si="354"/>
        <v>3.3873397435897434</v>
      </c>
    </row>
    <row r="172" spans="1:39">
      <c r="A172" s="2033" t="s">
        <v>490</v>
      </c>
      <c r="V172" s="1650"/>
      <c r="W172" s="1650"/>
      <c r="X172" s="1650">
        <f t="shared" ref="X172:AF172" si="355">X171/W171-1</f>
        <v>-0.81252966302800189</v>
      </c>
      <c r="Y172" s="1650">
        <f t="shared" si="355"/>
        <v>-0.23838681189284672</v>
      </c>
      <c r="Z172" s="1650">
        <f t="shared" si="355"/>
        <v>-0.25661639157655092</v>
      </c>
      <c r="AA172" s="1650">
        <f t="shared" si="355"/>
        <v>-0.22340789206077205</v>
      </c>
      <c r="AB172" s="1650">
        <f>AB171/AA171-1</f>
        <v>-3.8981130601242309E-2</v>
      </c>
      <c r="AC172" s="1650">
        <f t="shared" si="355"/>
        <v>7.3345948062116584E-2</v>
      </c>
      <c r="AD172" s="1650">
        <f t="shared" si="355"/>
        <v>3.2386363636363713E-2</v>
      </c>
      <c r="AE172" s="1103">
        <f t="shared" si="355"/>
        <v>-9.0909090909090939E-2</v>
      </c>
      <c r="AF172" s="1103">
        <f t="shared" si="355"/>
        <v>-8.5066162570888504E-2</v>
      </c>
      <c r="AG172" s="1103">
        <f>AG171/AF171-1</f>
        <v>-8.6355785837651133E-2</v>
      </c>
      <c r="AH172" s="1650">
        <f>AH171/AG171-1</f>
        <v>-7.2115384615384581E-2</v>
      </c>
    </row>
    <row r="173" spans="1:39">
      <c r="A173" s="1651"/>
      <c r="V173" s="1651"/>
      <c r="W173" s="1651"/>
      <c r="X173" s="1651"/>
      <c r="Y173" s="1651"/>
      <c r="Z173" s="1651"/>
      <c r="AA173" s="1651"/>
      <c r="AB173" s="1651"/>
      <c r="AC173" s="1651"/>
      <c r="AD173" s="1651"/>
      <c r="AE173" s="1069"/>
      <c r="AF173" s="1069"/>
      <c r="AG173" s="1069"/>
      <c r="AH173" s="1651"/>
    </row>
    <row r="174" spans="1:39">
      <c r="A174" s="2033" t="s">
        <v>502</v>
      </c>
      <c r="V174" s="1652"/>
      <c r="W174" s="1652"/>
      <c r="X174" s="1652"/>
      <c r="Y174" s="1652">
        <f t="shared" ref="Y174:AF174" si="356">AVERAGE(X177:Y177)</f>
        <v>0.35000000000000003</v>
      </c>
      <c r="Z174" s="1652">
        <f t="shared" si="356"/>
        <v>0.45</v>
      </c>
      <c r="AA174" s="1652">
        <f t="shared" si="356"/>
        <v>0.55000000000000004</v>
      </c>
      <c r="AB174" s="1652">
        <f>AVERAGE(AA177:AB177)</f>
        <v>0.64999999999999991</v>
      </c>
      <c r="AC174" s="1652">
        <f t="shared" si="356"/>
        <v>0.7</v>
      </c>
      <c r="AD174" s="1652">
        <f t="shared" si="356"/>
        <v>0.7</v>
      </c>
      <c r="AE174" s="1104">
        <f t="shared" si="356"/>
        <v>0.72399999999999998</v>
      </c>
      <c r="AF174" s="1104">
        <f t="shared" si="356"/>
        <v>0.77800000000000002</v>
      </c>
      <c r="AG174" s="1104">
        <f>AVERAGE(AF177:AG177)</f>
        <v>0.83800000000000008</v>
      </c>
      <c r="AH174" s="1652">
        <f>AVERAGE(AG177:AH177)</f>
        <v>0.89200000000000013</v>
      </c>
    </row>
    <row r="175" spans="1:39">
      <c r="A175" s="2033" t="s">
        <v>490</v>
      </c>
      <c r="V175" s="1648"/>
      <c r="W175" s="1648"/>
      <c r="X175" s="1648"/>
      <c r="Y175" s="1648"/>
      <c r="Z175" s="1648">
        <f t="shared" ref="Z175:AF175" si="357">Z174/Y174-1</f>
        <v>0.28571428571428559</v>
      </c>
      <c r="AA175" s="1648">
        <f t="shared" si="357"/>
        <v>0.22222222222222232</v>
      </c>
      <c r="AB175" s="1648">
        <f>AB174/AA174-1</f>
        <v>0.18181818181818166</v>
      </c>
      <c r="AC175" s="1648">
        <f t="shared" si="357"/>
        <v>7.6923076923077094E-2</v>
      </c>
      <c r="AD175" s="1648">
        <f t="shared" si="357"/>
        <v>0</v>
      </c>
      <c r="AE175" s="1089">
        <f t="shared" si="357"/>
        <v>3.4285714285714253E-2</v>
      </c>
      <c r="AF175" s="1089">
        <f t="shared" si="357"/>
        <v>7.4585635359116109E-2</v>
      </c>
      <c r="AG175" s="1089">
        <f>AG174/AF174-1</f>
        <v>7.7120822622108065E-2</v>
      </c>
      <c r="AH175" s="1648">
        <f>AH174/AG174-1</f>
        <v>6.4439140811455964E-2</v>
      </c>
    </row>
    <row r="176" spans="1:39">
      <c r="A176" s="1651"/>
      <c r="V176" s="1651"/>
      <c r="W176" s="1651"/>
      <c r="X176" s="1651"/>
      <c r="Y176" s="1651"/>
      <c r="Z176" s="1651"/>
      <c r="AA176" s="1651"/>
      <c r="AB176" s="1651"/>
      <c r="AC176" s="1651"/>
      <c r="AD176" s="1651"/>
      <c r="AE176" s="1069"/>
      <c r="AF176" s="1069"/>
      <c r="AG176" s="1069"/>
      <c r="AH176" s="1651"/>
    </row>
    <row r="177" spans="1:39">
      <c r="A177" s="2033" t="s">
        <v>503</v>
      </c>
      <c r="V177" s="1653"/>
      <c r="W177" s="1653"/>
      <c r="X177" s="1653">
        <f>'Store New'!AK139+'Store New'!AK150+'Store New'!AK161</f>
        <v>0.30000000000000004</v>
      </c>
      <c r="Y177" s="1653">
        <f>'Store New'!AO139+'Store New'!AO150+'Store New'!AO161</f>
        <v>0.4</v>
      </c>
      <c r="Z177" s="1653">
        <f>'Store New'!AS139+'Store New'!AS150+'Store New'!AS161</f>
        <v>0.5</v>
      </c>
      <c r="AA177" s="1653">
        <f>'Store New'!AW139+'Store New'!AW150+'Store New'!AW161</f>
        <v>0.6</v>
      </c>
      <c r="AB177" s="1653">
        <f>'Store New'!BA139+'Store New'!BA150+'Store New'!BA161</f>
        <v>0.7</v>
      </c>
      <c r="AC177" s="1653">
        <f>'Store New'!BE139+'Store New'!BE150+'Store New'!BE161</f>
        <v>0.7</v>
      </c>
      <c r="AD177" s="1653">
        <f>'Store New'!BI139+'Store New'!BI150+'Store New'!BI161</f>
        <v>0.7</v>
      </c>
      <c r="AE177" s="1129">
        <f>AD177+(((AE165+AE166)*AE186/1000000))</f>
        <v>0.748</v>
      </c>
      <c r="AF177" s="1129">
        <f t="shared" ref="AF177" si="358">AE177+(((AF165+AF166)*AF186/1000000))</f>
        <v>0.80800000000000005</v>
      </c>
      <c r="AG177" s="1129">
        <f>AF177+(((AG165+AG166)*AG186/1000000))</f>
        <v>0.8680000000000001</v>
      </c>
      <c r="AH177" s="1653">
        <f>AG177+(((AH165+AH166)*AH186/1000000))</f>
        <v>0.91600000000000015</v>
      </c>
    </row>
    <row r="178" spans="1:39">
      <c r="A178" s="2033" t="s">
        <v>490</v>
      </c>
      <c r="V178" s="1648"/>
      <c r="W178" s="1648"/>
      <c r="X178" s="1648"/>
      <c r="Y178" s="1648">
        <f t="shared" ref="Y178:AF178" si="359">Y177/X177-1</f>
        <v>0.33333333333333326</v>
      </c>
      <c r="Z178" s="1648">
        <f t="shared" si="359"/>
        <v>0.25</v>
      </c>
      <c r="AA178" s="1648">
        <f t="shared" si="359"/>
        <v>0.19999999999999996</v>
      </c>
      <c r="AB178" s="1648">
        <f>AB177/AA177-1</f>
        <v>0.16666666666666674</v>
      </c>
      <c r="AC178" s="1648">
        <f t="shared" si="359"/>
        <v>0</v>
      </c>
      <c r="AD178" s="1648">
        <f t="shared" si="359"/>
        <v>0</v>
      </c>
      <c r="AE178" s="1089">
        <f t="shared" si="359"/>
        <v>6.8571428571428727E-2</v>
      </c>
      <c r="AF178" s="1089">
        <f t="shared" si="359"/>
        <v>8.0213903743315607E-2</v>
      </c>
      <c r="AG178" s="1089">
        <f>AG177/AF177-1</f>
        <v>7.4257425742574323E-2</v>
      </c>
      <c r="AH178" s="1648">
        <f>AH177/AG177-1</f>
        <v>5.5299539170506895E-2</v>
      </c>
    </row>
    <row r="179" spans="1:39">
      <c r="A179" s="1651"/>
      <c r="V179" s="1651"/>
      <c r="W179" s="1651"/>
      <c r="X179" s="1651"/>
      <c r="Y179" s="1651"/>
      <c r="Z179" s="1651"/>
      <c r="AA179" s="1647"/>
      <c r="AB179" s="1647"/>
      <c r="AC179" s="1647"/>
    </row>
    <row r="180" spans="1:39">
      <c r="A180" s="2033" t="s">
        <v>504</v>
      </c>
      <c r="V180" s="1647"/>
      <c r="W180" s="1647"/>
      <c r="X180" s="1647"/>
      <c r="Y180" s="1654">
        <f t="shared" ref="Y180:AD180" si="360">Y177/Y167*1000000</f>
        <v>3809.5238095238096</v>
      </c>
      <c r="Z180" s="1654">
        <f t="shared" si="360"/>
        <v>3424.6575342465753</v>
      </c>
      <c r="AA180" s="1654">
        <f t="shared" si="360"/>
        <v>3508.7719298245615</v>
      </c>
      <c r="AB180" s="1654">
        <f>AB177/AB167*1000000</f>
        <v>3743.3155080213901</v>
      </c>
      <c r="AC180" s="1654">
        <f t="shared" si="360"/>
        <v>3365.3846153846152</v>
      </c>
      <c r="AD180" s="1654">
        <f t="shared" si="360"/>
        <v>3017.2413793103447</v>
      </c>
      <c r="AE180" s="1153">
        <f>AE177/AE167*1000000</f>
        <v>2968.2539682539687</v>
      </c>
      <c r="AF180" s="1153">
        <f t="shared" ref="AF180:AH180" si="361">AF177/AF167*1000000</f>
        <v>2916.9675090252713</v>
      </c>
      <c r="AG180" s="1153">
        <f t="shared" si="361"/>
        <v>2874.1721854304637</v>
      </c>
      <c r="AH180" s="1654">
        <f t="shared" si="361"/>
        <v>2844.7204968944102</v>
      </c>
    </row>
    <row r="181" spans="1:39">
      <c r="A181" s="2033" t="s">
        <v>490</v>
      </c>
      <c r="V181" s="1650"/>
      <c r="W181" s="1650"/>
      <c r="X181" s="1650"/>
      <c r="Y181" s="1648"/>
      <c r="Z181" s="1648">
        <f t="shared" ref="Z181:AF181" si="362">Z180/Y180-1</f>
        <v>-0.10102739726027399</v>
      </c>
      <c r="AA181" s="1648">
        <f t="shared" si="362"/>
        <v>2.4561403508772006E-2</v>
      </c>
      <c r="AB181" s="1648">
        <f>AB180/AA180-1</f>
        <v>6.684491978609608E-2</v>
      </c>
      <c r="AC181" s="1648">
        <f t="shared" si="362"/>
        <v>-0.10096153846153844</v>
      </c>
      <c r="AD181" s="1648">
        <f t="shared" si="362"/>
        <v>-0.10344827586206895</v>
      </c>
      <c r="AE181" s="1089">
        <f t="shared" si="362"/>
        <v>-1.6235827664398905E-2</v>
      </c>
      <c r="AF181" s="1089">
        <f t="shared" si="362"/>
        <v>-1.7278325836406094E-2</v>
      </c>
      <c r="AG181" s="1089">
        <f>AG180/AF180-1</f>
        <v>-1.4671169103665505E-2</v>
      </c>
      <c r="AH181" s="1648">
        <f>AH180/AG180-1</f>
        <v>-1.02470160574748E-2</v>
      </c>
    </row>
    <row r="182" spans="1:39">
      <c r="A182" s="1651"/>
    </row>
    <row r="183" spans="1:39">
      <c r="A183" s="2033" t="s">
        <v>63</v>
      </c>
      <c r="Y183" s="1640">
        <f t="shared" ref="Y183:AD183" si="363">Y160/Y174</f>
        <v>1919.9999999999998</v>
      </c>
      <c r="Z183" s="1640">
        <f t="shared" si="363"/>
        <v>1620</v>
      </c>
      <c r="AA183" s="1640">
        <f t="shared" si="363"/>
        <v>1300</v>
      </c>
      <c r="AB183" s="1640">
        <f>AB160/AB174</f>
        <v>1193.846153846154</v>
      </c>
      <c r="AC183" s="1640">
        <f t="shared" si="363"/>
        <v>1312.8571428571429</v>
      </c>
      <c r="AD183" s="1640">
        <f t="shared" si="363"/>
        <v>1509.7857142857142</v>
      </c>
      <c r="AE183" s="1093">
        <f>AE160/AE174</f>
        <v>1459.7375690607735</v>
      </c>
      <c r="AF183" s="1093">
        <f t="shared" ref="AF183:AH183" si="364">AF160/AF174</f>
        <v>1358.4190231362466</v>
      </c>
      <c r="AG183" s="1093">
        <f t="shared" si="364"/>
        <v>1261.1575178997612</v>
      </c>
      <c r="AH183" s="1640">
        <f t="shared" si="364"/>
        <v>1184.8094170403585</v>
      </c>
    </row>
    <row r="184" spans="1:39">
      <c r="A184" s="2033" t="s">
        <v>490</v>
      </c>
      <c r="Y184" s="1648"/>
      <c r="Z184" s="1648">
        <f t="shared" ref="Z184:AF184" si="365">Z183/Y183-1</f>
        <v>-0.15624999999999989</v>
      </c>
      <c r="AA184" s="1648">
        <f t="shared" si="365"/>
        <v>-0.19753086419753085</v>
      </c>
      <c r="AB184" s="1648">
        <f>AB183/AA183-1</f>
        <v>-8.1656804733727717E-2</v>
      </c>
      <c r="AC184" s="1648">
        <f t="shared" si="365"/>
        <v>9.968703976435922E-2</v>
      </c>
      <c r="AD184" s="1648">
        <f t="shared" si="365"/>
        <v>0.14999999999999991</v>
      </c>
      <c r="AE184" s="1089">
        <f t="shared" si="365"/>
        <v>-3.3149171270718147E-2</v>
      </c>
      <c r="AF184" s="1089">
        <f t="shared" si="365"/>
        <v>-6.9408740359897303E-2</v>
      </c>
      <c r="AG184" s="1089">
        <f>AG183/AF183-1</f>
        <v>-7.1599045346061985E-2</v>
      </c>
      <c r="AH184" s="1648">
        <f>AH183/AG183-1</f>
        <v>-6.0538116591928315E-2</v>
      </c>
    </row>
    <row r="186" spans="1:39">
      <c r="A186" s="2033" t="s">
        <v>658</v>
      </c>
      <c r="B186" s="1647"/>
      <c r="C186" s="1647"/>
      <c r="D186" s="1647"/>
      <c r="E186" s="1647"/>
      <c r="F186" s="1647"/>
      <c r="G186" s="1647"/>
      <c r="H186" s="1647"/>
      <c r="I186" s="1647"/>
      <c r="J186" s="1647"/>
      <c r="K186" s="1647"/>
      <c r="L186" s="1647"/>
      <c r="M186" s="1647"/>
      <c r="N186" s="1647"/>
      <c r="O186" s="1647"/>
      <c r="P186" s="1107"/>
      <c r="Q186" s="1107"/>
      <c r="R186" s="1107"/>
      <c r="S186" s="1647"/>
      <c r="T186" s="1647"/>
      <c r="U186" s="1647"/>
      <c r="V186" s="1647"/>
      <c r="W186" s="1647"/>
      <c r="X186" s="1647">
        <v>4000</v>
      </c>
      <c r="Y186" s="1647">
        <v>2702.7027027027025</v>
      </c>
      <c r="Z186" s="1647">
        <v>2439.0243902439024</v>
      </c>
      <c r="AA186" s="1647">
        <v>5882.3529411764712</v>
      </c>
      <c r="AB186" s="1647">
        <v>7142.8571428571431</v>
      </c>
      <c r="AC186" s="1647">
        <v>2400</v>
      </c>
      <c r="AD186" s="1655">
        <f>AC186</f>
        <v>2400</v>
      </c>
      <c r="AE186" s="1149">
        <f>AD186</f>
        <v>2400</v>
      </c>
      <c r="AF186" s="1149">
        <f t="shared" ref="AF186" si="366">AE186</f>
        <v>2400</v>
      </c>
      <c r="AG186" s="1149">
        <f>AF186</f>
        <v>2400</v>
      </c>
      <c r="AH186" s="1655">
        <f>AG186</f>
        <v>2400</v>
      </c>
    </row>
    <row r="187" spans="1:39">
      <c r="A187" s="1651"/>
      <c r="B187" s="1651"/>
      <c r="C187" s="1651"/>
      <c r="D187" s="1651"/>
      <c r="E187" s="1651"/>
      <c r="F187" s="1651"/>
      <c r="G187" s="1651"/>
      <c r="H187" s="1651"/>
      <c r="I187" s="1651"/>
      <c r="J187" s="1651"/>
      <c r="K187" s="1651"/>
      <c r="L187" s="1651"/>
      <c r="M187" s="1651"/>
      <c r="N187" s="1651"/>
      <c r="O187" s="1651"/>
      <c r="P187" s="1069"/>
      <c r="Q187" s="1069"/>
      <c r="R187" s="1069"/>
      <c r="S187" s="1651"/>
      <c r="T187" s="1651"/>
      <c r="U187" s="1651"/>
      <c r="V187" s="1651"/>
      <c r="W187" s="1651"/>
      <c r="X187" s="1651"/>
      <c r="Y187" s="1651"/>
      <c r="Z187" s="1651"/>
      <c r="AA187" s="1651"/>
      <c r="AB187" s="1651"/>
      <c r="AC187" s="1651"/>
    </row>
    <row r="191" spans="1:39" hidden="1" outlineLevel="1">
      <c r="A191" s="2045" t="s">
        <v>668</v>
      </c>
      <c r="B191" s="1651"/>
      <c r="C191" s="1651"/>
      <c r="D191" s="1651"/>
      <c r="E191" s="1651"/>
      <c r="F191" s="1651"/>
      <c r="G191" s="1651"/>
      <c r="H191" s="1651"/>
      <c r="I191" s="1651"/>
      <c r="J191" s="1651"/>
      <c r="K191" s="2055"/>
      <c r="L191" s="2055"/>
      <c r="M191" s="2055"/>
      <c r="N191" s="2055"/>
      <c r="O191" s="2055"/>
      <c r="P191" s="1115"/>
      <c r="Q191" s="1093"/>
      <c r="R191" s="1093"/>
      <c r="S191" s="1676"/>
      <c r="T191" s="1676"/>
      <c r="U191" s="1676"/>
      <c r="V191" s="1676"/>
      <c r="W191" s="1676"/>
      <c r="X191" s="1676"/>
      <c r="Y191" s="1676"/>
      <c r="Z191" s="1676"/>
      <c r="AA191" s="1676"/>
      <c r="AB191" s="1676"/>
      <c r="AC191" s="1676"/>
      <c r="AD191" s="1676"/>
      <c r="AE191" s="1116"/>
      <c r="AF191" s="1116"/>
      <c r="AG191" s="1116"/>
      <c r="AH191" s="1676"/>
      <c r="AI191" s="1077"/>
      <c r="AJ191" s="1077"/>
      <c r="AK191" s="1079"/>
      <c r="AL191" s="1664"/>
      <c r="AM191" s="1079"/>
    </row>
    <row r="192" spans="1:39" hidden="1" outlineLevel="1">
      <c r="A192" s="2046" t="str">
        <f>+A2</f>
        <v>Annual Sales Model, Fiscal 1997A-2022E</v>
      </c>
      <c r="B192" s="1662"/>
      <c r="C192" s="1662"/>
      <c r="D192" s="1662"/>
      <c r="E192" s="1662"/>
      <c r="F192" s="1662"/>
      <c r="G192" s="1662"/>
      <c r="H192" s="1662"/>
      <c r="I192" s="1662"/>
      <c r="J192" s="1662"/>
      <c r="K192" s="1662"/>
      <c r="L192" s="1662"/>
      <c r="M192" s="1662"/>
      <c r="N192" s="1662"/>
      <c r="O192" s="1662"/>
      <c r="P192" s="1074"/>
      <c r="Q192" s="1075"/>
      <c r="R192" s="1075"/>
      <c r="S192" s="1662"/>
      <c r="T192" s="1662"/>
      <c r="U192" s="1662"/>
      <c r="V192" s="1662"/>
      <c r="W192" s="1662"/>
      <c r="X192" s="1662"/>
      <c r="Y192" s="1662"/>
      <c r="Z192" s="1662"/>
      <c r="AA192" s="1662"/>
      <c r="AB192" s="1662"/>
      <c r="AC192" s="2081"/>
      <c r="AD192" s="1662"/>
      <c r="AE192" s="1074"/>
      <c r="AF192" s="1074"/>
      <c r="AG192" s="1074"/>
      <c r="AH192" s="1662"/>
      <c r="AI192" s="1074"/>
      <c r="AJ192" s="1074"/>
      <c r="AK192" s="1076"/>
      <c r="AL192" s="1662"/>
      <c r="AM192" s="1076"/>
    </row>
    <row r="193" spans="1:44" hidden="1" outlineLevel="1">
      <c r="A193" s="2032"/>
      <c r="B193" s="1651"/>
      <c r="C193" s="1651"/>
      <c r="D193" s="1651"/>
      <c r="E193" s="1651"/>
      <c r="F193" s="1651"/>
      <c r="G193" s="1651"/>
      <c r="H193" s="1651"/>
      <c r="I193" s="1651"/>
      <c r="J193" s="1651"/>
      <c r="K193" s="1651"/>
      <c r="L193" s="1651"/>
      <c r="M193" s="1651"/>
      <c r="N193" s="1651"/>
      <c r="O193" s="1651"/>
      <c r="P193" s="1069"/>
      <c r="Q193" s="1069"/>
      <c r="R193" s="1069"/>
      <c r="S193" s="1651"/>
      <c r="T193" s="1651"/>
      <c r="U193" s="1651"/>
      <c r="V193" s="1651"/>
      <c r="W193" s="1651"/>
      <c r="X193" s="1651"/>
      <c r="Y193" s="1651"/>
      <c r="Z193" s="1651"/>
      <c r="AA193" s="1651"/>
      <c r="AB193" s="1651"/>
      <c r="AC193" s="1651"/>
      <c r="AD193" s="1651"/>
      <c r="AE193" s="1069"/>
      <c r="AF193" s="1069"/>
      <c r="AG193" s="1069"/>
      <c r="AH193" s="1651"/>
      <c r="AI193" s="1117"/>
      <c r="AJ193" s="1078"/>
      <c r="AK193" s="1118" t="s">
        <v>488</v>
      </c>
      <c r="AL193" s="1684"/>
      <c r="AM193" s="1119"/>
    </row>
    <row r="194" spans="1:44" hidden="1" outlineLevel="1">
      <c r="A194" s="1644"/>
      <c r="B194" s="2052">
        <f t="shared" ref="B194:N194" si="367">+B5</f>
        <v>1990</v>
      </c>
      <c r="C194" s="1995">
        <f t="shared" si="367"/>
        <v>1991</v>
      </c>
      <c r="D194" s="1995">
        <f t="shared" si="367"/>
        <v>1992</v>
      </c>
      <c r="E194" s="1995">
        <f t="shared" si="367"/>
        <v>1993</v>
      </c>
      <c r="F194" s="1995">
        <f t="shared" si="367"/>
        <v>1994</v>
      </c>
      <c r="G194" s="1995">
        <f t="shared" si="367"/>
        <v>1995</v>
      </c>
      <c r="H194" s="1995">
        <f t="shared" si="367"/>
        <v>1996</v>
      </c>
      <c r="I194" s="1995">
        <f t="shared" si="367"/>
        <v>1997</v>
      </c>
      <c r="J194" s="1995">
        <f t="shared" si="367"/>
        <v>1998</v>
      </c>
      <c r="K194" s="2056">
        <f t="shared" si="367"/>
        <v>1999</v>
      </c>
      <c r="L194" s="1995">
        <f t="shared" si="367"/>
        <v>2000</v>
      </c>
      <c r="M194" s="1995">
        <f t="shared" si="367"/>
        <v>2001</v>
      </c>
      <c r="N194" s="1995">
        <f t="shared" si="367"/>
        <v>2002</v>
      </c>
      <c r="O194" s="1995">
        <f t="shared" ref="O194:AB194" si="368">N194+1</f>
        <v>2003</v>
      </c>
      <c r="P194" s="1085">
        <f t="shared" si="368"/>
        <v>2004</v>
      </c>
      <c r="Q194" s="1086">
        <f t="shared" si="368"/>
        <v>2005</v>
      </c>
      <c r="R194" s="1086">
        <f t="shared" si="368"/>
        <v>2006</v>
      </c>
      <c r="S194" s="2076">
        <f t="shared" si="368"/>
        <v>2007</v>
      </c>
      <c r="T194" s="2076">
        <f t="shared" si="368"/>
        <v>2008</v>
      </c>
      <c r="U194" s="2076">
        <f t="shared" si="368"/>
        <v>2009</v>
      </c>
      <c r="V194" s="2076">
        <f t="shared" si="368"/>
        <v>2010</v>
      </c>
      <c r="W194" s="2076">
        <f t="shared" si="368"/>
        <v>2011</v>
      </c>
      <c r="X194" s="2076">
        <f t="shared" si="368"/>
        <v>2012</v>
      </c>
      <c r="Y194" s="2076">
        <f t="shared" si="368"/>
        <v>2013</v>
      </c>
      <c r="Z194" s="2076">
        <f t="shared" si="368"/>
        <v>2014</v>
      </c>
      <c r="AA194" s="2076">
        <f t="shared" si="368"/>
        <v>2015</v>
      </c>
      <c r="AB194" s="2076">
        <f t="shared" si="368"/>
        <v>2016</v>
      </c>
      <c r="AC194" s="1639">
        <f>AB194+1</f>
        <v>2017</v>
      </c>
      <c r="AD194" s="1639">
        <f>AC194+1</f>
        <v>2018</v>
      </c>
      <c r="AE194" s="1087">
        <f>AD194+1</f>
        <v>2019</v>
      </c>
      <c r="AF194" s="1087">
        <f t="shared" ref="AF194" si="369">AE194+1</f>
        <v>2020</v>
      </c>
      <c r="AG194" s="1087">
        <f>AF194+1</f>
        <v>2021</v>
      </c>
      <c r="AH194" s="1639">
        <f>AG194+1</f>
        <v>2022</v>
      </c>
      <c r="AI194" s="1120"/>
      <c r="AJ194" s="1121" t="str">
        <f>$AJ$5</f>
        <v>11-16</v>
      </c>
      <c r="AK194" s="1079"/>
      <c r="AL194" s="1685" t="str">
        <f>+AL5</f>
        <v>16-22E</v>
      </c>
      <c r="AM194" s="1145"/>
    </row>
    <row r="195" spans="1:44" hidden="1" outlineLevel="1">
      <c r="A195" s="1644"/>
      <c r="B195" s="1644"/>
      <c r="C195" s="1644"/>
      <c r="D195" s="1644"/>
      <c r="E195" s="1644"/>
      <c r="F195" s="1644"/>
      <c r="G195" s="1644"/>
      <c r="H195" s="1644"/>
      <c r="I195" s="1651"/>
      <c r="J195" s="1651"/>
      <c r="K195" s="1651"/>
      <c r="L195" s="1651"/>
      <c r="M195" s="1651"/>
      <c r="N195" s="1651"/>
      <c r="O195" s="1651"/>
      <c r="P195" s="1122"/>
      <c r="Q195" s="1122"/>
      <c r="R195" s="1122"/>
      <c r="S195" s="1656"/>
      <c r="T195" s="1656"/>
      <c r="U195" s="1656"/>
      <c r="V195" s="1656"/>
      <c r="W195" s="1656"/>
      <c r="X195" s="1656"/>
      <c r="Y195" s="1656"/>
      <c r="Z195" s="1657"/>
      <c r="AA195" s="1656"/>
      <c r="AB195" s="1656"/>
      <c r="AC195" s="1656"/>
      <c r="AD195" s="1656"/>
      <c r="AE195" s="1122"/>
      <c r="AF195" s="1122"/>
      <c r="AG195" s="1122"/>
      <c r="AH195" s="1656"/>
      <c r="AI195" s="1090"/>
      <c r="AJ195" s="1077"/>
      <c r="AK195" s="1079"/>
      <c r="AL195" s="1664"/>
      <c r="AM195" s="1091"/>
    </row>
    <row r="196" spans="1:44" hidden="1" outlineLevel="1">
      <c r="A196" s="2033" t="s">
        <v>646</v>
      </c>
      <c r="B196" s="1666">
        <v>1510</v>
      </c>
      <c r="C196" s="1666">
        <v>1855</v>
      </c>
      <c r="D196" s="1666">
        <v>2085</v>
      </c>
      <c r="E196" s="1666">
        <v>2105</v>
      </c>
      <c r="F196" s="1666">
        <v>2168</v>
      </c>
      <c r="G196" s="1666">
        <v>2220</v>
      </c>
      <c r="H196" s="1666">
        <v>2329</v>
      </c>
      <c r="I196" s="1666">
        <v>2670</v>
      </c>
      <c r="J196" s="1666">
        <v>3375</v>
      </c>
      <c r="K196" s="1666">
        <v>4900</v>
      </c>
      <c r="L196" s="1666">
        <v>5899</v>
      </c>
      <c r="M196" s="1666">
        <v>5610</v>
      </c>
      <c r="N196" s="1666">
        <v>5436</v>
      </c>
      <c r="O196" s="1666">
        <v>5777</v>
      </c>
      <c r="P196" s="1124">
        <v>5746</v>
      </c>
      <c r="Q196" s="1093">
        <v>5409</v>
      </c>
      <c r="R196" s="1093">
        <v>5134</v>
      </c>
      <c r="S196" s="1640">
        <v>4818</v>
      </c>
      <c r="T196" s="1640">
        <v>4169</v>
      </c>
      <c r="U196" s="1640">
        <v>3820</v>
      </c>
      <c r="V196" s="1640">
        <v>3795</v>
      </c>
      <c r="W196" s="1640">
        <v>5232</v>
      </c>
      <c r="X196" s="1640">
        <v>6254</v>
      </c>
      <c r="Y196" s="1640">
        <v>6351</v>
      </c>
      <c r="Z196" s="1640">
        <v>6165</v>
      </c>
      <c r="AA196" s="1640">
        <v>5751</v>
      </c>
      <c r="AB196" s="1640">
        <v>5455</v>
      </c>
      <c r="AC196" s="1640">
        <v>5283.1049999999996</v>
      </c>
      <c r="AD196" s="1640">
        <f>AC196*(1+AD197)</f>
        <v>5177.4428999999991</v>
      </c>
      <c r="AE196" s="1093">
        <f>AD196*(1+AE197)</f>
        <v>5073.894041999999</v>
      </c>
      <c r="AF196" s="1093">
        <f t="shared" ref="AF196" si="370">AE196*(1+AF197)</f>
        <v>4972.4161611599993</v>
      </c>
      <c r="AG196" s="1093">
        <f>AF196*(1+AG197)</f>
        <v>4872.9678379367997</v>
      </c>
      <c r="AH196" s="1640">
        <f>AG196*(1+AH197)</f>
        <v>4775.5084811780634</v>
      </c>
      <c r="AI196" s="1090"/>
      <c r="AJ196" s="1094">
        <f>((AB196/W196)^(1/5)-1)*100</f>
        <v>0.83827410735288765</v>
      </c>
      <c r="AK196" s="1110" t="s">
        <v>489</v>
      </c>
      <c r="AL196" s="1683">
        <f>((AH196/AB196)^(1/6)-1)*100</f>
        <v>-2.1928034341039293</v>
      </c>
      <c r="AM196" s="1091" t="s">
        <v>489</v>
      </c>
    </row>
    <row r="197" spans="1:44" hidden="1" outlineLevel="1">
      <c r="A197" s="2033" t="s">
        <v>490</v>
      </c>
      <c r="B197" s="1648">
        <f>B196/1275-1</f>
        <v>0.18431372549019609</v>
      </c>
      <c r="C197" s="1648">
        <f t="shared" ref="C197:W197" si="371">C196/B196-1</f>
        <v>0.22847682119205293</v>
      </c>
      <c r="D197" s="1648">
        <f t="shared" si="371"/>
        <v>0.12398921832884091</v>
      </c>
      <c r="E197" s="1648">
        <f t="shared" si="371"/>
        <v>9.5923261390886694E-3</v>
      </c>
      <c r="F197" s="1648">
        <f t="shared" si="371"/>
        <v>2.9928741092636546E-2</v>
      </c>
      <c r="G197" s="1648">
        <f t="shared" si="371"/>
        <v>2.3985239852398532E-2</v>
      </c>
      <c r="H197" s="1648">
        <f t="shared" si="371"/>
        <v>4.9099099099099153E-2</v>
      </c>
      <c r="I197" s="1648">
        <f t="shared" si="371"/>
        <v>0.14641477028767702</v>
      </c>
      <c r="J197" s="1648">
        <f t="shared" si="371"/>
        <v>0.26404494382022481</v>
      </c>
      <c r="K197" s="1648">
        <f t="shared" si="371"/>
        <v>0.45185185185185195</v>
      </c>
      <c r="L197" s="1648">
        <f t="shared" si="371"/>
        <v>0.20387755102040805</v>
      </c>
      <c r="M197" s="1648">
        <f t="shared" si="371"/>
        <v>-4.8991354466858761E-2</v>
      </c>
      <c r="N197" s="1648">
        <f t="shared" si="371"/>
        <v>-3.1016042780748654E-2</v>
      </c>
      <c r="O197" s="1648">
        <f t="shared" si="371"/>
        <v>6.272994849153779E-2</v>
      </c>
      <c r="P197" s="1089">
        <f t="shared" si="371"/>
        <v>-5.3661069759390889E-3</v>
      </c>
      <c r="Q197" s="1089">
        <f t="shared" si="371"/>
        <v>-5.8649495301078991E-2</v>
      </c>
      <c r="R197" s="1089">
        <f t="shared" si="371"/>
        <v>-5.0841190608245546E-2</v>
      </c>
      <c r="S197" s="1648">
        <f t="shared" si="371"/>
        <v>-6.1550447993767077E-2</v>
      </c>
      <c r="T197" s="1648">
        <f t="shared" si="371"/>
        <v>-0.13470319634703198</v>
      </c>
      <c r="U197" s="1648">
        <f t="shared" si="371"/>
        <v>-8.3713120652434636E-2</v>
      </c>
      <c r="V197" s="1648">
        <f t="shared" si="371"/>
        <v>-6.5445026178010401E-3</v>
      </c>
      <c r="W197" s="1648">
        <f t="shared" si="371"/>
        <v>0.37865612648221347</v>
      </c>
      <c r="X197" s="1648">
        <v>0.10397175639894085</v>
      </c>
      <c r="Y197" s="1648">
        <v>1.5510073552926107E-2</v>
      </c>
      <c r="Z197" s="1648">
        <f>Z196/Y196-1</f>
        <v>-2.9286726499763827E-2</v>
      </c>
      <c r="AA197" s="1648">
        <f>AA196/Z196-1</f>
        <v>-6.7153284671532809E-2</v>
      </c>
      <c r="AB197" s="1648">
        <f>AB196/AA196-1</f>
        <v>-5.146930968527208E-2</v>
      </c>
      <c r="AC197" s="1648">
        <f>AC196/AB196-1</f>
        <v>-3.1511457378551877E-2</v>
      </c>
      <c r="AD197" s="1648">
        <f>+AD225+AD226</f>
        <v>-0.02</v>
      </c>
      <c r="AE197" s="1089">
        <f>+AE225+AE226</f>
        <v>-0.02</v>
      </c>
      <c r="AF197" s="1089">
        <f t="shared" ref="AF197:AH197" si="372">+AF225+AF226</f>
        <v>-0.02</v>
      </c>
      <c r="AG197" s="1089">
        <f t="shared" si="372"/>
        <v>-0.02</v>
      </c>
      <c r="AH197" s="1648">
        <f t="shared" si="372"/>
        <v>-0.02</v>
      </c>
      <c r="AI197" s="1090"/>
      <c r="AJ197" s="1094"/>
      <c r="AK197" s="1079"/>
      <c r="AL197" s="1683"/>
      <c r="AM197" s="1091"/>
    </row>
    <row r="198" spans="1:44" hidden="1" outlineLevel="1">
      <c r="A198" s="2033" t="s">
        <v>487</v>
      </c>
      <c r="B198" s="1648"/>
      <c r="C198" s="1648"/>
      <c r="D198" s="1648"/>
      <c r="E198" s="1648"/>
      <c r="F198" s="1648"/>
      <c r="G198" s="1648"/>
      <c r="H198" s="1648"/>
      <c r="I198" s="1648">
        <f t="shared" ref="I198:AH198" si="373">I196/I7</f>
        <v>0.41027532240034109</v>
      </c>
      <c r="J198" s="1648">
        <f t="shared" si="373"/>
        <v>0.37274439939115106</v>
      </c>
      <c r="K198" s="1648">
        <f t="shared" si="373"/>
        <v>0.42112869710172351</v>
      </c>
      <c r="L198" s="1648">
        <f t="shared" si="373"/>
        <v>0.43141969918367412</v>
      </c>
      <c r="M198" s="1648">
        <f t="shared" si="373"/>
        <v>0.40511636696841458</v>
      </c>
      <c r="N198" s="1648">
        <f t="shared" si="373"/>
        <v>0.37607121665334114</v>
      </c>
      <c r="O198" s="1648">
        <f t="shared" si="373"/>
        <v>0.36439236296179017</v>
      </c>
      <c r="P198" s="1089">
        <f t="shared" si="373"/>
        <v>0.35322175927180988</v>
      </c>
      <c r="Q198" s="1089">
        <f t="shared" si="373"/>
        <v>0.33756922696709435</v>
      </c>
      <c r="R198" s="1089">
        <f t="shared" si="373"/>
        <v>0.3224266783897507</v>
      </c>
      <c r="S198" s="1648">
        <f t="shared" si="373"/>
        <v>0.30565247732030704</v>
      </c>
      <c r="T198" s="1648">
        <f t="shared" si="373"/>
        <v>0.28700261599889854</v>
      </c>
      <c r="U198" s="1648">
        <f t="shared" si="373"/>
        <v>0.26907093047827008</v>
      </c>
      <c r="V198" s="1648">
        <f t="shared" si="373"/>
        <v>0.25879705400981995</v>
      </c>
      <c r="W198" s="1648">
        <f t="shared" si="373"/>
        <v>0.3596123444910303</v>
      </c>
      <c r="X198" s="1648">
        <f t="shared" si="373"/>
        <v>0.39959108044214425</v>
      </c>
      <c r="Y198" s="1648">
        <f t="shared" si="373"/>
        <v>0.3932994798117414</v>
      </c>
      <c r="Z198" s="1648">
        <f t="shared" si="373"/>
        <v>0.37511408579251598</v>
      </c>
      <c r="AA198" s="1648">
        <f t="shared" si="373"/>
        <v>0.36405646641767425</v>
      </c>
      <c r="AB198" s="1648">
        <f t="shared" si="373"/>
        <v>0.35157257025006444</v>
      </c>
      <c r="AC198" s="1648">
        <f t="shared" si="373"/>
        <v>0.33321381267738881</v>
      </c>
      <c r="AD198" s="1648">
        <f t="shared" si="373"/>
        <v>0.32344111047860952</v>
      </c>
      <c r="AE198" s="1089">
        <f t="shared" si="373"/>
        <v>0.31852362092107916</v>
      </c>
      <c r="AF198" s="1089">
        <f t="shared" si="373"/>
        <v>0.3136544666496287</v>
      </c>
      <c r="AG198" s="1089">
        <f t="shared" si="373"/>
        <v>0.3086297617859497</v>
      </c>
      <c r="AH198" s="1648">
        <f t="shared" si="373"/>
        <v>0.30381038102044999</v>
      </c>
      <c r="AI198" s="1090"/>
      <c r="AJ198" s="1094"/>
      <c r="AK198" s="1079"/>
      <c r="AL198" s="1683"/>
      <c r="AM198" s="1091"/>
    </row>
    <row r="199" spans="1:44" hidden="1" outlineLevel="1">
      <c r="A199" s="1651"/>
      <c r="B199" s="1651"/>
      <c r="C199" s="1651"/>
      <c r="D199" s="1651"/>
      <c r="E199" s="1651"/>
      <c r="F199" s="1651"/>
      <c r="G199" s="1651"/>
      <c r="H199" s="1651"/>
      <c r="I199" s="1651"/>
      <c r="J199" s="1651"/>
      <c r="K199" s="1651"/>
      <c r="L199" s="1651"/>
      <c r="M199" s="1651"/>
      <c r="N199" s="1651"/>
      <c r="O199" s="1651"/>
      <c r="P199" s="1069"/>
      <c r="Q199" s="1069"/>
      <c r="R199" s="1125" t="s">
        <v>189</v>
      </c>
      <c r="S199" s="1658">
        <f t="shared" ref="S199:Z199" si="374">S204+S205</f>
        <v>-44</v>
      </c>
      <c r="T199" s="1658">
        <f t="shared" si="374"/>
        <v>-56</v>
      </c>
      <c r="U199" s="1658">
        <f t="shared" si="374"/>
        <v>-41</v>
      </c>
      <c r="V199" s="1658">
        <f t="shared" si="374"/>
        <v>-41</v>
      </c>
      <c r="W199" s="1658">
        <f t="shared" si="374"/>
        <v>-68</v>
      </c>
      <c r="X199" s="1658">
        <f t="shared" si="374"/>
        <v>-53</v>
      </c>
      <c r="Y199" s="1658">
        <f t="shared" si="374"/>
        <v>-22</v>
      </c>
      <c r="Z199" s="1658">
        <f t="shared" si="374"/>
        <v>-8</v>
      </c>
      <c r="AA199" s="1658">
        <f>AA204+AA205</f>
        <v>-125</v>
      </c>
      <c r="AB199" s="1658">
        <f>AB204+AB205</f>
        <v>-25</v>
      </c>
      <c r="AC199" s="1658">
        <f>AC204+AC205</f>
        <v>-20</v>
      </c>
      <c r="AD199" s="1658">
        <f>AD204+AD205</f>
        <v>-10</v>
      </c>
      <c r="AE199" s="1125">
        <f>AE204+AE205</f>
        <v>-10</v>
      </c>
      <c r="AF199" s="1125">
        <f t="shared" ref="AF199:AH199" si="375">AF204+AF205</f>
        <v>-10</v>
      </c>
      <c r="AG199" s="1125">
        <f t="shared" si="375"/>
        <v>-10</v>
      </c>
      <c r="AH199" s="1658">
        <f t="shared" si="375"/>
        <v>-10</v>
      </c>
      <c r="AI199" s="1090"/>
      <c r="AJ199" s="1094"/>
      <c r="AK199" s="1079"/>
      <c r="AL199" s="1683"/>
      <c r="AM199" s="1091"/>
    </row>
    <row r="200" spans="1:44" hidden="1" outlineLevel="2">
      <c r="A200" s="2033" t="s">
        <v>102</v>
      </c>
      <c r="B200" s="1666">
        <v>218.95</v>
      </c>
      <c r="C200" s="1666">
        <v>314.423</v>
      </c>
      <c r="D200" s="1666">
        <v>264.79500000000002</v>
      </c>
      <c r="E200" s="1666">
        <v>293.64800000000002</v>
      </c>
      <c r="F200" s="1666">
        <v>350.81200000000001</v>
      </c>
      <c r="G200" s="1666"/>
      <c r="H200" s="1666"/>
      <c r="I200" s="1666"/>
      <c r="J200" s="1666"/>
      <c r="K200" s="1666"/>
      <c r="L200" s="1666"/>
      <c r="M200" s="1666"/>
      <c r="N200" s="1666"/>
      <c r="O200" s="1666"/>
      <c r="P200" s="1124"/>
      <c r="Q200" s="1124"/>
      <c r="R200" s="1124"/>
      <c r="S200" s="1666"/>
      <c r="T200" s="1666"/>
      <c r="U200" s="1666"/>
      <c r="V200" s="1666"/>
      <c r="W200" s="1666"/>
      <c r="X200" s="1666"/>
      <c r="Y200" s="1666"/>
      <c r="Z200" s="1666"/>
      <c r="AA200" s="1666"/>
      <c r="AB200" s="1666"/>
      <c r="AC200" s="1666"/>
      <c r="AD200" s="1666"/>
      <c r="AE200" s="1124"/>
      <c r="AF200" s="1124"/>
      <c r="AG200" s="1124"/>
      <c r="AH200" s="1666"/>
      <c r="AI200" s="1090"/>
      <c r="AJ200" s="1094"/>
      <c r="AK200" s="1110"/>
      <c r="AL200" s="1683"/>
      <c r="AM200" s="1095"/>
    </row>
    <row r="201" spans="1:44" hidden="1" outlineLevel="2">
      <c r="A201" s="1651"/>
      <c r="B201" s="1651"/>
      <c r="C201" s="1651"/>
      <c r="D201" s="1651"/>
      <c r="E201" s="1651"/>
      <c r="F201" s="1651"/>
      <c r="G201" s="1651"/>
      <c r="H201" s="1651"/>
      <c r="I201" s="1651"/>
      <c r="J201" s="1651"/>
      <c r="K201" s="1651"/>
      <c r="L201" s="1651"/>
      <c r="M201" s="1651"/>
      <c r="N201" s="1651"/>
      <c r="O201" s="1651"/>
      <c r="P201" s="1069"/>
      <c r="Q201" s="1069"/>
      <c r="R201" s="1069"/>
      <c r="S201" s="1651"/>
      <c r="T201" s="1651"/>
      <c r="U201" s="1651"/>
      <c r="V201" s="1651"/>
      <c r="W201" s="1651"/>
      <c r="X201" s="1651"/>
      <c r="Y201" s="1651"/>
      <c r="Z201" s="1651"/>
      <c r="AA201" s="1651"/>
      <c r="AB201" s="1651"/>
      <c r="AC201" s="1651"/>
      <c r="AD201" s="1651"/>
      <c r="AE201" s="1069"/>
      <c r="AF201" s="1069"/>
      <c r="AG201" s="1069"/>
      <c r="AH201" s="1651"/>
      <c r="AI201" s="1090"/>
      <c r="AJ201" s="1094"/>
      <c r="AK201" s="1079"/>
      <c r="AL201" s="1683"/>
      <c r="AM201" s="1091"/>
    </row>
    <row r="202" spans="1:44" hidden="1" outlineLevel="2">
      <c r="A202" s="1651"/>
      <c r="B202" s="1651"/>
      <c r="C202" s="1651"/>
      <c r="D202" s="1651"/>
      <c r="E202" s="1651"/>
      <c r="F202" s="1651"/>
      <c r="G202" s="1651"/>
      <c r="H202" s="1651"/>
      <c r="I202" s="1651"/>
      <c r="J202" s="1651"/>
      <c r="K202" s="1651"/>
      <c r="L202" s="1651"/>
      <c r="M202" s="1651"/>
      <c r="N202" s="1651"/>
      <c r="O202" s="1651"/>
      <c r="P202" s="1069"/>
      <c r="Q202" s="1069"/>
      <c r="R202" s="1069"/>
      <c r="S202" s="1651"/>
      <c r="T202" s="1651"/>
      <c r="U202" s="1651"/>
      <c r="V202" s="1651"/>
      <c r="W202" s="1651"/>
      <c r="X202" s="1651"/>
      <c r="Y202" s="1651"/>
      <c r="Z202" s="1651"/>
      <c r="AA202" s="1651"/>
      <c r="AB202" s="1651"/>
      <c r="AC202" s="1651"/>
      <c r="AD202" s="1651"/>
      <c r="AE202" s="1069"/>
      <c r="AF202" s="1069"/>
      <c r="AG202" s="1069"/>
      <c r="AH202" s="1651"/>
      <c r="AI202" s="1090"/>
      <c r="AJ202" s="1094"/>
      <c r="AK202" s="1079"/>
      <c r="AL202" s="1683"/>
      <c r="AM202" s="1091"/>
    </row>
    <row r="203" spans="1:44" hidden="1" outlineLevel="1" collapsed="1">
      <c r="A203" s="2033" t="s">
        <v>491</v>
      </c>
      <c r="B203" s="1644">
        <v>725</v>
      </c>
      <c r="C203" s="1644">
        <f t="shared" ref="C203:AA203" si="376">B206</f>
        <v>755</v>
      </c>
      <c r="D203" s="1644">
        <f t="shared" si="376"/>
        <v>791</v>
      </c>
      <c r="E203" s="1644">
        <f t="shared" si="376"/>
        <v>813</v>
      </c>
      <c r="F203" s="1644">
        <f t="shared" si="376"/>
        <v>767</v>
      </c>
      <c r="G203" s="1644">
        <f t="shared" si="376"/>
        <v>811</v>
      </c>
      <c r="H203" s="1644">
        <f t="shared" si="376"/>
        <v>802</v>
      </c>
      <c r="I203" s="1644">
        <f t="shared" si="376"/>
        <v>821</v>
      </c>
      <c r="J203" s="1644">
        <f t="shared" si="376"/>
        <v>883</v>
      </c>
      <c r="K203" s="2057">
        <v>1476</v>
      </c>
      <c r="L203" s="1644">
        <f t="shared" si="376"/>
        <v>1767</v>
      </c>
      <c r="M203" s="1644">
        <f t="shared" si="376"/>
        <v>1454</v>
      </c>
      <c r="N203" s="1644">
        <f t="shared" si="376"/>
        <v>1494</v>
      </c>
      <c r="O203" s="1644">
        <f t="shared" si="376"/>
        <v>1568</v>
      </c>
      <c r="P203" s="1084">
        <f t="shared" si="376"/>
        <v>1493</v>
      </c>
      <c r="Q203" s="1084">
        <f>P206</f>
        <v>1396</v>
      </c>
      <c r="R203" s="1084">
        <f t="shared" si="376"/>
        <v>1335</v>
      </c>
      <c r="S203" s="1644">
        <f t="shared" si="376"/>
        <v>1293</v>
      </c>
      <c r="T203" s="1644">
        <f t="shared" si="376"/>
        <v>1249</v>
      </c>
      <c r="U203" s="1644">
        <f t="shared" si="376"/>
        <v>1193</v>
      </c>
      <c r="V203" s="1644">
        <f t="shared" si="376"/>
        <v>1152</v>
      </c>
      <c r="W203" s="1644">
        <f t="shared" si="376"/>
        <v>1111</v>
      </c>
      <c r="X203" s="1644">
        <f t="shared" si="376"/>
        <v>1043</v>
      </c>
      <c r="Y203" s="1644">
        <f t="shared" si="376"/>
        <v>990</v>
      </c>
      <c r="Z203" s="1644">
        <v>960</v>
      </c>
      <c r="AA203" s="1644">
        <f t="shared" si="376"/>
        <v>960</v>
      </c>
      <c r="AB203" s="1644">
        <f>AA206</f>
        <v>866</v>
      </c>
      <c r="AC203" s="1644">
        <f>AB206</f>
        <v>841</v>
      </c>
      <c r="AD203" s="1644">
        <f>AC206</f>
        <v>821</v>
      </c>
      <c r="AE203" s="1084">
        <f>AD206</f>
        <v>811</v>
      </c>
      <c r="AF203" s="1084">
        <f t="shared" ref="AF203" si="377">AE206</f>
        <v>801</v>
      </c>
      <c r="AG203" s="1084">
        <f>AF206</f>
        <v>791</v>
      </c>
      <c r="AH203" s="1644">
        <f>AG206</f>
        <v>781</v>
      </c>
      <c r="AI203" s="1090"/>
      <c r="AJ203" s="1094"/>
      <c r="AK203" s="1079"/>
      <c r="AL203" s="1683"/>
      <c r="AM203" s="1091"/>
    </row>
    <row r="204" spans="1:44" hidden="1" outlineLevel="2">
      <c r="A204" s="2033" t="s">
        <v>56</v>
      </c>
      <c r="B204" s="1644">
        <v>47</v>
      </c>
      <c r="C204" s="1644">
        <v>50</v>
      </c>
      <c r="D204" s="1644">
        <v>46</v>
      </c>
      <c r="E204" s="1644">
        <v>38</v>
      </c>
      <c r="F204" s="1644">
        <v>65</v>
      </c>
      <c r="G204" s="1644">
        <v>40</v>
      </c>
      <c r="H204" s="1644">
        <v>45</v>
      </c>
      <c r="I204" s="1644">
        <v>80</v>
      </c>
      <c r="J204" s="1644">
        <v>140</v>
      </c>
      <c r="K204" s="2057">
        <v>299</v>
      </c>
      <c r="L204" s="1644">
        <v>349</v>
      </c>
      <c r="M204" s="1644">
        <v>278</v>
      </c>
      <c r="N204" s="1644">
        <v>22</v>
      </c>
      <c r="O204" s="1673">
        <v>10</v>
      </c>
      <c r="P204" s="1084">
        <v>15</v>
      </c>
      <c r="Q204" s="1084">
        <v>34</v>
      </c>
      <c r="R204" s="1084">
        <v>34</v>
      </c>
      <c r="S204" s="1644">
        <v>29</v>
      </c>
      <c r="T204" s="1644">
        <v>13</v>
      </c>
      <c r="U204" s="1644">
        <v>11</v>
      </c>
      <c r="V204" s="1644">
        <v>12</v>
      </c>
      <c r="W204" s="1644">
        <v>25</v>
      </c>
      <c r="X204" s="1644">
        <v>20</v>
      </c>
      <c r="Y204" s="1644">
        <v>38</v>
      </c>
      <c r="Z204" s="1644">
        <v>10</v>
      </c>
      <c r="AA204" s="1644">
        <v>10</v>
      </c>
      <c r="AB204" s="1644">
        <v>0</v>
      </c>
      <c r="AC204" s="1644">
        <v>0</v>
      </c>
      <c r="AD204" s="1645">
        <v>5</v>
      </c>
      <c r="AE204" s="1126">
        <v>5</v>
      </c>
      <c r="AF204" s="1126">
        <v>5</v>
      </c>
      <c r="AG204" s="1126">
        <v>5</v>
      </c>
      <c r="AH204" s="1645">
        <v>5</v>
      </c>
      <c r="AI204" s="1090"/>
      <c r="AJ204" s="1094"/>
      <c r="AK204" s="1079"/>
      <c r="AL204" s="1683"/>
      <c r="AM204" s="1091"/>
      <c r="AP204" s="1074">
        <f>53/75</f>
        <v>0.70666666666666667</v>
      </c>
      <c r="AQ204" s="1809">
        <f>250*0.75</f>
        <v>187.5</v>
      </c>
      <c r="AR204" s="1809">
        <f>AP204*AQ204</f>
        <v>132.5</v>
      </c>
    </row>
    <row r="205" spans="1:44" hidden="1" outlineLevel="2">
      <c r="A205" s="2036" t="s">
        <v>61</v>
      </c>
      <c r="B205" s="1644">
        <v>-17</v>
      </c>
      <c r="C205" s="1644">
        <v>-14</v>
      </c>
      <c r="D205" s="1644">
        <v>-24</v>
      </c>
      <c r="E205" s="1644">
        <v>-84</v>
      </c>
      <c r="F205" s="1644">
        <v>-21</v>
      </c>
      <c r="G205" s="1644">
        <v>-49</v>
      </c>
      <c r="H205" s="1673">
        <v>-26</v>
      </c>
      <c r="I205" s="1673">
        <v>-18</v>
      </c>
      <c r="J205" s="1673">
        <v>-14</v>
      </c>
      <c r="K205" s="2058">
        <v>-8</v>
      </c>
      <c r="L205" s="1673">
        <v>-37</v>
      </c>
      <c r="M205" s="1673">
        <v>-59</v>
      </c>
      <c r="N205" s="1673">
        <v>52</v>
      </c>
      <c r="O205" s="1673">
        <v>-85</v>
      </c>
      <c r="P205" s="1097">
        <v>-112</v>
      </c>
      <c r="Q205" s="1097">
        <v>-95</v>
      </c>
      <c r="R205" s="1097">
        <v>-76</v>
      </c>
      <c r="S205" s="1673">
        <v>-73</v>
      </c>
      <c r="T205" s="1673">
        <v>-69</v>
      </c>
      <c r="U205" s="1673">
        <v>-52</v>
      </c>
      <c r="V205" s="1673">
        <v>-53</v>
      </c>
      <c r="W205" s="1673">
        <v>-93</v>
      </c>
      <c r="X205" s="1673">
        <v>-73</v>
      </c>
      <c r="Y205" s="1673">
        <v>-60</v>
      </c>
      <c r="Z205" s="1673">
        <v>-18</v>
      </c>
      <c r="AA205" s="1673">
        <v>-135</v>
      </c>
      <c r="AB205" s="69">
        <v>-25</v>
      </c>
      <c r="AC205" s="69">
        <v>-20</v>
      </c>
      <c r="AD205" s="1646">
        <v>-15</v>
      </c>
      <c r="AE205" s="1127">
        <v>-15</v>
      </c>
      <c r="AF205" s="1127">
        <v>-15</v>
      </c>
      <c r="AG205" s="1127">
        <v>-15</v>
      </c>
      <c r="AH205" s="1646">
        <v>-15</v>
      </c>
      <c r="AI205" s="1090"/>
      <c r="AJ205" s="1094"/>
      <c r="AK205" s="1079"/>
      <c r="AL205" s="1683"/>
      <c r="AM205" s="1091"/>
    </row>
    <row r="206" spans="1:44" hidden="1" outlineLevel="1" collapsed="1">
      <c r="A206" s="2033" t="s">
        <v>498</v>
      </c>
      <c r="B206" s="1644">
        <f t="shared" ref="B206:Y206" si="378">+SUM(B203:B205)</f>
        <v>755</v>
      </c>
      <c r="C206" s="1644">
        <f t="shared" si="378"/>
        <v>791</v>
      </c>
      <c r="D206" s="1644">
        <f t="shared" si="378"/>
        <v>813</v>
      </c>
      <c r="E206" s="1644">
        <f t="shared" si="378"/>
        <v>767</v>
      </c>
      <c r="F206" s="1644">
        <f t="shared" si="378"/>
        <v>811</v>
      </c>
      <c r="G206" s="1644">
        <f t="shared" si="378"/>
        <v>802</v>
      </c>
      <c r="H206" s="1644">
        <f t="shared" si="378"/>
        <v>821</v>
      </c>
      <c r="I206" s="1644">
        <f t="shared" si="378"/>
        <v>883</v>
      </c>
      <c r="J206" s="1644">
        <f t="shared" si="378"/>
        <v>1009</v>
      </c>
      <c r="K206" s="2057">
        <f t="shared" si="378"/>
        <v>1767</v>
      </c>
      <c r="L206" s="1645">
        <v>1454</v>
      </c>
      <c r="M206" s="1646">
        <v>1494</v>
      </c>
      <c r="N206" s="1673">
        <f t="shared" si="378"/>
        <v>1568</v>
      </c>
      <c r="O206" s="1673">
        <f t="shared" si="378"/>
        <v>1493</v>
      </c>
      <c r="P206" s="1097">
        <f t="shared" si="378"/>
        <v>1396</v>
      </c>
      <c r="Q206" s="1084">
        <f>+SUM(Q203:Q205)</f>
        <v>1335</v>
      </c>
      <c r="R206" s="1084">
        <f t="shared" si="378"/>
        <v>1293</v>
      </c>
      <c r="S206" s="1644">
        <f t="shared" si="378"/>
        <v>1249</v>
      </c>
      <c r="T206" s="1644">
        <f t="shared" si="378"/>
        <v>1193</v>
      </c>
      <c r="U206" s="1644">
        <f t="shared" si="378"/>
        <v>1152</v>
      </c>
      <c r="V206" s="1644">
        <f t="shared" si="378"/>
        <v>1111</v>
      </c>
      <c r="W206" s="1644">
        <f t="shared" si="378"/>
        <v>1043</v>
      </c>
      <c r="X206" s="1644">
        <f t="shared" si="378"/>
        <v>990</v>
      </c>
      <c r="Y206" s="1644">
        <f t="shared" si="378"/>
        <v>968</v>
      </c>
      <c r="Z206" s="1644">
        <v>960</v>
      </c>
      <c r="AA206" s="1644">
        <v>866</v>
      </c>
      <c r="AB206" s="1644">
        <f>+SUM(AB203:AB205)</f>
        <v>841</v>
      </c>
      <c r="AC206" s="1644">
        <f>+SUM(AC203:AC205)</f>
        <v>821</v>
      </c>
      <c r="AD206" s="1644">
        <f>+SUM(AD203:AD205)</f>
        <v>811</v>
      </c>
      <c r="AE206" s="1084">
        <f>+SUM(AE203:AE205)</f>
        <v>801</v>
      </c>
      <c r="AF206" s="1084">
        <f t="shared" ref="AF206:AH206" si="379">+SUM(AF203:AF205)</f>
        <v>791</v>
      </c>
      <c r="AG206" s="1084">
        <f t="shared" si="379"/>
        <v>781</v>
      </c>
      <c r="AH206" s="1644">
        <f t="shared" si="379"/>
        <v>771</v>
      </c>
      <c r="AI206" s="1090"/>
      <c r="AJ206" s="1094">
        <f>((AB206/W206)^(1/5)-1)*100</f>
        <v>-4.2139338624324179</v>
      </c>
      <c r="AK206" s="1110" t="s">
        <v>489</v>
      </c>
      <c r="AL206" s="1683">
        <f>((AH206/AB206)^(1/6)-1)*100</f>
        <v>-1.4379494246014701</v>
      </c>
      <c r="AM206" s="1091" t="s">
        <v>489</v>
      </c>
    </row>
    <row r="207" spans="1:44" hidden="1" outlineLevel="1">
      <c r="A207" s="2033" t="s">
        <v>499</v>
      </c>
      <c r="B207" s="1647">
        <f t="shared" ref="B207:AA207" si="380">(+B206+B203)/2</f>
        <v>740</v>
      </c>
      <c r="C207" s="1647">
        <f t="shared" si="380"/>
        <v>773</v>
      </c>
      <c r="D207" s="1647">
        <f t="shared" si="380"/>
        <v>802</v>
      </c>
      <c r="E207" s="1647">
        <f t="shared" si="380"/>
        <v>790</v>
      </c>
      <c r="F207" s="1647">
        <f t="shared" si="380"/>
        <v>789</v>
      </c>
      <c r="G207" s="1647">
        <f t="shared" si="380"/>
        <v>806.5</v>
      </c>
      <c r="H207" s="1647">
        <f t="shared" si="380"/>
        <v>811.5</v>
      </c>
      <c r="I207" s="1647">
        <f t="shared" si="380"/>
        <v>852</v>
      </c>
      <c r="J207" s="1647">
        <f t="shared" si="380"/>
        <v>946</v>
      </c>
      <c r="K207" s="2059">
        <f t="shared" si="380"/>
        <v>1621.5</v>
      </c>
      <c r="L207" s="1647">
        <f t="shared" si="380"/>
        <v>1610.5</v>
      </c>
      <c r="M207" s="1647">
        <f t="shared" si="380"/>
        <v>1474</v>
      </c>
      <c r="N207" s="1647">
        <f t="shared" si="380"/>
        <v>1531</v>
      </c>
      <c r="O207" s="1647">
        <f t="shared" si="380"/>
        <v>1530.5</v>
      </c>
      <c r="P207" s="1107">
        <f t="shared" si="380"/>
        <v>1444.5</v>
      </c>
      <c r="Q207" s="1107">
        <f t="shared" si="380"/>
        <v>1365.5</v>
      </c>
      <c r="R207" s="1107">
        <f t="shared" si="380"/>
        <v>1314</v>
      </c>
      <c r="S207" s="1647">
        <f t="shared" si="380"/>
        <v>1271</v>
      </c>
      <c r="T207" s="1647">
        <f t="shared" si="380"/>
        <v>1221</v>
      </c>
      <c r="U207" s="1647">
        <f t="shared" si="380"/>
        <v>1172.5</v>
      </c>
      <c r="V207" s="1647">
        <f t="shared" si="380"/>
        <v>1131.5</v>
      </c>
      <c r="W207" s="1647">
        <f t="shared" si="380"/>
        <v>1077</v>
      </c>
      <c r="X207" s="1647">
        <f t="shared" si="380"/>
        <v>1016.5</v>
      </c>
      <c r="Y207" s="1647">
        <f t="shared" si="380"/>
        <v>979</v>
      </c>
      <c r="Z207" s="1647">
        <f t="shared" si="380"/>
        <v>960</v>
      </c>
      <c r="AA207" s="1647">
        <f t="shared" si="380"/>
        <v>913</v>
      </c>
      <c r="AB207" s="1647">
        <f>(+AB206+AB203)/2</f>
        <v>853.5</v>
      </c>
      <c r="AC207" s="1647">
        <f>(+AC206+AC203)/2</f>
        <v>831</v>
      </c>
      <c r="AD207" s="1647">
        <f>(+AD206+AD203)/2</f>
        <v>816</v>
      </c>
      <c r="AE207" s="1107">
        <f>(+AE206+AE203)/2</f>
        <v>806</v>
      </c>
      <c r="AF207" s="1107">
        <f t="shared" ref="AF207:AH207" si="381">(+AF206+AF203)/2</f>
        <v>796</v>
      </c>
      <c r="AG207" s="1107">
        <f t="shared" si="381"/>
        <v>786</v>
      </c>
      <c r="AH207" s="1647">
        <f t="shared" si="381"/>
        <v>776</v>
      </c>
      <c r="AI207" s="1100"/>
      <c r="AJ207" s="1094"/>
      <c r="AK207" s="1128"/>
      <c r="AL207" s="1683"/>
      <c r="AM207" s="1101"/>
    </row>
    <row r="208" spans="1:44" hidden="1" outlineLevel="1">
      <c r="A208" s="2033" t="s">
        <v>500</v>
      </c>
      <c r="B208" s="1648"/>
      <c r="C208" s="1648">
        <f t="shared" ref="C208:AA208" si="382">(C207/B207-1)</f>
        <v>4.4594594594594694E-2</v>
      </c>
      <c r="D208" s="1648">
        <f t="shared" si="382"/>
        <v>3.7516170763260082E-2</v>
      </c>
      <c r="E208" s="1648">
        <f t="shared" si="382"/>
        <v>-1.4962593516209433E-2</v>
      </c>
      <c r="F208" s="1648">
        <f t="shared" si="382"/>
        <v>-1.2658227848101333E-3</v>
      </c>
      <c r="G208" s="1648">
        <f t="shared" si="382"/>
        <v>2.217997465145749E-2</v>
      </c>
      <c r="H208" s="1648">
        <f t="shared" si="382"/>
        <v>6.1996280223186595E-3</v>
      </c>
      <c r="I208" s="1648">
        <f t="shared" si="382"/>
        <v>4.9907578558225474E-2</v>
      </c>
      <c r="J208" s="1648">
        <f t="shared" si="382"/>
        <v>0.11032863849765251</v>
      </c>
      <c r="K208" s="2060">
        <f t="shared" si="382"/>
        <v>0.71405919661733619</v>
      </c>
      <c r="L208" s="1648">
        <f t="shared" si="382"/>
        <v>-6.7838421214924116E-3</v>
      </c>
      <c r="M208" s="1648">
        <f t="shared" si="382"/>
        <v>-8.4756286867432529E-2</v>
      </c>
      <c r="N208" s="1648">
        <f t="shared" si="382"/>
        <v>3.8670284938941757E-2</v>
      </c>
      <c r="O208" s="1648">
        <f t="shared" si="382"/>
        <v>-3.2658393207052328E-4</v>
      </c>
      <c r="P208" s="1089">
        <f t="shared" si="382"/>
        <v>-5.6190787324403746E-2</v>
      </c>
      <c r="Q208" s="1089">
        <f t="shared" si="382"/>
        <v>-5.4690204222914485E-2</v>
      </c>
      <c r="R208" s="1089">
        <f t="shared" si="382"/>
        <v>-3.7715122665690215E-2</v>
      </c>
      <c r="S208" s="1648">
        <f t="shared" si="382"/>
        <v>-3.2724505327245024E-2</v>
      </c>
      <c r="T208" s="1648">
        <f t="shared" si="382"/>
        <v>-3.933910306845001E-2</v>
      </c>
      <c r="U208" s="1648">
        <f t="shared" si="382"/>
        <v>-3.9721539721539689E-2</v>
      </c>
      <c r="V208" s="1648">
        <f t="shared" si="382"/>
        <v>-3.4968017057569245E-2</v>
      </c>
      <c r="W208" s="1648">
        <f t="shared" si="382"/>
        <v>-4.8166151126822765E-2</v>
      </c>
      <c r="X208" s="1648">
        <f t="shared" si="382"/>
        <v>-5.6174558960074283E-2</v>
      </c>
      <c r="Y208" s="1648">
        <f t="shared" si="382"/>
        <v>-3.6891293654697455E-2</v>
      </c>
      <c r="Z208" s="1648">
        <f t="shared" si="382"/>
        <v>-1.9407558733401387E-2</v>
      </c>
      <c r="AA208" s="1648">
        <f t="shared" si="382"/>
        <v>-4.8958333333333326E-2</v>
      </c>
      <c r="AB208" s="1648">
        <f>(AB207/AA207-1)</f>
        <v>-6.516976998904711E-2</v>
      </c>
      <c r="AC208" s="1648">
        <f>(AC207/AB207-1)</f>
        <v>-2.6362038664323406E-2</v>
      </c>
      <c r="AD208" s="1648">
        <f>(AD207/AC207-1)</f>
        <v>-1.8050541516245522E-2</v>
      </c>
      <c r="AE208" s="1089">
        <f>(AE207/AD207-1)</f>
        <v>-1.225490196078427E-2</v>
      </c>
      <c r="AF208" s="1089">
        <f t="shared" ref="AF208" si="383">(AF207/AE207-1)</f>
        <v>-1.2406947890818865E-2</v>
      </c>
      <c r="AG208" s="1089">
        <f>(AG207/AF207-1)</f>
        <v>-1.2562814070351758E-2</v>
      </c>
      <c r="AH208" s="1648">
        <f>(AH207/AG207-1)</f>
        <v>-1.2722646310432517E-2</v>
      </c>
      <c r="AI208" s="1090"/>
      <c r="AJ208" s="1094"/>
      <c r="AK208" s="1079"/>
      <c r="AL208" s="1683"/>
      <c r="AM208" s="1091"/>
    </row>
    <row r="209" spans="1:39" hidden="1" outlineLevel="1">
      <c r="A209" s="1651"/>
      <c r="B209" s="1651"/>
      <c r="C209" s="1651"/>
      <c r="D209" s="1651"/>
      <c r="E209" s="1651"/>
      <c r="F209" s="1651"/>
      <c r="G209" s="1651"/>
      <c r="H209" s="1648"/>
      <c r="I209" s="1648"/>
      <c r="J209" s="1651"/>
      <c r="K209" s="1651"/>
      <c r="L209" s="1651"/>
      <c r="M209" s="1651"/>
      <c r="N209" s="1651"/>
      <c r="O209" s="1651"/>
      <c r="P209" s="1069"/>
      <c r="Q209" s="1069"/>
      <c r="R209" s="1069"/>
      <c r="S209" s="1651"/>
      <c r="T209" s="1651"/>
      <c r="U209" s="1651"/>
      <c r="V209" s="1651"/>
      <c r="W209" s="1651"/>
      <c r="X209" s="1651"/>
      <c r="Y209" s="1651"/>
      <c r="Z209" s="1651"/>
      <c r="AA209" s="1651"/>
      <c r="AB209" s="1651"/>
      <c r="AC209" s="1651"/>
      <c r="AD209" s="1651"/>
      <c r="AE209" s="1069"/>
      <c r="AF209" s="1069"/>
      <c r="AG209" s="1069"/>
      <c r="AH209" s="1651"/>
      <c r="AI209" s="1090"/>
      <c r="AJ209" s="1094"/>
      <c r="AK209" s="1079"/>
      <c r="AL209" s="1683"/>
      <c r="AM209" s="1091"/>
    </row>
    <row r="210" spans="1:39" hidden="1" outlineLevel="1">
      <c r="A210" s="2033" t="s">
        <v>62</v>
      </c>
      <c r="B210" s="1649">
        <f t="shared" ref="B210:AD210" si="384">(B196)/B207</f>
        <v>2.0405405405405403</v>
      </c>
      <c r="C210" s="1649">
        <f t="shared" si="384"/>
        <v>2.3997412677878396</v>
      </c>
      <c r="D210" s="1649">
        <f t="shared" si="384"/>
        <v>2.5997506234413965</v>
      </c>
      <c r="E210" s="1649">
        <f t="shared" si="384"/>
        <v>2.6645569620253164</v>
      </c>
      <c r="F210" s="1649">
        <f t="shared" si="384"/>
        <v>2.7477820025348541</v>
      </c>
      <c r="G210" s="1649">
        <f t="shared" si="384"/>
        <v>2.7526348419094853</v>
      </c>
      <c r="H210" s="1649">
        <f t="shared" si="384"/>
        <v>2.8699938385705486</v>
      </c>
      <c r="I210" s="1649">
        <f t="shared" si="384"/>
        <v>3.1338028169014085</v>
      </c>
      <c r="J210" s="1649">
        <f t="shared" si="384"/>
        <v>3.5676532769556024</v>
      </c>
      <c r="K210" s="1649">
        <f t="shared" si="384"/>
        <v>3.0218933086648163</v>
      </c>
      <c r="L210" s="1649">
        <f t="shared" si="384"/>
        <v>3.6628376280658181</v>
      </c>
      <c r="M210" s="1649">
        <f t="shared" si="384"/>
        <v>3.8059701492537314</v>
      </c>
      <c r="N210" s="1649">
        <f t="shared" si="384"/>
        <v>3.5506205094709342</v>
      </c>
      <c r="O210" s="1649">
        <f t="shared" si="384"/>
        <v>3.7745834694544267</v>
      </c>
      <c r="P210" s="1102">
        <f t="shared" si="384"/>
        <v>3.9778470058843891</v>
      </c>
      <c r="Q210" s="1102">
        <f t="shared" si="384"/>
        <v>3.9611863786158916</v>
      </c>
      <c r="R210" s="1102">
        <f t="shared" si="384"/>
        <v>3.9071537290715375</v>
      </c>
      <c r="S210" s="1649">
        <f t="shared" si="384"/>
        <v>3.7907159716758456</v>
      </c>
      <c r="T210" s="1649">
        <f t="shared" si="384"/>
        <v>3.4144144144144146</v>
      </c>
      <c r="U210" s="1649">
        <f t="shared" si="384"/>
        <v>3.2579957356076759</v>
      </c>
      <c r="V210" s="1649">
        <f t="shared" si="384"/>
        <v>3.3539549270879365</v>
      </c>
      <c r="W210" s="1649">
        <f t="shared" si="384"/>
        <v>4.857938718662953</v>
      </c>
      <c r="X210" s="1649">
        <f t="shared" si="384"/>
        <v>6.1524840137727494</v>
      </c>
      <c r="Y210" s="1649">
        <f t="shared" si="384"/>
        <v>6.4872318692543409</v>
      </c>
      <c r="Z210" s="1649">
        <f t="shared" si="384"/>
        <v>6.421875</v>
      </c>
      <c r="AA210" s="1649">
        <f t="shared" si="384"/>
        <v>6.2990142387732746</v>
      </c>
      <c r="AB210" s="1649">
        <f t="shared" si="384"/>
        <v>6.391329818394845</v>
      </c>
      <c r="AC210" s="1649">
        <f t="shared" si="384"/>
        <v>6.3575270758122739</v>
      </c>
      <c r="AD210" s="1649">
        <f t="shared" si="384"/>
        <v>6.3449055147058813</v>
      </c>
      <c r="AE210" s="1102">
        <f>(AE196)/AE207</f>
        <v>6.2951538982630257</v>
      </c>
      <c r="AF210" s="1102">
        <f t="shared" ref="AF210:AH210" si="385">(AF196)/AF207</f>
        <v>6.2467539713065321</v>
      </c>
      <c r="AG210" s="1102">
        <f t="shared" si="385"/>
        <v>6.1997046284183206</v>
      </c>
      <c r="AH210" s="1649">
        <f t="shared" si="385"/>
        <v>6.1540057747139993</v>
      </c>
      <c r="AI210" s="1090"/>
      <c r="AJ210" s="1094"/>
      <c r="AK210" s="1079"/>
      <c r="AL210" s="1683"/>
      <c r="AM210" s="1091"/>
    </row>
    <row r="211" spans="1:39" hidden="1" outlineLevel="1">
      <c r="A211" s="2033" t="s">
        <v>490</v>
      </c>
      <c r="B211" s="1650"/>
      <c r="C211" s="1650">
        <f t="shared" ref="C211:AA211" si="386">C210/B210-1</f>
        <v>0.17603214447880888</v>
      </c>
      <c r="D211" s="1650">
        <f t="shared" si="386"/>
        <v>8.3346216668571227E-2</v>
      </c>
      <c r="E211" s="1650">
        <f t="shared" si="386"/>
        <v>2.4927905776644499E-2</v>
      </c>
      <c r="F211" s="1650">
        <f t="shared" si="386"/>
        <v>3.1234100713793289E-2</v>
      </c>
      <c r="G211" s="1650">
        <f t="shared" si="386"/>
        <v>1.7660932963947662E-3</v>
      </c>
      <c r="H211" s="1650">
        <f t="shared" si="386"/>
        <v>4.2635149012228535E-2</v>
      </c>
      <c r="I211" s="1650">
        <f t="shared" si="386"/>
        <v>9.1919701981748814E-2</v>
      </c>
      <c r="J211" s="1650">
        <f t="shared" si="386"/>
        <v>0.13844216927572028</v>
      </c>
      <c r="K211" s="1650">
        <f t="shared" si="386"/>
        <v>-0.15297449777869143</v>
      </c>
      <c r="L211" s="1650">
        <f t="shared" si="386"/>
        <v>0.2121002477364744</v>
      </c>
      <c r="M211" s="1650">
        <f t="shared" si="386"/>
        <v>3.9076949546217099E-2</v>
      </c>
      <c r="N211" s="1650">
        <f t="shared" si="386"/>
        <v>-6.7091866139009415E-2</v>
      </c>
      <c r="O211" s="1650">
        <f t="shared" si="386"/>
        <v>6.3077132401531788E-2</v>
      </c>
      <c r="P211" s="1103">
        <f t="shared" si="386"/>
        <v>5.3850587243561954E-2</v>
      </c>
      <c r="Q211" s="1103">
        <f t="shared" si="386"/>
        <v>-4.1883529567254829E-3</v>
      </c>
      <c r="R211" s="1103">
        <f t="shared" si="386"/>
        <v>-1.3640521899207947E-2</v>
      </c>
      <c r="S211" s="1650">
        <f t="shared" si="386"/>
        <v>-2.9801171253981074E-2</v>
      </c>
      <c r="T211" s="1650">
        <f t="shared" si="386"/>
        <v>-9.9269256803503292E-2</v>
      </c>
      <c r="U211" s="1650">
        <f t="shared" si="386"/>
        <v>-4.5811275323345613E-2</v>
      </c>
      <c r="V211" s="1650">
        <f t="shared" si="386"/>
        <v>2.9453442934713525E-2</v>
      </c>
      <c r="W211" s="1650">
        <f t="shared" si="386"/>
        <v>0.44842099082137832</v>
      </c>
      <c r="X211" s="1650">
        <f t="shared" si="386"/>
        <v>0.26648036751400062</v>
      </c>
      <c r="Y211" s="1650">
        <f t="shared" si="386"/>
        <v>5.4408569730898249E-2</v>
      </c>
      <c r="Z211" s="1650">
        <f t="shared" si="386"/>
        <v>-1.0074692961738241E-2</v>
      </c>
      <c r="AA211" s="1650">
        <f t="shared" si="386"/>
        <v>-1.9131602721436547E-2</v>
      </c>
      <c r="AB211" s="1650">
        <f>AB210/AA210-1</f>
        <v>1.4655559762561943E-2</v>
      </c>
      <c r="AC211" s="1650">
        <f>AC210/AB210-1</f>
        <v>-5.2888434086570957E-3</v>
      </c>
      <c r="AD211" s="1650">
        <f>AD210/AC210-1</f>
        <v>-1.9852941176471406E-3</v>
      </c>
      <c r="AE211" s="1103">
        <f>AE210/AD210-1</f>
        <v>-7.8411910669975438E-3</v>
      </c>
      <c r="AF211" s="1103">
        <f t="shared" ref="AF211" si="387">AF210/AE210-1</f>
        <v>-7.6884422110551354E-3</v>
      </c>
      <c r="AG211" s="1103">
        <f>AG210/AF210-1</f>
        <v>-7.5318066157760155E-3</v>
      </c>
      <c r="AH211" s="1650">
        <f>AH210/AG210-1</f>
        <v>-7.3711340206186193E-3</v>
      </c>
      <c r="AI211" s="1090"/>
      <c r="AJ211" s="1094"/>
      <c r="AK211" s="1079"/>
      <c r="AL211" s="1683"/>
      <c r="AM211" s="1091"/>
    </row>
    <row r="212" spans="1:39" hidden="1" outlineLevel="1">
      <c r="A212" s="1651"/>
      <c r="B212" s="1651"/>
      <c r="C212" s="1651"/>
      <c r="D212" s="1651"/>
      <c r="E212" s="1651"/>
      <c r="F212" s="1651"/>
      <c r="G212" s="1651"/>
      <c r="H212" s="1651"/>
      <c r="I212" s="1651"/>
      <c r="J212" s="1651"/>
      <c r="K212" s="1651"/>
      <c r="L212" s="1651"/>
      <c r="M212" s="1651"/>
      <c r="N212" s="1651"/>
      <c r="O212" s="1651"/>
      <c r="P212" s="1069"/>
      <c r="Q212" s="1069"/>
      <c r="R212" s="1069"/>
      <c r="S212" s="1651"/>
      <c r="T212" s="1651"/>
      <c r="U212" s="1651"/>
      <c r="V212" s="1651"/>
      <c r="W212" s="1651"/>
      <c r="X212" s="1651"/>
      <c r="Y212" s="1651"/>
      <c r="Z212" s="1651"/>
      <c r="AA212" s="1651"/>
      <c r="AB212" s="1651"/>
      <c r="AC212" s="1651"/>
      <c r="AD212" s="1651"/>
      <c r="AE212" s="1069"/>
      <c r="AF212" s="1069"/>
      <c r="AG212" s="1069"/>
      <c r="AH212" s="1651"/>
      <c r="AI212" s="1090"/>
      <c r="AJ212" s="1094"/>
      <c r="AK212" s="1079"/>
      <c r="AL212" s="1683"/>
      <c r="AM212" s="1091"/>
    </row>
    <row r="213" spans="1:39" hidden="1" outlineLevel="1">
      <c r="A213" s="2033" t="s">
        <v>502</v>
      </c>
      <c r="B213" s="2049"/>
      <c r="C213" s="1652">
        <f t="shared" ref="C213:J213" si="388">+(B216+C216)/2</f>
        <v>2.3753876777251186</v>
      </c>
      <c r="D213" s="1652">
        <f t="shared" si="388"/>
        <v>5.0731945270401866</v>
      </c>
      <c r="E213" s="1652">
        <f t="shared" si="388"/>
        <v>5.6125513469227233</v>
      </c>
      <c r="F213" s="1652">
        <f t="shared" si="388"/>
        <v>6.1671377711502569</v>
      </c>
      <c r="G213" s="1652">
        <f t="shared" si="388"/>
        <v>6.791156022988277</v>
      </c>
      <c r="H213" s="1652">
        <f t="shared" si="388"/>
        <v>7.2888781012580424</v>
      </c>
      <c r="I213" s="1652">
        <f t="shared" si="388"/>
        <v>7.844246982460696</v>
      </c>
      <c r="J213" s="1652">
        <f t="shared" si="388"/>
        <v>8.6064770194367561</v>
      </c>
      <c r="K213" s="1652">
        <v>9.65</v>
      </c>
      <c r="L213" s="1652">
        <f t="shared" ref="L213:AA213" si="389">+(K216+L216)/2</f>
        <v>11.2</v>
      </c>
      <c r="M213" s="1652">
        <f t="shared" si="389"/>
        <v>12.649999999999999</v>
      </c>
      <c r="N213" s="1652">
        <f t="shared" si="389"/>
        <v>13.2</v>
      </c>
      <c r="O213" s="1652">
        <f t="shared" si="389"/>
        <v>12.947427000000001</v>
      </c>
      <c r="P213" s="1104">
        <f t="shared" si="389"/>
        <v>12.847427</v>
      </c>
      <c r="Q213" s="1104">
        <f t="shared" si="389"/>
        <v>12.8</v>
      </c>
      <c r="R213" s="1104">
        <f t="shared" si="389"/>
        <v>12.5</v>
      </c>
      <c r="S213" s="1652">
        <f t="shared" si="389"/>
        <v>12.3</v>
      </c>
      <c r="T213" s="1652">
        <f t="shared" si="389"/>
        <v>12</v>
      </c>
      <c r="U213" s="1652">
        <f t="shared" si="389"/>
        <v>11.65</v>
      </c>
      <c r="V213" s="1652">
        <f t="shared" si="389"/>
        <v>11.3</v>
      </c>
      <c r="W213" s="1652">
        <f t="shared" si="389"/>
        <v>10.899999999999999</v>
      </c>
      <c r="X213" s="1652">
        <f t="shared" si="389"/>
        <v>10.45</v>
      </c>
      <c r="Y213" s="1652">
        <f t="shared" si="389"/>
        <v>10.149999999999999</v>
      </c>
      <c r="Z213" s="1652">
        <f t="shared" si="389"/>
        <v>10.050000000000001</v>
      </c>
      <c r="AA213" s="1652">
        <f t="shared" si="389"/>
        <v>9.5500000000000007</v>
      </c>
      <c r="AB213" s="1652">
        <f>+(AA216+AB216)/2</f>
        <v>8.9499999999999993</v>
      </c>
      <c r="AC213" s="1652">
        <f>+(AB216+AC216)/2</f>
        <v>8.5950000000000006</v>
      </c>
      <c r="AD213" s="1652">
        <f>+(AC216+AD216)/2</f>
        <v>8.34</v>
      </c>
      <c r="AE213" s="1104">
        <f>+(AD216+AE216)/2</f>
        <v>8.240000000000002</v>
      </c>
      <c r="AF213" s="1104">
        <f t="shared" ref="AF213" si="390">+(AE216+AF216)/2</f>
        <v>8.14</v>
      </c>
      <c r="AG213" s="1104">
        <f>+(AF216+AG216)/2</f>
        <v>8.0400000000000027</v>
      </c>
      <c r="AH213" s="1652">
        <f>+(AG216+AH216)/2</f>
        <v>7.9400000000000022</v>
      </c>
      <c r="AI213" s="1090"/>
      <c r="AJ213" s="1094">
        <f>((AB213/W213)^(1/5)-1)*100</f>
        <v>-3.8654921162929456</v>
      </c>
      <c r="AK213" s="1110" t="s">
        <v>489</v>
      </c>
      <c r="AL213" s="1683">
        <f>((AH213/AB213)^(1/6)-1)*100</f>
        <v>-1.9758892488614066</v>
      </c>
      <c r="AM213" s="1091" t="s">
        <v>489</v>
      </c>
    </row>
    <row r="214" spans="1:39" hidden="1" outlineLevel="1">
      <c r="A214" s="2033" t="s">
        <v>490</v>
      </c>
      <c r="B214" s="1648"/>
      <c r="C214" s="1648"/>
      <c r="D214" s="1648"/>
      <c r="E214" s="1648">
        <f t="shared" ref="E214:AA214" si="391">E213/D213-1</f>
        <v>0.10631502833328366</v>
      </c>
      <c r="F214" s="1648">
        <f t="shared" si="391"/>
        <v>9.8811821923304954E-2</v>
      </c>
      <c r="G214" s="1648">
        <f t="shared" si="391"/>
        <v>0.10118441893047447</v>
      </c>
      <c r="H214" s="1648">
        <f t="shared" si="391"/>
        <v>7.3289742804459213E-2</v>
      </c>
      <c r="I214" s="1648">
        <f t="shared" si="391"/>
        <v>7.6194014152438427E-2</v>
      </c>
      <c r="J214" s="1648">
        <f t="shared" si="391"/>
        <v>9.7170581023310998E-2</v>
      </c>
      <c r="K214" s="1648">
        <f t="shared" si="391"/>
        <v>0.12124856409963858</v>
      </c>
      <c r="L214" s="1648">
        <f t="shared" si="391"/>
        <v>0.16062176165803099</v>
      </c>
      <c r="M214" s="1648">
        <f t="shared" si="391"/>
        <v>0.12946428571428559</v>
      </c>
      <c r="N214" s="1648">
        <f t="shared" si="391"/>
        <v>4.3478260869565188E-2</v>
      </c>
      <c r="O214" s="1648">
        <f t="shared" si="391"/>
        <v>-1.9134318181817989E-2</v>
      </c>
      <c r="P214" s="1089">
        <f t="shared" si="391"/>
        <v>-7.7235422914531116E-3</v>
      </c>
      <c r="Q214" s="1089">
        <f t="shared" si="391"/>
        <v>-3.6915562937231972E-3</v>
      </c>
      <c r="R214" s="1089">
        <f t="shared" si="391"/>
        <v>-2.34375E-2</v>
      </c>
      <c r="S214" s="1648">
        <f t="shared" si="391"/>
        <v>-1.5999999999999903E-2</v>
      </c>
      <c r="T214" s="1648">
        <f t="shared" si="391"/>
        <v>-2.4390243902439046E-2</v>
      </c>
      <c r="U214" s="1648">
        <f t="shared" si="391"/>
        <v>-2.9166666666666674E-2</v>
      </c>
      <c r="V214" s="1648">
        <f t="shared" si="391"/>
        <v>-3.0042918454935563E-2</v>
      </c>
      <c r="W214" s="1648">
        <f>W213/V213-1</f>
        <v>-3.5398230088495741E-2</v>
      </c>
      <c r="X214" s="1648">
        <f t="shared" si="391"/>
        <v>-4.1284403669724745E-2</v>
      </c>
      <c r="Y214" s="1648">
        <f t="shared" si="391"/>
        <v>-2.8708133971291905E-2</v>
      </c>
      <c r="Z214" s="1648">
        <f t="shared" si="391"/>
        <v>-9.8522167487682388E-3</v>
      </c>
      <c r="AA214" s="1648">
        <f t="shared" si="391"/>
        <v>-4.9751243781094523E-2</v>
      </c>
      <c r="AB214" s="1648">
        <f>AB213/AA213-1</f>
        <v>-6.282722513089023E-2</v>
      </c>
      <c r="AC214" s="1648">
        <f>AC213/AB213-1</f>
        <v>-3.9664804469273562E-2</v>
      </c>
      <c r="AD214" s="1648">
        <f>AD213/AC213-1</f>
        <v>-2.9668411867364797E-2</v>
      </c>
      <c r="AE214" s="1089">
        <f>AE213/AD213-1</f>
        <v>-1.1990407673860615E-2</v>
      </c>
      <c r="AF214" s="1089">
        <f t="shared" ref="AF214" si="392">AF213/AE213-1</f>
        <v>-1.2135922330097304E-2</v>
      </c>
      <c r="AG214" s="1089">
        <f>AG213/AF213-1</f>
        <v>-1.2285012285011998E-2</v>
      </c>
      <c r="AH214" s="1648">
        <f>AH213/AG213-1</f>
        <v>-1.2437810945273742E-2</v>
      </c>
      <c r="AI214" s="1090"/>
      <c r="AJ214" s="1094"/>
      <c r="AK214" s="1079"/>
      <c r="AL214" s="1683"/>
      <c r="AM214" s="1091"/>
    </row>
    <row r="215" spans="1:39" hidden="1" outlineLevel="1">
      <c r="A215" s="1651"/>
      <c r="B215" s="1651"/>
      <c r="C215" s="1651"/>
      <c r="D215" s="1651"/>
      <c r="E215" s="1651"/>
      <c r="F215" s="1651"/>
      <c r="G215" s="1651"/>
      <c r="H215" s="1651"/>
      <c r="I215" s="1651"/>
      <c r="J215" s="1651"/>
      <c r="K215" s="1651"/>
      <c r="L215" s="1651"/>
      <c r="M215" s="1651"/>
      <c r="N215" s="1651"/>
      <c r="O215" s="1651"/>
      <c r="P215" s="1069"/>
      <c r="Q215" s="1069"/>
      <c r="R215" s="1069"/>
      <c r="S215" s="1651"/>
      <c r="T215" s="1651"/>
      <c r="U215" s="1651"/>
      <c r="V215" s="1651"/>
      <c r="W215" s="1651"/>
      <c r="X215" s="1651"/>
      <c r="Y215" s="1651"/>
      <c r="Z215" s="1651"/>
      <c r="AA215" s="1651"/>
      <c r="AB215" s="1651"/>
      <c r="AC215" s="1651"/>
      <c r="AD215" s="1651"/>
      <c r="AE215" s="1069"/>
      <c r="AF215" s="1069"/>
      <c r="AG215" s="1069"/>
      <c r="AH215" s="1651"/>
      <c r="AI215" s="1090"/>
      <c r="AJ215" s="1094"/>
      <c r="AK215" s="1079"/>
      <c r="AL215" s="1683"/>
      <c r="AM215" s="1091"/>
    </row>
    <row r="216" spans="1:39" hidden="1" outlineLevel="1">
      <c r="A216" s="2033" t="s">
        <v>503</v>
      </c>
      <c r="B216" s="2061"/>
      <c r="C216" s="1653">
        <v>4.7507753554502372</v>
      </c>
      <c r="D216" s="1653">
        <v>5.3956136986301368</v>
      </c>
      <c r="E216" s="1653">
        <v>5.8294889952153106</v>
      </c>
      <c r="F216" s="1653">
        <v>6.5047865470852022</v>
      </c>
      <c r="G216" s="1653">
        <v>7.0775254988913527</v>
      </c>
      <c r="H216" s="1653">
        <v>7.5002307036247329</v>
      </c>
      <c r="I216" s="1653">
        <v>8.1882632612966599</v>
      </c>
      <c r="J216" s="1653">
        <v>9.0246907775768523</v>
      </c>
      <c r="K216" s="1653">
        <v>10.3</v>
      </c>
      <c r="L216" s="1653">
        <v>12.1</v>
      </c>
      <c r="M216" s="1653">
        <v>13.2</v>
      </c>
      <c r="N216" s="1653">
        <v>13.2</v>
      </c>
      <c r="O216" s="1653">
        <v>12.694854000000001</v>
      </c>
      <c r="P216" s="1129">
        <v>13</v>
      </c>
      <c r="Q216" s="1129">
        <v>12.6</v>
      </c>
      <c r="R216" s="1129">
        <v>12.4</v>
      </c>
      <c r="S216" s="1653">
        <v>12.2</v>
      </c>
      <c r="T216" s="1653">
        <v>11.8</v>
      </c>
      <c r="U216" s="1653">
        <v>11.5</v>
      </c>
      <c r="V216" s="1653">
        <v>11.1</v>
      </c>
      <c r="W216" s="1653">
        <v>10.7</v>
      </c>
      <c r="X216" s="1653">
        <v>10.199999999999999</v>
      </c>
      <c r="Y216" s="1653">
        <v>10.1</v>
      </c>
      <c r="Z216" s="1653">
        <v>10</v>
      </c>
      <c r="AA216" s="1653">
        <v>9.1</v>
      </c>
      <c r="AB216" s="1653">
        <v>8.8000000000000007</v>
      </c>
      <c r="AC216" s="1653">
        <v>8.39</v>
      </c>
      <c r="AD216" s="1659">
        <f>AC216+((AD204+AD205)*AD228/1000000)</f>
        <v>8.2900000000000009</v>
      </c>
      <c r="AE216" s="1130">
        <f>AD216+((AE204+AE205)*AE228/1000000)</f>
        <v>8.1900000000000013</v>
      </c>
      <c r="AF216" s="1130">
        <f t="shared" ref="AF216" si="393">AE216+((AF204+AF205)*AF228/1000000)</f>
        <v>8.0900000000000016</v>
      </c>
      <c r="AG216" s="1130">
        <f>AF216+((AG204+AG205)*AG228/1000000)</f>
        <v>7.990000000000002</v>
      </c>
      <c r="AH216" s="1659">
        <f>AG216+((AH204+AH205)*AH228/1000000)</f>
        <v>7.8900000000000023</v>
      </c>
      <c r="AI216" s="1090"/>
      <c r="AJ216" s="1094">
        <f>((AB216/W216)^(1/5)-1)*100</f>
        <v>-3.8343926310950738</v>
      </c>
      <c r="AK216" s="1110" t="s">
        <v>489</v>
      </c>
      <c r="AL216" s="1683">
        <f>((AH216/AB216)^(1/6)-1)*100</f>
        <v>-1.8028111452433548</v>
      </c>
      <c r="AM216" s="1091" t="s">
        <v>489</v>
      </c>
    </row>
    <row r="217" spans="1:39" hidden="1" outlineLevel="1">
      <c r="A217" s="2033" t="s">
        <v>490</v>
      </c>
      <c r="B217" s="1648"/>
      <c r="C217" s="1648"/>
      <c r="D217" s="1648">
        <f t="shared" ref="D217:AA217" si="394">D216/C216-1</f>
        <v>0.13573328455535605</v>
      </c>
      <c r="E217" s="1648">
        <f t="shared" si="394"/>
        <v>8.0412594529391201E-2</v>
      </c>
      <c r="F217" s="1648">
        <f t="shared" si="394"/>
        <v>0.1158416376502569</v>
      </c>
      <c r="G217" s="1648">
        <f t="shared" si="394"/>
        <v>8.804884643951838E-2</v>
      </c>
      <c r="H217" s="1648">
        <f t="shared" si="394"/>
        <v>5.9724999196342665E-2</v>
      </c>
      <c r="I217" s="1648">
        <f t="shared" si="394"/>
        <v>9.1734852547857404E-2</v>
      </c>
      <c r="J217" s="1648">
        <f t="shared" si="394"/>
        <v>0.10214956329429725</v>
      </c>
      <c r="K217" s="1648">
        <f t="shared" si="394"/>
        <v>0.14131334290054998</v>
      </c>
      <c r="L217" s="1648">
        <f t="shared" si="394"/>
        <v>0.17475728155339798</v>
      </c>
      <c r="M217" s="1648">
        <f t="shared" si="394"/>
        <v>9.0909090909090828E-2</v>
      </c>
      <c r="N217" s="1648">
        <f t="shared" si="394"/>
        <v>0</v>
      </c>
      <c r="O217" s="1648">
        <f t="shared" si="394"/>
        <v>-3.8268636363636199E-2</v>
      </c>
      <c r="P217" s="1089">
        <f t="shared" si="394"/>
        <v>2.4036983804618606E-2</v>
      </c>
      <c r="Q217" s="1089">
        <f t="shared" si="394"/>
        <v>-3.0769230769230771E-2</v>
      </c>
      <c r="R217" s="1089">
        <f t="shared" si="394"/>
        <v>-1.5873015873015817E-2</v>
      </c>
      <c r="S217" s="1648">
        <f t="shared" si="394"/>
        <v>-1.6129032258064613E-2</v>
      </c>
      <c r="T217" s="1648">
        <f t="shared" si="394"/>
        <v>-3.2786885245901565E-2</v>
      </c>
      <c r="U217" s="1648">
        <f t="shared" si="394"/>
        <v>-2.5423728813559365E-2</v>
      </c>
      <c r="V217" s="1648">
        <f t="shared" si="394"/>
        <v>-3.4782608695652195E-2</v>
      </c>
      <c r="W217" s="1648">
        <f t="shared" si="394"/>
        <v>-3.6036036036036112E-2</v>
      </c>
      <c r="X217" s="1648">
        <f t="shared" si="394"/>
        <v>-4.6728971962616828E-2</v>
      </c>
      <c r="Y217" s="1648">
        <f t="shared" si="394"/>
        <v>-9.8039215686274161E-3</v>
      </c>
      <c r="Z217" s="1648">
        <f t="shared" si="394"/>
        <v>-9.9009900990099098E-3</v>
      </c>
      <c r="AA217" s="1648">
        <f t="shared" si="394"/>
        <v>-9.000000000000008E-2</v>
      </c>
      <c r="AB217" s="1648">
        <f>AB216/AA216-1</f>
        <v>-3.296703296703285E-2</v>
      </c>
      <c r="AC217" s="1648">
        <f>AC216/AB216-1</f>
        <v>-4.6590909090909127E-2</v>
      </c>
      <c r="AD217" s="1648">
        <f>AD216/AC216-1</f>
        <v>-1.1918951132300348E-2</v>
      </c>
      <c r="AE217" s="1089">
        <f>AE216/AD216-1</f>
        <v>-1.2062726176115812E-2</v>
      </c>
      <c r="AF217" s="1089">
        <f t="shared" ref="AF217" si="395">AF216/AE216-1</f>
        <v>-1.2210012210012167E-2</v>
      </c>
      <c r="AG217" s="1089">
        <f>AG216/AF216-1</f>
        <v>-1.2360939431396711E-2</v>
      </c>
      <c r="AH217" s="1648">
        <f>AH216/AG216-1</f>
        <v>-1.2515644555694538E-2</v>
      </c>
      <c r="AI217" s="1090"/>
      <c r="AJ217" s="1094"/>
      <c r="AK217" s="1079"/>
      <c r="AL217" s="1683"/>
      <c r="AM217" s="1091"/>
    </row>
    <row r="218" spans="1:39" hidden="1" outlineLevel="1">
      <c r="A218" s="1651"/>
      <c r="B218" s="1651"/>
      <c r="C218" s="1651"/>
      <c r="D218" s="1651"/>
      <c r="E218" s="1651"/>
      <c r="F218" s="1651"/>
      <c r="G218" s="1651"/>
      <c r="H218" s="1651"/>
      <c r="I218" s="1651"/>
      <c r="J218" s="1651"/>
      <c r="K218" s="1651"/>
      <c r="L218" s="1651"/>
      <c r="M218" s="1651"/>
      <c r="N218" s="1651"/>
      <c r="O218" s="1651"/>
      <c r="P218" s="1069"/>
      <c r="Q218" s="1069"/>
      <c r="R218" s="1069"/>
      <c r="S218" s="1651"/>
      <c r="T218" s="1651"/>
      <c r="U218" s="1651"/>
      <c r="V218" s="1651"/>
      <c r="W218" s="1651"/>
      <c r="X218" s="1651"/>
      <c r="Y218" s="1651"/>
      <c r="Z218" s="1651"/>
      <c r="AA218" s="1651"/>
      <c r="AB218" s="1651"/>
      <c r="AC218" s="1651"/>
      <c r="AD218" s="1651"/>
      <c r="AE218" s="1069"/>
      <c r="AF218" s="1069"/>
      <c r="AG218" s="1069"/>
      <c r="AH218" s="1651"/>
      <c r="AI218" s="1090"/>
      <c r="AJ218" s="1094"/>
      <c r="AK218" s="1079"/>
      <c r="AL218" s="1683"/>
      <c r="AM218" s="1091"/>
    </row>
    <row r="219" spans="1:39" hidden="1" outlineLevel="1">
      <c r="A219" s="2033" t="s">
        <v>504</v>
      </c>
      <c r="B219" s="1647"/>
      <c r="C219" s="1647">
        <f t="shared" ref="C219:AD219" si="396">C216/C206*1000000</f>
        <v>6006.0371118207804</v>
      </c>
      <c r="D219" s="1647">
        <f t="shared" si="396"/>
        <v>6636.6712160272282</v>
      </c>
      <c r="E219" s="1647">
        <f t="shared" si="396"/>
        <v>7600.3767864606398</v>
      </c>
      <c r="F219" s="1647">
        <f t="shared" si="396"/>
        <v>8020.698578403455</v>
      </c>
      <c r="G219" s="1647">
        <f t="shared" si="396"/>
        <v>8824.8447617099155</v>
      </c>
      <c r="H219" s="1647">
        <f t="shared" si="396"/>
        <v>9135.4819776184322</v>
      </c>
      <c r="I219" s="1647">
        <f t="shared" si="396"/>
        <v>9273.2313264967852</v>
      </c>
      <c r="J219" s="1647">
        <f t="shared" si="396"/>
        <v>8944.1930402149173</v>
      </c>
      <c r="K219" s="1647">
        <f t="shared" si="396"/>
        <v>5829.0888511601588</v>
      </c>
      <c r="L219" s="1647">
        <f t="shared" si="396"/>
        <v>8321.8707015130658</v>
      </c>
      <c r="M219" s="1647">
        <f t="shared" si="396"/>
        <v>8835.3413654618471</v>
      </c>
      <c r="N219" s="1647">
        <f t="shared" si="396"/>
        <v>8418.3673469387759</v>
      </c>
      <c r="O219" s="1647">
        <f t="shared" si="396"/>
        <v>8502.9162759544542</v>
      </c>
      <c r="P219" s="1107">
        <f t="shared" si="396"/>
        <v>9312.3209169054444</v>
      </c>
      <c r="Q219" s="1107">
        <f t="shared" si="396"/>
        <v>9438.2022471910095</v>
      </c>
      <c r="R219" s="1107">
        <f t="shared" si="396"/>
        <v>9590.1005413766434</v>
      </c>
      <c r="S219" s="1647">
        <f t="shared" si="396"/>
        <v>9767.8142514011197</v>
      </c>
      <c r="T219" s="1647">
        <f t="shared" si="396"/>
        <v>9891.031014249791</v>
      </c>
      <c r="U219" s="1647">
        <f t="shared" si="396"/>
        <v>9982.6388888888887</v>
      </c>
      <c r="V219" s="1647">
        <f t="shared" si="396"/>
        <v>9990.99909990999</v>
      </c>
      <c r="W219" s="1647">
        <f t="shared" si="396"/>
        <v>10258.868648130392</v>
      </c>
      <c r="X219" s="1647">
        <f t="shared" si="396"/>
        <v>10303.030303030302</v>
      </c>
      <c r="Y219" s="1647">
        <f t="shared" si="396"/>
        <v>10433.884297520661</v>
      </c>
      <c r="Z219" s="1647">
        <f t="shared" si="396"/>
        <v>10416.666666666666</v>
      </c>
      <c r="AA219" s="1647">
        <f t="shared" si="396"/>
        <v>10508.083140877598</v>
      </c>
      <c r="AB219" s="1647">
        <f t="shared" si="396"/>
        <v>10463.733650416172</v>
      </c>
      <c r="AC219" s="1647">
        <f t="shared" si="396"/>
        <v>10219.244823386116</v>
      </c>
      <c r="AD219" s="1647">
        <f t="shared" si="396"/>
        <v>10221.948212083849</v>
      </c>
      <c r="AE219" s="1107">
        <f>AE216/AE206*1000000</f>
        <v>10224.719101123597</v>
      </c>
      <c r="AF219" s="1107">
        <f t="shared" ref="AF219:AH219" si="397">AF216/AF206*1000000</f>
        <v>10227.560050568902</v>
      </c>
      <c r="AG219" s="1107">
        <f t="shared" si="397"/>
        <v>10230.473751600515</v>
      </c>
      <c r="AH219" s="1647">
        <f t="shared" si="397"/>
        <v>10233.463035019458</v>
      </c>
      <c r="AI219" s="1100"/>
      <c r="AJ219" s="1094"/>
      <c r="AK219" s="1128"/>
      <c r="AL219" s="1683"/>
      <c r="AM219" s="1101"/>
    </row>
    <row r="220" spans="1:39" hidden="1" outlineLevel="1">
      <c r="A220" s="2033" t="s">
        <v>490</v>
      </c>
      <c r="B220" s="1650"/>
      <c r="C220" s="1650"/>
      <c r="D220" s="1650">
        <f t="shared" ref="D220:AA220" si="398">D219/C219-1</f>
        <v>0.10500003454278795</v>
      </c>
      <c r="E220" s="1650">
        <f t="shared" si="398"/>
        <v>0.14520917777365727</v>
      </c>
      <c r="F220" s="1650">
        <f t="shared" si="398"/>
        <v>5.5302757185877738E-2</v>
      </c>
      <c r="G220" s="1650">
        <f t="shared" si="398"/>
        <v>0.10025887090080987</v>
      </c>
      <c r="H220" s="1650">
        <f t="shared" si="398"/>
        <v>3.5200303721640402E-2</v>
      </c>
      <c r="I220" s="1650">
        <f t="shared" si="398"/>
        <v>1.5078498235323812E-2</v>
      </c>
      <c r="J220" s="1650">
        <f t="shared" si="398"/>
        <v>-3.5482592280610237E-2</v>
      </c>
      <c r="K220" s="1650">
        <f t="shared" si="398"/>
        <v>-0.34828230730806176</v>
      </c>
      <c r="L220" s="1650">
        <f t="shared" si="398"/>
        <v>0.42764519704597936</v>
      </c>
      <c r="M220" s="1650">
        <f t="shared" si="398"/>
        <v>6.1701350857977566E-2</v>
      </c>
      <c r="N220" s="1650">
        <f t="shared" si="398"/>
        <v>-4.7193877551020336E-2</v>
      </c>
      <c r="O220" s="1650">
        <f t="shared" si="398"/>
        <v>1.0043387931559344E-2</v>
      </c>
      <c r="P220" s="1103">
        <f t="shared" si="398"/>
        <v>9.5191416060383949E-2</v>
      </c>
      <c r="Q220" s="1103">
        <f t="shared" si="398"/>
        <v>1.3517718236819132E-2</v>
      </c>
      <c r="R220" s="1103">
        <f t="shared" si="398"/>
        <v>1.6093985931573185E-2</v>
      </c>
      <c r="S220" s="1650">
        <f t="shared" si="398"/>
        <v>1.8530953795294236E-2</v>
      </c>
      <c r="T220" s="1650">
        <f t="shared" si="398"/>
        <v>1.2614568589999209E-2</v>
      </c>
      <c r="U220" s="1650">
        <f t="shared" si="398"/>
        <v>9.2617113935968831E-3</v>
      </c>
      <c r="V220" s="1650">
        <f t="shared" si="398"/>
        <v>8.374750518529428E-4</v>
      </c>
      <c r="W220" s="1650">
        <f t="shared" si="398"/>
        <v>2.6811087213771678E-2</v>
      </c>
      <c r="X220" s="1650">
        <f t="shared" si="398"/>
        <v>4.3047295383744633E-3</v>
      </c>
      <c r="Y220" s="1650">
        <f t="shared" si="398"/>
        <v>1.2700534759358284E-2</v>
      </c>
      <c r="Z220" s="1650">
        <f t="shared" si="398"/>
        <v>-1.6501650165017256E-3</v>
      </c>
      <c r="AA220" s="1650">
        <f t="shared" si="398"/>
        <v>8.7759815242494099E-3</v>
      </c>
      <c r="AB220" s="1650">
        <f>AB219/AA219-1</f>
        <v>-4.2205119494059806E-3</v>
      </c>
      <c r="AC220" s="1650">
        <f>AC219/AB219-1</f>
        <v>-2.336535267412243E-2</v>
      </c>
      <c r="AD220" s="1650">
        <f>AD219/AC219-1</f>
        <v>2.6453898937295328E-4</v>
      </c>
      <c r="AE220" s="1103">
        <f>AE219/AD219-1</f>
        <v>2.7107249833968616E-4</v>
      </c>
      <c r="AF220" s="1103">
        <f t="shared" ref="AF220" si="399">AF219/AE219-1</f>
        <v>2.778510995957717E-4</v>
      </c>
      <c r="AG220" s="1103">
        <f>AG219/AF219-1</f>
        <v>2.8488720840624815E-4</v>
      </c>
      <c r="AH220" s="1650">
        <f>AH219/AG219-1</f>
        <v>2.9219403631963736E-4</v>
      </c>
      <c r="AI220" s="1090"/>
      <c r="AJ220" s="1094"/>
      <c r="AK220" s="1079"/>
      <c r="AL220" s="1683"/>
      <c r="AM220" s="1091"/>
    </row>
    <row r="221" spans="1:39" hidden="1" outlineLevel="1">
      <c r="A221" s="1651"/>
      <c r="B221" s="1651"/>
      <c r="C221" s="1651"/>
      <c r="D221" s="1651"/>
      <c r="E221" s="1651"/>
      <c r="F221" s="1651"/>
      <c r="G221" s="1651"/>
      <c r="H221" s="1651"/>
      <c r="I221" s="1651"/>
      <c r="J221" s="1651"/>
      <c r="K221" s="1651"/>
      <c r="L221" s="1651"/>
      <c r="M221" s="1651"/>
      <c r="N221" s="1651"/>
      <c r="O221" s="1651"/>
      <c r="P221" s="1069"/>
      <c r="Q221" s="1069"/>
      <c r="R221" s="1069"/>
      <c r="S221" s="1651"/>
      <c r="T221" s="1651"/>
      <c r="U221" s="1651"/>
      <c r="V221" s="1651"/>
      <c r="W221" s="1651"/>
      <c r="X221" s="1651"/>
      <c r="Y221" s="1651"/>
      <c r="Z221" s="1651"/>
      <c r="AA221" s="1651"/>
      <c r="AB221" s="1651"/>
      <c r="AC221" s="1651"/>
      <c r="AD221" s="1651"/>
      <c r="AE221" s="1069"/>
      <c r="AF221" s="1069"/>
      <c r="AG221" s="1069"/>
      <c r="AH221" s="1651"/>
      <c r="AI221" s="1090"/>
      <c r="AJ221" s="1094"/>
      <c r="AK221" s="1079"/>
      <c r="AL221" s="1683"/>
      <c r="AM221" s="1091"/>
    </row>
    <row r="222" spans="1:39" hidden="1" outlineLevel="1">
      <c r="A222" s="2033" t="s">
        <v>63</v>
      </c>
      <c r="B222" s="1640"/>
      <c r="C222" s="1640"/>
      <c r="D222" s="1640">
        <f t="shared" ref="D222:AD222" si="400">+D196/D213</f>
        <v>410.98364923460463</v>
      </c>
      <c r="E222" s="1640">
        <f t="shared" si="400"/>
        <v>375.05224805722975</v>
      </c>
      <c r="F222" s="1640">
        <f t="shared" si="400"/>
        <v>351.54071150183466</v>
      </c>
      <c r="G222" s="1640">
        <f t="shared" si="400"/>
        <v>326.89574388885046</v>
      </c>
      <c r="H222" s="1640">
        <f t="shared" si="400"/>
        <v>319.52791192900048</v>
      </c>
      <c r="I222" s="1640">
        <f t="shared" si="400"/>
        <v>340.37683999113909</v>
      </c>
      <c r="J222" s="1640">
        <f t="shared" si="400"/>
        <v>392.14651853225701</v>
      </c>
      <c r="K222" s="1640">
        <f t="shared" si="400"/>
        <v>507.77202072538859</v>
      </c>
      <c r="L222" s="1640">
        <f t="shared" si="400"/>
        <v>526.69642857142856</v>
      </c>
      <c r="M222" s="1640">
        <f t="shared" si="400"/>
        <v>443.47826086956525</v>
      </c>
      <c r="N222" s="1640">
        <f t="shared" si="400"/>
        <v>411.81818181818181</v>
      </c>
      <c r="O222" s="1640">
        <f t="shared" si="400"/>
        <v>446.18903817723782</v>
      </c>
      <c r="P222" s="1093">
        <f t="shared" si="400"/>
        <v>447.24908730752082</v>
      </c>
      <c r="Q222" s="1093">
        <f t="shared" si="400"/>
        <v>422.578125</v>
      </c>
      <c r="R222" s="1093">
        <f t="shared" si="400"/>
        <v>410.72</v>
      </c>
      <c r="S222" s="1640">
        <f t="shared" si="400"/>
        <v>391.70731707317071</v>
      </c>
      <c r="T222" s="1640">
        <f t="shared" si="400"/>
        <v>347.41666666666669</v>
      </c>
      <c r="U222" s="1640">
        <f t="shared" si="400"/>
        <v>327.89699570815452</v>
      </c>
      <c r="V222" s="1640">
        <f t="shared" si="400"/>
        <v>335.84070796460173</v>
      </c>
      <c r="W222" s="1640">
        <f t="shared" si="400"/>
        <v>480.00000000000006</v>
      </c>
      <c r="X222" s="1640">
        <f t="shared" si="400"/>
        <v>598.46889952153117</v>
      </c>
      <c r="Y222" s="1640">
        <f t="shared" si="400"/>
        <v>625.71428571428578</v>
      </c>
      <c r="Z222" s="1640">
        <f t="shared" si="400"/>
        <v>613.43283582089543</v>
      </c>
      <c r="AA222" s="1640">
        <f t="shared" si="400"/>
        <v>602.19895287958116</v>
      </c>
      <c r="AB222" s="1640">
        <f>+AB196/AB213</f>
        <v>609.49720670391071</v>
      </c>
      <c r="AC222" s="1640">
        <f t="shared" si="400"/>
        <v>614.67190226876085</v>
      </c>
      <c r="AD222" s="1640">
        <f t="shared" si="400"/>
        <v>620.79651079136681</v>
      </c>
      <c r="AE222" s="1093">
        <f>+AE196/AE213</f>
        <v>615.76384004854344</v>
      </c>
      <c r="AF222" s="1093">
        <f t="shared" ref="AF222:AH222" si="401">+AF196/AF213</f>
        <v>610.86193626044212</v>
      </c>
      <c r="AG222" s="1093">
        <f t="shared" si="401"/>
        <v>606.09052710656692</v>
      </c>
      <c r="AH222" s="1640">
        <f t="shared" si="401"/>
        <v>601.44943087884917</v>
      </c>
      <c r="AI222" s="1090"/>
      <c r="AJ222" s="1094">
        <f>((AB222/W222)^(1/5)-1)*100</f>
        <v>4.8929009230857412</v>
      </c>
      <c r="AK222" s="1110" t="s">
        <v>489</v>
      </c>
      <c r="AL222" s="1683">
        <f>((AH222/AB222)^(1/6)-1)*100</f>
        <v>-0.22128656264295277</v>
      </c>
      <c r="AM222" s="1091" t="s">
        <v>489</v>
      </c>
    </row>
    <row r="223" spans="1:39" hidden="1" outlineLevel="1">
      <c r="A223" s="2033" t="s">
        <v>490</v>
      </c>
      <c r="B223" s="1650"/>
      <c r="C223" s="1650"/>
      <c r="D223" s="1650"/>
      <c r="E223" s="1650">
        <f t="shared" ref="E223:AA223" si="402">E222/D222-1</f>
        <v>-8.7427811895416596E-2</v>
      </c>
      <c r="F223" s="1650">
        <f t="shared" si="402"/>
        <v>-6.2688696514111908E-2</v>
      </c>
      <c r="G223" s="1650">
        <f t="shared" si="402"/>
        <v>-7.0105586086166793E-2</v>
      </c>
      <c r="H223" s="1650">
        <f t="shared" si="402"/>
        <v>-2.2538782157883186E-2</v>
      </c>
      <c r="I223" s="1650">
        <f t="shared" si="402"/>
        <v>6.5249160664158978E-2</v>
      </c>
      <c r="J223" s="1650">
        <f t="shared" si="402"/>
        <v>0.1520951852730803</v>
      </c>
      <c r="K223" s="1650">
        <f t="shared" si="402"/>
        <v>0.29485280814400627</v>
      </c>
      <c r="L223" s="1650">
        <f t="shared" si="402"/>
        <v>3.7269497084548187E-2</v>
      </c>
      <c r="M223" s="1650">
        <f t="shared" si="402"/>
        <v>-0.15800025059516343</v>
      </c>
      <c r="N223" s="1650">
        <f t="shared" si="402"/>
        <v>-7.1390374331550821E-2</v>
      </c>
      <c r="O223" s="1650">
        <f t="shared" si="402"/>
        <v>8.3461240606979237E-2</v>
      </c>
      <c r="P223" s="1103">
        <f t="shared" si="402"/>
        <v>2.3757847898135953E-3</v>
      </c>
      <c r="Q223" s="1103">
        <f t="shared" si="402"/>
        <v>-5.5161571052145031E-2</v>
      </c>
      <c r="R223" s="1103">
        <f t="shared" si="402"/>
        <v>-2.8061379182843349E-2</v>
      </c>
      <c r="S223" s="1650">
        <f t="shared" si="402"/>
        <v>-4.6291105684722722E-2</v>
      </c>
      <c r="T223" s="1650">
        <f t="shared" si="402"/>
        <v>-0.11307077625570772</v>
      </c>
      <c r="U223" s="1650">
        <f t="shared" si="402"/>
        <v>-5.6185188654868323E-2</v>
      </c>
      <c r="V223" s="1650">
        <f t="shared" si="402"/>
        <v>2.4226242876337789E-2</v>
      </c>
      <c r="W223" s="1650">
        <f t="shared" si="402"/>
        <v>0.42924901185770792</v>
      </c>
      <c r="X223" s="1650">
        <f t="shared" si="402"/>
        <v>0.24681020733652304</v>
      </c>
      <c r="Y223" s="1650">
        <f t="shared" si="402"/>
        <v>4.5525149618529825E-2</v>
      </c>
      <c r="Z223" s="1650">
        <f t="shared" si="402"/>
        <v>-1.9627887957473167E-2</v>
      </c>
      <c r="AA223" s="1650">
        <f t="shared" si="402"/>
        <v>-1.8313142507738633E-2</v>
      </c>
      <c r="AB223" s="1650">
        <f>AB222/AA222-1</f>
        <v>1.2119339944765661E-2</v>
      </c>
      <c r="AC223" s="1650">
        <f>AC222/AB222-1</f>
        <v>8.4901054638695239E-3</v>
      </c>
      <c r="AD223" s="1650">
        <f>AD222/AC222-1</f>
        <v>9.9640287769784397E-3</v>
      </c>
      <c r="AE223" s="1103">
        <f>AE222/AD222-1</f>
        <v>-8.1067961165051106E-3</v>
      </c>
      <c r="AF223" s="1103">
        <f t="shared" ref="AF223" si="403">AF222/AE222-1</f>
        <v>-7.9606879606878289E-3</v>
      </c>
      <c r="AG223" s="1103">
        <f>AG222/AF222-1</f>
        <v>-7.8109452736320195E-3</v>
      </c>
      <c r="AH223" s="1650">
        <f>AH222/AG222-1</f>
        <v>-7.6574307304785316E-3</v>
      </c>
      <c r="AI223" s="1090"/>
      <c r="AJ223" s="1077"/>
      <c r="AK223" s="1079"/>
      <c r="AL223" s="1664"/>
      <c r="AM223" s="1091"/>
    </row>
    <row r="224" spans="1:39" hidden="1" outlineLevel="1">
      <c r="A224" s="1651"/>
      <c r="B224" s="1651"/>
      <c r="C224" s="1651"/>
      <c r="D224" s="1651"/>
      <c r="E224" s="1651"/>
      <c r="F224" s="1651"/>
      <c r="G224" s="1651"/>
      <c r="H224" s="1651"/>
      <c r="I224" s="1651"/>
      <c r="J224" s="1651"/>
      <c r="K224" s="1651"/>
      <c r="L224" s="1651"/>
      <c r="M224" s="1651"/>
      <c r="N224" s="1651"/>
      <c r="O224" s="1651"/>
      <c r="P224" s="1131"/>
      <c r="Q224" s="1069"/>
      <c r="R224" s="1069"/>
      <c r="S224" s="1651"/>
      <c r="T224" s="1651"/>
      <c r="U224" s="1651"/>
      <c r="V224" s="1651"/>
      <c r="W224" s="1651"/>
      <c r="X224" s="1651"/>
      <c r="Y224" s="1651"/>
      <c r="Z224" s="1651"/>
      <c r="AA224" s="1651"/>
      <c r="AB224" s="1651"/>
      <c r="AC224" s="1651"/>
      <c r="AD224" s="1651"/>
      <c r="AE224" s="1069"/>
      <c r="AF224" s="1069"/>
      <c r="AG224" s="1069"/>
      <c r="AH224" s="1651"/>
      <c r="AI224" s="1090"/>
      <c r="AJ224" s="1077"/>
      <c r="AK224" s="1079"/>
      <c r="AL224" s="1664"/>
      <c r="AM224" s="1091"/>
    </row>
    <row r="225" spans="1:41" hidden="1" outlineLevel="1">
      <c r="A225" s="2033" t="s">
        <v>506</v>
      </c>
      <c r="B225" s="1650"/>
      <c r="C225" s="1650"/>
      <c r="D225" s="1650"/>
      <c r="E225" s="1650"/>
      <c r="F225" s="1650"/>
      <c r="G225" s="1650"/>
      <c r="H225" s="1831"/>
      <c r="I225" s="1831"/>
      <c r="J225" s="1831" t="s">
        <v>119</v>
      </c>
      <c r="K225" s="1831">
        <v>0.01</v>
      </c>
      <c r="L225" s="1831">
        <v>-0.01</v>
      </c>
      <c r="M225" s="1831">
        <v>-0.12</v>
      </c>
      <c r="N225" s="1831">
        <v>-7.0000000000000007E-2</v>
      </c>
      <c r="O225" s="2062">
        <v>0.06</v>
      </c>
      <c r="P225" s="1132">
        <v>0.01</v>
      </c>
      <c r="Q225" s="1133">
        <v>-4.9129229062673321E-2</v>
      </c>
      <c r="R225" s="1103">
        <v>-7.300350603817686E-2</v>
      </c>
      <c r="S225" s="1650">
        <v>-5.2525944375259447E-2</v>
      </c>
      <c r="T225" s="1650">
        <v>-8.3837850803550024E-2</v>
      </c>
      <c r="U225" s="1650">
        <v>-7.0204188481675395E-2</v>
      </c>
      <c r="V225" s="1650">
        <v>8.0105401844532246E-4</v>
      </c>
      <c r="W225" s="1650">
        <v>-0.05</v>
      </c>
      <c r="X225" s="1650">
        <v>0.03</v>
      </c>
      <c r="Y225" s="1650">
        <v>0.03</v>
      </c>
      <c r="Z225" s="1650">
        <v>-5.2757502027575016E-2</v>
      </c>
      <c r="AA225" s="1650">
        <v>-5.5574682663884538E-2</v>
      </c>
      <c r="AB225" s="1650">
        <v>-0.03</v>
      </c>
      <c r="AC225" s="1650">
        <v>-1.7518703489709176E-2</v>
      </c>
      <c r="AD225" s="1660">
        <v>-0.01</v>
      </c>
      <c r="AE225" s="1134">
        <v>-0.01</v>
      </c>
      <c r="AF225" s="1134">
        <v>-0.01</v>
      </c>
      <c r="AG225" s="1134">
        <v>-0.01</v>
      </c>
      <c r="AH225" s="1660">
        <v>-0.01</v>
      </c>
      <c r="AI225" s="1108"/>
      <c r="AJ225" s="1077"/>
      <c r="AK225" s="1079"/>
      <c r="AL225" s="1664"/>
      <c r="AM225" s="1091"/>
    </row>
    <row r="226" spans="1:41" hidden="1" outlineLevel="1">
      <c r="A226" s="2033" t="s">
        <v>152</v>
      </c>
      <c r="B226" s="1650"/>
      <c r="C226" s="1650"/>
      <c r="D226" s="1650"/>
      <c r="E226" s="1650"/>
      <c r="F226" s="1650"/>
      <c r="G226" s="1650"/>
      <c r="H226" s="1831"/>
      <c r="I226" s="1831"/>
      <c r="J226" s="1831"/>
      <c r="K226" s="2016">
        <f t="shared" ref="K226:Z226" si="404">+K197-K225</f>
        <v>0.44185185185185194</v>
      </c>
      <c r="L226" s="2016">
        <f t="shared" si="404"/>
        <v>0.21387755102040806</v>
      </c>
      <c r="M226" s="2016">
        <f t="shared" si="404"/>
        <v>7.1008645533141235E-2</v>
      </c>
      <c r="N226" s="2016">
        <f t="shared" si="404"/>
        <v>3.8983957219251353E-2</v>
      </c>
      <c r="O226" s="2016">
        <f t="shared" si="404"/>
        <v>2.7299484915377925E-3</v>
      </c>
      <c r="P226" s="1133">
        <f>+P197-P225</f>
        <v>-1.5366106975939089E-2</v>
      </c>
      <c r="Q226" s="1133">
        <f t="shared" si="404"/>
        <v>-9.5202662384056697E-3</v>
      </c>
      <c r="R226" s="1133">
        <f t="shared" si="404"/>
        <v>2.2162315429931315E-2</v>
      </c>
      <c r="S226" s="2016">
        <f t="shared" si="404"/>
        <v>-9.0245036185076302E-3</v>
      </c>
      <c r="T226" s="2016">
        <f t="shared" si="404"/>
        <v>-5.086534554348196E-2</v>
      </c>
      <c r="U226" s="2016">
        <f t="shared" si="404"/>
        <v>-1.3508932170759241E-2</v>
      </c>
      <c r="V226" s="2016">
        <f t="shared" si="404"/>
        <v>-7.3455566362463625E-3</v>
      </c>
      <c r="W226" s="2016">
        <f t="shared" si="404"/>
        <v>0.42865612648221346</v>
      </c>
      <c r="X226" s="2016">
        <f t="shared" si="404"/>
        <v>7.3971756398940852E-2</v>
      </c>
      <c r="Y226" s="2016">
        <f t="shared" si="404"/>
        <v>-1.4489926447073892E-2</v>
      </c>
      <c r="Z226" s="2016">
        <f t="shared" si="404"/>
        <v>2.347077552781119E-2</v>
      </c>
      <c r="AA226" s="2016">
        <f>+AA197-AA225</f>
        <v>-1.1578602007648271E-2</v>
      </c>
      <c r="AB226" s="2016">
        <f>+AB197-AB225</f>
        <v>-2.1469309685272081E-2</v>
      </c>
      <c r="AC226" s="2016">
        <f t="shared" ref="AC226" si="405">+AC197-AC225</f>
        <v>-1.3992753888842701E-2</v>
      </c>
      <c r="AD226" s="1660">
        <v>-0.01</v>
      </c>
      <c r="AE226" s="1134">
        <v>-0.01</v>
      </c>
      <c r="AF226" s="1134">
        <v>-0.01</v>
      </c>
      <c r="AG226" s="1134">
        <v>-0.01</v>
      </c>
      <c r="AH226" s="1660">
        <v>-0.01</v>
      </c>
      <c r="AI226" s="1108"/>
      <c r="AJ226" s="1077"/>
      <c r="AK226" s="1079"/>
      <c r="AL226" s="1664"/>
      <c r="AM226" s="1091"/>
      <c r="AO226" s="1099"/>
    </row>
    <row r="227" spans="1:41" hidden="1" outlineLevel="1">
      <c r="A227" s="1651"/>
      <c r="B227" s="1651"/>
      <c r="C227" s="1651"/>
      <c r="D227" s="1651"/>
      <c r="E227" s="1651"/>
      <c r="F227" s="1651"/>
      <c r="G227" s="1651"/>
      <c r="H227" s="1651"/>
      <c r="I227" s="1651"/>
      <c r="J227" s="1651"/>
      <c r="K227" s="1651"/>
      <c r="L227" s="1651"/>
      <c r="M227" s="1651"/>
      <c r="N227" s="1651"/>
      <c r="O227" s="1651"/>
      <c r="P227" s="1069"/>
      <c r="Q227" s="1069"/>
      <c r="R227" s="1069"/>
      <c r="S227" s="1651"/>
      <c r="T227" s="1651"/>
      <c r="U227" s="1651"/>
      <c r="V227" s="1651"/>
      <c r="W227" s="1647"/>
      <c r="X227" s="1651"/>
      <c r="Y227" s="1651"/>
      <c r="Z227" s="1651"/>
      <c r="AA227" s="1651"/>
      <c r="AB227" s="1651"/>
      <c r="AC227" s="1651"/>
      <c r="AD227" s="1651"/>
      <c r="AE227" s="1069"/>
      <c r="AF227" s="1069"/>
      <c r="AG227" s="1069"/>
      <c r="AH227" s="1651"/>
      <c r="AI227" s="1090"/>
      <c r="AJ227" s="1077"/>
      <c r="AK227" s="1079"/>
      <c r="AL227" s="1664"/>
      <c r="AM227" s="1091"/>
    </row>
    <row r="228" spans="1:41" hidden="1" outlineLevel="1">
      <c r="A228" s="2033" t="s">
        <v>74</v>
      </c>
      <c r="B228" s="1647"/>
      <c r="C228" s="1647"/>
      <c r="D228" s="1647">
        <f t="shared" ref="D228:J228" si="406">+(D216-C216)*1000000/(D206-D203)</f>
        <v>29310.83378090453</v>
      </c>
      <c r="E228" s="1647">
        <f t="shared" si="406"/>
        <v>-9432.071664895082</v>
      </c>
      <c r="F228" s="1647">
        <f t="shared" si="406"/>
        <v>15347.671633406628</v>
      </c>
      <c r="G228" s="1647">
        <f t="shared" si="406"/>
        <v>-63637.661311794502</v>
      </c>
      <c r="H228" s="1647">
        <f t="shared" si="406"/>
        <v>22247.642354388427</v>
      </c>
      <c r="I228" s="1647">
        <f t="shared" si="406"/>
        <v>11097.299317289146</v>
      </c>
      <c r="J228" s="1647">
        <f t="shared" si="406"/>
        <v>6638.313621271368</v>
      </c>
      <c r="K228" s="1647">
        <v>4467.353951890037</v>
      </c>
      <c r="L228" s="1647">
        <f>+(L216-K216)*1000000/(L206-L203)</f>
        <v>-5750.7987220447249</v>
      </c>
      <c r="M228" s="1647">
        <v>5022.8310502283102</v>
      </c>
      <c r="N228" s="1647">
        <v>5000</v>
      </c>
      <c r="O228" s="1647">
        <v>4000</v>
      </c>
      <c r="P228" s="1107">
        <v>3500</v>
      </c>
      <c r="Q228" s="1107">
        <v>4000</v>
      </c>
      <c r="R228" s="1107">
        <v>4000</v>
      </c>
      <c r="S228" s="1647">
        <v>4545.454545454546</v>
      </c>
      <c r="T228" s="1647">
        <v>7142.8571428571431</v>
      </c>
      <c r="U228" s="1647">
        <v>7317.0731707317073</v>
      </c>
      <c r="V228" s="1647">
        <v>9756.0975609756097</v>
      </c>
      <c r="W228" s="1647">
        <v>5882.3529411764712</v>
      </c>
      <c r="X228" s="1647">
        <v>9433.9622641509432</v>
      </c>
      <c r="Y228" s="1647">
        <v>4545.454545454546</v>
      </c>
      <c r="Z228" s="1647">
        <v>12500</v>
      </c>
      <c r="AA228" s="1647">
        <v>9574.468085106384</v>
      </c>
      <c r="AB228" s="1647">
        <v>13636.363636363636</v>
      </c>
      <c r="AC228" s="1647">
        <v>10000</v>
      </c>
      <c r="AD228" s="1647">
        <f>AC228</f>
        <v>10000</v>
      </c>
      <c r="AE228" s="1107">
        <f>AD228</f>
        <v>10000</v>
      </c>
      <c r="AF228" s="1107">
        <f t="shared" ref="AF228" si="407">AE228</f>
        <v>10000</v>
      </c>
      <c r="AG228" s="1107">
        <f>AF228</f>
        <v>10000</v>
      </c>
      <c r="AH228" s="1647">
        <f>AG228</f>
        <v>10000</v>
      </c>
      <c r="AI228" s="1100"/>
      <c r="AJ228" s="1135"/>
      <c r="AK228" s="1128"/>
      <c r="AL228" s="1664"/>
      <c r="AM228" s="1091"/>
    </row>
    <row r="229" spans="1:41" hidden="1" outlineLevel="1">
      <c r="A229" s="1651"/>
      <c r="B229" s="1651"/>
      <c r="C229" s="1651"/>
      <c r="D229" s="1651"/>
      <c r="E229" s="1651"/>
      <c r="F229" s="1651"/>
      <c r="G229" s="1651"/>
      <c r="H229" s="1651"/>
      <c r="I229" s="1651"/>
      <c r="J229" s="1651"/>
      <c r="K229" s="1651"/>
      <c r="L229" s="2051"/>
      <c r="M229" s="1651"/>
      <c r="N229" s="1651"/>
      <c r="O229" s="1651"/>
      <c r="P229" s="1069"/>
      <c r="Q229" s="1069"/>
      <c r="R229" s="1069"/>
      <c r="S229" s="1651"/>
      <c r="T229" s="1651"/>
      <c r="U229" s="1651"/>
      <c r="V229" s="1651"/>
      <c r="W229" s="1651"/>
      <c r="X229" s="1651"/>
      <c r="Y229" s="1651"/>
      <c r="Z229" s="1651"/>
      <c r="AA229" s="1651"/>
      <c r="AB229" s="1651"/>
      <c r="AC229" s="1651"/>
      <c r="AD229" s="1651"/>
      <c r="AE229" s="1069"/>
      <c r="AF229" s="1069"/>
      <c r="AG229" s="1069"/>
      <c r="AH229" s="1651"/>
      <c r="AI229" s="1090"/>
      <c r="AJ229" s="1077"/>
      <c r="AK229" s="1079"/>
      <c r="AL229" s="1664"/>
      <c r="AM229" s="1091"/>
    </row>
    <row r="230" spans="1:41" hidden="1" outlineLevel="1">
      <c r="A230" s="2033" t="s">
        <v>507</v>
      </c>
      <c r="B230" s="1648"/>
      <c r="C230" s="1648"/>
      <c r="D230" s="1648"/>
      <c r="E230" s="1648"/>
      <c r="F230" s="1648"/>
      <c r="G230" s="1648"/>
      <c r="H230" s="1648"/>
      <c r="I230" s="1648"/>
      <c r="J230" s="1661"/>
      <c r="K230" s="1661"/>
      <c r="L230" s="1661">
        <f t="shared" ref="L230:AA230" si="408">L226/L214</f>
        <v>1.3315602369980253</v>
      </c>
      <c r="M230" s="1661">
        <f t="shared" si="408"/>
        <v>0.54848057239391901</v>
      </c>
      <c r="N230" s="1661">
        <f t="shared" si="408"/>
        <v>0.89663101604278173</v>
      </c>
      <c r="O230" s="1661">
        <f t="shared" si="408"/>
        <v>-0.14267289095944233</v>
      </c>
      <c r="P230" s="1109">
        <f t="shared" si="408"/>
        <v>1.9895154834515836</v>
      </c>
      <c r="Q230" s="1109">
        <f t="shared" si="408"/>
        <v>2.5789302616333134</v>
      </c>
      <c r="R230" s="1109">
        <f t="shared" si="408"/>
        <v>-0.9455921250104028</v>
      </c>
      <c r="S230" s="1661">
        <f t="shared" si="408"/>
        <v>0.56403147615673033</v>
      </c>
      <c r="T230" s="1661">
        <f t="shared" si="408"/>
        <v>2.0854791672827586</v>
      </c>
      <c r="U230" s="1661">
        <f t="shared" si="408"/>
        <v>0.46316338871174528</v>
      </c>
      <c r="V230" s="1661">
        <f t="shared" si="408"/>
        <v>0.24450209946362941</v>
      </c>
      <c r="W230" s="1661">
        <f t="shared" si="408"/>
        <v>-12.109535573122473</v>
      </c>
      <c r="X230" s="1661">
        <f t="shared" si="408"/>
        <v>-1.7917603216632352</v>
      </c>
      <c r="Y230" s="1661">
        <f t="shared" si="408"/>
        <v>0.50473243790640654</v>
      </c>
      <c r="Z230" s="1661">
        <f t="shared" si="408"/>
        <v>-2.3822837160728922</v>
      </c>
      <c r="AA230" s="1661">
        <f t="shared" si="408"/>
        <v>0.23272990035373028</v>
      </c>
      <c r="AB230" s="1661">
        <f>IF(ISERROR(AB226/AB214),"nm",(AB226/AB214))</f>
        <v>0.34171984582391302</v>
      </c>
      <c r="AC230" s="1661">
        <f>IF(ISERROR(AC226/AC214),"nm",(AC226/AC214))</f>
        <v>0.35277506283138799</v>
      </c>
      <c r="AD230" s="1661">
        <f>IF(ISERROR(AD226/AD214),"nm",(AD226/AD214))</f>
        <v>0.33705882352941119</v>
      </c>
      <c r="AE230" s="1109">
        <f>IF(ISERROR(AE226/AE214),"nm",(AE226/AE214))</f>
        <v>0.83400000000002061</v>
      </c>
      <c r="AF230" s="1109">
        <f t="shared" ref="AF230:AH230" si="409">IF(ISERROR(AF226/AF214),"nm",(AF226/AF214))</f>
        <v>0.8239999999999853</v>
      </c>
      <c r="AG230" s="1109">
        <f t="shared" si="409"/>
        <v>0.81400000000001904</v>
      </c>
      <c r="AH230" s="1661">
        <f t="shared" si="409"/>
        <v>0.80399999999999294</v>
      </c>
      <c r="AI230" s="1111"/>
      <c r="AJ230" s="1074"/>
      <c r="AK230" s="1076"/>
      <c r="AL230" s="1662"/>
      <c r="AM230" s="1112"/>
    </row>
    <row r="231" spans="1:41" hidden="1" outlineLevel="1">
      <c r="A231" s="39" t="s">
        <v>194</v>
      </c>
      <c r="B231" s="1651"/>
      <c r="C231" s="1651"/>
      <c r="D231" s="1651"/>
      <c r="E231" s="1651"/>
      <c r="F231" s="1651"/>
      <c r="G231" s="1651"/>
      <c r="H231" s="1651"/>
      <c r="I231" s="1651"/>
      <c r="J231" s="1651"/>
      <c r="K231" s="1651"/>
      <c r="L231" s="1675"/>
      <c r="M231" s="1651"/>
      <c r="N231" s="1675"/>
      <c r="O231" s="1651"/>
      <c r="P231" s="1069"/>
      <c r="Q231" s="1069"/>
      <c r="R231" s="1069"/>
      <c r="S231" s="1651"/>
      <c r="T231" s="1677">
        <f t="shared" ref="T231:Y231" si="410">T196/(SUM(T196,T238,T82,T122))</f>
        <v>0.29276685393258428</v>
      </c>
      <c r="U231" s="1677">
        <f t="shared" si="410"/>
        <v>0.27649102489866823</v>
      </c>
      <c r="V231" s="1677">
        <f t="shared" si="410"/>
        <v>0.26712184134581546</v>
      </c>
      <c r="W231" s="1677">
        <f t="shared" si="410"/>
        <v>0.33392902731682411</v>
      </c>
      <c r="X231" s="1677">
        <f t="shared" si="410"/>
        <v>0.3490734538959589</v>
      </c>
      <c r="Y231" s="1677">
        <f t="shared" si="410"/>
        <v>0.34456376979578041</v>
      </c>
      <c r="Z231" s="1677">
        <f t="shared" ref="Z231:AH231" si="411">Z196/(SUM(Z196,Z82,Z122))</f>
        <v>0.39252514962434737</v>
      </c>
      <c r="AA231" s="1677">
        <f t="shared" si="411"/>
        <v>0.38131547540114041</v>
      </c>
      <c r="AB231" s="1677">
        <f t="shared" si="411"/>
        <v>0.37008141112618725</v>
      </c>
      <c r="AC231" s="1677">
        <f t="shared" si="411"/>
        <v>0.35454451196740105</v>
      </c>
      <c r="AD231" s="1677">
        <f t="shared" si="411"/>
        <v>0.34601505396096999</v>
      </c>
      <c r="AE231" s="1106">
        <f t="shared" si="411"/>
        <v>0.34115803219678992</v>
      </c>
      <c r="AF231" s="1106">
        <f t="shared" si="411"/>
        <v>0.33605772803468575</v>
      </c>
      <c r="AG231" s="1106">
        <f t="shared" si="411"/>
        <v>0.33077007836823585</v>
      </c>
      <c r="AH231" s="1677">
        <f t="shared" si="411"/>
        <v>0.32570950665554704</v>
      </c>
      <c r="AI231" s="1077"/>
      <c r="AJ231" s="1077"/>
      <c r="AK231" s="1079"/>
      <c r="AL231" s="1651"/>
      <c r="AM231" s="1079"/>
    </row>
    <row r="232" spans="1:41" hidden="1" outlineLevel="1">
      <c r="A232" s="24"/>
      <c r="K232" s="1678"/>
      <c r="L232" s="1678"/>
      <c r="M232" s="1678"/>
      <c r="N232" s="1678"/>
      <c r="O232" s="1678"/>
      <c r="P232" s="1098"/>
      <c r="Q232" s="1098"/>
      <c r="R232" s="1098"/>
      <c r="S232" s="1678"/>
      <c r="T232" s="1678"/>
      <c r="U232" s="1678"/>
      <c r="V232" s="1678"/>
      <c r="W232" s="1678"/>
      <c r="X232" s="1678"/>
      <c r="Y232" s="1678"/>
      <c r="Z232" s="1678"/>
      <c r="AA232" s="1678"/>
      <c r="AB232" s="1678"/>
      <c r="AC232" s="1678"/>
      <c r="AD232" s="1678"/>
      <c r="AE232" s="1098"/>
      <c r="AF232" s="1098"/>
      <c r="AG232" s="1098"/>
      <c r="AH232" s="1678"/>
      <c r="AK232" s="1136"/>
      <c r="AM232" s="1136"/>
    </row>
    <row r="233" spans="1:41" hidden="1" outlineLevel="2">
      <c r="A233" s="2045" t="s">
        <v>255</v>
      </c>
      <c r="B233" s="1651"/>
      <c r="C233" s="1651"/>
      <c r="D233" s="1651"/>
      <c r="E233" s="1651"/>
      <c r="F233" s="1651"/>
      <c r="G233" s="1651"/>
      <c r="H233" s="1651"/>
      <c r="I233" s="1651"/>
      <c r="J233" s="1651"/>
      <c r="K233" s="2063"/>
      <c r="L233" s="2063"/>
      <c r="M233" s="2063"/>
      <c r="N233" s="2063"/>
      <c r="O233" s="2063"/>
      <c r="P233" s="1137"/>
      <c r="Q233" s="1137"/>
      <c r="R233" s="1137"/>
      <c r="S233" s="2063"/>
      <c r="T233" s="2063"/>
      <c r="U233" s="2063"/>
      <c r="V233" s="2063"/>
      <c r="W233" s="2063"/>
      <c r="X233" s="2063"/>
      <c r="Y233" s="2063"/>
      <c r="Z233" s="2063"/>
      <c r="AA233" s="2063"/>
      <c r="AB233" s="2063"/>
      <c r="AC233" s="2063"/>
      <c r="AD233" s="1651"/>
      <c r="AE233" s="1069"/>
      <c r="AF233" s="1069"/>
      <c r="AG233" s="1069"/>
      <c r="AH233" s="1651"/>
      <c r="AI233" s="1069"/>
      <c r="AJ233" s="1069"/>
      <c r="AK233" s="1073"/>
      <c r="AL233" s="1651"/>
      <c r="AM233" s="1073"/>
    </row>
    <row r="234" spans="1:41" hidden="1" outlineLevel="2">
      <c r="A234" s="2046" t="str">
        <f>+A2</f>
        <v>Annual Sales Model, Fiscal 1997A-2022E</v>
      </c>
      <c r="B234" s="1662"/>
      <c r="C234" s="1662"/>
      <c r="D234" s="1662"/>
      <c r="E234" s="1662"/>
      <c r="F234" s="1662"/>
      <c r="G234" s="1662"/>
      <c r="H234" s="1662"/>
      <c r="I234" s="1662"/>
      <c r="J234" s="1662"/>
      <c r="K234" s="1679"/>
      <c r="L234" s="1679"/>
      <c r="M234" s="1679"/>
      <c r="N234" s="1679"/>
      <c r="O234" s="1679"/>
      <c r="P234" s="1138"/>
      <c r="Q234" s="1138"/>
      <c r="R234" s="1138"/>
      <c r="S234" s="1679"/>
      <c r="T234" s="1679"/>
      <c r="U234" s="1679"/>
      <c r="V234" s="1679"/>
      <c r="W234" s="1679"/>
      <c r="X234" s="1679"/>
      <c r="Y234" s="1679"/>
      <c r="Z234" s="1679"/>
      <c r="AA234" s="1679"/>
      <c r="AB234" s="1679"/>
      <c r="AC234" s="1679"/>
      <c r="AD234" s="1679"/>
      <c r="AE234" s="1138"/>
      <c r="AF234" s="1138"/>
      <c r="AG234" s="1138"/>
      <c r="AH234" s="1679"/>
      <c r="AI234" s="1074"/>
      <c r="AJ234" s="1074"/>
      <c r="AK234" s="1076"/>
      <c r="AL234" s="1651"/>
      <c r="AM234" s="1076"/>
    </row>
    <row r="235" spans="1:41" hidden="1" outlineLevel="2">
      <c r="A235" s="2032"/>
      <c r="B235" s="1651"/>
      <c r="C235" s="1651"/>
      <c r="D235" s="1651"/>
      <c r="E235" s="1651"/>
      <c r="F235" s="1651"/>
      <c r="G235" s="1651"/>
      <c r="H235" s="1651"/>
      <c r="I235" s="1651"/>
      <c r="J235" s="1651"/>
      <c r="K235" s="1651"/>
      <c r="L235" s="1651"/>
      <c r="M235" s="1651"/>
      <c r="N235" s="1651"/>
      <c r="O235" s="1651"/>
      <c r="P235" s="1069"/>
      <c r="Q235" s="1069"/>
      <c r="R235" s="1069"/>
      <c r="S235" s="1651"/>
      <c r="T235" s="1651"/>
      <c r="U235" s="1651"/>
      <c r="V235" s="1651"/>
      <c r="W235" s="1651"/>
      <c r="X235" s="1651"/>
      <c r="Y235" s="1651"/>
      <c r="Z235" s="1651"/>
      <c r="AA235" s="1651"/>
      <c r="AB235" s="1651"/>
      <c r="AC235" s="1651"/>
      <c r="AD235" s="1651"/>
      <c r="AE235" s="1069"/>
      <c r="AF235" s="1069"/>
      <c r="AG235" s="1069"/>
      <c r="AH235" s="1651"/>
      <c r="AI235" s="1117"/>
      <c r="AJ235" s="1078"/>
      <c r="AK235" s="1118" t="s">
        <v>488</v>
      </c>
      <c r="AL235" s="1681"/>
      <c r="AM235" s="1119"/>
    </row>
    <row r="236" spans="1:41" hidden="1" outlineLevel="2">
      <c r="A236" s="1644"/>
      <c r="B236" s="2052">
        <f t="shared" ref="B236:N236" si="412">+B5</f>
        <v>1990</v>
      </c>
      <c r="C236" s="1995">
        <f t="shared" si="412"/>
        <v>1991</v>
      </c>
      <c r="D236" s="1995">
        <f t="shared" si="412"/>
        <v>1992</v>
      </c>
      <c r="E236" s="1995">
        <f t="shared" si="412"/>
        <v>1993</v>
      </c>
      <c r="F236" s="1995">
        <f t="shared" si="412"/>
        <v>1994</v>
      </c>
      <c r="G236" s="1995">
        <f t="shared" si="412"/>
        <v>1995</v>
      </c>
      <c r="H236" s="1995">
        <f t="shared" si="412"/>
        <v>1996</v>
      </c>
      <c r="I236" s="1995">
        <f t="shared" si="412"/>
        <v>1997</v>
      </c>
      <c r="J236" s="1995">
        <f t="shared" si="412"/>
        <v>1998</v>
      </c>
      <c r="K236" s="1995">
        <f t="shared" si="412"/>
        <v>1999</v>
      </c>
      <c r="L236" s="1995">
        <f t="shared" si="412"/>
        <v>2000</v>
      </c>
      <c r="M236" s="1995">
        <f t="shared" si="412"/>
        <v>2001</v>
      </c>
      <c r="N236" s="1995">
        <f t="shared" si="412"/>
        <v>2002</v>
      </c>
      <c r="O236" s="1995">
        <f t="shared" ref="O236:AB236" si="413">N236+1</f>
        <v>2003</v>
      </c>
      <c r="P236" s="1085">
        <f t="shared" si="413"/>
        <v>2004</v>
      </c>
      <c r="Q236" s="1086">
        <f t="shared" si="413"/>
        <v>2005</v>
      </c>
      <c r="R236" s="1086">
        <f t="shared" si="413"/>
        <v>2006</v>
      </c>
      <c r="S236" s="2076">
        <f t="shared" si="413"/>
        <v>2007</v>
      </c>
      <c r="T236" s="2076">
        <f t="shared" si="413"/>
        <v>2008</v>
      </c>
      <c r="U236" s="2076">
        <f t="shared" si="413"/>
        <v>2009</v>
      </c>
      <c r="V236" s="2076">
        <f t="shared" si="413"/>
        <v>2010</v>
      </c>
      <c r="W236" s="2076">
        <f t="shared" si="413"/>
        <v>2011</v>
      </c>
      <c r="X236" s="2076">
        <f t="shared" si="413"/>
        <v>2012</v>
      </c>
      <c r="Y236" s="2076">
        <f t="shared" si="413"/>
        <v>2013</v>
      </c>
      <c r="Z236" s="1639">
        <f t="shared" si="413"/>
        <v>2014</v>
      </c>
      <c r="AA236" s="1639">
        <f t="shared" si="413"/>
        <v>2015</v>
      </c>
      <c r="AB236" s="1639">
        <f t="shared" si="413"/>
        <v>2016</v>
      </c>
      <c r="AC236" s="1639">
        <f>AB236+1</f>
        <v>2017</v>
      </c>
      <c r="AD236" s="1639">
        <f>AC236+1</f>
        <v>2018</v>
      </c>
      <c r="AE236" s="1087">
        <f>AD236+1</f>
        <v>2019</v>
      </c>
      <c r="AF236" s="1087">
        <f t="shared" ref="AF236" si="414">AE236+1</f>
        <v>2020</v>
      </c>
      <c r="AG236" s="1087">
        <f>AF236+1</f>
        <v>2021</v>
      </c>
      <c r="AH236" s="1639">
        <f>AG236+1</f>
        <v>2022</v>
      </c>
      <c r="AI236" s="1120"/>
      <c r="AJ236" s="1121" t="str">
        <f>+AJ5</f>
        <v>11-16</v>
      </c>
      <c r="AK236" s="1139"/>
      <c r="AL236" s="1685" t="str">
        <f>+AL5</f>
        <v>16-22E</v>
      </c>
      <c r="AM236" s="1145"/>
    </row>
    <row r="237" spans="1:41" hidden="1" outlineLevel="2">
      <c r="A237" s="1644"/>
      <c r="B237" s="1644"/>
      <c r="C237" s="1644"/>
      <c r="D237" s="1644"/>
      <c r="E237" s="1644"/>
      <c r="F237" s="1644"/>
      <c r="G237" s="1644"/>
      <c r="H237" s="1644"/>
      <c r="I237" s="1651"/>
      <c r="J237" s="1651"/>
      <c r="K237" s="1651"/>
      <c r="L237" s="1651"/>
      <c r="M237" s="1651"/>
      <c r="N237" s="1651"/>
      <c r="O237" s="1651"/>
      <c r="P237" s="1122"/>
      <c r="Q237" s="1122"/>
      <c r="R237" s="1122"/>
      <c r="S237" s="1656"/>
      <c r="T237" s="1656"/>
      <c r="U237" s="1656"/>
      <c r="V237" s="1656"/>
      <c r="W237" s="1656"/>
      <c r="X237" s="1656"/>
      <c r="Y237" s="1656"/>
      <c r="Z237" s="1656"/>
      <c r="AA237" s="1656"/>
      <c r="AB237" s="1656"/>
      <c r="AC237" s="1656"/>
      <c r="AD237" s="1656"/>
      <c r="AE237" s="1122"/>
      <c r="AF237" s="1122"/>
      <c r="AG237" s="1122"/>
      <c r="AH237" s="1656"/>
      <c r="AI237" s="1090"/>
      <c r="AJ237" s="1077"/>
      <c r="AK237" s="1079"/>
      <c r="AL237" s="1664"/>
      <c r="AM237" s="1091"/>
    </row>
    <row r="238" spans="1:41" hidden="1" outlineLevel="2">
      <c r="A238" s="2033" t="s">
        <v>646</v>
      </c>
      <c r="B238" s="1666">
        <v>40</v>
      </c>
      <c r="C238" s="1666">
        <v>75</v>
      </c>
      <c r="D238" s="1666">
        <v>115</v>
      </c>
      <c r="E238" s="1666">
        <v>160</v>
      </c>
      <c r="F238" s="1666">
        <v>200</v>
      </c>
      <c r="G238" s="1666">
        <v>350</v>
      </c>
      <c r="H238" s="1666">
        <v>500</v>
      </c>
      <c r="I238" s="1666">
        <v>628</v>
      </c>
      <c r="J238" s="1666">
        <v>920</v>
      </c>
      <c r="K238" s="1666">
        <v>1300</v>
      </c>
      <c r="L238" s="1666">
        <v>1215</v>
      </c>
      <c r="M238" s="1666">
        <v>1249</v>
      </c>
      <c r="N238" s="1666">
        <v>1287</v>
      </c>
      <c r="O238" s="1666">
        <v>1531</v>
      </c>
      <c r="P238" s="1124">
        <v>1505</v>
      </c>
      <c r="Q238" s="1093">
        <v>1463</v>
      </c>
      <c r="R238" s="1093">
        <v>1466</v>
      </c>
      <c r="S238" s="1640">
        <v>1615</v>
      </c>
      <c r="T238" s="1640">
        <v>1728</v>
      </c>
      <c r="U238" s="1640">
        <v>1728</v>
      </c>
      <c r="V238" s="1640">
        <v>1924</v>
      </c>
      <c r="W238" s="1640">
        <v>2136</v>
      </c>
      <c r="X238" s="1640">
        <v>2702</v>
      </c>
      <c r="Y238" s="1640">
        <v>2956.0017271815195</v>
      </c>
      <c r="Z238" s="1640">
        <v>2969.3853590828294</v>
      </c>
      <c r="AA238" s="1640">
        <f>Z238*(1+AA239)</f>
        <v>3177.2423342186275</v>
      </c>
      <c r="AB238" s="1640">
        <f>AA238*(1+AB239)</f>
        <v>3367.8768742717452</v>
      </c>
      <c r="AC238" s="1640">
        <f>AB238*(1+AC239)</f>
        <v>3502.5919492426151</v>
      </c>
      <c r="AD238" s="1640">
        <f>AC238*(1+AD239)</f>
        <v>3625.1826674661065</v>
      </c>
      <c r="AE238" s="1093">
        <f>AD238*(1+AE239)</f>
        <v>3752.0640608274198</v>
      </c>
      <c r="AF238" s="1093">
        <f t="shared" ref="AF238" si="415">AE238*(1+AF239)</f>
        <v>3883.386302956379</v>
      </c>
      <c r="AG238" s="1093">
        <f>AF238*(1+AG239)</f>
        <v>4019.3048235598521</v>
      </c>
      <c r="AH238" s="1640">
        <f>AG238*(1+AH239)</f>
        <v>4159.9804923844467</v>
      </c>
      <c r="AI238" s="1090"/>
      <c r="AJ238" s="1094">
        <f>((Y238/T238)^(1/5)-1)*100</f>
        <v>11.335121926568714</v>
      </c>
      <c r="AK238" s="1110" t="s">
        <v>489</v>
      </c>
      <c r="AL238" s="1683">
        <f>((AH238/AB238)^(1/6)-1)*100</f>
        <v>3.5831660866483261</v>
      </c>
      <c r="AM238" s="1091" t="s">
        <v>489</v>
      </c>
    </row>
    <row r="239" spans="1:41" hidden="1" outlineLevel="2">
      <c r="A239" s="2033" t="s">
        <v>490</v>
      </c>
      <c r="B239" s="1648"/>
      <c r="C239" s="1648">
        <f t="shared" ref="C239:W239" si="416">C238/B238-1</f>
        <v>0.875</v>
      </c>
      <c r="D239" s="1648">
        <f t="shared" si="416"/>
        <v>0.53333333333333344</v>
      </c>
      <c r="E239" s="1648">
        <f t="shared" si="416"/>
        <v>0.39130434782608692</v>
      </c>
      <c r="F239" s="1648">
        <f t="shared" si="416"/>
        <v>0.25</v>
      </c>
      <c r="G239" s="1648">
        <f t="shared" si="416"/>
        <v>0.75</v>
      </c>
      <c r="H239" s="1648">
        <f t="shared" si="416"/>
        <v>0.4285714285714286</v>
      </c>
      <c r="I239" s="1648">
        <f t="shared" si="416"/>
        <v>0.25600000000000001</v>
      </c>
      <c r="J239" s="1648">
        <f>J238/I238-1</f>
        <v>0.46496815286624193</v>
      </c>
      <c r="K239" s="1648">
        <f t="shared" si="416"/>
        <v>0.41304347826086962</v>
      </c>
      <c r="L239" s="1648">
        <f t="shared" si="416"/>
        <v>-6.5384615384615374E-2</v>
      </c>
      <c r="M239" s="1648">
        <f t="shared" si="416"/>
        <v>2.7983539094650123E-2</v>
      </c>
      <c r="N239" s="1648">
        <f t="shared" si="416"/>
        <v>3.04243394715773E-2</v>
      </c>
      <c r="O239" s="1648">
        <f t="shared" si="416"/>
        <v>0.18958818958818968</v>
      </c>
      <c r="P239" s="1089">
        <f t="shared" si="416"/>
        <v>-1.698236446766821E-2</v>
      </c>
      <c r="Q239" s="1089">
        <f t="shared" si="416"/>
        <v>-2.7906976744186074E-2</v>
      </c>
      <c r="R239" s="1089">
        <f t="shared" si="416"/>
        <v>2.0505809979494138E-3</v>
      </c>
      <c r="S239" s="1648">
        <f t="shared" si="416"/>
        <v>0.10163710777626189</v>
      </c>
      <c r="T239" s="1648">
        <f t="shared" si="416"/>
        <v>6.9969040247678027E-2</v>
      </c>
      <c r="U239" s="1648">
        <f t="shared" si="416"/>
        <v>0</v>
      </c>
      <c r="V239" s="1648">
        <f t="shared" si="416"/>
        <v>0.11342592592592582</v>
      </c>
      <c r="W239" s="1648">
        <f t="shared" si="416"/>
        <v>0.11018711018711014</v>
      </c>
      <c r="X239" s="1648">
        <v>0.10874025441116131</v>
      </c>
      <c r="Y239" s="1648">
        <v>9.4005080378060546E-2</v>
      </c>
      <c r="Z239" s="1648">
        <v>4.5276130180311736E-3</v>
      </c>
      <c r="AA239" s="1648">
        <f>+AA267+AA268</f>
        <v>7.0000000000000007E-2</v>
      </c>
      <c r="AB239" s="1648">
        <f>+AB267+AB268</f>
        <v>0.06</v>
      </c>
      <c r="AC239" s="1648">
        <f>+AC267+AC268</f>
        <v>0.04</v>
      </c>
      <c r="AD239" s="1648">
        <f>+AD267+AD268</f>
        <v>3.5000000000000003E-2</v>
      </c>
      <c r="AE239" s="1089">
        <f>+AE267+AE268</f>
        <v>3.5000000000000003E-2</v>
      </c>
      <c r="AF239" s="1089">
        <f t="shared" ref="AF239:AH239" si="417">+AF267+AF268</f>
        <v>3.5000000000000003E-2</v>
      </c>
      <c r="AG239" s="1089">
        <f t="shared" si="417"/>
        <v>3.5000000000000003E-2</v>
      </c>
      <c r="AH239" s="1648">
        <f t="shared" si="417"/>
        <v>3.5000000000000003E-2</v>
      </c>
      <c r="AI239" s="1090"/>
      <c r="AJ239" s="1094"/>
      <c r="AK239" s="1079"/>
      <c r="AL239" s="1683"/>
      <c r="AM239" s="1091"/>
    </row>
    <row r="240" spans="1:41" hidden="1" outlineLevel="2">
      <c r="A240" s="2033" t="s">
        <v>487</v>
      </c>
      <c r="B240" s="1648"/>
      <c r="C240" s="1648"/>
      <c r="D240" s="1648"/>
      <c r="E240" s="1648"/>
      <c r="F240" s="1648"/>
      <c r="G240" s="1648"/>
      <c r="H240" s="1648"/>
      <c r="I240" s="1648">
        <f t="shared" ref="I240:AH240" si="418">I238/I7</f>
        <v>9.649921440727123E-2</v>
      </c>
      <c r="J240" s="1648">
        <f t="shared" si="418"/>
        <v>0.10160736220440265</v>
      </c>
      <c r="K240" s="1648">
        <f t="shared" si="418"/>
        <v>0.1117280216800491</v>
      </c>
      <c r="L240" s="1648">
        <f t="shared" si="418"/>
        <v>8.8858269962394307E-2</v>
      </c>
      <c r="M240" s="1648">
        <f t="shared" si="418"/>
        <v>9.019435692398392E-2</v>
      </c>
      <c r="N240" s="1648">
        <f t="shared" si="418"/>
        <v>8.9036728446072494E-2</v>
      </c>
      <c r="O240" s="1648">
        <f t="shared" si="418"/>
        <v>9.656996844287706E-2</v>
      </c>
      <c r="P240" s="1089">
        <f t="shared" si="418"/>
        <v>9.2516315298307325E-2</v>
      </c>
      <c r="Q240" s="1089">
        <f t="shared" si="418"/>
        <v>9.130408191030856E-2</v>
      </c>
      <c r="R240" s="1089">
        <f t="shared" si="418"/>
        <v>9.2068077623563394E-2</v>
      </c>
      <c r="S240" s="1648">
        <f t="shared" si="418"/>
        <v>0.10245511641185054</v>
      </c>
      <c r="T240" s="1648">
        <f t="shared" si="418"/>
        <v>0.11895910780669144</v>
      </c>
      <c r="U240" s="1648">
        <f t="shared" si="418"/>
        <v>0.12171585546242164</v>
      </c>
      <c r="V240" s="1648">
        <f t="shared" si="418"/>
        <v>0.13120567375886524</v>
      </c>
      <c r="W240" s="1648">
        <f t="shared" si="418"/>
        <v>0.14681421403532888</v>
      </c>
      <c r="X240" s="1648">
        <f t="shared" si="418"/>
        <v>0.17264072583221518</v>
      </c>
      <c r="Y240" s="1648">
        <f t="shared" si="418"/>
        <v>0.1830568322505276</v>
      </c>
      <c r="Z240" s="1648">
        <f t="shared" si="418"/>
        <v>0.18067449705402064</v>
      </c>
      <c r="AA240" s="1648">
        <f t="shared" si="418"/>
        <v>0.20112947611689735</v>
      </c>
      <c r="AB240" s="1648">
        <f t="shared" si="418"/>
        <v>0.21705831878523751</v>
      </c>
      <c r="AC240" s="1648">
        <f t="shared" si="418"/>
        <v>0.22091403022659192</v>
      </c>
      <c r="AD240" s="1648">
        <f t="shared" si="418"/>
        <v>0.22646953917213564</v>
      </c>
      <c r="AE240" s="1089">
        <f t="shared" si="418"/>
        <v>0.23554315890118821</v>
      </c>
      <c r="AF240" s="1089">
        <f t="shared" si="418"/>
        <v>0.24495967758340312</v>
      </c>
      <c r="AG240" s="1089">
        <f t="shared" si="418"/>
        <v>0.25456295454755357</v>
      </c>
      <c r="AH240" s="1648">
        <f t="shared" si="418"/>
        <v>0.26465145301494297</v>
      </c>
      <c r="AI240" s="1090"/>
      <c r="AJ240" s="1094"/>
      <c r="AK240" s="1079"/>
      <c r="AL240" s="1683"/>
      <c r="AM240" s="1091"/>
    </row>
    <row r="241" spans="1:39" hidden="1" outlineLevel="2">
      <c r="A241" s="1651"/>
      <c r="B241" s="1651"/>
      <c r="C241" s="1651"/>
      <c r="D241" s="1651"/>
      <c r="E241" s="1651"/>
      <c r="F241" s="1651"/>
      <c r="G241" s="1651"/>
      <c r="H241" s="1651"/>
      <c r="I241" s="1651"/>
      <c r="J241" s="1651"/>
      <c r="K241" s="1651"/>
      <c r="L241" s="1651"/>
      <c r="M241" s="1651"/>
      <c r="N241" s="1651"/>
      <c r="O241" s="1651"/>
      <c r="P241" s="1069"/>
      <c r="Q241" s="1069"/>
      <c r="R241" s="1125" t="s">
        <v>189</v>
      </c>
      <c r="S241" s="1658">
        <f t="shared" ref="S241:Z241" si="419">S246+S247</f>
        <v>18</v>
      </c>
      <c r="T241" s="1658">
        <f t="shared" si="419"/>
        <v>12</v>
      </c>
      <c r="U241" s="1658">
        <f t="shared" si="419"/>
        <v>12</v>
      </c>
      <c r="V241" s="1658">
        <f t="shared" si="419"/>
        <v>25</v>
      </c>
      <c r="W241" s="1658">
        <f t="shared" si="419"/>
        <v>33</v>
      </c>
      <c r="X241" s="1658">
        <f t="shared" si="419"/>
        <v>52</v>
      </c>
      <c r="Y241" s="1658">
        <f t="shared" si="419"/>
        <v>55</v>
      </c>
      <c r="Z241" s="1658">
        <f t="shared" si="419"/>
        <v>60</v>
      </c>
      <c r="AA241" s="1658">
        <f>AA246+AA247</f>
        <v>80</v>
      </c>
      <c r="AB241" s="1658">
        <f>AB246+AB247</f>
        <v>10</v>
      </c>
      <c r="AC241" s="1658">
        <f>AC246+AC247</f>
        <v>9</v>
      </c>
      <c r="AD241" s="1658">
        <f>AD246+AD247</f>
        <v>9</v>
      </c>
      <c r="AE241" s="1125">
        <f>AE246+AE247</f>
        <v>9</v>
      </c>
      <c r="AF241" s="1125">
        <f t="shared" ref="AF241:AH241" si="420">AF246+AF247</f>
        <v>9</v>
      </c>
      <c r="AG241" s="1125">
        <f t="shared" si="420"/>
        <v>9</v>
      </c>
      <c r="AH241" s="1658">
        <f t="shared" si="420"/>
        <v>9</v>
      </c>
      <c r="AI241" s="1090"/>
      <c r="AJ241" s="1094"/>
      <c r="AK241" s="1079"/>
      <c r="AL241" s="1683"/>
      <c r="AM241" s="1091"/>
    </row>
    <row r="242" spans="1:39" hidden="1" outlineLevel="3">
      <c r="A242" s="1651" t="s">
        <v>102</v>
      </c>
      <c r="B242" s="1680"/>
      <c r="C242" s="1680">
        <v>1.5</v>
      </c>
      <c r="D242" s="1680">
        <v>5.75</v>
      </c>
      <c r="E242" s="1680">
        <v>16</v>
      </c>
      <c r="F242" s="1680">
        <v>24.375</v>
      </c>
      <c r="G242" s="1680"/>
      <c r="H242" s="1680"/>
      <c r="I242" s="1680"/>
      <c r="J242" s="1680"/>
      <c r="K242" s="1680"/>
      <c r="L242" s="1680"/>
      <c r="M242" s="1680"/>
      <c r="N242" s="1680"/>
      <c r="O242" s="1680"/>
      <c r="P242" s="1140"/>
      <c r="Q242" s="1140"/>
      <c r="R242" s="1140"/>
      <c r="S242" s="1680"/>
      <c r="T242" s="1680"/>
      <c r="U242" s="1680"/>
      <c r="V242" s="1680"/>
      <c r="W242" s="1680"/>
      <c r="X242" s="1680"/>
      <c r="Y242" s="1680"/>
      <c r="Z242" s="1680"/>
      <c r="AA242" s="1680"/>
      <c r="AB242" s="1680"/>
      <c r="AC242" s="1680"/>
      <c r="AD242" s="1680"/>
      <c r="AE242" s="1140"/>
      <c r="AF242" s="1140"/>
      <c r="AG242" s="1140"/>
      <c r="AH242" s="1680"/>
      <c r="AI242" s="1090"/>
      <c r="AJ242" s="1094"/>
      <c r="AK242" s="1079"/>
      <c r="AL242" s="1683"/>
      <c r="AM242" s="1091"/>
    </row>
    <row r="243" spans="1:39" hidden="1" outlineLevel="3">
      <c r="A243" s="1651"/>
      <c r="B243" s="1651"/>
      <c r="C243" s="1651"/>
      <c r="D243" s="1651"/>
      <c r="E243" s="1651"/>
      <c r="F243" s="1651"/>
      <c r="G243" s="1651"/>
      <c r="H243" s="1651"/>
      <c r="I243" s="1651"/>
      <c r="J243" s="1651"/>
      <c r="K243" s="1651"/>
      <c r="L243" s="1651"/>
      <c r="M243" s="1651"/>
      <c r="N243" s="1651"/>
      <c r="O243" s="1651"/>
      <c r="P243" s="1069"/>
      <c r="Q243" s="1069"/>
      <c r="R243" s="1069"/>
      <c r="S243" s="1651"/>
      <c r="T243" s="1651"/>
      <c r="U243" s="1651"/>
      <c r="V243" s="1651"/>
      <c r="W243" s="1651"/>
      <c r="X243" s="1651"/>
      <c r="Y243" s="1651"/>
      <c r="Z243" s="1651"/>
      <c r="AA243" s="1651"/>
      <c r="AB243" s="1651"/>
      <c r="AC243" s="1651"/>
      <c r="AD243" s="1651"/>
      <c r="AE243" s="1069"/>
      <c r="AF243" s="1069"/>
      <c r="AG243" s="1069"/>
      <c r="AH243" s="1651"/>
      <c r="AI243" s="1090"/>
      <c r="AJ243" s="1094"/>
      <c r="AK243" s="1079"/>
      <c r="AL243" s="1683"/>
      <c r="AM243" s="1091"/>
    </row>
    <row r="244" spans="1:39" hidden="1" outlineLevel="3">
      <c r="A244" s="1651"/>
      <c r="B244" s="1651"/>
      <c r="C244" s="1651"/>
      <c r="D244" s="1651"/>
      <c r="E244" s="1651"/>
      <c r="F244" s="1651"/>
      <c r="G244" s="1651"/>
      <c r="H244" s="1651"/>
      <c r="I244" s="1651"/>
      <c r="J244" s="1651"/>
      <c r="K244" s="1651"/>
      <c r="L244" s="1651"/>
      <c r="M244" s="1651"/>
      <c r="N244" s="1651"/>
      <c r="O244" s="1651"/>
      <c r="P244" s="1069"/>
      <c r="Q244" s="1069"/>
      <c r="R244" s="1069"/>
      <c r="S244" s="1651"/>
      <c r="T244" s="1651"/>
      <c r="U244" s="1651"/>
      <c r="V244" s="1651"/>
      <c r="W244" s="1651"/>
      <c r="X244" s="1651"/>
      <c r="Y244" s="1651"/>
      <c r="Z244" s="1651"/>
      <c r="AA244" s="1651"/>
      <c r="AB244" s="1651"/>
      <c r="AC244" s="1651"/>
      <c r="AD244" s="1651"/>
      <c r="AE244" s="1069"/>
      <c r="AF244" s="1069"/>
      <c r="AG244" s="1069"/>
      <c r="AH244" s="1651"/>
      <c r="AI244" s="1090"/>
      <c r="AJ244" s="1094"/>
      <c r="AK244" s="1079"/>
      <c r="AL244" s="1683"/>
      <c r="AM244" s="1091"/>
    </row>
    <row r="245" spans="1:39" hidden="1" outlineLevel="2" collapsed="1">
      <c r="A245" s="2033" t="s">
        <v>491</v>
      </c>
      <c r="B245" s="1644">
        <v>16</v>
      </c>
      <c r="C245" s="1644">
        <f t="shared" ref="C245:AA245" si="421">B248</f>
        <v>46</v>
      </c>
      <c r="D245" s="1644">
        <f t="shared" si="421"/>
        <v>67</v>
      </c>
      <c r="E245" s="1644">
        <f t="shared" si="421"/>
        <v>86</v>
      </c>
      <c r="F245" s="1644">
        <f t="shared" si="421"/>
        <v>100</v>
      </c>
      <c r="G245" s="1644">
        <f t="shared" si="421"/>
        <v>124</v>
      </c>
      <c r="H245" s="1644">
        <f t="shared" si="421"/>
        <v>164</v>
      </c>
      <c r="I245" s="1644">
        <f t="shared" si="421"/>
        <v>200</v>
      </c>
      <c r="J245" s="1644">
        <f t="shared" si="421"/>
        <v>239</v>
      </c>
      <c r="K245" s="2064">
        <v>300</v>
      </c>
      <c r="L245" s="1644">
        <f t="shared" si="421"/>
        <v>393</v>
      </c>
      <c r="M245" s="1644">
        <f t="shared" si="421"/>
        <v>326</v>
      </c>
      <c r="N245" s="1644">
        <f t="shared" si="421"/>
        <v>364</v>
      </c>
      <c r="O245" s="1644">
        <f t="shared" si="421"/>
        <v>266</v>
      </c>
      <c r="P245" s="1084">
        <f t="shared" si="421"/>
        <v>254</v>
      </c>
      <c r="Q245" s="1084">
        <f t="shared" si="421"/>
        <v>247</v>
      </c>
      <c r="R245" s="1084">
        <f t="shared" si="421"/>
        <v>260</v>
      </c>
      <c r="S245" s="1644">
        <f t="shared" si="421"/>
        <v>286</v>
      </c>
      <c r="T245" s="1644">
        <f t="shared" si="421"/>
        <v>304</v>
      </c>
      <c r="U245" s="1644">
        <f t="shared" si="421"/>
        <v>316</v>
      </c>
      <c r="V245" s="1644">
        <f t="shared" si="421"/>
        <v>328</v>
      </c>
      <c r="W245" s="1644">
        <f t="shared" si="421"/>
        <v>353</v>
      </c>
      <c r="X245" s="1644">
        <f t="shared" si="421"/>
        <v>386</v>
      </c>
      <c r="Y245" s="1644">
        <f t="shared" si="421"/>
        <v>438</v>
      </c>
      <c r="Z245" s="1644">
        <f t="shared" si="421"/>
        <v>493</v>
      </c>
      <c r="AA245" s="1644">
        <f t="shared" si="421"/>
        <v>553</v>
      </c>
      <c r="AB245" s="1644">
        <f>AA248</f>
        <v>633</v>
      </c>
      <c r="AC245" s="1644">
        <f>AB248</f>
        <v>643</v>
      </c>
      <c r="AD245" s="1644">
        <f>AC248</f>
        <v>652</v>
      </c>
      <c r="AE245" s="1084">
        <f>AD248</f>
        <v>661</v>
      </c>
      <c r="AF245" s="1084">
        <f t="shared" ref="AF245" si="422">AE248</f>
        <v>670</v>
      </c>
      <c r="AG245" s="1084">
        <f>AF248</f>
        <v>679</v>
      </c>
      <c r="AH245" s="1644">
        <f>AG248</f>
        <v>688</v>
      </c>
      <c r="AI245" s="1090"/>
      <c r="AJ245" s="1094"/>
      <c r="AK245" s="1079"/>
      <c r="AL245" s="1683"/>
      <c r="AM245" s="1091"/>
    </row>
    <row r="246" spans="1:39" hidden="1" outlineLevel="2">
      <c r="A246" s="2033" t="s">
        <v>56</v>
      </c>
      <c r="B246" s="1644">
        <v>32</v>
      </c>
      <c r="C246" s="1644">
        <v>21</v>
      </c>
      <c r="D246" s="1644">
        <v>19</v>
      </c>
      <c r="E246" s="1644">
        <v>15</v>
      </c>
      <c r="F246" s="1644">
        <v>26</v>
      </c>
      <c r="G246" s="1644">
        <v>40</v>
      </c>
      <c r="H246" s="1644">
        <v>36</v>
      </c>
      <c r="I246" s="1644">
        <v>39</v>
      </c>
      <c r="J246" s="1644">
        <v>62</v>
      </c>
      <c r="K246" s="2064">
        <v>98</v>
      </c>
      <c r="L246" s="1644">
        <v>144</v>
      </c>
      <c r="M246" s="1644">
        <v>121</v>
      </c>
      <c r="N246" s="1644">
        <v>15</v>
      </c>
      <c r="O246" s="1644">
        <v>6</v>
      </c>
      <c r="P246" s="1084">
        <v>15</v>
      </c>
      <c r="Q246" s="1084">
        <v>29</v>
      </c>
      <c r="R246" s="1084">
        <v>36</v>
      </c>
      <c r="S246" s="1644">
        <v>29</v>
      </c>
      <c r="T246" s="1644">
        <v>26</v>
      </c>
      <c r="U246" s="1644">
        <v>19</v>
      </c>
      <c r="V246" s="1644">
        <v>34</v>
      </c>
      <c r="W246" s="1644">
        <v>38</v>
      </c>
      <c r="X246" s="1644">
        <v>57</v>
      </c>
      <c r="Y246" s="1644">
        <v>67</v>
      </c>
      <c r="Z246" s="1644">
        <v>71</v>
      </c>
      <c r="AA246" s="1644">
        <v>91</v>
      </c>
      <c r="AB246" s="1644">
        <v>10</v>
      </c>
      <c r="AC246" s="1645">
        <v>15</v>
      </c>
      <c r="AD246" s="1645">
        <v>15</v>
      </c>
      <c r="AE246" s="1126">
        <v>15</v>
      </c>
      <c r="AF246" s="1126">
        <v>15</v>
      </c>
      <c r="AG246" s="1126">
        <v>15</v>
      </c>
      <c r="AH246" s="1645">
        <v>15</v>
      </c>
      <c r="AI246" s="1090"/>
      <c r="AJ246" s="1094"/>
      <c r="AK246" s="1079"/>
      <c r="AL246" s="1683"/>
      <c r="AM246" s="1091"/>
    </row>
    <row r="247" spans="1:39" hidden="1" outlineLevel="2">
      <c r="A247" s="2036" t="s">
        <v>497</v>
      </c>
      <c r="B247" s="1644">
        <v>-2</v>
      </c>
      <c r="C247" s="1644">
        <v>0</v>
      </c>
      <c r="D247" s="1644">
        <v>0</v>
      </c>
      <c r="E247" s="1644">
        <v>-1</v>
      </c>
      <c r="F247" s="1644">
        <v>-2</v>
      </c>
      <c r="G247" s="1644">
        <v>0</v>
      </c>
      <c r="H247" s="1673">
        <v>0</v>
      </c>
      <c r="I247" s="1673">
        <v>0</v>
      </c>
      <c r="J247" s="1673">
        <v>-2</v>
      </c>
      <c r="K247" s="2065">
        <v>-5</v>
      </c>
      <c r="L247" s="1673">
        <v>-8</v>
      </c>
      <c r="M247" s="1673">
        <v>-16</v>
      </c>
      <c r="N247" s="1673">
        <v>-113</v>
      </c>
      <c r="O247" s="1673">
        <v>-18</v>
      </c>
      <c r="P247" s="1097">
        <v>-22</v>
      </c>
      <c r="Q247" s="1097">
        <v>-16</v>
      </c>
      <c r="R247" s="1097">
        <v>-10</v>
      </c>
      <c r="S247" s="1673">
        <v>-11</v>
      </c>
      <c r="T247" s="1673">
        <v>-14</v>
      </c>
      <c r="U247" s="1673">
        <v>-7</v>
      </c>
      <c r="V247" s="1673">
        <v>-9</v>
      </c>
      <c r="W247" s="1673">
        <v>-5</v>
      </c>
      <c r="X247" s="1673">
        <v>-5</v>
      </c>
      <c r="Y247" s="1673">
        <v>-12</v>
      </c>
      <c r="Z247" s="1673">
        <v>-11</v>
      </c>
      <c r="AA247" s="1673">
        <v>-11</v>
      </c>
      <c r="AB247" s="1673">
        <v>0</v>
      </c>
      <c r="AC247" s="1646">
        <v>-6</v>
      </c>
      <c r="AD247" s="1646">
        <v>-6</v>
      </c>
      <c r="AE247" s="1127">
        <v>-6</v>
      </c>
      <c r="AF247" s="1127">
        <v>-6</v>
      </c>
      <c r="AG247" s="1127">
        <v>-6</v>
      </c>
      <c r="AH247" s="1646">
        <v>-6</v>
      </c>
      <c r="AI247" s="1090"/>
      <c r="AJ247" s="1094"/>
      <c r="AK247" s="1079"/>
      <c r="AL247" s="1683"/>
      <c r="AM247" s="1091"/>
    </row>
    <row r="248" spans="1:39" hidden="1" outlineLevel="2">
      <c r="A248" s="2033" t="s">
        <v>498</v>
      </c>
      <c r="B248" s="1644">
        <f t="shared" ref="B248:N248" si="423">+SUM(B245:B247)</f>
        <v>46</v>
      </c>
      <c r="C248" s="1644">
        <f t="shared" si="423"/>
        <v>67</v>
      </c>
      <c r="D248" s="1644">
        <f t="shared" si="423"/>
        <v>86</v>
      </c>
      <c r="E248" s="1644">
        <f t="shared" si="423"/>
        <v>100</v>
      </c>
      <c r="F248" s="1644">
        <f t="shared" si="423"/>
        <v>124</v>
      </c>
      <c r="G248" s="1644">
        <f t="shared" si="423"/>
        <v>164</v>
      </c>
      <c r="H248" s="1644">
        <f t="shared" si="423"/>
        <v>200</v>
      </c>
      <c r="I248" s="1644">
        <f t="shared" si="423"/>
        <v>239</v>
      </c>
      <c r="J248" s="1644">
        <f t="shared" si="423"/>
        <v>299</v>
      </c>
      <c r="K248" s="2064">
        <f t="shared" si="423"/>
        <v>393</v>
      </c>
      <c r="L248" s="1645">
        <v>326</v>
      </c>
      <c r="M248" s="1645">
        <v>364</v>
      </c>
      <c r="N248" s="1644">
        <f t="shared" si="423"/>
        <v>266</v>
      </c>
      <c r="O248" s="1644">
        <f t="shared" ref="O248:AA248" si="424">+SUM(O245:O247)</f>
        <v>254</v>
      </c>
      <c r="P248" s="1084">
        <f t="shared" si="424"/>
        <v>247</v>
      </c>
      <c r="Q248" s="1084">
        <f t="shared" si="424"/>
        <v>260</v>
      </c>
      <c r="R248" s="1084">
        <f t="shared" si="424"/>
        <v>286</v>
      </c>
      <c r="S248" s="1644">
        <f t="shared" si="424"/>
        <v>304</v>
      </c>
      <c r="T248" s="1644">
        <f t="shared" si="424"/>
        <v>316</v>
      </c>
      <c r="U248" s="1644">
        <f t="shared" si="424"/>
        <v>328</v>
      </c>
      <c r="V248" s="1644">
        <f t="shared" si="424"/>
        <v>353</v>
      </c>
      <c r="W248" s="1644">
        <f t="shared" si="424"/>
        <v>386</v>
      </c>
      <c r="X248" s="1644">
        <f t="shared" si="424"/>
        <v>438</v>
      </c>
      <c r="Y248" s="1644">
        <f t="shared" si="424"/>
        <v>493</v>
      </c>
      <c r="Z248" s="1644">
        <f t="shared" si="424"/>
        <v>553</v>
      </c>
      <c r="AA248" s="1644">
        <f t="shared" si="424"/>
        <v>633</v>
      </c>
      <c r="AB248" s="1644">
        <f>+SUM(AB245:AB247)</f>
        <v>643</v>
      </c>
      <c r="AC248" s="1644">
        <f>+SUM(AC245:AC247)</f>
        <v>652</v>
      </c>
      <c r="AD248" s="1644">
        <f>+SUM(AD245:AD247)</f>
        <v>661</v>
      </c>
      <c r="AE248" s="1084">
        <f>+SUM(AE245:AE247)</f>
        <v>670</v>
      </c>
      <c r="AF248" s="1084">
        <f t="shared" ref="AF248:AH248" si="425">+SUM(AF245:AF247)</f>
        <v>679</v>
      </c>
      <c r="AG248" s="1084">
        <f t="shared" si="425"/>
        <v>688</v>
      </c>
      <c r="AH248" s="1644">
        <f t="shared" si="425"/>
        <v>697</v>
      </c>
      <c r="AI248" s="1090"/>
      <c r="AJ248" s="1094">
        <f>((Y248/T248)^(1/5)-1)*100</f>
        <v>9.3029711309970065</v>
      </c>
      <c r="AK248" s="1110" t="s">
        <v>489</v>
      </c>
      <c r="AL248" s="1683">
        <f>((AH248/AB248)^(1/6)-1)*100</f>
        <v>1.3530838751129926</v>
      </c>
      <c r="AM248" s="1091" t="s">
        <v>489</v>
      </c>
    </row>
    <row r="249" spans="1:39" hidden="1" outlineLevel="2">
      <c r="A249" s="2033" t="s">
        <v>499</v>
      </c>
      <c r="B249" s="1647">
        <f t="shared" ref="B249:AA249" si="426">(+B248+B245)/2</f>
        <v>31</v>
      </c>
      <c r="C249" s="1647">
        <f t="shared" si="426"/>
        <v>56.5</v>
      </c>
      <c r="D249" s="1647">
        <f t="shared" si="426"/>
        <v>76.5</v>
      </c>
      <c r="E249" s="1647">
        <f t="shared" si="426"/>
        <v>93</v>
      </c>
      <c r="F249" s="1647">
        <f t="shared" si="426"/>
        <v>112</v>
      </c>
      <c r="G249" s="1647">
        <f t="shared" si="426"/>
        <v>144</v>
      </c>
      <c r="H249" s="1647">
        <f t="shared" si="426"/>
        <v>182</v>
      </c>
      <c r="I249" s="1647">
        <f t="shared" si="426"/>
        <v>219.5</v>
      </c>
      <c r="J249" s="1647">
        <f t="shared" si="426"/>
        <v>269</v>
      </c>
      <c r="K249" s="2066">
        <f t="shared" si="426"/>
        <v>346.5</v>
      </c>
      <c r="L249" s="1647">
        <f t="shared" si="426"/>
        <v>359.5</v>
      </c>
      <c r="M249" s="1647">
        <f t="shared" si="426"/>
        <v>345</v>
      </c>
      <c r="N249" s="1647">
        <f t="shared" si="426"/>
        <v>315</v>
      </c>
      <c r="O249" s="1647">
        <f t="shared" si="426"/>
        <v>260</v>
      </c>
      <c r="P249" s="1107">
        <f t="shared" si="426"/>
        <v>250.5</v>
      </c>
      <c r="Q249" s="1107">
        <f t="shared" si="426"/>
        <v>253.5</v>
      </c>
      <c r="R249" s="1107">
        <f t="shared" si="426"/>
        <v>273</v>
      </c>
      <c r="S249" s="1647">
        <f t="shared" si="426"/>
        <v>295</v>
      </c>
      <c r="T249" s="1647">
        <f t="shared" si="426"/>
        <v>310</v>
      </c>
      <c r="U249" s="1647">
        <f t="shared" si="426"/>
        <v>322</v>
      </c>
      <c r="V249" s="1647">
        <f t="shared" si="426"/>
        <v>340.5</v>
      </c>
      <c r="W249" s="1647">
        <f t="shared" si="426"/>
        <v>369.5</v>
      </c>
      <c r="X249" s="1647">
        <f t="shared" si="426"/>
        <v>412</v>
      </c>
      <c r="Y249" s="1647">
        <f t="shared" si="426"/>
        <v>465.5</v>
      </c>
      <c r="Z249" s="1647">
        <f t="shared" si="426"/>
        <v>523</v>
      </c>
      <c r="AA249" s="1647">
        <f t="shared" si="426"/>
        <v>593</v>
      </c>
      <c r="AB249" s="1647">
        <f>(+AB248+AB245)/2</f>
        <v>638</v>
      </c>
      <c r="AC249" s="1647">
        <f>(+AC248+AC245)/2</f>
        <v>647.5</v>
      </c>
      <c r="AD249" s="1647">
        <f>(+AD248+AD245)/2</f>
        <v>656.5</v>
      </c>
      <c r="AE249" s="1107">
        <f>(+AE248+AE245)/2</f>
        <v>665.5</v>
      </c>
      <c r="AF249" s="1107">
        <f t="shared" ref="AF249:AH249" si="427">(+AF248+AF245)/2</f>
        <v>674.5</v>
      </c>
      <c r="AG249" s="1107">
        <f t="shared" si="427"/>
        <v>683.5</v>
      </c>
      <c r="AH249" s="1647">
        <f t="shared" si="427"/>
        <v>692.5</v>
      </c>
      <c r="AI249" s="1100"/>
      <c r="AJ249" s="1094"/>
      <c r="AK249" s="1128"/>
      <c r="AL249" s="1683"/>
      <c r="AM249" s="1101"/>
    </row>
    <row r="250" spans="1:39" hidden="1" outlineLevel="2">
      <c r="A250" s="2033" t="s">
        <v>500</v>
      </c>
      <c r="B250" s="1648"/>
      <c r="C250" s="1648">
        <f t="shared" ref="C250:AA250" si="428">(C249/B249-1)</f>
        <v>0.82258064516129026</v>
      </c>
      <c r="D250" s="1648">
        <f t="shared" si="428"/>
        <v>0.35398230088495586</v>
      </c>
      <c r="E250" s="1648">
        <f t="shared" si="428"/>
        <v>0.21568627450980382</v>
      </c>
      <c r="F250" s="1648">
        <f t="shared" si="428"/>
        <v>0.20430107526881724</v>
      </c>
      <c r="G250" s="1648">
        <f t="shared" si="428"/>
        <v>0.28571428571428581</v>
      </c>
      <c r="H250" s="1648">
        <f t="shared" si="428"/>
        <v>0.26388888888888884</v>
      </c>
      <c r="I250" s="1648">
        <f t="shared" si="428"/>
        <v>0.20604395604395598</v>
      </c>
      <c r="J250" s="1648">
        <f t="shared" si="428"/>
        <v>0.22551252847380421</v>
      </c>
      <c r="K250" s="2041">
        <f t="shared" si="428"/>
        <v>0.28810408921933095</v>
      </c>
      <c r="L250" s="1648">
        <f t="shared" si="428"/>
        <v>3.7518037518037506E-2</v>
      </c>
      <c r="M250" s="1648">
        <f t="shared" si="428"/>
        <v>-4.0333796940194677E-2</v>
      </c>
      <c r="N250" s="1648">
        <f t="shared" si="428"/>
        <v>-8.6956521739130488E-2</v>
      </c>
      <c r="O250" s="1648">
        <f t="shared" si="428"/>
        <v>-0.17460317460317465</v>
      </c>
      <c r="P250" s="1089">
        <f t="shared" si="428"/>
        <v>-3.653846153846152E-2</v>
      </c>
      <c r="Q250" s="1089">
        <f t="shared" si="428"/>
        <v>1.1976047904191711E-2</v>
      </c>
      <c r="R250" s="1089">
        <f t="shared" si="428"/>
        <v>7.6923076923076872E-2</v>
      </c>
      <c r="S250" s="1648">
        <f t="shared" si="428"/>
        <v>8.0586080586080522E-2</v>
      </c>
      <c r="T250" s="1648">
        <f t="shared" si="428"/>
        <v>5.0847457627118731E-2</v>
      </c>
      <c r="U250" s="1648">
        <f t="shared" si="428"/>
        <v>3.8709677419354938E-2</v>
      </c>
      <c r="V250" s="1648">
        <f t="shared" si="428"/>
        <v>5.7453416149068293E-2</v>
      </c>
      <c r="W250" s="1648">
        <f t="shared" si="428"/>
        <v>8.5168869309838469E-2</v>
      </c>
      <c r="X250" s="1648">
        <f t="shared" si="428"/>
        <v>0.11502029769959399</v>
      </c>
      <c r="Y250" s="1648">
        <f t="shared" si="428"/>
        <v>0.12985436893203883</v>
      </c>
      <c r="Z250" s="1648">
        <f t="shared" si="428"/>
        <v>0.12352309344790546</v>
      </c>
      <c r="AA250" s="1648">
        <f t="shared" si="428"/>
        <v>0.13384321223709361</v>
      </c>
      <c r="AB250" s="1648">
        <f>(AB249/AA249-1)</f>
        <v>7.5885328836424959E-2</v>
      </c>
      <c r="AC250" s="1648">
        <f>(AC249/AB249-1)</f>
        <v>1.4890282131661436E-2</v>
      </c>
      <c r="AD250" s="1648">
        <f>(AD249/AC249-1)</f>
        <v>1.3899613899613916E-2</v>
      </c>
      <c r="AE250" s="1089">
        <f>(AE249/AD249-1)</f>
        <v>1.3709063214013772E-2</v>
      </c>
      <c r="AF250" s="1089">
        <f t="shared" ref="AF250" si="429">(AF249/AE249-1)</f>
        <v>1.3523666416228375E-2</v>
      </c>
      <c r="AG250" s="1089">
        <f>(AG249/AF249-1)</f>
        <v>1.3343217197924417E-2</v>
      </c>
      <c r="AH250" s="1648">
        <f>(AH249/AG249-1)</f>
        <v>1.3167520117044695E-2</v>
      </c>
      <c r="AI250" s="1090"/>
      <c r="AJ250" s="1094"/>
      <c r="AK250" s="1079"/>
      <c r="AL250" s="1683"/>
      <c r="AM250" s="1091"/>
    </row>
    <row r="251" spans="1:39" hidden="1" outlineLevel="2">
      <c r="A251" s="1651"/>
      <c r="B251" s="1651"/>
      <c r="C251" s="1651"/>
      <c r="D251" s="1651"/>
      <c r="E251" s="1651"/>
      <c r="F251" s="1651"/>
      <c r="G251" s="1651"/>
      <c r="H251" s="1648"/>
      <c r="I251" s="1648"/>
      <c r="J251" s="1651"/>
      <c r="K251" s="1651"/>
      <c r="L251" s="1651"/>
      <c r="M251" s="1651"/>
      <c r="N251" s="1651"/>
      <c r="O251" s="1651"/>
      <c r="P251" s="1069"/>
      <c r="Q251" s="1069"/>
      <c r="R251" s="1069"/>
      <c r="S251" s="1651"/>
      <c r="T251" s="1651"/>
      <c r="U251" s="1651"/>
      <c r="V251" s="1651"/>
      <c r="W251" s="1651"/>
      <c r="X251" s="1651"/>
      <c r="Y251" s="1651"/>
      <c r="Z251" s="1651"/>
      <c r="AA251" s="1651"/>
      <c r="AB251" s="1651"/>
      <c r="AC251" s="1651"/>
      <c r="AD251" s="1651"/>
      <c r="AE251" s="1069"/>
      <c r="AF251" s="1069"/>
      <c r="AG251" s="1069"/>
      <c r="AH251" s="1651"/>
      <c r="AI251" s="1090"/>
      <c r="AJ251" s="1094"/>
      <c r="AK251" s="1079"/>
      <c r="AL251" s="1683"/>
      <c r="AM251" s="1091"/>
    </row>
    <row r="252" spans="1:39" hidden="1" outlineLevel="2">
      <c r="A252" s="2033" t="s">
        <v>62</v>
      </c>
      <c r="B252" s="1649">
        <f t="shared" ref="B252:AD252" si="430">(B238)/B249</f>
        <v>1.2903225806451613</v>
      </c>
      <c r="C252" s="1649">
        <f t="shared" si="430"/>
        <v>1.3274336283185841</v>
      </c>
      <c r="D252" s="1649">
        <f t="shared" si="430"/>
        <v>1.5032679738562091</v>
      </c>
      <c r="E252" s="1649">
        <f t="shared" si="430"/>
        <v>1.7204301075268817</v>
      </c>
      <c r="F252" s="1649">
        <f t="shared" si="430"/>
        <v>1.7857142857142858</v>
      </c>
      <c r="G252" s="1649">
        <f t="shared" si="430"/>
        <v>2.4305555555555554</v>
      </c>
      <c r="H252" s="1649">
        <f t="shared" si="430"/>
        <v>2.7472527472527473</v>
      </c>
      <c r="I252" s="1649">
        <f t="shared" si="430"/>
        <v>2.8610478359908882</v>
      </c>
      <c r="J252" s="1649">
        <f t="shared" si="430"/>
        <v>3.4200743494423791</v>
      </c>
      <c r="K252" s="1649">
        <f t="shared" si="430"/>
        <v>3.7518037518037519</v>
      </c>
      <c r="L252" s="1649">
        <f t="shared" si="430"/>
        <v>3.3796940194714882</v>
      </c>
      <c r="M252" s="1649">
        <f t="shared" si="430"/>
        <v>3.6202898550724636</v>
      </c>
      <c r="N252" s="1649">
        <f t="shared" si="430"/>
        <v>4.0857142857142854</v>
      </c>
      <c r="O252" s="1649">
        <f t="shared" si="430"/>
        <v>5.8884615384615389</v>
      </c>
      <c r="P252" s="1102">
        <f t="shared" si="430"/>
        <v>6.007984031936128</v>
      </c>
      <c r="Q252" s="1102">
        <f t="shared" si="430"/>
        <v>5.7712031558185402</v>
      </c>
      <c r="R252" s="1102">
        <f t="shared" si="430"/>
        <v>5.3699633699633695</v>
      </c>
      <c r="S252" s="1649">
        <f t="shared" si="430"/>
        <v>5.4745762711864403</v>
      </c>
      <c r="T252" s="1649">
        <f t="shared" si="430"/>
        <v>5.5741935483870968</v>
      </c>
      <c r="U252" s="1649">
        <f t="shared" si="430"/>
        <v>5.3664596273291929</v>
      </c>
      <c r="V252" s="1649">
        <f t="shared" si="430"/>
        <v>5.6505139500734218</v>
      </c>
      <c r="W252" s="1649">
        <f t="shared" si="430"/>
        <v>5.7807848443843035</v>
      </c>
      <c r="X252" s="1649">
        <f t="shared" si="430"/>
        <v>6.558252427184466</v>
      </c>
      <c r="Y252" s="1649">
        <f t="shared" si="430"/>
        <v>6.3501648274576148</v>
      </c>
      <c r="Z252" s="1649">
        <f t="shared" si="430"/>
        <v>5.6776010689920255</v>
      </c>
      <c r="AA252" s="1649">
        <f t="shared" si="430"/>
        <v>5.3579128738931328</v>
      </c>
      <c r="AB252" s="1649">
        <f t="shared" si="430"/>
        <v>5.2788038781688797</v>
      </c>
      <c r="AC252" s="1649">
        <f t="shared" si="430"/>
        <v>5.409408415818711</v>
      </c>
      <c r="AD252" s="1649">
        <f t="shared" si="430"/>
        <v>5.5219842611821885</v>
      </c>
      <c r="AE252" s="1102">
        <f>(AE238)/AE249</f>
        <v>5.6379625256610364</v>
      </c>
      <c r="AF252" s="1102">
        <f t="shared" ref="AF252:AH252" si="431">(AF238)/AF249</f>
        <v>5.757429655976841</v>
      </c>
      <c r="AG252" s="1102">
        <f t="shared" si="431"/>
        <v>5.8804752356398717</v>
      </c>
      <c r="AH252" s="1649">
        <f t="shared" si="431"/>
        <v>6.0071920467645441</v>
      </c>
      <c r="AI252" s="1090"/>
      <c r="AJ252" s="1094"/>
      <c r="AK252" s="1079"/>
      <c r="AL252" s="1683"/>
      <c r="AM252" s="1091"/>
    </row>
    <row r="253" spans="1:39" hidden="1" outlineLevel="2">
      <c r="A253" s="2033" t="s">
        <v>490</v>
      </c>
      <c r="B253" s="1650"/>
      <c r="C253" s="1650">
        <f t="shared" ref="C253:AA253" si="432">C252/B252-1</f>
        <v>2.8761061946902755E-2</v>
      </c>
      <c r="D253" s="1650">
        <f t="shared" si="432"/>
        <v>0.13246187363834405</v>
      </c>
      <c r="E253" s="1650">
        <f t="shared" si="432"/>
        <v>0.14446002805049085</v>
      </c>
      <c r="F253" s="1650">
        <f t="shared" si="432"/>
        <v>3.7946428571428603E-2</v>
      </c>
      <c r="G253" s="1650">
        <f t="shared" si="432"/>
        <v>0.36111111111111094</v>
      </c>
      <c r="H253" s="1650">
        <f t="shared" si="432"/>
        <v>0.13029827315541609</v>
      </c>
      <c r="I253" s="1650">
        <f t="shared" si="432"/>
        <v>4.1421412300683302E-2</v>
      </c>
      <c r="J253" s="1650">
        <f t="shared" si="432"/>
        <v>0.19539222882579987</v>
      </c>
      <c r="K253" s="1650">
        <f t="shared" si="432"/>
        <v>9.6994792646966532E-2</v>
      </c>
      <c r="L253" s="1650">
        <f t="shared" si="432"/>
        <v>-9.9181555579330283E-2</v>
      </c>
      <c r="M253" s="1650">
        <f t="shared" si="432"/>
        <v>7.1188644360947073E-2</v>
      </c>
      <c r="N253" s="1650">
        <f t="shared" si="432"/>
        <v>0.12855999084982273</v>
      </c>
      <c r="O253" s="1650">
        <f t="shared" si="432"/>
        <v>0.44123184507799906</v>
      </c>
      <c r="P253" s="1103">
        <f t="shared" si="432"/>
        <v>2.0297745462699579E-2</v>
      </c>
      <c r="Q253" s="1103">
        <f t="shared" si="432"/>
        <v>-3.9411036191000504E-2</v>
      </c>
      <c r="R253" s="1103">
        <f t="shared" si="432"/>
        <v>-6.9524460501904195E-2</v>
      </c>
      <c r="S253" s="1650">
        <f t="shared" si="432"/>
        <v>1.9481120077693204E-2</v>
      </c>
      <c r="T253" s="1650">
        <f t="shared" si="432"/>
        <v>1.8196344751822746E-2</v>
      </c>
      <c r="U253" s="1650">
        <f t="shared" si="432"/>
        <v>-3.7267080745341574E-2</v>
      </c>
      <c r="V253" s="1650">
        <f t="shared" si="432"/>
        <v>5.2931418937292696E-2</v>
      </c>
      <c r="W253" s="1650">
        <f t="shared" si="432"/>
        <v>2.3054698291504749E-2</v>
      </c>
      <c r="X253" s="1650">
        <f t="shared" si="432"/>
        <v>0.13449170030180713</v>
      </c>
      <c r="Y253" s="1650">
        <f t="shared" si="432"/>
        <v>-3.1729123274412574E-2</v>
      </c>
      <c r="Z253" s="1650">
        <f t="shared" si="432"/>
        <v>-0.10591280332716346</v>
      </c>
      <c r="AA253" s="1650">
        <f t="shared" si="432"/>
        <v>-5.6306913996627239E-2</v>
      </c>
      <c r="AB253" s="1650">
        <f>AB252/AA252-1</f>
        <v>-1.4764890282131682E-2</v>
      </c>
      <c r="AC253" s="1650">
        <f>AC252/AB252-1</f>
        <v>2.4741312741312749E-2</v>
      </c>
      <c r="AD253" s="1650">
        <f>AD252/AC252-1</f>
        <v>2.0811119573495684E-2</v>
      </c>
      <c r="AE253" s="1103">
        <f>AE252/AD252-1</f>
        <v>2.10030052592034E-2</v>
      </c>
      <c r="AF253" s="1103">
        <f t="shared" ref="AF253" si="433">AF252/AE252-1</f>
        <v>2.1189770200148228E-2</v>
      </c>
      <c r="AG253" s="1103">
        <f>AG252/AF252-1</f>
        <v>2.1371616678858674E-2</v>
      </c>
      <c r="AH253" s="1650">
        <f>AH252/AG252-1</f>
        <v>2.1548736462093876E-2</v>
      </c>
      <c r="AI253" s="1090"/>
      <c r="AJ253" s="1094"/>
      <c r="AK253" s="1079"/>
      <c r="AL253" s="1683"/>
      <c r="AM253" s="1091"/>
    </row>
    <row r="254" spans="1:39" hidden="1" outlineLevel="2">
      <c r="A254" s="1651"/>
      <c r="B254" s="1651"/>
      <c r="C254" s="1651"/>
      <c r="D254" s="1651"/>
      <c r="E254" s="1651"/>
      <c r="F254" s="1651"/>
      <c r="G254" s="1651"/>
      <c r="H254" s="1651"/>
      <c r="I254" s="1651"/>
      <c r="J254" s="1651"/>
      <c r="K254" s="1651"/>
      <c r="L254" s="1651"/>
      <c r="M254" s="1651"/>
      <c r="N254" s="1651"/>
      <c r="O254" s="1651"/>
      <c r="P254" s="1069"/>
      <c r="Q254" s="1069"/>
      <c r="R254" s="1069"/>
      <c r="S254" s="1651"/>
      <c r="T254" s="1651"/>
      <c r="U254" s="1651"/>
      <c r="V254" s="1651"/>
      <c r="W254" s="1651"/>
      <c r="X254" s="1651"/>
      <c r="Y254" s="1651"/>
      <c r="Z254" s="1651"/>
      <c r="AA254" s="1651"/>
      <c r="AB254" s="1651"/>
      <c r="AC254" s="1651"/>
      <c r="AD254" s="1651"/>
      <c r="AE254" s="1069"/>
      <c r="AF254" s="1069"/>
      <c r="AG254" s="1069"/>
      <c r="AH254" s="1651"/>
      <c r="AI254" s="1090"/>
      <c r="AJ254" s="1094"/>
      <c r="AK254" s="1079"/>
      <c r="AL254" s="1683"/>
      <c r="AM254" s="1091"/>
    </row>
    <row r="255" spans="1:39" hidden="1" outlineLevel="2">
      <c r="A255" s="2033" t="s">
        <v>502</v>
      </c>
      <c r="B255" s="2049"/>
      <c r="C255" s="2049"/>
      <c r="D255" s="1652">
        <f>+(C258+D258)/2</f>
        <v>0.30230547295981297</v>
      </c>
      <c r="E255" s="1652">
        <f t="shared" ref="E255:J255" si="434">+(D258+E258)/2</f>
        <v>0.39608215307727601</v>
      </c>
      <c r="F255" s="1652">
        <f t="shared" si="434"/>
        <v>0.58392922884974363</v>
      </c>
      <c r="G255" s="1652">
        <f t="shared" si="434"/>
        <v>0.75185947701172295</v>
      </c>
      <c r="H255" s="1652">
        <f t="shared" si="434"/>
        <v>0.83470789874195728</v>
      </c>
      <c r="I255" s="1652">
        <f t="shared" si="434"/>
        <v>1.0096070175393037</v>
      </c>
      <c r="J255" s="1652">
        <f t="shared" si="434"/>
        <v>1.3147183693516704</v>
      </c>
      <c r="K255" s="1652">
        <v>1.8</v>
      </c>
      <c r="L255" s="1652">
        <f t="shared" ref="L255:AA255" si="435">+(K258+L258)/2</f>
        <v>2.5499999999999998</v>
      </c>
      <c r="M255" s="1652">
        <f t="shared" si="435"/>
        <v>3.25</v>
      </c>
      <c r="N255" s="1652">
        <f t="shared" si="435"/>
        <v>3.55</v>
      </c>
      <c r="O255" s="1652">
        <f t="shared" si="435"/>
        <v>3.5563015</v>
      </c>
      <c r="P255" s="1104">
        <f t="shared" si="435"/>
        <v>2.9563014999999999</v>
      </c>
      <c r="Q255" s="1104">
        <f t="shared" si="435"/>
        <v>2.4500000000000002</v>
      </c>
      <c r="R255" s="1104">
        <f t="shared" si="435"/>
        <v>2.5499999999999998</v>
      </c>
      <c r="S255" s="1652">
        <f t="shared" si="435"/>
        <v>2.6500000000000004</v>
      </c>
      <c r="T255" s="1652">
        <f t="shared" si="435"/>
        <v>2.7</v>
      </c>
      <c r="U255" s="1652">
        <f t="shared" si="435"/>
        <v>2.8</v>
      </c>
      <c r="V255" s="1652">
        <f t="shared" si="435"/>
        <v>3.05</v>
      </c>
      <c r="W255" s="1652">
        <f t="shared" si="435"/>
        <v>3.35</v>
      </c>
      <c r="X255" s="1652">
        <f t="shared" si="435"/>
        <v>3.7</v>
      </c>
      <c r="Y255" s="1652">
        <f t="shared" si="435"/>
        <v>4.2</v>
      </c>
      <c r="Z255" s="1652">
        <f t="shared" si="435"/>
        <v>4.8550000000000004</v>
      </c>
      <c r="AA255" s="1652">
        <f t="shared" si="435"/>
        <v>5.5049999999999999</v>
      </c>
      <c r="AB255" s="1652">
        <f>+(AA258+AB258)/2</f>
        <v>5.3</v>
      </c>
      <c r="AC255" s="1652">
        <f>+(AB258+AC258)/2</f>
        <v>4.8532499999999992</v>
      </c>
      <c r="AD255" s="1652">
        <f>+(AC258+AD258)/2</f>
        <v>4.9597499999999997</v>
      </c>
      <c r="AE255" s="1104">
        <f>+(AD258+AE258)/2</f>
        <v>5.0662499999999984</v>
      </c>
      <c r="AF255" s="1104">
        <f t="shared" ref="AF255" si="436">+(AE258+AF258)/2</f>
        <v>5.1727499999999988</v>
      </c>
      <c r="AG255" s="1104">
        <f>+(AF258+AG258)/2</f>
        <v>5.2792499999999976</v>
      </c>
      <c r="AH255" s="1652">
        <f>+(AG258+AH258)/2</f>
        <v>5.385749999999998</v>
      </c>
      <c r="AI255" s="1090"/>
      <c r="AJ255" s="1094">
        <f>((Y255/T255)^(1/5)-1)*100</f>
        <v>9.2388464140372939</v>
      </c>
      <c r="AK255" s="1110" t="s">
        <v>489</v>
      </c>
      <c r="AL255" s="1683">
        <f>((AH255/AB255)^(1/6)-1)*100</f>
        <v>0.26785402490292487</v>
      </c>
      <c r="AM255" s="1091" t="s">
        <v>489</v>
      </c>
    </row>
    <row r="256" spans="1:39" hidden="1" outlineLevel="2">
      <c r="A256" s="2033" t="s">
        <v>490</v>
      </c>
      <c r="B256" s="1648"/>
      <c r="C256" s="1648"/>
      <c r="D256" s="1648"/>
      <c r="E256" s="1648">
        <f t="shared" ref="E256:AA256" si="437">E255/D255-1</f>
        <v>0.31020503598335214</v>
      </c>
      <c r="F256" s="1648">
        <f t="shared" si="437"/>
        <v>0.47426291316846703</v>
      </c>
      <c r="G256" s="1648">
        <f t="shared" si="437"/>
        <v>0.28758664554740254</v>
      </c>
      <c r="H256" s="1648">
        <f t="shared" si="437"/>
        <v>0.11019136456125644</v>
      </c>
      <c r="I256" s="1648">
        <f t="shared" si="437"/>
        <v>0.20953332184941376</v>
      </c>
      <c r="J256" s="1648">
        <f t="shared" si="437"/>
        <v>0.30220803392988382</v>
      </c>
      <c r="K256" s="1648">
        <f t="shared" si="437"/>
        <v>0.36911451300983766</v>
      </c>
      <c r="L256" s="1648">
        <f t="shared" si="437"/>
        <v>0.41666666666666652</v>
      </c>
      <c r="M256" s="1648">
        <f t="shared" si="437"/>
        <v>0.27450980392156876</v>
      </c>
      <c r="N256" s="1648">
        <f t="shared" si="437"/>
        <v>9.2307692307692202E-2</v>
      </c>
      <c r="O256" s="1648">
        <f t="shared" si="437"/>
        <v>1.7750704225352187E-3</v>
      </c>
      <c r="P256" s="1089">
        <f t="shared" si="437"/>
        <v>-0.16871460420327133</v>
      </c>
      <c r="Q256" s="1089">
        <f t="shared" si="437"/>
        <v>-0.17126179450911883</v>
      </c>
      <c r="R256" s="1089">
        <f t="shared" si="437"/>
        <v>4.0816326530612068E-2</v>
      </c>
      <c r="S256" s="1648">
        <f t="shared" si="437"/>
        <v>3.9215686274510109E-2</v>
      </c>
      <c r="T256" s="1648">
        <f t="shared" si="437"/>
        <v>1.8867924528301883E-2</v>
      </c>
      <c r="U256" s="1648">
        <f t="shared" si="437"/>
        <v>3.7037037037036979E-2</v>
      </c>
      <c r="V256" s="1648">
        <f t="shared" si="437"/>
        <v>8.9285714285714191E-2</v>
      </c>
      <c r="W256" s="1648">
        <f t="shared" si="437"/>
        <v>9.8360655737705027E-2</v>
      </c>
      <c r="X256" s="1648">
        <f t="shared" si="437"/>
        <v>0.10447761194029859</v>
      </c>
      <c r="Y256" s="1648">
        <f t="shared" si="437"/>
        <v>0.13513513513513509</v>
      </c>
      <c r="Z256" s="1648">
        <f t="shared" si="437"/>
        <v>0.15595238095238106</v>
      </c>
      <c r="AA256" s="1648">
        <f t="shared" si="437"/>
        <v>0.1338825952626157</v>
      </c>
      <c r="AB256" s="1648">
        <f>AB255/AA255-1</f>
        <v>-3.7238873751135326E-2</v>
      </c>
      <c r="AC256" s="1648">
        <f>AC255/AB255-1</f>
        <v>-8.4292452830188824E-2</v>
      </c>
      <c r="AD256" s="1648">
        <f>AD255/AC255-1</f>
        <v>2.1944058105393349E-2</v>
      </c>
      <c r="AE256" s="1089">
        <f>AE255/AD255-1</f>
        <v>2.147285649478281E-2</v>
      </c>
      <c r="AF256" s="1089">
        <f t="shared" ref="AF256" si="438">AF255/AE255-1</f>
        <v>2.1021465581051224E-2</v>
      </c>
      <c r="AG256" s="1089">
        <f>AG255/AF255-1</f>
        <v>2.0588661736986813E-2</v>
      </c>
      <c r="AH256" s="1648">
        <f>AH255/AG255-1</f>
        <v>2.017332007387429E-2</v>
      </c>
      <c r="AI256" s="1090"/>
      <c r="AJ256" s="1094"/>
      <c r="AK256" s="1079"/>
      <c r="AL256" s="1683"/>
      <c r="AM256" s="1091"/>
    </row>
    <row r="257" spans="1:39" hidden="1" outlineLevel="2">
      <c r="A257" s="1651"/>
      <c r="B257" s="1651"/>
      <c r="C257" s="1651"/>
      <c r="D257" s="1651"/>
      <c r="E257" s="1651"/>
      <c r="F257" s="1651"/>
      <c r="G257" s="1651"/>
      <c r="H257" s="1651"/>
      <c r="I257" s="1651"/>
      <c r="J257" s="1651"/>
      <c r="K257" s="1651"/>
      <c r="L257" s="1651"/>
      <c r="M257" s="1651"/>
      <c r="N257" s="1651"/>
      <c r="O257" s="1651"/>
      <c r="P257" s="1069"/>
      <c r="Q257" s="1069"/>
      <c r="R257" s="1069"/>
      <c r="S257" s="1651"/>
      <c r="T257" s="1651"/>
      <c r="U257" s="1651"/>
      <c r="V257" s="1651"/>
      <c r="W257" s="1651"/>
      <c r="X257" s="1651"/>
      <c r="Y257" s="1651"/>
      <c r="Z257" s="1651"/>
      <c r="AA257" s="1651"/>
      <c r="AB257" s="1651"/>
      <c r="AC257" s="1651"/>
      <c r="AD257" s="1651"/>
      <c r="AE257" s="1069"/>
      <c r="AF257" s="1069"/>
      <c r="AG257" s="1069"/>
      <c r="AH257" s="1651"/>
      <c r="AI257" s="1090"/>
      <c r="AJ257" s="1094"/>
      <c r="AK257" s="1079"/>
      <c r="AL257" s="1683"/>
      <c r="AM257" s="1091"/>
    </row>
    <row r="258" spans="1:39" hidden="1" outlineLevel="2">
      <c r="A258" s="2033" t="s">
        <v>503</v>
      </c>
      <c r="B258" s="2049"/>
      <c r="C258" s="1653">
        <v>0.25622464454976307</v>
      </c>
      <c r="D258" s="1653">
        <v>0.34838630136986287</v>
      </c>
      <c r="E258" s="1653">
        <v>0.4437780047846891</v>
      </c>
      <c r="F258" s="1653">
        <v>0.72408045291479817</v>
      </c>
      <c r="G258" s="1653">
        <v>0.77963850110864774</v>
      </c>
      <c r="H258" s="1653">
        <v>0.88977729637526681</v>
      </c>
      <c r="I258" s="1653">
        <v>1.1294367387033408</v>
      </c>
      <c r="J258" s="1653">
        <v>1.5</v>
      </c>
      <c r="K258" s="1653">
        <v>2.1</v>
      </c>
      <c r="L258" s="1653">
        <v>3</v>
      </c>
      <c r="M258" s="1653">
        <v>3.5</v>
      </c>
      <c r="N258" s="1653">
        <v>3.6</v>
      </c>
      <c r="O258" s="1653">
        <v>3.5126029999999999</v>
      </c>
      <c r="P258" s="1129">
        <v>2.4</v>
      </c>
      <c r="Q258" s="1129">
        <v>2.5</v>
      </c>
      <c r="R258" s="1129">
        <v>2.6</v>
      </c>
      <c r="S258" s="1653">
        <v>2.7</v>
      </c>
      <c r="T258" s="1653">
        <v>2.7</v>
      </c>
      <c r="U258" s="1653">
        <v>2.9</v>
      </c>
      <c r="V258" s="1653">
        <v>3.2</v>
      </c>
      <c r="W258" s="1653">
        <v>3.5</v>
      </c>
      <c r="X258" s="1653">
        <v>3.9</v>
      </c>
      <c r="Y258" s="1653">
        <v>4.5</v>
      </c>
      <c r="Z258" s="1653">
        <v>5.21</v>
      </c>
      <c r="AA258" s="1653">
        <v>5.8</v>
      </c>
      <c r="AB258" s="1659">
        <v>4.8</v>
      </c>
      <c r="AC258" s="1659">
        <f>AB258+((AC246+AC247)*AC270/1000000)</f>
        <v>4.9064999999999994</v>
      </c>
      <c r="AD258" s="1659">
        <f>AC258+((AD246+AD247)*AD270/1000000)</f>
        <v>5.012999999999999</v>
      </c>
      <c r="AE258" s="1130">
        <f>AD258+((AE246+AE247)*AE270/1000000)</f>
        <v>5.1194999999999986</v>
      </c>
      <c r="AF258" s="1130">
        <f t="shared" ref="AF258" si="439">AE258+((AF246+AF247)*AF270/1000000)</f>
        <v>5.2259999999999982</v>
      </c>
      <c r="AG258" s="1130">
        <f>AF258+((AG246+AG247)*AG270/1000000)</f>
        <v>5.3324999999999978</v>
      </c>
      <c r="AH258" s="1659">
        <f>AG258+((AH246+AH247)*AH270/1000000)</f>
        <v>5.4389999999999974</v>
      </c>
      <c r="AI258" s="1090"/>
      <c r="AJ258" s="1094">
        <f>((Y258/T258)^(1/5)-1)*100</f>
        <v>10.756634324828983</v>
      </c>
      <c r="AK258" s="1110" t="s">
        <v>489</v>
      </c>
      <c r="AL258" s="1683">
        <f>((AH258/AB258)^(1/6)-1)*100</f>
        <v>2.1048339952287387</v>
      </c>
      <c r="AM258" s="1091" t="s">
        <v>489</v>
      </c>
    </row>
    <row r="259" spans="1:39" hidden="1" outlineLevel="2">
      <c r="A259" s="2033" t="s">
        <v>490</v>
      </c>
      <c r="B259" s="1648"/>
      <c r="C259" s="1648"/>
      <c r="D259" s="1648">
        <f t="shared" ref="D259:AA259" si="440">D258/C258-1</f>
        <v>0.35969083685156789</v>
      </c>
      <c r="E259" s="1648">
        <f t="shared" si="440"/>
        <v>0.27381014419839089</v>
      </c>
      <c r="F259" s="1648">
        <f t="shared" si="440"/>
        <v>0.63162762711979248</v>
      </c>
      <c r="G259" s="1648">
        <f t="shared" si="440"/>
        <v>7.672910927259502E-2</v>
      </c>
      <c r="H259" s="1648">
        <f t="shared" si="440"/>
        <v>0.14126905624850683</v>
      </c>
      <c r="I259" s="1648">
        <f t="shared" si="440"/>
        <v>0.26934767082098787</v>
      </c>
      <c r="J259" s="1648">
        <f t="shared" si="440"/>
        <v>0.32809563262665553</v>
      </c>
      <c r="K259" s="1648">
        <f t="shared" si="440"/>
        <v>0.40000000000000013</v>
      </c>
      <c r="L259" s="1648">
        <f t="shared" si="440"/>
        <v>0.4285714285714286</v>
      </c>
      <c r="M259" s="1648">
        <f t="shared" si="440"/>
        <v>0.16666666666666674</v>
      </c>
      <c r="N259" s="1648">
        <f t="shared" si="440"/>
        <v>2.8571428571428692E-2</v>
      </c>
      <c r="O259" s="1648">
        <f t="shared" si="440"/>
        <v>-2.4276944444444504E-2</v>
      </c>
      <c r="P259" s="1089">
        <f t="shared" si="440"/>
        <v>-0.31674601428057769</v>
      </c>
      <c r="Q259" s="1089">
        <f t="shared" si="440"/>
        <v>4.1666666666666741E-2</v>
      </c>
      <c r="R259" s="1089">
        <f t="shared" si="440"/>
        <v>4.0000000000000036E-2</v>
      </c>
      <c r="S259" s="1648">
        <f t="shared" si="440"/>
        <v>3.8461538461538547E-2</v>
      </c>
      <c r="T259" s="1648">
        <f t="shared" si="440"/>
        <v>0</v>
      </c>
      <c r="U259" s="1648">
        <f t="shared" si="440"/>
        <v>7.4074074074073959E-2</v>
      </c>
      <c r="V259" s="1648">
        <f t="shared" si="440"/>
        <v>0.10344827586206895</v>
      </c>
      <c r="W259" s="1648">
        <f t="shared" si="440"/>
        <v>9.375E-2</v>
      </c>
      <c r="X259" s="1648">
        <f t="shared" si="440"/>
        <v>0.11428571428571432</v>
      </c>
      <c r="Y259" s="1648">
        <f t="shared" si="440"/>
        <v>0.15384615384615397</v>
      </c>
      <c r="Z259" s="1648">
        <f t="shared" si="440"/>
        <v>0.15777777777777779</v>
      </c>
      <c r="AA259" s="1648">
        <f t="shared" si="440"/>
        <v>0.11324376199616126</v>
      </c>
      <c r="AB259" s="1648">
        <f>AB258/AA258-1</f>
        <v>-0.17241379310344829</v>
      </c>
      <c r="AC259" s="1648">
        <f>AC258/AB258-1</f>
        <v>2.2187500000000027E-2</v>
      </c>
      <c r="AD259" s="1648">
        <f>AD258/AC258-1</f>
        <v>2.1705900336288497E-2</v>
      </c>
      <c r="AE259" s="1089">
        <f>AE258/AD258-1</f>
        <v>2.1244763614602036E-2</v>
      </c>
      <c r="AF259" s="1089">
        <f t="shared" ref="AF259" si="441">AF258/AE258-1</f>
        <v>2.0802812774684876E-2</v>
      </c>
      <c r="AG259" s="1089">
        <f>AG258/AF258-1</f>
        <v>2.0378874856486817E-2</v>
      </c>
      <c r="AH259" s="1648">
        <f>AH258/AG258-1</f>
        <v>1.9971870604782005E-2</v>
      </c>
      <c r="AI259" s="1090"/>
      <c r="AJ259" s="1094"/>
      <c r="AK259" s="1079"/>
      <c r="AL259" s="1683"/>
      <c r="AM259" s="1091"/>
    </row>
    <row r="260" spans="1:39" hidden="1" outlineLevel="2">
      <c r="A260" s="1651"/>
      <c r="B260" s="1651"/>
      <c r="C260" s="1651"/>
      <c r="D260" s="1651"/>
      <c r="E260" s="1651"/>
      <c r="F260" s="1651"/>
      <c r="G260" s="1651"/>
      <c r="H260" s="1651"/>
      <c r="I260" s="1651"/>
      <c r="J260" s="1651"/>
      <c r="K260" s="1651"/>
      <c r="L260" s="1651"/>
      <c r="M260" s="1651"/>
      <c r="N260" s="1651"/>
      <c r="O260" s="1651"/>
      <c r="P260" s="1069"/>
      <c r="Q260" s="1069"/>
      <c r="R260" s="1069"/>
      <c r="S260" s="1651"/>
      <c r="T260" s="1651"/>
      <c r="U260" s="1651"/>
      <c r="V260" s="1651"/>
      <c r="W260" s="1651"/>
      <c r="X260" s="1651"/>
      <c r="Y260" s="1651"/>
      <c r="Z260" s="1651"/>
      <c r="AA260" s="1651"/>
      <c r="AB260" s="1651"/>
      <c r="AC260" s="1651"/>
      <c r="AD260" s="1651"/>
      <c r="AE260" s="1069"/>
      <c r="AF260" s="1069"/>
      <c r="AG260" s="1069"/>
      <c r="AH260" s="1651"/>
      <c r="AI260" s="1090"/>
      <c r="AJ260" s="1094"/>
      <c r="AK260" s="1079"/>
      <c r="AL260" s="1683"/>
      <c r="AM260" s="1091"/>
    </row>
    <row r="261" spans="1:39" hidden="1" outlineLevel="2">
      <c r="A261" s="2033" t="s">
        <v>504</v>
      </c>
      <c r="B261" s="1647"/>
      <c r="C261" s="1647">
        <f t="shared" ref="C261:AD261" si="442">C258/C248*1000000</f>
        <v>3824.2484261158666</v>
      </c>
      <c r="D261" s="1647">
        <f t="shared" si="442"/>
        <v>4051.0035043007315</v>
      </c>
      <c r="E261" s="1647">
        <f t="shared" si="442"/>
        <v>4437.7800478468907</v>
      </c>
      <c r="F261" s="1647">
        <f t="shared" si="442"/>
        <v>5839.358491248372</v>
      </c>
      <c r="G261" s="1647">
        <f t="shared" si="442"/>
        <v>4753.8932994429742</v>
      </c>
      <c r="H261" s="1647">
        <f t="shared" si="442"/>
        <v>4448.8864818763341</v>
      </c>
      <c r="I261" s="1647">
        <f t="shared" si="442"/>
        <v>4725.6767309763218</v>
      </c>
      <c r="J261" s="1647">
        <f t="shared" si="442"/>
        <v>5016.7224080267561</v>
      </c>
      <c r="K261" s="1647">
        <f t="shared" si="442"/>
        <v>5343.5114503816794</v>
      </c>
      <c r="L261" s="1647">
        <f t="shared" si="442"/>
        <v>9202.4539877300613</v>
      </c>
      <c r="M261" s="1647">
        <f t="shared" si="442"/>
        <v>9615.3846153846152</v>
      </c>
      <c r="N261" s="1647">
        <f t="shared" si="442"/>
        <v>13533.834586466166</v>
      </c>
      <c r="O261" s="1647">
        <f t="shared" si="442"/>
        <v>13829.145669291338</v>
      </c>
      <c r="P261" s="1107">
        <f t="shared" si="442"/>
        <v>9716.5991902834012</v>
      </c>
      <c r="Q261" s="1107">
        <f t="shared" si="442"/>
        <v>9615.3846153846152</v>
      </c>
      <c r="R261" s="1107">
        <f t="shared" si="442"/>
        <v>9090.9090909090901</v>
      </c>
      <c r="S261" s="1647">
        <f t="shared" si="442"/>
        <v>8881.5789473684217</v>
      </c>
      <c r="T261" s="1647">
        <f t="shared" si="442"/>
        <v>8544.3037974683557</v>
      </c>
      <c r="U261" s="1647">
        <f t="shared" si="442"/>
        <v>8841.463414634145</v>
      </c>
      <c r="V261" s="1647">
        <f t="shared" si="442"/>
        <v>9065.1558073654396</v>
      </c>
      <c r="W261" s="1647">
        <f t="shared" si="442"/>
        <v>9067.3575129533674</v>
      </c>
      <c r="X261" s="1647">
        <f t="shared" si="442"/>
        <v>8904.1095890410961</v>
      </c>
      <c r="Y261" s="1647">
        <f t="shared" si="442"/>
        <v>9127.7890466531444</v>
      </c>
      <c r="Z261" s="1647">
        <f t="shared" si="442"/>
        <v>9421.3381555153719</v>
      </c>
      <c r="AA261" s="1647">
        <f t="shared" si="442"/>
        <v>9162.7172195892581</v>
      </c>
      <c r="AB261" s="1647">
        <f t="shared" si="442"/>
        <v>7465.0077760497661</v>
      </c>
      <c r="AC261" s="1647">
        <f t="shared" si="442"/>
        <v>7525.306748466257</v>
      </c>
      <c r="AD261" s="1647">
        <f t="shared" si="442"/>
        <v>7583.9636913767008</v>
      </c>
      <c r="AE261" s="1107">
        <f>AE258/AE248*1000000</f>
        <v>7641.0447761194009</v>
      </c>
      <c r="AF261" s="1107">
        <f t="shared" ref="AF261:AH261" si="443">AF258/AF248*1000000</f>
        <v>7696.6126656848282</v>
      </c>
      <c r="AG261" s="1107">
        <f t="shared" si="443"/>
        <v>7750.7267441860431</v>
      </c>
      <c r="AH261" s="1647">
        <f t="shared" si="443"/>
        <v>7803.4433285509285</v>
      </c>
      <c r="AI261" s="1100"/>
      <c r="AJ261" s="1094"/>
      <c r="AK261" s="1128"/>
      <c r="AL261" s="1683"/>
      <c r="AM261" s="1101"/>
    </row>
    <row r="262" spans="1:39" hidden="1" outlineLevel="2">
      <c r="A262" s="2033" t="s">
        <v>490</v>
      </c>
      <c r="B262" s="1650"/>
      <c r="C262" s="1650"/>
      <c r="D262" s="1650">
        <f t="shared" ref="D262:AA262" si="444">D261/C261-1</f>
        <v>5.9294024058779815E-2</v>
      </c>
      <c r="E262" s="1650">
        <f t="shared" si="444"/>
        <v>9.5476724010616021E-2</v>
      </c>
      <c r="F262" s="1650">
        <f t="shared" si="444"/>
        <v>0.31582873154821978</v>
      </c>
      <c r="G262" s="1650">
        <f t="shared" si="444"/>
        <v>-0.18588774664755014</v>
      </c>
      <c r="H262" s="1650">
        <f t="shared" si="444"/>
        <v>-6.4159373876224501E-2</v>
      </c>
      <c r="I262" s="1650">
        <f t="shared" si="444"/>
        <v>6.2215624117981649E-2</v>
      </c>
      <c r="J262" s="1650">
        <f t="shared" si="444"/>
        <v>6.1588147818630867E-2</v>
      </c>
      <c r="K262" s="1650">
        <f t="shared" si="444"/>
        <v>6.5139949109414674E-2</v>
      </c>
      <c r="L262" s="1650">
        <f t="shared" si="444"/>
        <v>0.72217353198948286</v>
      </c>
      <c r="M262" s="1650">
        <f t="shared" si="444"/>
        <v>4.4871794871794934E-2</v>
      </c>
      <c r="N262" s="1650">
        <f t="shared" si="444"/>
        <v>0.40751879699248139</v>
      </c>
      <c r="O262" s="1650">
        <f t="shared" si="444"/>
        <v>2.1820207786526602E-2</v>
      </c>
      <c r="P262" s="1103">
        <f t="shared" si="444"/>
        <v>-0.29738254100107986</v>
      </c>
      <c r="Q262" s="1103">
        <f t="shared" si="444"/>
        <v>-1.0416666666666741E-2</v>
      </c>
      <c r="R262" s="1103">
        <f t="shared" si="444"/>
        <v>-5.4545454545454564E-2</v>
      </c>
      <c r="S262" s="1650">
        <f t="shared" si="444"/>
        <v>-2.3026315789473562E-2</v>
      </c>
      <c r="T262" s="1650">
        <f t="shared" si="444"/>
        <v>-3.7974683544303778E-2</v>
      </c>
      <c r="U262" s="1650">
        <f t="shared" si="444"/>
        <v>3.4778681120144261E-2</v>
      </c>
      <c r="V262" s="1650">
        <f t="shared" si="444"/>
        <v>2.5300380970987746E-2</v>
      </c>
      <c r="W262" s="1650">
        <f t="shared" si="444"/>
        <v>2.4287564766822811E-4</v>
      </c>
      <c r="X262" s="1650">
        <f t="shared" si="444"/>
        <v>-1.8003913894324763E-2</v>
      </c>
      <c r="Y262" s="1650">
        <f t="shared" si="444"/>
        <v>2.5120923701045461E-2</v>
      </c>
      <c r="Z262" s="1650">
        <f t="shared" si="444"/>
        <v>3.2159935704239695E-2</v>
      </c>
      <c r="AA262" s="1650">
        <f t="shared" si="444"/>
        <v>-2.7450552316149901E-2</v>
      </c>
      <c r="AB262" s="1650">
        <f>AB261/AA261-1</f>
        <v>-0.18528449616560316</v>
      </c>
      <c r="AC262" s="1650">
        <f>AC261/AB261-1</f>
        <v>8.0775498466256757E-3</v>
      </c>
      <c r="AD262" s="1650">
        <f>AD261/AC261-1</f>
        <v>7.7946248400304619E-3</v>
      </c>
      <c r="AE262" s="1103">
        <f>AE261/AD261-1</f>
        <v>7.5265503720176596E-3</v>
      </c>
      <c r="AF262" s="1103">
        <f t="shared" ref="AF262" si="445">AF261/AE261-1</f>
        <v>7.272289483120753E-3</v>
      </c>
      <c r="AG262" s="1103">
        <f>AG261/AF261-1</f>
        <v>7.0308953888873482E-3</v>
      </c>
      <c r="AH262" s="1650">
        <f>AH261/AG261-1</f>
        <v>6.8015021177760815E-3</v>
      </c>
      <c r="AI262" s="1090"/>
      <c r="AJ262" s="1094"/>
      <c r="AK262" s="1079"/>
      <c r="AL262" s="1683"/>
      <c r="AM262" s="1091"/>
    </row>
    <row r="263" spans="1:39" hidden="1" outlineLevel="2">
      <c r="A263" s="1651"/>
      <c r="B263" s="1651"/>
      <c r="C263" s="1651"/>
      <c r="D263" s="1651"/>
      <c r="E263" s="1651"/>
      <c r="F263" s="1651"/>
      <c r="G263" s="1651"/>
      <c r="H263" s="1651"/>
      <c r="I263" s="1651"/>
      <c r="J263" s="1651"/>
      <c r="K263" s="1651"/>
      <c r="L263" s="1651"/>
      <c r="M263" s="1651"/>
      <c r="N263" s="1651"/>
      <c r="O263" s="1651"/>
      <c r="P263" s="1069"/>
      <c r="Q263" s="1069"/>
      <c r="R263" s="1069"/>
      <c r="S263" s="1651"/>
      <c r="T263" s="1651"/>
      <c r="U263" s="1651"/>
      <c r="V263" s="1651"/>
      <c r="W263" s="1651"/>
      <c r="X263" s="1651"/>
      <c r="Y263" s="1651"/>
      <c r="Z263" s="1651"/>
      <c r="AA263" s="1651"/>
      <c r="AB263" s="1651"/>
      <c r="AC263" s="1651"/>
      <c r="AD263" s="1651"/>
      <c r="AE263" s="1069"/>
      <c r="AF263" s="1069"/>
      <c r="AG263" s="1069"/>
      <c r="AH263" s="1651"/>
      <c r="AI263" s="1090"/>
      <c r="AJ263" s="1094"/>
      <c r="AK263" s="1079"/>
      <c r="AL263" s="1683"/>
      <c r="AM263" s="1091"/>
    </row>
    <row r="264" spans="1:39" hidden="1" outlineLevel="2">
      <c r="A264" s="2033" t="s">
        <v>63</v>
      </c>
      <c r="B264" s="1640"/>
      <c r="C264" s="1640"/>
      <c r="D264" s="1640">
        <f t="shared" ref="D264:AD264" si="446">+D238/D255</f>
        <v>380.40991740591988</v>
      </c>
      <c r="E264" s="1640">
        <f t="shared" si="446"/>
        <v>403.95660030858255</v>
      </c>
      <c r="F264" s="1640">
        <f t="shared" si="446"/>
        <v>342.50725964509633</v>
      </c>
      <c r="G264" s="1640">
        <f t="shared" si="446"/>
        <v>465.51252022662584</v>
      </c>
      <c r="H264" s="1640">
        <f t="shared" si="446"/>
        <v>599.01194268507891</v>
      </c>
      <c r="I264" s="1640">
        <f t="shared" si="446"/>
        <v>622.02420257598112</v>
      </c>
      <c r="J264" s="1640">
        <f t="shared" si="446"/>
        <v>699.76963998280587</v>
      </c>
      <c r="K264" s="1640">
        <f t="shared" si="446"/>
        <v>722.22222222222217</v>
      </c>
      <c r="L264" s="1640">
        <f t="shared" si="446"/>
        <v>476.47058823529414</v>
      </c>
      <c r="M264" s="1640">
        <f t="shared" si="446"/>
        <v>384.30769230769232</v>
      </c>
      <c r="N264" s="1640">
        <f t="shared" si="446"/>
        <v>362.53521126760563</v>
      </c>
      <c r="O264" s="1640">
        <f t="shared" si="446"/>
        <v>430.50343172534724</v>
      </c>
      <c r="P264" s="1093">
        <f t="shared" si="446"/>
        <v>509.08204051582698</v>
      </c>
      <c r="Q264" s="1093">
        <f t="shared" si="446"/>
        <v>597.14285714285711</v>
      </c>
      <c r="R264" s="1093">
        <f t="shared" si="446"/>
        <v>574.90196078431381</v>
      </c>
      <c r="S264" s="1640">
        <f t="shared" si="446"/>
        <v>609.43396226415086</v>
      </c>
      <c r="T264" s="1640">
        <f t="shared" si="446"/>
        <v>640</v>
      </c>
      <c r="U264" s="1640">
        <f t="shared" si="446"/>
        <v>617.14285714285722</v>
      </c>
      <c r="V264" s="1640">
        <f t="shared" si="446"/>
        <v>630.81967213114763</v>
      </c>
      <c r="W264" s="1640">
        <f t="shared" si="446"/>
        <v>637.61194029850742</v>
      </c>
      <c r="X264" s="1640">
        <f t="shared" si="446"/>
        <v>730.2702702702702</v>
      </c>
      <c r="Y264" s="1640">
        <f t="shared" si="446"/>
        <v>703.80993504321896</v>
      </c>
      <c r="Z264" s="1640">
        <f t="shared" si="446"/>
        <v>611.61387416742105</v>
      </c>
      <c r="AA264" s="1640">
        <f t="shared" si="446"/>
        <v>577.15573736941462</v>
      </c>
      <c r="AB264" s="1640">
        <f t="shared" si="446"/>
        <v>635.44846684372556</v>
      </c>
      <c r="AC264" s="1640">
        <f t="shared" si="446"/>
        <v>721.70029346162175</v>
      </c>
      <c r="AD264" s="1640">
        <f t="shared" si="446"/>
        <v>730.92044305985314</v>
      </c>
      <c r="AE264" s="1093">
        <f>+AE238/AE255</f>
        <v>740.59986396790941</v>
      </c>
      <c r="AF264" s="1093">
        <f t="shared" ref="AF264:AH264" si="447">+AF238/AF255</f>
        <v>750.73922052223281</v>
      </c>
      <c r="AG264" s="1093">
        <f t="shared" si="447"/>
        <v>761.34011906233911</v>
      </c>
      <c r="AH264" s="1640">
        <f t="shared" si="447"/>
        <v>772.40504895036872</v>
      </c>
      <c r="AI264" s="1090"/>
      <c r="AJ264" s="1094">
        <f>((Y264/T264)^(1/5)-1)*100</f>
        <v>1.9189835679755296</v>
      </c>
      <c r="AK264" s="1110" t="s">
        <v>489</v>
      </c>
      <c r="AL264" s="1683">
        <f>((AH264/AB264)^(1/6)-1)*100</f>
        <v>3.3064555873729695</v>
      </c>
      <c r="AM264" s="1091" t="s">
        <v>489</v>
      </c>
    </row>
    <row r="265" spans="1:39" hidden="1" outlineLevel="2">
      <c r="A265" s="2033" t="s">
        <v>490</v>
      </c>
      <c r="B265" s="1650"/>
      <c r="C265" s="1650"/>
      <c r="D265" s="1650"/>
      <c r="E265" s="1650">
        <f t="shared" ref="E265:AA265" si="448">E264/D264-1</f>
        <v>6.18981835784711E-2</v>
      </c>
      <c r="F265" s="1650">
        <f t="shared" si="448"/>
        <v>-0.1521186697198289</v>
      </c>
      <c r="G265" s="1650">
        <f t="shared" si="448"/>
        <v>0.35913183477917143</v>
      </c>
      <c r="H265" s="1650">
        <f t="shared" si="448"/>
        <v>0.28677944557422741</v>
      </c>
      <c r="I265" s="1650">
        <f t="shared" si="448"/>
        <v>3.8417030197677615E-2</v>
      </c>
      <c r="J265" s="1650">
        <f t="shared" si="448"/>
        <v>0.12498780125412901</v>
      </c>
      <c r="K265" s="1650">
        <f t="shared" si="448"/>
        <v>3.2085676423412757E-2</v>
      </c>
      <c r="L265" s="1650">
        <f t="shared" si="448"/>
        <v>-0.34027149321266958</v>
      </c>
      <c r="M265" s="1650">
        <f t="shared" si="448"/>
        <v>-0.19342830009496681</v>
      </c>
      <c r="N265" s="1650">
        <f t="shared" si="448"/>
        <v>-5.6653773723203904E-2</v>
      </c>
      <c r="O265" s="1650">
        <f t="shared" si="448"/>
        <v>0.18748032837994</v>
      </c>
      <c r="P265" s="1103">
        <f t="shared" si="448"/>
        <v>0.18252725297811634</v>
      </c>
      <c r="Q265" s="1103">
        <f t="shared" si="448"/>
        <v>0.17297961746559087</v>
      </c>
      <c r="R265" s="1103">
        <f t="shared" si="448"/>
        <v>-3.7245520217656258E-2</v>
      </c>
      <c r="S265" s="1650">
        <f t="shared" si="448"/>
        <v>6.0065896162063037E-2</v>
      </c>
      <c r="T265" s="1650">
        <f t="shared" si="448"/>
        <v>5.0154798761609998E-2</v>
      </c>
      <c r="U265" s="1650">
        <f t="shared" si="448"/>
        <v>-3.5714285714285587E-2</v>
      </c>
      <c r="V265" s="1650">
        <f t="shared" si="448"/>
        <v>2.2161505768063083E-2</v>
      </c>
      <c r="W265" s="1650">
        <f t="shared" si="448"/>
        <v>1.076736897632391E-2</v>
      </c>
      <c r="X265" s="1650">
        <f t="shared" si="448"/>
        <v>0.14532088268043331</v>
      </c>
      <c r="Y265" s="1650">
        <f t="shared" si="448"/>
        <v>-3.6233619666946604E-2</v>
      </c>
      <c r="Z265" s="1650">
        <f t="shared" si="448"/>
        <v>-0.1309956797784283</v>
      </c>
      <c r="AA265" s="1650">
        <f t="shared" si="448"/>
        <v>-5.633969118982729E-2</v>
      </c>
      <c r="AB265" s="1650">
        <f>AB264/AA264-1</f>
        <v>0.1010000000000002</v>
      </c>
      <c r="AC265" s="1650">
        <f>AC264/AB264-1</f>
        <v>0.1357337866378201</v>
      </c>
      <c r="AD265" s="1650">
        <f>AD264/AC264-1</f>
        <v>1.2775593527899476E-2</v>
      </c>
      <c r="AE265" s="1103">
        <f>AE264/AD264-1</f>
        <v>1.3242783123612378E-2</v>
      </c>
      <c r="AF265" s="1103">
        <f t="shared" ref="AF265" si="449">AF264/AE264-1</f>
        <v>1.3690735102218188E-2</v>
      </c>
      <c r="AG265" s="1103">
        <f>AG264/AF264-1</f>
        <v>1.4120613723540343E-2</v>
      </c>
      <c r="AH265" s="1650">
        <f>AH264/AG264-1</f>
        <v>1.4533491157220357E-2</v>
      </c>
      <c r="AI265" s="1090"/>
      <c r="AJ265" s="1077"/>
      <c r="AK265" s="1079"/>
      <c r="AL265" s="1664"/>
      <c r="AM265" s="1091"/>
    </row>
    <row r="266" spans="1:39" hidden="1" outlineLevel="2">
      <c r="A266" s="1651"/>
      <c r="B266" s="1651"/>
      <c r="C266" s="1651"/>
      <c r="D266" s="1651"/>
      <c r="E266" s="1651"/>
      <c r="F266" s="1651"/>
      <c r="G266" s="1651"/>
      <c r="H266" s="1651"/>
      <c r="I266" s="1651"/>
      <c r="J266" s="1651"/>
      <c r="K266" s="1651"/>
      <c r="L266" s="1651"/>
      <c r="M266" s="1651"/>
      <c r="N266" s="1651"/>
      <c r="O266" s="1651"/>
      <c r="P266" s="1131"/>
      <c r="Q266" s="1069"/>
      <c r="R266" s="1069"/>
      <c r="S266" s="1651"/>
      <c r="T266" s="1651"/>
      <c r="U266" s="1651"/>
      <c r="V266" s="1651"/>
      <c r="W266" s="1651"/>
      <c r="X266" s="1651"/>
      <c r="Y266" s="1651"/>
      <c r="Z266" s="1651"/>
      <c r="AA266" s="1651"/>
      <c r="AB266" s="1651"/>
      <c r="AC266" s="1651"/>
      <c r="AD266" s="1651"/>
      <c r="AE266" s="1069"/>
      <c r="AF266" s="1069"/>
      <c r="AG266" s="1069"/>
      <c r="AH266" s="1651"/>
      <c r="AI266" s="1090"/>
      <c r="AJ266" s="1077"/>
      <c r="AK266" s="1079"/>
      <c r="AL266" s="1664"/>
      <c r="AM266" s="1091"/>
    </row>
    <row r="267" spans="1:39" hidden="1" outlineLevel="2">
      <c r="A267" s="2033" t="s">
        <v>506</v>
      </c>
      <c r="B267" s="1650"/>
      <c r="C267" s="1650"/>
      <c r="D267" s="1650"/>
      <c r="E267" s="1650"/>
      <c r="F267" s="1650"/>
      <c r="G267" s="1650"/>
      <c r="H267" s="1831"/>
      <c r="I267" s="1831"/>
      <c r="J267" s="1831" t="s">
        <v>120</v>
      </c>
      <c r="K267" s="1831">
        <v>0.15</v>
      </c>
      <c r="L267" s="1831">
        <v>-0.04</v>
      </c>
      <c r="M267" s="1831">
        <v>-0.11</v>
      </c>
      <c r="N267" s="1831">
        <v>-0.04</v>
      </c>
      <c r="O267" s="1831">
        <v>0.06</v>
      </c>
      <c r="P267" s="1132">
        <v>-0.08</v>
      </c>
      <c r="Q267" s="1103">
        <v>-3.3677375256322625E-2</v>
      </c>
      <c r="R267" s="1103">
        <v>-8.1657571623465208E-2</v>
      </c>
      <c r="S267" s="1650">
        <v>-1.2173374613003097E-2</v>
      </c>
      <c r="T267" s="1650">
        <v>-3.9901620370370372E-2</v>
      </c>
      <c r="U267" s="1650">
        <v>-4.0671296296296296E-2</v>
      </c>
      <c r="V267" s="1650">
        <v>1.9615384615384614E-2</v>
      </c>
      <c r="W267" s="1650">
        <v>-7.0000000000000007E-2</v>
      </c>
      <c r="X267" s="1650">
        <v>-0.03</v>
      </c>
      <c r="Y267" s="1650">
        <v>8.9715595013151392E-3</v>
      </c>
      <c r="Z267" s="1650">
        <v>3.7282642080192154E-3</v>
      </c>
      <c r="AA267" s="1660">
        <v>0.03</v>
      </c>
      <c r="AB267" s="1660">
        <v>0.03</v>
      </c>
      <c r="AC267" s="1660">
        <v>0.02</v>
      </c>
      <c r="AD267" s="1660">
        <v>1.4999999999999999E-2</v>
      </c>
      <c r="AE267" s="1134">
        <v>1.4999999999999999E-2</v>
      </c>
      <c r="AF267" s="1134">
        <v>1.4999999999999999E-2</v>
      </c>
      <c r="AG267" s="1134">
        <v>1.4999999999999999E-2</v>
      </c>
      <c r="AH267" s="1660">
        <v>1.4999999999999999E-2</v>
      </c>
      <c r="AI267" s="1108"/>
      <c r="AJ267" s="1077"/>
      <c r="AK267" s="1079"/>
      <c r="AL267" s="1664"/>
      <c r="AM267" s="1091"/>
    </row>
    <row r="268" spans="1:39" hidden="1" outlineLevel="2">
      <c r="A268" s="2033" t="s">
        <v>152</v>
      </c>
      <c r="B268" s="1650"/>
      <c r="C268" s="1650"/>
      <c r="D268" s="1650"/>
      <c r="E268" s="1650"/>
      <c r="F268" s="1650"/>
      <c r="G268" s="1650"/>
      <c r="H268" s="1831"/>
      <c r="I268" s="1831"/>
      <c r="J268" s="1831"/>
      <c r="K268" s="2016">
        <f t="shared" ref="K268:Z268" si="450">+K239-K267</f>
        <v>0.2630434782608696</v>
      </c>
      <c r="L268" s="2016">
        <f t="shared" si="450"/>
        <v>-2.5384615384615374E-2</v>
      </c>
      <c r="M268" s="2016">
        <f t="shared" si="450"/>
        <v>0.13798353909465011</v>
      </c>
      <c r="N268" s="2016">
        <f t="shared" si="450"/>
        <v>7.0424339471577307E-2</v>
      </c>
      <c r="O268" s="2016">
        <f t="shared" si="450"/>
        <v>0.12958818958818968</v>
      </c>
      <c r="P268" s="1133">
        <f t="shared" si="450"/>
        <v>6.3017635532331792E-2</v>
      </c>
      <c r="Q268" s="1133">
        <f t="shared" si="450"/>
        <v>5.7703985121365514E-3</v>
      </c>
      <c r="R268" s="1133">
        <f t="shared" si="450"/>
        <v>8.3708152621414622E-2</v>
      </c>
      <c r="S268" s="2016">
        <f t="shared" si="450"/>
        <v>0.11381048238926499</v>
      </c>
      <c r="T268" s="2016">
        <f t="shared" si="450"/>
        <v>0.1098706606180484</v>
      </c>
      <c r="U268" s="2016">
        <f t="shared" si="450"/>
        <v>4.0671296296296296E-2</v>
      </c>
      <c r="V268" s="2016">
        <f t="shared" si="450"/>
        <v>9.3810541310541201E-2</v>
      </c>
      <c r="W268" s="2016">
        <f t="shared" si="450"/>
        <v>0.18018711018711014</v>
      </c>
      <c r="X268" s="2016">
        <f t="shared" si="450"/>
        <v>0.13874025441116131</v>
      </c>
      <c r="Y268" s="2016">
        <f t="shared" si="450"/>
        <v>8.50335208767454E-2</v>
      </c>
      <c r="Z268" s="2016">
        <f t="shared" si="450"/>
        <v>7.9934881001195819E-4</v>
      </c>
      <c r="AA268" s="1660">
        <v>0.04</v>
      </c>
      <c r="AB268" s="1660">
        <v>0.03</v>
      </c>
      <c r="AC268" s="1660">
        <v>0.02</v>
      </c>
      <c r="AD268" s="1660">
        <v>0.02</v>
      </c>
      <c r="AE268" s="1134">
        <v>0.02</v>
      </c>
      <c r="AF268" s="1134">
        <v>0.02</v>
      </c>
      <c r="AG268" s="1134">
        <v>0.02</v>
      </c>
      <c r="AH268" s="1660">
        <v>0.02</v>
      </c>
      <c r="AI268" s="1108"/>
      <c r="AJ268" s="1077"/>
      <c r="AK268" s="1079"/>
      <c r="AL268" s="1664"/>
      <c r="AM268" s="1091"/>
    </row>
    <row r="269" spans="1:39" hidden="1" outlineLevel="2">
      <c r="A269" s="1651"/>
      <c r="B269" s="1651"/>
      <c r="C269" s="1651"/>
      <c r="D269" s="1651"/>
      <c r="E269" s="1651"/>
      <c r="F269" s="1651"/>
      <c r="G269" s="1651"/>
      <c r="H269" s="1651"/>
      <c r="I269" s="1651"/>
      <c r="J269" s="1651"/>
      <c r="K269" s="1651"/>
      <c r="L269" s="1651"/>
      <c r="M269" s="1651"/>
      <c r="N269" s="1651"/>
      <c r="O269" s="1651"/>
      <c r="P269" s="1069"/>
      <c r="Q269" s="1069"/>
      <c r="R269" s="1069"/>
      <c r="S269" s="1651"/>
      <c r="T269" s="1651"/>
      <c r="U269" s="1651"/>
      <c r="V269" s="1651"/>
      <c r="W269" s="1651"/>
      <c r="X269" s="1651"/>
      <c r="Y269" s="1651"/>
      <c r="Z269" s="1651"/>
      <c r="AA269" s="1651"/>
      <c r="AB269" s="1651"/>
      <c r="AC269" s="1651"/>
      <c r="AD269" s="1651"/>
      <c r="AE269" s="1069"/>
      <c r="AF269" s="1069"/>
      <c r="AG269" s="1069"/>
      <c r="AH269" s="1651"/>
      <c r="AI269" s="1090"/>
      <c r="AJ269" s="1077"/>
      <c r="AK269" s="1079"/>
      <c r="AL269" s="1664"/>
      <c r="AM269" s="1091"/>
    </row>
    <row r="270" spans="1:39" hidden="1" outlineLevel="2">
      <c r="A270" s="2033" t="s">
        <v>658</v>
      </c>
      <c r="B270" s="1647"/>
      <c r="C270" s="1647"/>
      <c r="D270" s="1647"/>
      <c r="E270" s="1647"/>
      <c r="F270" s="1647"/>
      <c r="G270" s="1647"/>
      <c r="H270" s="2067"/>
      <c r="I270" s="2067"/>
      <c r="J270" s="2067"/>
      <c r="K270" s="1647">
        <v>6451.6129032258077</v>
      </c>
      <c r="L270" s="1647">
        <f>+(L258-K258)*1000000/(L248-L245)</f>
        <v>-13432.835820895521</v>
      </c>
      <c r="M270" s="1647">
        <v>4761.9047619047615</v>
      </c>
      <c r="N270" s="1647">
        <v>5500</v>
      </c>
      <c r="O270" s="1647">
        <v>4000</v>
      </c>
      <c r="P270" s="1107">
        <v>4000</v>
      </c>
      <c r="Q270" s="1107">
        <v>4500</v>
      </c>
      <c r="R270" s="1107">
        <v>5000</v>
      </c>
      <c r="S270" s="1647">
        <v>5000</v>
      </c>
      <c r="T270" s="1647">
        <f>S270</f>
        <v>5000</v>
      </c>
      <c r="U270" s="1647">
        <f>T270</f>
        <v>5000</v>
      </c>
      <c r="V270" s="1647">
        <f>+U270</f>
        <v>5000</v>
      </c>
      <c r="W270" s="1647">
        <v>9090.9090909090919</v>
      </c>
      <c r="X270" s="1647">
        <v>7692.3076923076924</v>
      </c>
      <c r="Y270" s="1647">
        <v>10909.090909090908</v>
      </c>
      <c r="Z270" s="1647">
        <v>11833.333333333334</v>
      </c>
      <c r="AA270" s="1647">
        <f>Z270</f>
        <v>11833.333333333334</v>
      </c>
      <c r="AB270" s="1647">
        <f>AA270</f>
        <v>11833.333333333334</v>
      </c>
      <c r="AC270" s="1647">
        <f>AB270</f>
        <v>11833.333333333334</v>
      </c>
      <c r="AD270" s="1647">
        <f>AC270</f>
        <v>11833.333333333334</v>
      </c>
      <c r="AE270" s="1107">
        <f>AD270</f>
        <v>11833.333333333334</v>
      </c>
      <c r="AF270" s="1107">
        <f t="shared" ref="AF270" si="451">AE270</f>
        <v>11833.333333333334</v>
      </c>
      <c r="AG270" s="1107">
        <f>AF270</f>
        <v>11833.333333333334</v>
      </c>
      <c r="AH270" s="1647">
        <f>AG270</f>
        <v>11833.333333333334</v>
      </c>
      <c r="AI270" s="1100"/>
      <c r="AJ270" s="1135"/>
      <c r="AK270" s="1128"/>
      <c r="AL270" s="1664"/>
      <c r="AM270" s="1091"/>
    </row>
    <row r="271" spans="1:39" hidden="1" outlineLevel="2">
      <c r="A271" s="1651"/>
      <c r="B271" s="1651"/>
      <c r="C271" s="1651"/>
      <c r="D271" s="1651"/>
      <c r="E271" s="1651"/>
      <c r="F271" s="1651"/>
      <c r="G271" s="1651"/>
      <c r="H271" s="1651"/>
      <c r="I271" s="1651"/>
      <c r="J271" s="1651"/>
      <c r="K271" s="1651"/>
      <c r="L271" s="2051"/>
      <c r="M271" s="1651"/>
      <c r="N271" s="1651"/>
      <c r="O271" s="1651"/>
      <c r="P271" s="1069"/>
      <c r="Q271" s="1069"/>
      <c r="R271" s="1069"/>
      <c r="S271" s="1651"/>
      <c r="T271" s="1651"/>
      <c r="U271" s="1651"/>
      <c r="V271" s="1651"/>
      <c r="W271" s="1651"/>
      <c r="X271" s="1651"/>
      <c r="Y271" s="1651"/>
      <c r="Z271" s="1651"/>
      <c r="AA271" s="1651"/>
      <c r="AB271" s="1651"/>
      <c r="AC271" s="1651"/>
      <c r="AD271" s="1651"/>
      <c r="AE271" s="1069"/>
      <c r="AF271" s="1069"/>
      <c r="AG271" s="1069"/>
      <c r="AH271" s="1651"/>
      <c r="AI271" s="1090"/>
      <c r="AJ271" s="1077"/>
      <c r="AK271" s="1079"/>
      <c r="AL271" s="1664"/>
      <c r="AM271" s="1091"/>
    </row>
    <row r="272" spans="1:39" hidden="1" outlineLevel="2">
      <c r="A272" s="2033" t="s">
        <v>507</v>
      </c>
      <c r="B272" s="1648"/>
      <c r="C272" s="1648"/>
      <c r="D272" s="1648"/>
      <c r="E272" s="1648"/>
      <c r="F272" s="1648"/>
      <c r="G272" s="1648"/>
      <c r="H272" s="1648"/>
      <c r="I272" s="1648"/>
      <c r="J272" s="1648"/>
      <c r="K272" s="1661">
        <f t="shared" ref="K272:AA272" si="452">K268/K256</f>
        <v>0.71263380059471937</v>
      </c>
      <c r="L272" s="1661">
        <f t="shared" si="452"/>
        <v>-6.092307692307692E-2</v>
      </c>
      <c r="M272" s="1661">
        <f t="shared" si="452"/>
        <v>0.50265432098765372</v>
      </c>
      <c r="N272" s="1661">
        <f t="shared" si="452"/>
        <v>0.76293034427542172</v>
      </c>
      <c r="O272" s="1661">
        <f t="shared" si="452"/>
        <v>73.004534323267706</v>
      </c>
      <c r="P272" s="1109">
        <f t="shared" si="452"/>
        <v>-0.37351618628347466</v>
      </c>
      <c r="Q272" s="1141">
        <f t="shared" si="452"/>
        <v>-3.3693437165457862E-2</v>
      </c>
      <c r="R272" s="1141">
        <f t="shared" si="452"/>
        <v>2.0508497392246672</v>
      </c>
      <c r="S272" s="1663">
        <f t="shared" si="452"/>
        <v>2.9021673009262345</v>
      </c>
      <c r="T272" s="1663">
        <f t="shared" si="452"/>
        <v>5.8231450127565667</v>
      </c>
      <c r="U272" s="1663">
        <f t="shared" si="452"/>
        <v>1.0981250000000018</v>
      </c>
      <c r="V272" s="1663">
        <f t="shared" si="452"/>
        <v>1.0506780626780625</v>
      </c>
      <c r="W272" s="1663">
        <f t="shared" si="452"/>
        <v>1.8319022869022845</v>
      </c>
      <c r="X272" s="1663">
        <f t="shared" si="452"/>
        <v>1.3279424350782572</v>
      </c>
      <c r="Y272" s="1663">
        <f t="shared" si="452"/>
        <v>0.62924805448791621</v>
      </c>
      <c r="Z272" s="1663">
        <f t="shared" si="452"/>
        <v>5.1255954229774379E-3</v>
      </c>
      <c r="AA272" s="1663">
        <f t="shared" si="452"/>
        <v>0.29876923076923112</v>
      </c>
      <c r="AB272" s="1663">
        <f>AB268/AB256</f>
        <v>-0.80560975609756103</v>
      </c>
      <c r="AC272" s="1663">
        <f>AC268/AC256</f>
        <v>-0.23726916620033536</v>
      </c>
      <c r="AD272" s="1663">
        <f>AD268/AD256</f>
        <v>0.91140845070422305</v>
      </c>
      <c r="AE272" s="1141">
        <f>AE268/AE256</f>
        <v>0.93140845070423373</v>
      </c>
      <c r="AF272" s="1141">
        <f t="shared" ref="AF272:AH272" si="453">AF268/AF256</f>
        <v>0.95140845070421853</v>
      </c>
      <c r="AG272" s="1141">
        <f t="shared" si="453"/>
        <v>0.97140845070423876</v>
      </c>
      <c r="AH272" s="1663">
        <f t="shared" si="453"/>
        <v>0.99140845070421746</v>
      </c>
      <c r="AI272" s="1111"/>
      <c r="AJ272" s="1074"/>
      <c r="AK272" s="1076"/>
      <c r="AL272" s="1662"/>
      <c r="AM272" s="1112"/>
    </row>
    <row r="273" spans="1:39" hidden="1" outlineLevel="2">
      <c r="A273" s="39" t="s">
        <v>194</v>
      </c>
      <c r="T273" s="1668">
        <f t="shared" ref="T273:Y273" si="454">T238/(SUM(T196,T238,T82,T122))</f>
        <v>0.12134831460674157</v>
      </c>
      <c r="U273" s="1668">
        <f t="shared" si="454"/>
        <v>0.12507237984944991</v>
      </c>
      <c r="V273" s="1668">
        <f t="shared" si="454"/>
        <v>0.1354261983529246</v>
      </c>
      <c r="W273" s="1668">
        <f t="shared" si="454"/>
        <v>0.13632882307888691</v>
      </c>
      <c r="X273" s="1668">
        <f t="shared" si="454"/>
        <v>0.15081491404331324</v>
      </c>
      <c r="Y273" s="1668">
        <f t="shared" si="454"/>
        <v>0.16037334256660407</v>
      </c>
      <c r="Z273" s="1668">
        <f t="shared" ref="Z273:AH273" si="455">Z238/(SUM(Z196,Z82,Z122))</f>
        <v>0.1890605729710193</v>
      </c>
      <c r="AA273" s="1668">
        <f t="shared" si="455"/>
        <v>0.2106645228894462</v>
      </c>
      <c r="AB273" s="1668">
        <f t="shared" si="455"/>
        <v>0.22848554099536941</v>
      </c>
      <c r="AC273" s="1668">
        <f t="shared" si="455"/>
        <v>0.23505585318958663</v>
      </c>
      <c r="AD273" s="1668">
        <f t="shared" si="455"/>
        <v>0.24227554036407783</v>
      </c>
      <c r="AE273" s="1114">
        <f t="shared" si="455"/>
        <v>0.25228094656143379</v>
      </c>
      <c r="AF273" s="1114">
        <f t="shared" si="455"/>
        <v>0.26245630610051141</v>
      </c>
      <c r="AG273" s="1114">
        <f t="shared" si="455"/>
        <v>0.27282465546450485</v>
      </c>
      <c r="AH273" s="1668">
        <f t="shared" si="455"/>
        <v>0.28372794210533753</v>
      </c>
      <c r="AK273" s="1136"/>
      <c r="AM273" s="1136"/>
    </row>
    <row r="274" spans="1:39" hidden="1" outlineLevel="1">
      <c r="A274" s="2033"/>
      <c r="B274" s="1648"/>
      <c r="C274" s="1648"/>
      <c r="D274" s="1648"/>
      <c r="E274" s="1648"/>
      <c r="F274" s="1648"/>
      <c r="G274" s="1648"/>
      <c r="H274" s="1648"/>
      <c r="I274" s="1648"/>
      <c r="J274" s="1648"/>
      <c r="K274" s="1661"/>
      <c r="L274" s="1661"/>
      <c r="M274" s="1661"/>
      <c r="N274" s="1661"/>
      <c r="O274" s="1661"/>
      <c r="P274" s="1109"/>
      <c r="Q274" s="1141"/>
      <c r="R274" s="1141"/>
      <c r="S274" s="1663"/>
      <c r="T274" s="1663"/>
      <c r="U274" s="1663"/>
      <c r="V274" s="1663"/>
      <c r="W274" s="1663"/>
      <c r="X274" s="1663"/>
      <c r="Y274" s="1663"/>
      <c r="Z274" s="1663"/>
      <c r="AA274" s="1663"/>
      <c r="AB274" s="1663"/>
      <c r="AC274" s="1663"/>
      <c r="AD274" s="1663"/>
      <c r="AE274" s="1141"/>
      <c r="AF274" s="1141"/>
      <c r="AG274" s="1141"/>
      <c r="AH274" s="1663"/>
      <c r="AI274" s="1077"/>
      <c r="AJ274" s="1077"/>
      <c r="AK274" s="1079"/>
      <c r="AL274" s="1664"/>
      <c r="AM274" s="1079"/>
    </row>
    <row r="275" spans="1:39" hidden="1" outlineLevel="2">
      <c r="A275" s="2045" t="s">
        <v>96</v>
      </c>
      <c r="B275" s="1651"/>
      <c r="C275" s="1651"/>
      <c r="D275" s="1651"/>
      <c r="E275" s="1651"/>
      <c r="F275" s="1651"/>
      <c r="G275" s="1651"/>
      <c r="H275" s="1651"/>
      <c r="I275" s="1651"/>
      <c r="J275" s="1651"/>
      <c r="K275" s="1651"/>
      <c r="L275" s="1651"/>
      <c r="M275" s="1651"/>
      <c r="N275" s="1651"/>
      <c r="O275" s="1651"/>
      <c r="P275" s="1122"/>
      <c r="Q275" s="1122"/>
      <c r="R275" s="1122"/>
      <c r="S275" s="1656"/>
      <c r="T275" s="1656"/>
      <c r="U275" s="1656"/>
      <c r="V275" s="1656"/>
      <c r="W275" s="1656"/>
      <c r="X275" s="1656"/>
      <c r="Y275" s="1656"/>
      <c r="Z275" s="1656"/>
      <c r="AA275" s="1656"/>
      <c r="AB275" s="1656"/>
      <c r="AC275" s="1656"/>
      <c r="AD275" s="1656"/>
      <c r="AE275" s="1122"/>
      <c r="AF275" s="1122"/>
      <c r="AG275" s="1122"/>
      <c r="AH275" s="1656"/>
      <c r="AI275" s="1069"/>
      <c r="AJ275" s="1069"/>
      <c r="AK275" s="1073"/>
      <c r="AL275" s="1651"/>
      <c r="AM275" s="1073"/>
    </row>
    <row r="276" spans="1:39" hidden="1" outlineLevel="2">
      <c r="A276" s="2068" t="s">
        <v>64</v>
      </c>
      <c r="B276" s="1662"/>
      <c r="C276" s="1662"/>
      <c r="D276" s="1662"/>
      <c r="E276" s="1662"/>
      <c r="F276" s="1662"/>
      <c r="G276" s="1662"/>
      <c r="H276" s="1662"/>
      <c r="I276" s="1662"/>
      <c r="J276" s="1662"/>
      <c r="K276" s="1662"/>
      <c r="L276" s="1662"/>
      <c r="M276" s="1662"/>
      <c r="N276" s="1662"/>
      <c r="O276" s="1662"/>
      <c r="P276" s="1074"/>
      <c r="Q276" s="1074"/>
      <c r="R276" s="1074"/>
      <c r="S276" s="1662"/>
      <c r="T276" s="1662"/>
      <c r="U276" s="1662"/>
      <c r="V276" s="1662"/>
      <c r="W276" s="1662"/>
      <c r="X276" s="1662"/>
      <c r="Y276" s="1662"/>
      <c r="Z276" s="1662"/>
      <c r="AA276" s="1662"/>
      <c r="AB276" s="1662"/>
      <c r="AC276" s="1662"/>
      <c r="AD276" s="1662"/>
      <c r="AE276" s="1074"/>
      <c r="AF276" s="1074"/>
      <c r="AG276" s="1074"/>
      <c r="AH276" s="1662"/>
      <c r="AI276" s="1074"/>
      <c r="AJ276" s="1074"/>
      <c r="AK276" s="1076"/>
      <c r="AL276" s="1651"/>
      <c r="AM276" s="1076"/>
    </row>
    <row r="277" spans="1:39" hidden="1" outlineLevel="2">
      <c r="A277" s="2031"/>
      <c r="B277" s="1664"/>
      <c r="C277" s="1664"/>
      <c r="D277" s="1664"/>
      <c r="E277" s="1664"/>
      <c r="F277" s="1664"/>
      <c r="G277" s="1664"/>
      <c r="H277" s="1664"/>
      <c r="I277" s="1664"/>
      <c r="J277" s="1664"/>
      <c r="K277" s="1664"/>
      <c r="L277" s="1664"/>
      <c r="M277" s="1664"/>
      <c r="N277" s="1664"/>
      <c r="O277" s="1664"/>
      <c r="P277" s="1077"/>
      <c r="Q277" s="1077"/>
      <c r="R277" s="1077"/>
      <c r="S277" s="1664"/>
      <c r="T277" s="1664"/>
      <c r="U277" s="1664"/>
      <c r="V277" s="1664"/>
      <c r="W277" s="1664"/>
      <c r="X277" s="1664"/>
      <c r="Y277" s="1664"/>
      <c r="Z277" s="1664"/>
      <c r="AA277" s="1664"/>
      <c r="AB277" s="1664"/>
      <c r="AC277" s="1664"/>
      <c r="AD277" s="1664"/>
      <c r="AE277" s="1077"/>
      <c r="AF277" s="1077"/>
      <c r="AG277" s="1077"/>
      <c r="AH277" s="1664"/>
      <c r="AI277" s="1077"/>
      <c r="AJ277" s="1077"/>
      <c r="AK277" s="1079"/>
      <c r="AL277" s="1651"/>
      <c r="AM277" s="1079"/>
    </row>
    <row r="278" spans="1:39" hidden="1" outlineLevel="2">
      <c r="A278" s="2032"/>
      <c r="B278" s="1651"/>
      <c r="C278" s="1651"/>
      <c r="D278" s="1651"/>
      <c r="E278" s="1651"/>
      <c r="F278" s="1651"/>
      <c r="G278" s="1651"/>
      <c r="H278" s="1651"/>
      <c r="I278" s="1651"/>
      <c r="J278" s="1651"/>
      <c r="K278" s="1651"/>
      <c r="L278" s="1651"/>
      <c r="M278" s="1651"/>
      <c r="N278" s="1651"/>
      <c r="O278" s="1651"/>
      <c r="P278" s="1069"/>
      <c r="Q278" s="1069"/>
      <c r="R278" s="1069"/>
      <c r="S278" s="1651"/>
      <c r="T278" s="1651"/>
      <c r="U278" s="1651"/>
      <c r="V278" s="1651"/>
      <c r="W278" s="1651"/>
      <c r="X278" s="1651"/>
      <c r="Y278" s="1651"/>
      <c r="Z278" s="1651"/>
      <c r="AA278" s="1651"/>
      <c r="AB278" s="1651"/>
      <c r="AC278" s="1651"/>
      <c r="AD278" s="1651"/>
      <c r="AE278" s="1069"/>
      <c r="AF278" s="1069"/>
      <c r="AG278" s="1069"/>
      <c r="AH278" s="1651"/>
      <c r="AI278" s="1117"/>
      <c r="AJ278" s="1078"/>
      <c r="AK278" s="1118" t="s">
        <v>488</v>
      </c>
      <c r="AL278" s="1651"/>
      <c r="AM278" s="1119"/>
    </row>
    <row r="279" spans="1:39" hidden="1" outlineLevel="2">
      <c r="A279" s="1644"/>
      <c r="B279" s="2052">
        <f t="shared" ref="B279:R279" si="456">B5</f>
        <v>1990</v>
      </c>
      <c r="C279" s="1995">
        <f t="shared" si="456"/>
        <v>1991</v>
      </c>
      <c r="D279" s="1995">
        <f t="shared" si="456"/>
        <v>1992</v>
      </c>
      <c r="E279" s="1995">
        <f t="shared" si="456"/>
        <v>1993</v>
      </c>
      <c r="F279" s="1995">
        <f t="shared" si="456"/>
        <v>1994</v>
      </c>
      <c r="G279" s="1995">
        <f t="shared" si="456"/>
        <v>1995</v>
      </c>
      <c r="H279" s="1995">
        <f t="shared" si="456"/>
        <v>1996</v>
      </c>
      <c r="I279" s="1995">
        <f t="shared" si="456"/>
        <v>1997</v>
      </c>
      <c r="J279" s="1995">
        <f t="shared" si="456"/>
        <v>1998</v>
      </c>
      <c r="K279" s="1995">
        <f t="shared" si="456"/>
        <v>1999</v>
      </c>
      <c r="L279" s="2052">
        <f t="shared" si="456"/>
        <v>2000</v>
      </c>
      <c r="M279" s="1995">
        <f t="shared" si="456"/>
        <v>2001</v>
      </c>
      <c r="N279" s="2069">
        <f t="shared" si="456"/>
        <v>2002</v>
      </c>
      <c r="O279" s="2069">
        <f t="shared" si="456"/>
        <v>2003</v>
      </c>
      <c r="P279" s="1142">
        <f t="shared" si="456"/>
        <v>2004</v>
      </c>
      <c r="Q279" s="1142">
        <f t="shared" si="456"/>
        <v>2005</v>
      </c>
      <c r="R279" s="1143">
        <f t="shared" si="456"/>
        <v>2006</v>
      </c>
      <c r="S279" s="1665"/>
      <c r="T279" s="1665"/>
      <c r="U279" s="1665"/>
      <c r="V279" s="1665"/>
      <c r="W279" s="1665"/>
      <c r="X279" s="1665"/>
      <c r="Y279" s="1665"/>
      <c r="Z279" s="1665"/>
      <c r="AA279" s="1665"/>
      <c r="AB279" s="1665"/>
      <c r="AC279" s="1665"/>
      <c r="AD279" s="1665"/>
      <c r="AE279" s="1144"/>
      <c r="AF279" s="1144"/>
      <c r="AG279" s="1144"/>
      <c r="AH279" s="1665"/>
      <c r="AI279" s="1120"/>
      <c r="AJ279" s="1121" t="str">
        <f>AJ5</f>
        <v>11-16</v>
      </c>
      <c r="AK279" s="1079"/>
      <c r="AL279" s="1651"/>
      <c r="AM279" s="1145"/>
    </row>
    <row r="280" spans="1:39" hidden="1" outlineLevel="2">
      <c r="A280" s="1644"/>
      <c r="B280" s="1644"/>
      <c r="C280" s="1644"/>
      <c r="D280" s="1644"/>
      <c r="E280" s="1644"/>
      <c r="F280" s="1644"/>
      <c r="G280" s="1644"/>
      <c r="H280" s="1644"/>
      <c r="I280" s="1651"/>
      <c r="J280" s="1651"/>
      <c r="K280" s="1651"/>
      <c r="L280" s="1651"/>
      <c r="M280" s="1651"/>
      <c r="N280" s="1651"/>
      <c r="O280" s="1651"/>
      <c r="P280" s="1122"/>
      <c r="Q280" s="1122"/>
      <c r="R280" s="1122"/>
      <c r="S280" s="1656"/>
      <c r="T280" s="1656"/>
      <c r="U280" s="1656"/>
      <c r="V280" s="1656"/>
      <c r="W280" s="1656"/>
      <c r="X280" s="1656"/>
      <c r="Y280" s="1656"/>
      <c r="Z280" s="1656"/>
      <c r="AA280" s="1656"/>
      <c r="AB280" s="1656"/>
      <c r="AC280" s="1656"/>
      <c r="AD280" s="1656"/>
      <c r="AE280" s="1122"/>
      <c r="AF280" s="1122"/>
      <c r="AG280" s="1122"/>
      <c r="AH280" s="1656"/>
      <c r="AI280" s="1090"/>
      <c r="AJ280" s="1077"/>
      <c r="AK280" s="1079"/>
      <c r="AL280" s="1651"/>
      <c r="AM280" s="1091"/>
    </row>
    <row r="281" spans="1:39" hidden="1" outlineLevel="2">
      <c r="A281" s="2033" t="s">
        <v>646</v>
      </c>
      <c r="B281" s="1640">
        <v>150</v>
      </c>
      <c r="C281" s="1640">
        <v>265</v>
      </c>
      <c r="D281" s="1640">
        <v>386</v>
      </c>
      <c r="E281" s="1640">
        <v>540</v>
      </c>
      <c r="F281" s="1640">
        <v>680</v>
      </c>
      <c r="G281" s="1640">
        <v>775</v>
      </c>
      <c r="H281" s="1640">
        <v>895</v>
      </c>
      <c r="I281" s="1640">
        <v>1040</v>
      </c>
      <c r="J281" s="1640">
        <v>1230</v>
      </c>
      <c r="K281" s="1640"/>
      <c r="L281" s="1640"/>
      <c r="M281" s="1640"/>
      <c r="N281" s="1671"/>
      <c r="O281" s="1666"/>
      <c r="P281" s="1124"/>
      <c r="Q281" s="1124"/>
      <c r="R281" s="1124"/>
      <c r="S281" s="1666"/>
      <c r="T281" s="1666"/>
      <c r="U281" s="1666"/>
      <c r="V281" s="1666"/>
      <c r="W281" s="1666"/>
      <c r="X281" s="1666"/>
      <c r="Y281" s="1666"/>
      <c r="Z281" s="1666"/>
      <c r="AA281" s="1666"/>
      <c r="AB281" s="1666"/>
      <c r="AC281" s="1666"/>
      <c r="AD281" s="1666"/>
      <c r="AE281" s="1124"/>
      <c r="AF281" s="1124"/>
      <c r="AG281" s="1124"/>
      <c r="AH281" s="1666"/>
      <c r="AI281" s="1090"/>
      <c r="AJ281" s="1094">
        <f>RATE(5,,-H281,M281)*100</f>
        <v>-99.999940914518248</v>
      </c>
      <c r="AK281" s="1110" t="s">
        <v>489</v>
      </c>
      <c r="AL281" s="1651"/>
      <c r="AM281" s="1095" t="s">
        <v>489</v>
      </c>
    </row>
    <row r="282" spans="1:39" hidden="1" outlineLevel="2">
      <c r="A282" s="2033" t="s">
        <v>490</v>
      </c>
      <c r="B282" s="1648"/>
      <c r="C282" s="1648">
        <f t="shared" ref="C282:J282" si="457">C281/B281-1</f>
        <v>0.76666666666666661</v>
      </c>
      <c r="D282" s="1648">
        <f t="shared" si="457"/>
        <v>0.45660377358490556</v>
      </c>
      <c r="E282" s="1648">
        <f t="shared" si="457"/>
        <v>0.39896373056994827</v>
      </c>
      <c r="F282" s="1648">
        <f t="shared" si="457"/>
        <v>0.2592592592592593</v>
      </c>
      <c r="G282" s="1648">
        <f t="shared" si="457"/>
        <v>0.13970588235294112</v>
      </c>
      <c r="H282" s="1648">
        <f t="shared" si="457"/>
        <v>0.15483870967741931</v>
      </c>
      <c r="I282" s="1648">
        <f t="shared" si="457"/>
        <v>0.16201117318435765</v>
      </c>
      <c r="J282" s="1648">
        <f t="shared" si="457"/>
        <v>0.18269230769230771</v>
      </c>
      <c r="K282" s="1648"/>
      <c r="L282" s="1648"/>
      <c r="M282" s="1648"/>
      <c r="N282" s="1648"/>
      <c r="O282" s="1648"/>
      <c r="P282" s="1089"/>
      <c r="Q282" s="1089"/>
      <c r="R282" s="1089"/>
      <c r="S282" s="1648"/>
      <c r="T282" s="1648"/>
      <c r="U282" s="1648"/>
      <c r="V282" s="1648"/>
      <c r="W282" s="1648"/>
      <c r="X282" s="1648"/>
      <c r="Y282" s="1648"/>
      <c r="Z282" s="1648"/>
      <c r="AA282" s="1648"/>
      <c r="AB282" s="1648"/>
      <c r="AC282" s="1648"/>
      <c r="AD282" s="1648"/>
      <c r="AE282" s="1089"/>
      <c r="AF282" s="1089"/>
      <c r="AG282" s="1089"/>
      <c r="AH282" s="1648"/>
      <c r="AI282" s="1090"/>
      <c r="AJ282" s="1077"/>
      <c r="AK282" s="1079"/>
      <c r="AL282" s="1651"/>
      <c r="AM282" s="1091"/>
    </row>
    <row r="283" spans="1:39" hidden="1" outlineLevel="2">
      <c r="A283" s="2033"/>
      <c r="B283" s="1648"/>
      <c r="C283" s="1648"/>
      <c r="D283" s="1648"/>
      <c r="E283" s="1648"/>
      <c r="F283" s="1648"/>
      <c r="G283" s="1648"/>
      <c r="H283" s="1648"/>
      <c r="I283" s="1648"/>
      <c r="J283" s="1648"/>
      <c r="K283" s="1648"/>
      <c r="L283" s="1648"/>
      <c r="M283" s="1648"/>
      <c r="N283" s="1648"/>
      <c r="O283" s="1648"/>
      <c r="P283" s="1089"/>
      <c r="Q283" s="1089"/>
      <c r="R283" s="1089"/>
      <c r="S283" s="1648"/>
      <c r="T283" s="1648"/>
      <c r="U283" s="1648"/>
      <c r="V283" s="1648"/>
      <c r="W283" s="1648"/>
      <c r="X283" s="1648"/>
      <c r="Y283" s="1648"/>
      <c r="Z283" s="1648"/>
      <c r="AA283" s="1648"/>
      <c r="AB283" s="1648"/>
      <c r="AC283" s="1648"/>
      <c r="AD283" s="1648"/>
      <c r="AE283" s="1089"/>
      <c r="AF283" s="1089"/>
      <c r="AG283" s="1089"/>
      <c r="AH283" s="1648"/>
      <c r="AI283" s="1090"/>
      <c r="AJ283" s="1077"/>
      <c r="AK283" s="1079"/>
      <c r="AL283" s="1651"/>
      <c r="AM283" s="1091"/>
    </row>
    <row r="284" spans="1:39" hidden="1" outlineLevel="3">
      <c r="A284" s="2070" t="s">
        <v>102</v>
      </c>
      <c r="B284" s="1640">
        <v>9</v>
      </c>
      <c r="C284" s="1640">
        <v>26.367999999999999</v>
      </c>
      <c r="D284" s="1640">
        <v>43.8</v>
      </c>
      <c r="E284" s="1640">
        <v>86.4</v>
      </c>
      <c r="F284" s="1640">
        <v>115.5</v>
      </c>
      <c r="G284" s="1640"/>
      <c r="H284" s="1640"/>
      <c r="I284" s="1640"/>
      <c r="J284" s="1640"/>
      <c r="K284" s="1640"/>
      <c r="L284" s="1640"/>
      <c r="M284" s="1640"/>
      <c r="N284" s="1671"/>
      <c r="O284" s="1666"/>
      <c r="P284" s="1124"/>
      <c r="Q284" s="1124"/>
      <c r="R284" s="1124"/>
      <c r="S284" s="1666"/>
      <c r="T284" s="1666"/>
      <c r="U284" s="1666"/>
      <c r="V284" s="1666"/>
      <c r="W284" s="1666"/>
      <c r="X284" s="1666"/>
      <c r="Y284" s="1666"/>
      <c r="Z284" s="1666"/>
      <c r="AA284" s="1666"/>
      <c r="AB284" s="1666"/>
      <c r="AC284" s="1666"/>
      <c r="AD284" s="1666"/>
      <c r="AE284" s="1124"/>
      <c r="AF284" s="1124"/>
      <c r="AG284" s="1124"/>
      <c r="AH284" s="1666"/>
      <c r="AI284" s="1090"/>
      <c r="AJ284" s="1094"/>
      <c r="AK284" s="1110"/>
      <c r="AL284" s="1651"/>
      <c r="AM284" s="1095"/>
    </row>
    <row r="285" spans="1:39" hidden="1" outlineLevel="3">
      <c r="A285" s="2033"/>
      <c r="B285" s="1648"/>
      <c r="C285" s="1648"/>
      <c r="D285" s="1648"/>
      <c r="E285" s="1648"/>
      <c r="F285" s="1648"/>
      <c r="G285" s="1648"/>
      <c r="H285" s="1648"/>
      <c r="I285" s="1648"/>
      <c r="J285" s="1648"/>
      <c r="K285" s="1648"/>
      <c r="L285" s="1648"/>
      <c r="M285" s="1648"/>
      <c r="N285" s="1648"/>
      <c r="O285" s="1648"/>
      <c r="P285" s="1089"/>
      <c r="Q285" s="1089"/>
      <c r="R285" s="1089"/>
      <c r="S285" s="1648"/>
      <c r="T285" s="1648"/>
      <c r="U285" s="1648"/>
      <c r="V285" s="1648"/>
      <c r="W285" s="1648"/>
      <c r="X285" s="1648"/>
      <c r="Y285" s="1648"/>
      <c r="Z285" s="1648"/>
      <c r="AA285" s="1648"/>
      <c r="AB285" s="1648"/>
      <c r="AC285" s="1648"/>
      <c r="AD285" s="1648"/>
      <c r="AE285" s="1089"/>
      <c r="AF285" s="1089"/>
      <c r="AG285" s="1089"/>
      <c r="AH285" s="1648"/>
      <c r="AI285" s="1090"/>
      <c r="AJ285" s="1077"/>
      <c r="AK285" s="1079"/>
      <c r="AL285" s="1651"/>
      <c r="AM285" s="1091"/>
    </row>
    <row r="286" spans="1:39" hidden="1" outlineLevel="3">
      <c r="A286" s="1651"/>
      <c r="B286" s="1651"/>
      <c r="C286" s="1651"/>
      <c r="D286" s="1651"/>
      <c r="E286" s="1651"/>
      <c r="F286" s="1651"/>
      <c r="G286" s="1651"/>
      <c r="H286" s="1651"/>
      <c r="I286" s="1651"/>
      <c r="J286" s="1651"/>
      <c r="K286" s="1651"/>
      <c r="L286" s="1651"/>
      <c r="M286" s="1651"/>
      <c r="N286" s="1651"/>
      <c r="O286" s="1651"/>
      <c r="P286" s="1069"/>
      <c r="Q286" s="1069"/>
      <c r="R286" s="1069"/>
      <c r="S286" s="1651"/>
      <c r="T286" s="1651"/>
      <c r="U286" s="1651"/>
      <c r="V286" s="1651"/>
      <c r="W286" s="1651"/>
      <c r="X286" s="1651"/>
      <c r="Y286" s="1651"/>
      <c r="Z286" s="1651"/>
      <c r="AA286" s="1651"/>
      <c r="AB286" s="1651"/>
      <c r="AC286" s="1651"/>
      <c r="AD286" s="1651"/>
      <c r="AE286" s="1069"/>
      <c r="AF286" s="1069"/>
      <c r="AG286" s="1069"/>
      <c r="AH286" s="1651"/>
      <c r="AI286" s="1090"/>
      <c r="AJ286" s="1077"/>
      <c r="AK286" s="1079"/>
      <c r="AL286" s="1651"/>
      <c r="AM286" s="1091"/>
    </row>
    <row r="287" spans="1:39" hidden="1" outlineLevel="2" collapsed="1">
      <c r="A287" s="2070" t="s">
        <v>491</v>
      </c>
      <c r="B287" s="1644">
        <v>108</v>
      </c>
      <c r="C287" s="1644">
        <f t="shared" ref="C287:R287" si="458">B290</f>
        <v>162</v>
      </c>
      <c r="D287" s="1644">
        <f t="shared" si="458"/>
        <v>209</v>
      </c>
      <c r="E287" s="1644">
        <f t="shared" si="458"/>
        <v>244</v>
      </c>
      <c r="F287" s="1644">
        <f t="shared" si="458"/>
        <v>279</v>
      </c>
      <c r="G287" s="1644">
        <f t="shared" si="458"/>
        <v>326</v>
      </c>
      <c r="H287" s="1644">
        <f t="shared" si="458"/>
        <v>373</v>
      </c>
      <c r="I287" s="1644">
        <f t="shared" si="458"/>
        <v>413</v>
      </c>
      <c r="J287" s="1644">
        <f t="shared" si="458"/>
        <v>467</v>
      </c>
      <c r="K287" s="2071" t="s">
        <v>644</v>
      </c>
      <c r="L287" s="2072" t="s">
        <v>644</v>
      </c>
      <c r="M287" s="2072" t="s">
        <v>644</v>
      </c>
      <c r="N287" s="1644">
        <f t="shared" si="458"/>
        <v>994</v>
      </c>
      <c r="O287" s="1644">
        <f t="shared" si="458"/>
        <v>994</v>
      </c>
      <c r="P287" s="1084">
        <f t="shared" si="458"/>
        <v>994</v>
      </c>
      <c r="Q287" s="1084">
        <f t="shared" si="458"/>
        <v>994</v>
      </c>
      <c r="R287" s="1084">
        <f t="shared" si="458"/>
        <v>994</v>
      </c>
      <c r="S287" s="1644"/>
      <c r="T287" s="1644"/>
      <c r="U287" s="1644"/>
      <c r="V287" s="1644"/>
      <c r="W287" s="1644"/>
      <c r="X287" s="1644"/>
      <c r="Y287" s="1644"/>
      <c r="Z287" s="1644"/>
      <c r="AA287" s="1644"/>
      <c r="AB287" s="1644"/>
      <c r="AC287" s="1644"/>
      <c r="AD287" s="1644"/>
      <c r="AE287" s="1084"/>
      <c r="AF287" s="1084"/>
      <c r="AG287" s="1084"/>
      <c r="AH287" s="1644"/>
      <c r="AI287" s="1090"/>
      <c r="AJ287" s="1077"/>
      <c r="AK287" s="1079"/>
      <c r="AL287" s="1651"/>
      <c r="AM287" s="1091"/>
    </row>
    <row r="288" spans="1:39" hidden="1" outlineLevel="2">
      <c r="A288" s="2070" t="s">
        <v>56</v>
      </c>
      <c r="B288" s="1644">
        <v>56</v>
      </c>
      <c r="C288" s="1644">
        <v>48</v>
      </c>
      <c r="D288" s="1644">
        <v>37</v>
      </c>
      <c r="E288" s="1644">
        <v>36</v>
      </c>
      <c r="F288" s="1644">
        <v>48</v>
      </c>
      <c r="G288" s="1644">
        <v>47</v>
      </c>
      <c r="H288" s="1644">
        <v>41</v>
      </c>
      <c r="I288" s="1644">
        <v>55</v>
      </c>
      <c r="J288" s="1644">
        <v>42</v>
      </c>
      <c r="K288" s="2071" t="s">
        <v>644</v>
      </c>
      <c r="L288" s="2072" t="s">
        <v>644</v>
      </c>
      <c r="M288" s="2072" t="s">
        <v>644</v>
      </c>
      <c r="N288" s="1644">
        <v>0</v>
      </c>
      <c r="O288" s="1644">
        <v>0</v>
      </c>
      <c r="P288" s="1084">
        <v>0</v>
      </c>
      <c r="Q288" s="1084">
        <v>0</v>
      </c>
      <c r="R288" s="1084">
        <v>0</v>
      </c>
      <c r="S288" s="1644"/>
      <c r="T288" s="1644"/>
      <c r="U288" s="1644"/>
      <c r="V288" s="1644"/>
      <c r="W288" s="1644"/>
      <c r="X288" s="1644"/>
      <c r="Y288" s="1644"/>
      <c r="Z288" s="1644"/>
      <c r="AA288" s="1644"/>
      <c r="AB288" s="1644"/>
      <c r="AC288" s="1644"/>
      <c r="AD288" s="1644"/>
      <c r="AE288" s="1084"/>
      <c r="AF288" s="1084"/>
      <c r="AG288" s="1084"/>
      <c r="AH288" s="1644"/>
      <c r="AI288" s="1090"/>
      <c r="AJ288" s="1077"/>
      <c r="AK288" s="1079"/>
      <c r="AL288" s="1651"/>
      <c r="AM288" s="1091"/>
    </row>
    <row r="289" spans="1:39" hidden="1" outlineLevel="2">
      <c r="A289" s="2073" t="s">
        <v>497</v>
      </c>
      <c r="B289" s="1644">
        <v>-2</v>
      </c>
      <c r="C289" s="1644">
        <v>-1</v>
      </c>
      <c r="D289" s="1644">
        <v>-2</v>
      </c>
      <c r="E289" s="1644">
        <v>-1</v>
      </c>
      <c r="F289" s="1644">
        <v>-1</v>
      </c>
      <c r="G289" s="1644">
        <v>0</v>
      </c>
      <c r="H289" s="1644">
        <v>-1</v>
      </c>
      <c r="I289" s="1644">
        <v>-1</v>
      </c>
      <c r="J289" s="1644">
        <v>-2</v>
      </c>
      <c r="K289" s="2071" t="s">
        <v>644</v>
      </c>
      <c r="L289" s="2072" t="s">
        <v>644</v>
      </c>
      <c r="M289" s="2072" t="s">
        <v>644</v>
      </c>
      <c r="N289" s="1644">
        <v>0</v>
      </c>
      <c r="O289" s="1644">
        <v>0</v>
      </c>
      <c r="P289" s="1084">
        <v>0</v>
      </c>
      <c r="Q289" s="1084">
        <v>0</v>
      </c>
      <c r="R289" s="1084">
        <v>0</v>
      </c>
      <c r="S289" s="1644"/>
      <c r="T289" s="1644"/>
      <c r="U289" s="1644"/>
      <c r="V289" s="1644"/>
      <c r="W289" s="1644"/>
      <c r="X289" s="1644"/>
      <c r="Y289" s="1644"/>
      <c r="Z289" s="1644"/>
      <c r="AA289" s="1644"/>
      <c r="AB289" s="1644"/>
      <c r="AC289" s="1644"/>
      <c r="AD289" s="1644"/>
      <c r="AE289" s="1084"/>
      <c r="AF289" s="1084"/>
      <c r="AG289" s="1084"/>
      <c r="AH289" s="1644"/>
      <c r="AI289" s="1090"/>
      <c r="AJ289" s="1077"/>
      <c r="AK289" s="1079"/>
      <c r="AL289" s="1651"/>
      <c r="AM289" s="1091"/>
    </row>
    <row r="290" spans="1:39" hidden="1" outlineLevel="2">
      <c r="A290" s="2070" t="s">
        <v>498</v>
      </c>
      <c r="B290" s="1644">
        <f t="shared" ref="B290:R290" si="459">+SUM(B287:B289)</f>
        <v>162</v>
      </c>
      <c r="C290" s="1644">
        <f t="shared" si="459"/>
        <v>209</v>
      </c>
      <c r="D290" s="1644">
        <f t="shared" si="459"/>
        <v>244</v>
      </c>
      <c r="E290" s="1644">
        <f t="shared" si="459"/>
        <v>279</v>
      </c>
      <c r="F290" s="1644">
        <f t="shared" si="459"/>
        <v>326</v>
      </c>
      <c r="G290" s="1644">
        <f t="shared" si="459"/>
        <v>373</v>
      </c>
      <c r="H290" s="1644">
        <f t="shared" si="459"/>
        <v>413</v>
      </c>
      <c r="I290" s="1644">
        <f t="shared" si="459"/>
        <v>467</v>
      </c>
      <c r="J290" s="1644">
        <f t="shared" si="459"/>
        <v>507</v>
      </c>
      <c r="K290" s="2071" t="s">
        <v>644</v>
      </c>
      <c r="L290" s="2072" t="s">
        <v>644</v>
      </c>
      <c r="M290" s="1644">
        <v>994</v>
      </c>
      <c r="N290" s="1644">
        <f t="shared" si="459"/>
        <v>994</v>
      </c>
      <c r="O290" s="1644">
        <f t="shared" si="459"/>
        <v>994</v>
      </c>
      <c r="P290" s="1084">
        <f t="shared" si="459"/>
        <v>994</v>
      </c>
      <c r="Q290" s="1084">
        <f t="shared" si="459"/>
        <v>994</v>
      </c>
      <c r="R290" s="1084">
        <f t="shared" si="459"/>
        <v>994</v>
      </c>
      <c r="S290" s="1644"/>
      <c r="T290" s="1644"/>
      <c r="U290" s="1644"/>
      <c r="V290" s="1644"/>
      <c r="W290" s="1644"/>
      <c r="X290" s="1644"/>
      <c r="Y290" s="1644"/>
      <c r="Z290" s="1644"/>
      <c r="AA290" s="1644"/>
      <c r="AB290" s="1644"/>
      <c r="AC290" s="1644"/>
      <c r="AD290" s="1644"/>
      <c r="AE290" s="1084"/>
      <c r="AF290" s="1084"/>
      <c r="AG290" s="1084"/>
      <c r="AH290" s="1644"/>
      <c r="AI290" s="1090"/>
      <c r="AJ290" s="1146" t="s">
        <v>60</v>
      </c>
      <c r="AK290" s="1110"/>
      <c r="AL290" s="1651"/>
      <c r="AM290" s="1095" t="s">
        <v>489</v>
      </c>
    </row>
    <row r="291" spans="1:39" hidden="1" outlineLevel="2">
      <c r="A291" s="2070" t="s">
        <v>499</v>
      </c>
      <c r="B291" s="1647">
        <f t="shared" ref="B291:R291" si="460">(+B290+B287)/2</f>
        <v>135</v>
      </c>
      <c r="C291" s="1647">
        <f t="shared" si="460"/>
        <v>185.5</v>
      </c>
      <c r="D291" s="1647">
        <f t="shared" si="460"/>
        <v>226.5</v>
      </c>
      <c r="E291" s="1647">
        <f t="shared" si="460"/>
        <v>261.5</v>
      </c>
      <c r="F291" s="1647">
        <f t="shared" si="460"/>
        <v>302.5</v>
      </c>
      <c r="G291" s="1647">
        <f t="shared" si="460"/>
        <v>349.5</v>
      </c>
      <c r="H291" s="1647">
        <f t="shared" si="460"/>
        <v>393</v>
      </c>
      <c r="I291" s="1647">
        <f t="shared" si="460"/>
        <v>440</v>
      </c>
      <c r="J291" s="1647">
        <f t="shared" si="460"/>
        <v>487</v>
      </c>
      <c r="K291" s="2071" t="s">
        <v>644</v>
      </c>
      <c r="L291" s="2072" t="s">
        <v>644</v>
      </c>
      <c r="M291" s="2072" t="s">
        <v>644</v>
      </c>
      <c r="N291" s="1647">
        <f t="shared" si="460"/>
        <v>994</v>
      </c>
      <c r="O291" s="1647">
        <f t="shared" si="460"/>
        <v>994</v>
      </c>
      <c r="P291" s="1107">
        <f t="shared" si="460"/>
        <v>994</v>
      </c>
      <c r="Q291" s="1107">
        <f t="shared" si="460"/>
        <v>994</v>
      </c>
      <c r="R291" s="1107">
        <f t="shared" si="460"/>
        <v>994</v>
      </c>
      <c r="S291" s="1647"/>
      <c r="T291" s="1647"/>
      <c r="U291" s="1647"/>
      <c r="V291" s="1647"/>
      <c r="W291" s="1647"/>
      <c r="X291" s="1647"/>
      <c r="Y291" s="1647"/>
      <c r="Z291" s="1647"/>
      <c r="AA291" s="1647"/>
      <c r="AB291" s="1647"/>
      <c r="AC291" s="1647"/>
      <c r="AD291" s="1647"/>
      <c r="AE291" s="1107"/>
      <c r="AF291" s="1107"/>
      <c r="AG291" s="1107"/>
      <c r="AH291" s="1647"/>
      <c r="AI291" s="1100"/>
      <c r="AJ291" s="1135"/>
      <c r="AK291" s="1128"/>
      <c r="AL291" s="1651"/>
      <c r="AM291" s="1101"/>
    </row>
    <row r="292" spans="1:39" hidden="1" outlineLevel="2">
      <c r="A292" s="2070" t="s">
        <v>500</v>
      </c>
      <c r="B292" s="1648"/>
      <c r="C292" s="1648">
        <f t="shared" ref="C292:R292" si="461">(C291/B291-1)</f>
        <v>0.374074074074074</v>
      </c>
      <c r="D292" s="1648">
        <f t="shared" si="461"/>
        <v>0.22102425876010789</v>
      </c>
      <c r="E292" s="1648">
        <f t="shared" si="461"/>
        <v>0.15452538631346568</v>
      </c>
      <c r="F292" s="1648">
        <f t="shared" si="461"/>
        <v>0.15678776290630969</v>
      </c>
      <c r="G292" s="1648">
        <f t="shared" si="461"/>
        <v>0.15537190082644625</v>
      </c>
      <c r="H292" s="1648">
        <f t="shared" si="461"/>
        <v>0.12446351931330479</v>
      </c>
      <c r="I292" s="1648">
        <f t="shared" si="461"/>
        <v>0.11959287531806617</v>
      </c>
      <c r="J292" s="1648">
        <f t="shared" si="461"/>
        <v>0.10681818181818192</v>
      </c>
      <c r="K292" s="1648"/>
      <c r="L292" s="1648"/>
      <c r="M292" s="1648"/>
      <c r="N292" s="1648"/>
      <c r="O292" s="1648">
        <f t="shared" si="461"/>
        <v>0</v>
      </c>
      <c r="P292" s="1089">
        <f t="shared" si="461"/>
        <v>0</v>
      </c>
      <c r="Q292" s="1089">
        <f t="shared" si="461"/>
        <v>0</v>
      </c>
      <c r="R292" s="1089">
        <f t="shared" si="461"/>
        <v>0</v>
      </c>
      <c r="S292" s="1648"/>
      <c r="T292" s="1648"/>
      <c r="U292" s="1648"/>
      <c r="V292" s="1648"/>
      <c r="W292" s="1648"/>
      <c r="X292" s="1648"/>
      <c r="Y292" s="1648"/>
      <c r="Z292" s="1648"/>
      <c r="AA292" s="1648"/>
      <c r="AB292" s="1648"/>
      <c r="AC292" s="1648"/>
      <c r="AD292" s="1648"/>
      <c r="AE292" s="1089"/>
      <c r="AF292" s="1089"/>
      <c r="AG292" s="1089"/>
      <c r="AH292" s="1648"/>
      <c r="AI292" s="1090"/>
      <c r="AJ292" s="1077"/>
      <c r="AK292" s="1079"/>
      <c r="AL292" s="1651"/>
      <c r="AM292" s="1091"/>
    </row>
    <row r="293" spans="1:39" hidden="1" outlineLevel="2">
      <c r="A293" s="1651"/>
      <c r="B293" s="1651"/>
      <c r="C293" s="1651"/>
      <c r="D293" s="1651"/>
      <c r="E293" s="1651"/>
      <c r="F293" s="1651"/>
      <c r="G293" s="1651"/>
      <c r="H293" s="1648"/>
      <c r="I293" s="1648"/>
      <c r="J293" s="1651"/>
      <c r="K293" s="1651"/>
      <c r="L293" s="1651"/>
      <c r="M293" s="1651"/>
      <c r="N293" s="1651"/>
      <c r="O293" s="1651"/>
      <c r="P293" s="1069"/>
      <c r="Q293" s="1069"/>
      <c r="R293" s="1069"/>
      <c r="S293" s="1651"/>
      <c r="T293" s="1651"/>
      <c r="U293" s="1651"/>
      <c r="V293" s="1651"/>
      <c r="W293" s="1651"/>
      <c r="X293" s="1651"/>
      <c r="Y293" s="1651"/>
      <c r="Z293" s="1651"/>
      <c r="AA293" s="1651"/>
      <c r="AB293" s="1651"/>
      <c r="AC293" s="1651"/>
      <c r="AD293" s="1651"/>
      <c r="AE293" s="1069"/>
      <c r="AF293" s="1069"/>
      <c r="AG293" s="1069"/>
      <c r="AH293" s="1651"/>
      <c r="AI293" s="1090"/>
      <c r="AJ293" s="1077"/>
      <c r="AK293" s="1079"/>
      <c r="AL293" s="1651"/>
      <c r="AM293" s="1091"/>
    </row>
    <row r="294" spans="1:39" hidden="1" outlineLevel="2">
      <c r="A294" s="2070" t="s">
        <v>62</v>
      </c>
      <c r="B294" s="1649">
        <f t="shared" ref="B294:J294" si="462">(B281)/B291</f>
        <v>1.1111111111111112</v>
      </c>
      <c r="C294" s="1649">
        <f t="shared" si="462"/>
        <v>1.4285714285714286</v>
      </c>
      <c r="D294" s="1649">
        <f t="shared" si="462"/>
        <v>1.7041942604856513</v>
      </c>
      <c r="E294" s="1649">
        <f t="shared" si="462"/>
        <v>2.0650095602294454</v>
      </c>
      <c r="F294" s="1649">
        <f t="shared" si="462"/>
        <v>2.2479338842975207</v>
      </c>
      <c r="G294" s="1649">
        <f t="shared" si="462"/>
        <v>2.2174535050071529</v>
      </c>
      <c r="H294" s="1649">
        <f t="shared" si="462"/>
        <v>2.27735368956743</v>
      </c>
      <c r="I294" s="1649">
        <f t="shared" si="462"/>
        <v>2.3636363636363638</v>
      </c>
      <c r="J294" s="1649">
        <f t="shared" si="462"/>
        <v>2.5256673511293632</v>
      </c>
      <c r="K294" s="1649"/>
      <c r="L294" s="1649"/>
      <c r="M294" s="1649"/>
      <c r="N294" s="1649"/>
      <c r="O294" s="1649"/>
      <c r="P294" s="1102"/>
      <c r="Q294" s="1102"/>
      <c r="R294" s="1102"/>
      <c r="S294" s="1649"/>
      <c r="T294" s="1649"/>
      <c r="U294" s="1649"/>
      <c r="V294" s="1649"/>
      <c r="W294" s="1649"/>
      <c r="X294" s="1649"/>
      <c r="Y294" s="1649"/>
      <c r="Z294" s="1649"/>
      <c r="AA294" s="1649"/>
      <c r="AB294" s="1649"/>
      <c r="AC294" s="1649"/>
      <c r="AD294" s="1649"/>
      <c r="AE294" s="1102"/>
      <c r="AF294" s="1102"/>
      <c r="AG294" s="1102"/>
      <c r="AH294" s="1649"/>
      <c r="AI294" s="1090"/>
      <c r="AJ294" s="1077"/>
      <c r="AK294" s="1079"/>
      <c r="AL294" s="1651"/>
      <c r="AM294" s="1091"/>
    </row>
    <row r="295" spans="1:39" hidden="1" outlineLevel="2">
      <c r="A295" s="2070" t="s">
        <v>490</v>
      </c>
      <c r="B295" s="1650"/>
      <c r="C295" s="1650">
        <f t="shared" ref="C295:J295" si="463">C294/B294-1</f>
        <v>0.28571428571428559</v>
      </c>
      <c r="D295" s="1650">
        <f t="shared" si="463"/>
        <v>0.1929359823399559</v>
      </c>
      <c r="E295" s="1650">
        <f t="shared" si="463"/>
        <v>0.21172193106727821</v>
      </c>
      <c r="F295" s="1650">
        <f t="shared" si="463"/>
        <v>8.8582797673706803E-2</v>
      </c>
      <c r="G295" s="1650">
        <f t="shared" si="463"/>
        <v>-1.3559286375494528E-2</v>
      </c>
      <c r="H295" s="1650">
        <f t="shared" si="463"/>
        <v>2.701305097266693E-2</v>
      </c>
      <c r="I295" s="1650">
        <f t="shared" si="463"/>
        <v>3.7887252412392103E-2</v>
      </c>
      <c r="J295" s="1650">
        <f t="shared" si="463"/>
        <v>6.8551571631653596E-2</v>
      </c>
      <c r="K295" s="1650"/>
      <c r="L295" s="1650"/>
      <c r="M295" s="1650"/>
      <c r="N295" s="1650"/>
      <c r="O295" s="1650"/>
      <c r="P295" s="1103"/>
      <c r="Q295" s="1103"/>
      <c r="R295" s="1103"/>
      <c r="S295" s="1650"/>
      <c r="T295" s="1650"/>
      <c r="U295" s="1650"/>
      <c r="V295" s="1650"/>
      <c r="W295" s="1650"/>
      <c r="X295" s="1650"/>
      <c r="Y295" s="1650"/>
      <c r="Z295" s="1650"/>
      <c r="AA295" s="1650"/>
      <c r="AB295" s="1650"/>
      <c r="AC295" s="1650"/>
      <c r="AD295" s="1650"/>
      <c r="AE295" s="1103"/>
      <c r="AF295" s="1103"/>
      <c r="AG295" s="1103"/>
      <c r="AH295" s="1650"/>
      <c r="AI295" s="1090"/>
      <c r="AJ295" s="1077"/>
      <c r="AK295" s="1079"/>
      <c r="AL295" s="1651"/>
      <c r="AM295" s="1091"/>
    </row>
    <row r="296" spans="1:39" hidden="1" outlineLevel="2">
      <c r="A296" s="1651"/>
      <c r="B296" s="1651"/>
      <c r="C296" s="1651"/>
      <c r="D296" s="1651"/>
      <c r="E296" s="1651"/>
      <c r="F296" s="1651"/>
      <c r="G296" s="1651"/>
      <c r="H296" s="1651"/>
      <c r="I296" s="1651"/>
      <c r="J296" s="1651"/>
      <c r="K296" s="1651"/>
      <c r="L296" s="1651"/>
      <c r="M296" s="1651"/>
      <c r="N296" s="1651"/>
      <c r="O296" s="1651"/>
      <c r="P296" s="1069"/>
      <c r="Q296" s="1069"/>
      <c r="R296" s="1069"/>
      <c r="S296" s="1651"/>
      <c r="T296" s="1651"/>
      <c r="U296" s="1651"/>
      <c r="V296" s="1651"/>
      <c r="W296" s="1651"/>
      <c r="X296" s="1651"/>
      <c r="Y296" s="1651"/>
      <c r="Z296" s="1651"/>
      <c r="AA296" s="1651"/>
      <c r="AB296" s="1651"/>
      <c r="AC296" s="1651"/>
      <c r="AD296" s="1651"/>
      <c r="AE296" s="1069"/>
      <c r="AF296" s="1069"/>
      <c r="AG296" s="1069"/>
      <c r="AH296" s="1651"/>
      <c r="AI296" s="1090"/>
      <c r="AJ296" s="1077"/>
      <c r="AK296" s="1079"/>
      <c r="AL296" s="1651"/>
      <c r="AM296" s="1091"/>
    </row>
    <row r="297" spans="1:39" hidden="1" outlineLevel="2">
      <c r="A297" s="2033" t="s">
        <v>502</v>
      </c>
      <c r="B297" s="1652"/>
      <c r="C297" s="1652"/>
      <c r="D297" s="1652"/>
      <c r="E297" s="1652"/>
      <c r="F297" s="1652"/>
      <c r="G297" s="1652"/>
      <c r="H297" s="1652"/>
      <c r="I297" s="1652"/>
      <c r="J297" s="1652"/>
      <c r="K297" s="1652"/>
      <c r="L297" s="1652"/>
      <c r="M297" s="1652"/>
      <c r="N297" s="1652"/>
      <c r="O297" s="1652"/>
      <c r="P297" s="1104"/>
      <c r="Q297" s="1104"/>
      <c r="R297" s="1104"/>
      <c r="S297" s="1652"/>
      <c r="T297" s="1652"/>
      <c r="U297" s="1652"/>
      <c r="V297" s="1652"/>
      <c r="W297" s="1652"/>
      <c r="X297" s="1652"/>
      <c r="Y297" s="1652"/>
      <c r="Z297" s="1652"/>
      <c r="AA297" s="1652"/>
      <c r="AB297" s="1652"/>
      <c r="AC297" s="1652"/>
      <c r="AD297" s="1652"/>
      <c r="AE297" s="1104"/>
      <c r="AF297" s="1104"/>
      <c r="AG297" s="1104"/>
      <c r="AH297" s="1652"/>
      <c r="AI297" s="1090"/>
      <c r="AJ297" s="1094" t="e">
        <f>RATE(5,,-H297,M297)*100</f>
        <v>#NUM!</v>
      </c>
      <c r="AK297" s="1110" t="s">
        <v>489</v>
      </c>
      <c r="AL297" s="1651"/>
      <c r="AM297" s="1095" t="s">
        <v>489</v>
      </c>
    </row>
    <row r="298" spans="1:39" hidden="1" outlineLevel="2">
      <c r="A298" s="2033" t="s">
        <v>490</v>
      </c>
      <c r="B298" s="1648"/>
      <c r="C298" s="1648"/>
      <c r="D298" s="1648"/>
      <c r="E298" s="1648"/>
      <c r="F298" s="1648"/>
      <c r="G298" s="1648"/>
      <c r="H298" s="1648"/>
      <c r="I298" s="1648"/>
      <c r="J298" s="1648"/>
      <c r="K298" s="1648"/>
      <c r="L298" s="1648"/>
      <c r="M298" s="1648"/>
      <c r="N298" s="1648"/>
      <c r="O298" s="1648"/>
      <c r="P298" s="1089"/>
      <c r="Q298" s="1089"/>
      <c r="R298" s="1089"/>
      <c r="S298" s="1648"/>
      <c r="T298" s="1648"/>
      <c r="U298" s="1648"/>
      <c r="V298" s="1648"/>
      <c r="W298" s="1648"/>
      <c r="X298" s="1648"/>
      <c r="Y298" s="1648"/>
      <c r="Z298" s="1648"/>
      <c r="AA298" s="1648"/>
      <c r="AB298" s="1648"/>
      <c r="AC298" s="1648"/>
      <c r="AD298" s="1648"/>
      <c r="AE298" s="1089"/>
      <c r="AF298" s="1089"/>
      <c r="AG298" s="1089"/>
      <c r="AH298" s="1648"/>
      <c r="AI298" s="1090"/>
      <c r="AJ298" s="1077"/>
      <c r="AK298" s="1079"/>
      <c r="AL298" s="1651"/>
      <c r="AM298" s="1091"/>
    </row>
    <row r="299" spans="1:39" hidden="1" outlineLevel="2">
      <c r="A299" s="1651"/>
      <c r="B299" s="1651"/>
      <c r="C299" s="1651"/>
      <c r="D299" s="1651"/>
      <c r="E299" s="1651"/>
      <c r="F299" s="1651"/>
      <c r="G299" s="1651"/>
      <c r="H299" s="1651"/>
      <c r="I299" s="1651"/>
      <c r="J299" s="1651"/>
      <c r="K299" s="1651"/>
      <c r="L299" s="1651"/>
      <c r="M299" s="1651"/>
      <c r="N299" s="1651"/>
      <c r="O299" s="1651"/>
      <c r="P299" s="1069"/>
      <c r="Q299" s="1069"/>
      <c r="R299" s="1069"/>
      <c r="S299" s="1651"/>
      <c r="T299" s="1651"/>
      <c r="U299" s="1651"/>
      <c r="V299" s="1651"/>
      <c r="W299" s="1651"/>
      <c r="X299" s="1651"/>
      <c r="Y299" s="1651"/>
      <c r="Z299" s="1651"/>
      <c r="AA299" s="1651"/>
      <c r="AB299" s="1651"/>
      <c r="AC299" s="1651"/>
      <c r="AD299" s="1651"/>
      <c r="AE299" s="1069"/>
      <c r="AF299" s="1069"/>
      <c r="AG299" s="1069"/>
      <c r="AH299" s="1651"/>
      <c r="AI299" s="1090"/>
      <c r="AJ299" s="1077"/>
      <c r="AK299" s="1079"/>
      <c r="AL299" s="1651"/>
      <c r="AM299" s="1091"/>
    </row>
    <row r="300" spans="1:39" hidden="1" outlineLevel="2">
      <c r="A300" s="2033" t="s">
        <v>503</v>
      </c>
      <c r="B300" s="1652"/>
      <c r="C300" s="1652"/>
      <c r="D300" s="1652"/>
      <c r="E300" s="1652"/>
      <c r="F300" s="1652"/>
      <c r="G300" s="1652"/>
      <c r="H300" s="1652"/>
      <c r="I300" s="1652"/>
      <c r="J300" s="1652"/>
      <c r="K300" s="1652"/>
      <c r="L300" s="1652"/>
      <c r="M300" s="1652"/>
      <c r="N300" s="1652"/>
      <c r="O300" s="1652"/>
      <c r="P300" s="1104"/>
      <c r="Q300" s="1104"/>
      <c r="R300" s="1104"/>
      <c r="S300" s="1652"/>
      <c r="T300" s="1652"/>
      <c r="U300" s="1652"/>
      <c r="V300" s="1652"/>
      <c r="W300" s="1652"/>
      <c r="X300" s="1652"/>
      <c r="Y300" s="1652"/>
      <c r="Z300" s="1652"/>
      <c r="AA300" s="1652"/>
      <c r="AB300" s="1652"/>
      <c r="AC300" s="1652"/>
      <c r="AD300" s="1652"/>
      <c r="AE300" s="1104"/>
      <c r="AF300" s="1104"/>
      <c r="AG300" s="1104"/>
      <c r="AH300" s="1652"/>
      <c r="AI300" s="1090"/>
      <c r="AJ300" s="1094" t="e">
        <f>RATE(5,,-H300,M300)*100</f>
        <v>#NUM!</v>
      </c>
      <c r="AK300" s="1110" t="s">
        <v>489</v>
      </c>
      <c r="AL300" s="1651"/>
      <c r="AM300" s="1095" t="s">
        <v>489</v>
      </c>
    </row>
    <row r="301" spans="1:39" hidden="1" outlineLevel="2">
      <c r="A301" s="2033" t="s">
        <v>490</v>
      </c>
      <c r="B301" s="1648"/>
      <c r="C301" s="1648"/>
      <c r="D301" s="1648"/>
      <c r="E301" s="1648"/>
      <c r="F301" s="1648"/>
      <c r="G301" s="1648"/>
      <c r="H301" s="1648"/>
      <c r="I301" s="1648"/>
      <c r="J301" s="1648"/>
      <c r="K301" s="1648"/>
      <c r="L301" s="1648"/>
      <c r="M301" s="1648"/>
      <c r="N301" s="1648"/>
      <c r="O301" s="1648"/>
      <c r="P301" s="1089"/>
      <c r="Q301" s="1089"/>
      <c r="R301" s="1089"/>
      <c r="S301" s="1648"/>
      <c r="T301" s="1648"/>
      <c r="U301" s="1648"/>
      <c r="V301" s="1648"/>
      <c r="W301" s="1648"/>
      <c r="X301" s="1648"/>
      <c r="Y301" s="1648"/>
      <c r="Z301" s="1648"/>
      <c r="AA301" s="1648"/>
      <c r="AB301" s="1648"/>
      <c r="AC301" s="1648"/>
      <c r="AD301" s="1648"/>
      <c r="AE301" s="1089"/>
      <c r="AF301" s="1089"/>
      <c r="AG301" s="1089"/>
      <c r="AH301" s="1648"/>
      <c r="AI301" s="1090"/>
      <c r="AJ301" s="1077"/>
      <c r="AK301" s="1079"/>
      <c r="AL301" s="1651"/>
      <c r="AM301" s="1091"/>
    </row>
    <row r="302" spans="1:39" hidden="1" outlineLevel="2">
      <c r="A302" s="1651"/>
      <c r="B302" s="1651"/>
      <c r="C302" s="1651"/>
      <c r="D302" s="1651"/>
      <c r="E302" s="1651"/>
      <c r="F302" s="1651"/>
      <c r="G302" s="1651"/>
      <c r="H302" s="1651"/>
      <c r="I302" s="1651"/>
      <c r="J302" s="1651"/>
      <c r="K302" s="1651"/>
      <c r="L302" s="1651"/>
      <c r="M302" s="1651"/>
      <c r="N302" s="1651"/>
      <c r="O302" s="1651"/>
      <c r="P302" s="1069"/>
      <c r="Q302" s="1069"/>
      <c r="R302" s="1069"/>
      <c r="S302" s="1651"/>
      <c r="T302" s="1651"/>
      <c r="U302" s="1651"/>
      <c r="V302" s="1651"/>
      <c r="W302" s="1651"/>
      <c r="X302" s="1651"/>
      <c r="Y302" s="1651"/>
      <c r="Z302" s="1651"/>
      <c r="AA302" s="1651"/>
      <c r="AB302" s="1651"/>
      <c r="AC302" s="1651"/>
      <c r="AD302" s="1651"/>
      <c r="AE302" s="1069"/>
      <c r="AF302" s="1069"/>
      <c r="AG302" s="1069"/>
      <c r="AH302" s="1651"/>
      <c r="AI302" s="1090"/>
      <c r="AJ302" s="1077"/>
      <c r="AK302" s="1079"/>
      <c r="AL302" s="1651"/>
      <c r="AM302" s="1091"/>
    </row>
    <row r="303" spans="1:39" hidden="1" outlineLevel="3">
      <c r="A303" s="2033" t="s">
        <v>504</v>
      </c>
      <c r="B303" s="1647"/>
      <c r="C303" s="1647"/>
      <c r="D303" s="1647"/>
      <c r="E303" s="1647"/>
      <c r="F303" s="1647"/>
      <c r="G303" s="1647"/>
      <c r="H303" s="1647"/>
      <c r="I303" s="1647"/>
      <c r="J303" s="1647"/>
      <c r="K303" s="1647"/>
      <c r="L303" s="1647"/>
      <c r="M303" s="1647"/>
      <c r="N303" s="1647"/>
      <c r="O303" s="1647"/>
      <c r="P303" s="1107"/>
      <c r="Q303" s="1107"/>
      <c r="R303" s="1107"/>
      <c r="S303" s="1647"/>
      <c r="T303" s="1647"/>
      <c r="U303" s="1647"/>
      <c r="V303" s="1647"/>
      <c r="W303" s="1647"/>
      <c r="X303" s="1647"/>
      <c r="Y303" s="1647"/>
      <c r="Z303" s="1647"/>
      <c r="AA303" s="1647"/>
      <c r="AB303" s="1647"/>
      <c r="AC303" s="1647"/>
      <c r="AD303" s="1647"/>
      <c r="AE303" s="1107"/>
      <c r="AF303" s="1107"/>
      <c r="AG303" s="1107"/>
      <c r="AH303" s="1647"/>
      <c r="AI303" s="1100"/>
      <c r="AJ303" s="1135"/>
      <c r="AK303" s="1128"/>
      <c r="AL303" s="1651"/>
      <c r="AM303" s="1101"/>
    </row>
    <row r="304" spans="1:39" hidden="1" outlineLevel="3">
      <c r="A304" s="2033" t="s">
        <v>490</v>
      </c>
      <c r="B304" s="1650"/>
      <c r="C304" s="1650"/>
      <c r="D304" s="1650"/>
      <c r="E304" s="1650"/>
      <c r="F304" s="1650"/>
      <c r="G304" s="1650"/>
      <c r="H304" s="1650"/>
      <c r="I304" s="1650"/>
      <c r="J304" s="1650"/>
      <c r="K304" s="1650"/>
      <c r="L304" s="1650"/>
      <c r="M304" s="1650"/>
      <c r="N304" s="1650"/>
      <c r="O304" s="1650"/>
      <c r="P304" s="1103"/>
      <c r="Q304" s="1103"/>
      <c r="R304" s="1103"/>
      <c r="S304" s="1650"/>
      <c r="T304" s="1650"/>
      <c r="U304" s="1650"/>
      <c r="V304" s="1650"/>
      <c r="W304" s="1650"/>
      <c r="X304" s="1650"/>
      <c r="Y304" s="1650"/>
      <c r="Z304" s="1650"/>
      <c r="AA304" s="1650"/>
      <c r="AB304" s="1650"/>
      <c r="AC304" s="1650"/>
      <c r="AD304" s="1650"/>
      <c r="AE304" s="1103"/>
      <c r="AF304" s="1103"/>
      <c r="AG304" s="1103"/>
      <c r="AH304" s="1650"/>
      <c r="AI304" s="1090"/>
      <c r="AJ304" s="1077"/>
      <c r="AK304" s="1079"/>
      <c r="AL304" s="1651"/>
      <c r="AM304" s="1091"/>
    </row>
    <row r="305" spans="1:39" hidden="1" outlineLevel="3">
      <c r="A305" s="1651"/>
      <c r="B305" s="1651"/>
      <c r="C305" s="1651"/>
      <c r="D305" s="1651"/>
      <c r="E305" s="1651"/>
      <c r="F305" s="1651"/>
      <c r="G305" s="1651"/>
      <c r="H305" s="1651"/>
      <c r="I305" s="1651"/>
      <c r="J305" s="1651"/>
      <c r="K305" s="1651"/>
      <c r="L305" s="1651"/>
      <c r="M305" s="1651"/>
      <c r="N305" s="1651"/>
      <c r="O305" s="1651"/>
      <c r="P305" s="1069"/>
      <c r="Q305" s="1069"/>
      <c r="R305" s="1069"/>
      <c r="S305" s="1651"/>
      <c r="T305" s="1651"/>
      <c r="U305" s="1651"/>
      <c r="V305" s="1651"/>
      <c r="W305" s="1651"/>
      <c r="X305" s="1651"/>
      <c r="Y305" s="1651"/>
      <c r="Z305" s="1651"/>
      <c r="AA305" s="1651"/>
      <c r="AB305" s="1651"/>
      <c r="AC305" s="1651"/>
      <c r="AD305" s="1651"/>
      <c r="AE305" s="1069"/>
      <c r="AF305" s="1069"/>
      <c r="AG305" s="1069"/>
      <c r="AH305" s="1651"/>
      <c r="AI305" s="1090"/>
      <c r="AJ305" s="1077"/>
      <c r="AK305" s="1079"/>
      <c r="AL305" s="1651"/>
      <c r="AM305" s="1091"/>
    </row>
    <row r="306" spans="1:39" hidden="1" outlineLevel="3">
      <c r="A306" s="2033" t="s">
        <v>73</v>
      </c>
      <c r="B306" s="1647"/>
      <c r="C306" s="1647"/>
      <c r="D306" s="1647"/>
      <c r="E306" s="1647"/>
      <c r="F306" s="1647"/>
      <c r="G306" s="1647"/>
      <c r="H306" s="1647"/>
      <c r="I306" s="1647"/>
      <c r="J306" s="1647"/>
      <c r="K306" s="1647"/>
      <c r="L306" s="1647"/>
      <c r="M306" s="1647"/>
      <c r="N306" s="1647"/>
      <c r="O306" s="1647"/>
      <c r="P306" s="1107"/>
      <c r="Q306" s="1107"/>
      <c r="R306" s="1107"/>
      <c r="S306" s="1647"/>
      <c r="T306" s="1647"/>
      <c r="U306" s="1647"/>
      <c r="V306" s="1647"/>
      <c r="W306" s="1647"/>
      <c r="X306" s="1647"/>
      <c r="Y306" s="1647"/>
      <c r="Z306" s="1647"/>
      <c r="AA306" s="1647"/>
      <c r="AB306" s="1647"/>
      <c r="AC306" s="1647"/>
      <c r="AD306" s="1647"/>
      <c r="AE306" s="1107"/>
      <c r="AF306" s="1107"/>
      <c r="AG306" s="1107"/>
      <c r="AH306" s="1647"/>
      <c r="AI306" s="1100"/>
      <c r="AJ306" s="1135"/>
      <c r="AK306" s="1128"/>
      <c r="AL306" s="1651"/>
      <c r="AM306" s="1101"/>
    </row>
    <row r="307" spans="1:39" hidden="1" outlineLevel="3">
      <c r="A307" s="2033" t="s">
        <v>490</v>
      </c>
      <c r="B307" s="1651"/>
      <c r="C307" s="1650"/>
      <c r="D307" s="1650"/>
      <c r="E307" s="1650"/>
      <c r="F307" s="1650"/>
      <c r="G307" s="1650"/>
      <c r="H307" s="1650"/>
      <c r="I307" s="1650"/>
      <c r="J307" s="1650"/>
      <c r="K307" s="1650"/>
      <c r="L307" s="1650"/>
      <c r="M307" s="1650"/>
      <c r="N307" s="1650"/>
      <c r="O307" s="1650"/>
      <c r="P307" s="1103"/>
      <c r="Q307" s="1103"/>
      <c r="R307" s="1103"/>
      <c r="S307" s="1650"/>
      <c r="T307" s="1650"/>
      <c r="U307" s="1650"/>
      <c r="V307" s="1650"/>
      <c r="W307" s="1650"/>
      <c r="X307" s="1650"/>
      <c r="Y307" s="1650"/>
      <c r="Z307" s="1650"/>
      <c r="AA307" s="1650"/>
      <c r="AB307" s="1650"/>
      <c r="AC307" s="1650"/>
      <c r="AD307" s="1650"/>
      <c r="AE307" s="1103"/>
      <c r="AF307" s="1103"/>
      <c r="AG307" s="1103"/>
      <c r="AH307" s="1650"/>
      <c r="AI307" s="1090"/>
      <c r="AJ307" s="1077"/>
      <c r="AK307" s="1079"/>
      <c r="AL307" s="1651"/>
      <c r="AM307" s="1091"/>
    </row>
    <row r="308" spans="1:39" hidden="1" outlineLevel="3">
      <c r="A308" s="1651"/>
      <c r="B308" s="1651"/>
      <c r="C308" s="1651"/>
      <c r="D308" s="1651"/>
      <c r="E308" s="1651"/>
      <c r="F308" s="1651"/>
      <c r="G308" s="1651"/>
      <c r="H308" s="1651"/>
      <c r="I308" s="1651"/>
      <c r="J308" s="1651"/>
      <c r="K308" s="1651"/>
      <c r="L308" s="1651"/>
      <c r="M308" s="1651"/>
      <c r="N308" s="1651"/>
      <c r="O308" s="1651"/>
      <c r="P308" s="1069"/>
      <c r="Q308" s="1069"/>
      <c r="R308" s="1069"/>
      <c r="S308" s="1651"/>
      <c r="T308" s="1651"/>
      <c r="U308" s="1651"/>
      <c r="V308" s="1651"/>
      <c r="W308" s="1651"/>
      <c r="X308" s="1651"/>
      <c r="Y308" s="1651"/>
      <c r="Z308" s="1651"/>
      <c r="AA308" s="1651"/>
      <c r="AB308" s="1651"/>
      <c r="AC308" s="1651"/>
      <c r="AD308" s="1651"/>
      <c r="AE308" s="1069"/>
      <c r="AF308" s="1069"/>
      <c r="AG308" s="1069"/>
      <c r="AH308" s="1651"/>
      <c r="AI308" s="1090"/>
      <c r="AJ308" s="1077"/>
      <c r="AK308" s="1079"/>
      <c r="AL308" s="1651"/>
      <c r="AM308" s="1091"/>
    </row>
    <row r="309" spans="1:39" hidden="1" outlineLevel="2" collapsed="1">
      <c r="A309" s="2033" t="s">
        <v>63</v>
      </c>
      <c r="B309" s="1640"/>
      <c r="C309" s="1640"/>
      <c r="D309" s="1640"/>
      <c r="E309" s="1640"/>
      <c r="F309" s="1640"/>
      <c r="G309" s="1640"/>
      <c r="H309" s="1640"/>
      <c r="I309" s="1640"/>
      <c r="J309" s="1640"/>
      <c r="K309" s="1640"/>
      <c r="L309" s="1640"/>
      <c r="M309" s="1640"/>
      <c r="N309" s="1640"/>
      <c r="O309" s="1640"/>
      <c r="P309" s="1093"/>
      <c r="Q309" s="1093"/>
      <c r="R309" s="1093"/>
      <c r="S309" s="1640"/>
      <c r="T309" s="1640"/>
      <c r="U309" s="1640"/>
      <c r="V309" s="1640"/>
      <c r="W309" s="1640"/>
      <c r="X309" s="1640"/>
      <c r="Y309" s="1640"/>
      <c r="Z309" s="1640"/>
      <c r="AA309" s="1640"/>
      <c r="AB309" s="1640"/>
      <c r="AC309" s="1640"/>
      <c r="AD309" s="1640"/>
      <c r="AE309" s="1093"/>
      <c r="AF309" s="1093"/>
      <c r="AG309" s="1093"/>
      <c r="AH309" s="1640"/>
      <c r="AI309" s="1090"/>
      <c r="AJ309" s="1094" t="e">
        <f>RATE(5,,-H309,M309)*100</f>
        <v>#NUM!</v>
      </c>
      <c r="AK309" s="1110" t="s">
        <v>489</v>
      </c>
      <c r="AL309" s="1651"/>
      <c r="AM309" s="1095" t="s">
        <v>489</v>
      </c>
    </row>
    <row r="310" spans="1:39" hidden="1" outlineLevel="2">
      <c r="A310" s="2033" t="s">
        <v>490</v>
      </c>
      <c r="B310" s="1650"/>
      <c r="C310" s="1650"/>
      <c r="D310" s="1650"/>
      <c r="E310" s="1650"/>
      <c r="F310" s="1650"/>
      <c r="G310" s="1650"/>
      <c r="H310" s="1650"/>
      <c r="I310" s="1650"/>
      <c r="J310" s="1650"/>
      <c r="K310" s="1650"/>
      <c r="L310" s="1650"/>
      <c r="M310" s="1650"/>
      <c r="N310" s="1650"/>
      <c r="O310" s="1650"/>
      <c r="P310" s="1103"/>
      <c r="Q310" s="1103"/>
      <c r="R310" s="1103"/>
      <c r="S310" s="1650"/>
      <c r="T310" s="1650"/>
      <c r="U310" s="1650"/>
      <c r="V310" s="1650"/>
      <c r="W310" s="1650"/>
      <c r="X310" s="1650"/>
      <c r="Y310" s="1650"/>
      <c r="Z310" s="1650"/>
      <c r="AA310" s="1650"/>
      <c r="AB310" s="1650"/>
      <c r="AC310" s="1650"/>
      <c r="AD310" s="1650"/>
      <c r="AE310" s="1103"/>
      <c r="AF310" s="1103"/>
      <c r="AG310" s="1103"/>
      <c r="AH310" s="1650"/>
      <c r="AI310" s="1090"/>
      <c r="AJ310" s="1077"/>
      <c r="AK310" s="1079"/>
      <c r="AL310" s="1651"/>
      <c r="AM310" s="1091"/>
    </row>
    <row r="311" spans="1:39" hidden="1" outlineLevel="2">
      <c r="A311" s="1651"/>
      <c r="B311" s="1651"/>
      <c r="C311" s="1651"/>
      <c r="D311" s="1651"/>
      <c r="E311" s="1651"/>
      <c r="F311" s="1651"/>
      <c r="G311" s="1651"/>
      <c r="H311" s="1651"/>
      <c r="I311" s="1651"/>
      <c r="J311" s="1651"/>
      <c r="K311" s="1651"/>
      <c r="L311" s="1651"/>
      <c r="M311" s="1651"/>
      <c r="N311" s="1651"/>
      <c r="O311" s="1651"/>
      <c r="P311" s="1069"/>
      <c r="Q311" s="1069"/>
      <c r="R311" s="1069"/>
      <c r="S311" s="1651"/>
      <c r="T311" s="1651"/>
      <c r="U311" s="1651"/>
      <c r="V311" s="1651"/>
      <c r="W311" s="1651"/>
      <c r="X311" s="1651"/>
      <c r="Y311" s="1651"/>
      <c r="Z311" s="1651"/>
      <c r="AA311" s="1651"/>
      <c r="AB311" s="1651"/>
      <c r="AC311" s="1651"/>
      <c r="AD311" s="1651"/>
      <c r="AE311" s="1069"/>
      <c r="AF311" s="1069"/>
      <c r="AG311" s="1069"/>
      <c r="AH311" s="1651"/>
      <c r="AI311" s="1090"/>
      <c r="AJ311" s="1077"/>
      <c r="AK311" s="1079"/>
      <c r="AL311" s="1651"/>
      <c r="AM311" s="1091"/>
    </row>
    <row r="312" spans="1:39" hidden="1" outlineLevel="2">
      <c r="A312" s="2033" t="s">
        <v>506</v>
      </c>
      <c r="B312" s="1650"/>
      <c r="C312" s="1650"/>
      <c r="D312" s="1650"/>
      <c r="E312" s="1650"/>
      <c r="F312" s="1650"/>
      <c r="G312" s="1650"/>
      <c r="H312" s="1650"/>
      <c r="I312" s="1650"/>
      <c r="J312" s="1650"/>
      <c r="K312" s="1650"/>
      <c r="L312" s="1650"/>
      <c r="M312" s="1650"/>
      <c r="N312" s="1650"/>
      <c r="O312" s="1667"/>
      <c r="P312" s="1147"/>
      <c r="Q312" s="1147"/>
      <c r="R312" s="1147"/>
      <c r="S312" s="1667"/>
      <c r="T312" s="1667"/>
      <c r="U312" s="1667"/>
      <c r="V312" s="1667"/>
      <c r="W312" s="1667"/>
      <c r="X312" s="1667"/>
      <c r="Y312" s="1667"/>
      <c r="Z312" s="1667"/>
      <c r="AA312" s="1667"/>
      <c r="AB312" s="1667"/>
      <c r="AC312" s="1667"/>
      <c r="AD312" s="1667"/>
      <c r="AE312" s="1147"/>
      <c r="AF312" s="1147"/>
      <c r="AG312" s="1147"/>
      <c r="AH312" s="1667"/>
      <c r="AI312" s="1108"/>
      <c r="AJ312" s="1077"/>
      <c r="AK312" s="1079"/>
      <c r="AL312" s="1651"/>
      <c r="AM312" s="1091"/>
    </row>
    <row r="313" spans="1:39" hidden="1" outlineLevel="2">
      <c r="A313" s="1651"/>
      <c r="B313" s="1651"/>
      <c r="C313" s="1651"/>
      <c r="D313" s="1651"/>
      <c r="E313" s="1651"/>
      <c r="F313" s="1651"/>
      <c r="G313" s="1651"/>
      <c r="H313" s="1651"/>
      <c r="I313" s="1651"/>
      <c r="J313" s="1651"/>
      <c r="K313" s="1651"/>
      <c r="L313" s="1651"/>
      <c r="M313" s="1651"/>
      <c r="N313" s="1651"/>
      <c r="O313" s="1651"/>
      <c r="P313" s="1069"/>
      <c r="Q313" s="1069"/>
      <c r="R313" s="1069"/>
      <c r="S313" s="1651"/>
      <c r="T313" s="1651"/>
      <c r="U313" s="1651"/>
      <c r="V313" s="1651"/>
      <c r="W313" s="1651"/>
      <c r="X313" s="1651"/>
      <c r="Y313" s="1651"/>
      <c r="Z313" s="1651"/>
      <c r="AA313" s="1651"/>
      <c r="AB313" s="1651"/>
      <c r="AC313" s="1651"/>
      <c r="AD313" s="1651"/>
      <c r="AE313" s="1069"/>
      <c r="AF313" s="1069"/>
      <c r="AG313" s="1069"/>
      <c r="AH313" s="1651"/>
      <c r="AI313" s="1090"/>
      <c r="AJ313" s="1077"/>
      <c r="AK313" s="1079"/>
      <c r="AL313" s="1651"/>
      <c r="AM313" s="1091"/>
    </row>
    <row r="314" spans="1:39" hidden="1" outlineLevel="2">
      <c r="A314" s="2033" t="s">
        <v>507</v>
      </c>
      <c r="B314" s="1648"/>
      <c r="C314" s="1648"/>
      <c r="D314" s="1648"/>
      <c r="E314" s="1648"/>
      <c r="F314" s="1648"/>
      <c r="G314" s="1648"/>
      <c r="H314" s="1648"/>
      <c r="I314" s="1648"/>
      <c r="J314" s="1648"/>
      <c r="K314" s="1648"/>
      <c r="L314" s="1648"/>
      <c r="M314" s="1648"/>
      <c r="N314" s="1648"/>
      <c r="O314" s="1648"/>
      <c r="P314" s="1089"/>
      <c r="Q314" s="1089"/>
      <c r="R314" s="1089"/>
      <c r="S314" s="1648"/>
      <c r="T314" s="1648"/>
      <c r="U314" s="1648"/>
      <c r="V314" s="1648"/>
      <c r="W314" s="1648"/>
      <c r="X314" s="1648"/>
      <c r="Y314" s="1648"/>
      <c r="Z314" s="1648"/>
      <c r="AA314" s="1648"/>
      <c r="AB314" s="1648"/>
      <c r="AC314" s="1648"/>
      <c r="AD314" s="1648"/>
      <c r="AE314" s="1089"/>
      <c r="AF314" s="1089"/>
      <c r="AG314" s="1089"/>
      <c r="AH314" s="1648"/>
      <c r="AI314" s="1090"/>
      <c r="AJ314" s="1077"/>
      <c r="AK314" s="1079"/>
      <c r="AL314" s="1651"/>
      <c r="AM314" s="1091"/>
    </row>
    <row r="315" spans="1:39" hidden="1" outlineLevel="2">
      <c r="A315" s="1651"/>
      <c r="B315" s="1651"/>
      <c r="C315" s="1651"/>
      <c r="D315" s="1651"/>
      <c r="E315" s="1651"/>
      <c r="F315" s="1651"/>
      <c r="G315" s="1651"/>
      <c r="H315" s="1651"/>
      <c r="I315" s="2074"/>
      <c r="J315" s="1651"/>
      <c r="K315" s="1651"/>
      <c r="L315" s="1651"/>
      <c r="M315" s="1651"/>
      <c r="N315" s="1651"/>
      <c r="O315" s="1651"/>
      <c r="P315" s="1122"/>
      <c r="Q315" s="1122"/>
      <c r="R315" s="1122"/>
      <c r="S315" s="1656"/>
      <c r="T315" s="1656"/>
      <c r="U315" s="1656"/>
      <c r="V315" s="1656"/>
      <c r="W315" s="1656"/>
      <c r="X315" s="1656"/>
      <c r="Y315" s="1656"/>
      <c r="Z315" s="1656"/>
      <c r="AA315" s="1656"/>
      <c r="AB315" s="1656"/>
      <c r="AC315" s="1656"/>
      <c r="AD315" s="1656"/>
      <c r="AE315" s="1122"/>
      <c r="AF315" s="1122"/>
      <c r="AG315" s="1122"/>
      <c r="AH315" s="1656"/>
      <c r="AI315" s="1069"/>
      <c r="AJ315" s="1069"/>
      <c r="AK315" s="1073"/>
      <c r="AL315" s="1651"/>
      <c r="AM315" s="1073"/>
    </row>
    <row r="316" spans="1:39" hidden="1" outlineLevel="2">
      <c r="A316" s="1651"/>
      <c r="B316" s="1651"/>
      <c r="C316" s="1651"/>
      <c r="D316" s="1651"/>
      <c r="E316" s="1651"/>
      <c r="F316" s="1651"/>
      <c r="G316" s="1651"/>
      <c r="H316" s="1651"/>
      <c r="I316" s="1651"/>
      <c r="J316" s="1651"/>
      <c r="K316" s="1651"/>
      <c r="L316" s="1651"/>
      <c r="M316" s="1651"/>
      <c r="N316" s="1651"/>
      <c r="O316" s="1651"/>
      <c r="P316" s="1122"/>
      <c r="Q316" s="1122"/>
      <c r="R316" s="1122"/>
      <c r="S316" s="1656"/>
      <c r="T316" s="1656"/>
      <c r="U316" s="1656"/>
      <c r="V316" s="1656"/>
      <c r="W316" s="1656"/>
      <c r="X316" s="1656"/>
      <c r="Y316" s="1656"/>
      <c r="Z316" s="1656"/>
      <c r="AA316" s="1656"/>
      <c r="AB316" s="1656"/>
      <c r="AC316" s="1656"/>
      <c r="AD316" s="1656"/>
      <c r="AE316" s="1122"/>
      <c r="AF316" s="1122"/>
      <c r="AG316" s="1122"/>
      <c r="AH316" s="1656"/>
      <c r="AI316" s="1069"/>
      <c r="AJ316" s="1069"/>
      <c r="AK316" s="1073"/>
      <c r="AL316" s="1651"/>
      <c r="AM316" s="1073"/>
    </row>
    <row r="317" spans="1:39" collapsed="1"/>
  </sheetData>
  <dataValidations count="1">
    <dataValidation type="custom" allowBlank="1" showInputMessage="1" showErrorMessage="1" sqref="AK90:AK96 AK98:AK99 AK101:AK105 AK83:AK88 AK123:AK128 AK130:AK135 AK137:AK138 AK140:AK144 O117:AH119 AO112:AO113 AM140:AM144 AM137:AM138 AJ117:AM121 AM83:AM88 AM101:AM105 AM98:AM99 AJ107:AM114 AJ146:AM153 AM90:AM96 AM123:AM128 AM130:AM135 AM249:AM254 AN233:IY272 AM207:AM212 AJ4:AL5 AJ223:AM231 AJ191:AM195 AM214:AM215 AM217:AM221 AM197:AM205 AJ233:AM237 AM256:AM257 AM259:AM263 AM239:AM247 O241:AH257 AK239:AK247 AK259:AK263 AK256:AK257 AK249:AK254 AK197:AK205 AK217:AK221 AK214:AK215 AK207:AK212 AJ265:AM272 O237:AH239 B254:B272 AI233:AI272 E266:J272 C259:D272 A233:A272 J240:AH240 C258:AH258 J231:AH231 W226:AH227 W139:AH147 W220:AH224 W267:W269 W259:AH266 S259:V269 B7:L8 B191:B231 C220:K222 B249:L253 D229:I231 C223:C231 AD192:AH192 D223:K227 K266:L267 AI191:AI231 A23 M249:N257 C254:L257 E259:L265 M259:R267 K268:R269 C191:N218 K271:AH271 J229:AH229 O233:AH235 A191:A230 X268:AH269 B233:I248 J233:N239 J241:N248 L220:V227 A274:J274 J117:N123 B117:I129 J85:N89 L275:AH280 B298:AH311 D101:V111 L282:AH286 N295:AH296 B287:AH293 W101:AH108 K113:AH113 X110:AH111 H152:AH152 J84:AH84 O85:AH99 O125:AH138 J125:N129 AI117:AI153 F152:G153 C101:C114 D38:AH60 C139:E153 B130:B153 C130:N138 D113:J114 B90:B114 C90:N99 A117:A153 H153:J153 B275:K286 B294:M296 F139:V150 W148:W150 O195:AH218 C100:AH100 M8:AH8 W109:W111 O121:V123 J124:V124 O191:AH191 A186:E187 A160:A184 F187:AC187 O193:AH193 AN191:IY231 AO117:AO149 O192:AB192 AN117:AN153 AP117:IY153 AO151:AO153 O81:AH83 A155:XFD156 X149:AH150 AO77:AO110 AP77:IY114 AN77:AN114 A275:A316 A77:A114 AI77:AI114 B77:I89 J77:N83 B313:AH316 O77:AH79 AI274:IY316 AJ77:AM81 AK50:AK56 AK58:AK59 AK61:AK65 AO72:AO73 AM61:AM65 AM58:AM59 AJ67:AM74 AM50:AM56 D61:V71 W61:AH68 K73:AH73 X70:AH71 D73:J74 W69:W71 AJ38:AM42 AK44:AK48 AI38:AI74 AN38:AN74 AP38:IY74 AO38:AO70 AM44:AM48 A38:C74 W121:AH124">
      <formula1>-1</formula1>
    </dataValidation>
  </dataValidations>
  <pageMargins left="0.15" right="0.15" top="0.4" bottom="0" header="0.5" footer="0.5"/>
  <pageSetup scale="65" orientation="landscape" r:id="rId1"/>
  <headerFooter alignWithMargins="0"/>
  <rowBreaks count="5" manualBreakCount="5">
    <brk id="76" max="38" man="1"/>
    <brk id="116" max="38" man="1"/>
    <brk id="190" max="16383" man="1"/>
    <brk id="231" max="35" man="1"/>
    <brk id="274" max="35"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AS92"/>
  <sheetViews>
    <sheetView showGridLines="0" zoomScaleNormal="100" workbookViewId="0">
      <selection activeCell="AC14" sqref="AC14"/>
    </sheetView>
  </sheetViews>
  <sheetFormatPr defaultRowHeight="12.75" outlineLevelRow="1" outlineLevelCol="1"/>
  <cols>
    <col min="1" max="1" width="27.85546875" style="449" customWidth="1"/>
    <col min="2" max="4" width="8.85546875" style="449" hidden="1" customWidth="1" outlineLevel="1"/>
    <col min="5" max="5" width="8.7109375" style="449" hidden="1" customWidth="1" outlineLevel="1"/>
    <col min="6" max="6" width="8.85546875" style="449" hidden="1" customWidth="1" outlineLevel="1"/>
    <col min="7" max="7" width="9.140625" style="449" hidden="1" customWidth="1" outlineLevel="1"/>
    <col min="8" max="9" width="9.7109375" style="449" hidden="1" customWidth="1" outlineLevel="1" collapsed="1"/>
    <col min="10" max="18" width="9.7109375" style="449" hidden="1" customWidth="1" outlineLevel="1"/>
    <col min="19" max="21" width="8.85546875" style="449" hidden="1" customWidth="1" outlineLevel="1"/>
    <col min="22" max="22" width="9" style="449" hidden="1" customWidth="1" outlineLevel="1"/>
    <col min="23" max="23" width="10.42578125" style="449" bestFit="1" customWidth="1" collapsed="1"/>
    <col min="24" max="26" width="9" style="449" customWidth="1"/>
    <col min="27" max="27" width="9.140625" style="449" customWidth="1"/>
    <col min="28" max="29" width="9" style="449" customWidth="1"/>
    <col min="30" max="30" width="9.7109375" style="449" customWidth="1"/>
    <col min="31" max="31" width="9.7109375" style="1007" customWidth="1"/>
    <col min="32" max="33" width="9.7109375" style="1031" customWidth="1"/>
    <col min="34" max="34" width="9.7109375" style="69" customWidth="1"/>
    <col min="35" max="35" width="2.28515625" style="449" customWidth="1"/>
    <col min="36" max="36" width="7.7109375" style="449" customWidth="1"/>
    <col min="37" max="37" width="2.140625" style="449" customWidth="1"/>
    <col min="38" max="38" width="7.7109375" style="69" customWidth="1"/>
    <col min="39" max="39" width="2.28515625" style="449" customWidth="1"/>
    <col min="40" max="40" width="7" style="449" customWidth="1"/>
    <col min="41" max="16384" width="9.140625" style="449"/>
  </cols>
  <sheetData>
    <row r="1" spans="1:45">
      <c r="A1" s="452" t="str">
        <f>sumry!A1</f>
        <v>The Gap, Inc.</v>
      </c>
      <c r="B1" s="523"/>
      <c r="C1" s="523"/>
      <c r="D1" s="523"/>
      <c r="E1" s="523"/>
      <c r="F1" s="523"/>
      <c r="G1" s="523"/>
      <c r="H1" s="523"/>
      <c r="I1" s="524"/>
      <c r="J1" s="524"/>
      <c r="K1" s="524"/>
      <c r="L1" s="524"/>
      <c r="M1" s="524"/>
      <c r="N1" s="524"/>
      <c r="O1" s="524"/>
      <c r="P1" s="524"/>
      <c r="Q1" s="524"/>
      <c r="R1" s="524"/>
      <c r="S1" s="524"/>
      <c r="T1" s="524"/>
      <c r="U1" s="524"/>
      <c r="V1" s="525"/>
      <c r="W1" s="525"/>
      <c r="X1" s="525"/>
      <c r="Y1" s="525"/>
      <c r="Z1" s="524"/>
      <c r="AA1" s="524"/>
      <c r="AB1" s="524"/>
      <c r="AC1" s="524"/>
      <c r="AD1" s="524"/>
      <c r="AE1" s="524"/>
      <c r="AF1" s="524"/>
      <c r="AG1" s="524"/>
      <c r="AH1" s="1687"/>
      <c r="AI1" s="523"/>
      <c r="AJ1" s="524"/>
      <c r="AK1" s="526"/>
      <c r="AL1" s="1687"/>
      <c r="AM1" s="524"/>
      <c r="AN1" s="524"/>
    </row>
    <row r="2" spans="1:45">
      <c r="A2" s="527" t="s">
        <v>822</v>
      </c>
      <c r="B2" s="528"/>
      <c r="C2" s="528"/>
      <c r="D2" s="528"/>
      <c r="E2" s="528"/>
      <c r="F2" s="528"/>
      <c r="G2" s="528"/>
      <c r="H2" s="528"/>
      <c r="I2" s="529"/>
      <c r="J2" s="529"/>
      <c r="K2" s="529"/>
      <c r="L2" s="529"/>
      <c r="M2" s="529"/>
      <c r="N2" s="529"/>
      <c r="O2" s="529"/>
      <c r="P2" s="529"/>
      <c r="Q2" s="529"/>
      <c r="R2" s="529"/>
      <c r="S2" s="529"/>
      <c r="T2" s="529"/>
      <c r="U2" s="529"/>
      <c r="V2" s="529"/>
      <c r="W2" s="528"/>
      <c r="X2" s="528"/>
      <c r="Y2" s="528"/>
      <c r="Z2" s="529"/>
      <c r="AA2" s="529"/>
      <c r="AB2" s="529"/>
      <c r="AC2" s="529"/>
      <c r="AD2" s="529"/>
      <c r="AE2" s="529"/>
      <c r="AF2" s="529"/>
      <c r="AG2" s="529"/>
      <c r="AH2" s="1688"/>
      <c r="AI2" s="528"/>
      <c r="AJ2" s="529"/>
      <c r="AK2" s="530"/>
      <c r="AL2" s="1688"/>
      <c r="AM2" s="529"/>
      <c r="AN2" s="524"/>
    </row>
    <row r="3" spans="1:45">
      <c r="A3" s="531" t="s">
        <v>515</v>
      </c>
      <c r="B3" s="532"/>
      <c r="C3" s="532"/>
      <c r="D3" s="532"/>
      <c r="E3" s="532"/>
      <c r="F3" s="532"/>
      <c r="G3" s="532"/>
      <c r="H3" s="532"/>
      <c r="I3" s="533">
        <f>AVERAGE(I34:R34)</f>
        <v>0.10603326074013386</v>
      </c>
      <c r="J3" s="532"/>
      <c r="K3" s="532"/>
      <c r="L3" s="532"/>
      <c r="M3" s="532"/>
      <c r="N3" s="532"/>
      <c r="O3" s="532"/>
      <c r="P3" s="532"/>
      <c r="Q3" s="532"/>
      <c r="R3" s="532"/>
      <c r="S3" s="532"/>
      <c r="T3" s="534"/>
      <c r="U3" s="535"/>
      <c r="V3" s="532"/>
      <c r="W3" s="532"/>
      <c r="X3" s="532"/>
      <c r="Y3" s="532"/>
      <c r="Z3" s="532"/>
      <c r="AA3" s="532"/>
      <c r="AB3" s="535"/>
      <c r="AC3" s="535"/>
      <c r="AD3" s="532"/>
      <c r="AE3" s="532"/>
      <c r="AF3" s="532"/>
      <c r="AG3" s="532"/>
      <c r="AH3" s="1689"/>
      <c r="AI3" s="532"/>
      <c r="AJ3" s="532"/>
      <c r="AK3" s="536"/>
      <c r="AL3" s="1689"/>
      <c r="AM3" s="532"/>
      <c r="AN3" s="532"/>
    </row>
    <row r="4" spans="1:45">
      <c r="A4" s="524"/>
      <c r="B4" s="537"/>
      <c r="C4" s="537"/>
      <c r="D4" s="537"/>
      <c r="E4" s="537"/>
      <c r="F4" s="537"/>
      <c r="G4" s="537"/>
      <c r="H4" s="537"/>
      <c r="I4" s="537"/>
      <c r="J4" s="537"/>
      <c r="K4" s="537"/>
      <c r="L4" s="537"/>
      <c r="M4" s="537"/>
      <c r="N4" s="537"/>
      <c r="O4" s="537"/>
      <c r="P4" s="538"/>
      <c r="Q4" s="537"/>
      <c r="R4" s="537"/>
      <c r="S4" s="537"/>
      <c r="T4" s="539"/>
      <c r="U4" s="540"/>
      <c r="V4" s="540"/>
      <c r="W4" s="537"/>
      <c r="X4" s="537"/>
      <c r="Y4" s="537"/>
      <c r="Z4" s="537"/>
      <c r="AA4" s="537"/>
      <c r="AB4" s="541"/>
      <c r="AC4" s="537"/>
      <c r="AD4" s="537"/>
      <c r="AE4" s="537"/>
      <c r="AF4" s="537"/>
      <c r="AG4" s="537"/>
      <c r="AH4" s="1690"/>
      <c r="AI4" s="1009"/>
      <c r="AJ4" s="542"/>
      <c r="AK4" s="543" t="s">
        <v>488</v>
      </c>
      <c r="AL4" s="1713"/>
      <c r="AM4" s="544"/>
      <c r="AN4" s="524"/>
    </row>
    <row r="5" spans="1:45">
      <c r="A5" s="545"/>
      <c r="B5" s="546">
        <v>1990</v>
      </c>
      <c r="C5" s="547">
        <f t="shared" ref="C5:M5" si="0">B5+1</f>
        <v>1991</v>
      </c>
      <c r="D5" s="547">
        <f t="shared" si="0"/>
        <v>1992</v>
      </c>
      <c r="E5" s="547">
        <f t="shared" si="0"/>
        <v>1993</v>
      </c>
      <c r="F5" s="547">
        <f t="shared" si="0"/>
        <v>1994</v>
      </c>
      <c r="G5" s="547">
        <f t="shared" si="0"/>
        <v>1995</v>
      </c>
      <c r="H5" s="547">
        <f t="shared" si="0"/>
        <v>1996</v>
      </c>
      <c r="I5" s="547">
        <f t="shared" si="0"/>
        <v>1997</v>
      </c>
      <c r="J5" s="547">
        <f t="shared" si="0"/>
        <v>1998</v>
      </c>
      <c r="K5" s="547">
        <f t="shared" si="0"/>
        <v>1999</v>
      </c>
      <c r="L5" s="547">
        <f t="shared" si="0"/>
        <v>2000</v>
      </c>
      <c r="M5" s="547">
        <f t="shared" si="0"/>
        <v>2001</v>
      </c>
      <c r="N5" s="547">
        <f t="shared" ref="N5:U5" si="1">M5+1</f>
        <v>2002</v>
      </c>
      <c r="O5" s="547">
        <f t="shared" si="1"/>
        <v>2003</v>
      </c>
      <c r="P5" s="547">
        <f t="shared" si="1"/>
        <v>2004</v>
      </c>
      <c r="Q5" s="548">
        <f t="shared" si="1"/>
        <v>2005</v>
      </c>
      <c r="R5" s="548">
        <f t="shared" si="1"/>
        <v>2006</v>
      </c>
      <c r="S5" s="548">
        <f t="shared" si="1"/>
        <v>2007</v>
      </c>
      <c r="T5" s="548">
        <f t="shared" si="1"/>
        <v>2008</v>
      </c>
      <c r="U5" s="548">
        <f t="shared" si="1"/>
        <v>2009</v>
      </c>
      <c r="V5" s="548">
        <f t="shared" ref="V5:AC5" si="2">U5+1</f>
        <v>2010</v>
      </c>
      <c r="W5" s="548">
        <f t="shared" si="2"/>
        <v>2011</v>
      </c>
      <c r="X5" s="547">
        <f t="shared" si="2"/>
        <v>2012</v>
      </c>
      <c r="Y5" s="547">
        <f t="shared" si="2"/>
        <v>2013</v>
      </c>
      <c r="Z5" s="547">
        <f t="shared" si="2"/>
        <v>2014</v>
      </c>
      <c r="AA5" s="547">
        <f t="shared" si="2"/>
        <v>2015</v>
      </c>
      <c r="AB5" s="547">
        <f t="shared" si="2"/>
        <v>2016</v>
      </c>
      <c r="AC5" s="547">
        <f t="shared" si="2"/>
        <v>2017</v>
      </c>
      <c r="AD5" s="549">
        <f t="shared" ref="AD5:AH5" si="3">AC5+1</f>
        <v>2018</v>
      </c>
      <c r="AE5" s="549">
        <f t="shared" si="3"/>
        <v>2019</v>
      </c>
      <c r="AF5" s="549">
        <f t="shared" si="3"/>
        <v>2020</v>
      </c>
      <c r="AG5" s="549">
        <f t="shared" si="3"/>
        <v>2021</v>
      </c>
      <c r="AH5" s="1691">
        <f t="shared" si="3"/>
        <v>2022</v>
      </c>
      <c r="AI5" s="1010"/>
      <c r="AJ5" s="550" t="s">
        <v>748</v>
      </c>
      <c r="AK5" s="551"/>
      <c r="AL5" s="1682" t="s">
        <v>793</v>
      </c>
      <c r="AM5" s="552"/>
      <c r="AN5" s="545"/>
    </row>
    <row r="6" spans="1:45">
      <c r="A6" s="524"/>
      <c r="B6" s="537"/>
      <c r="C6" s="537"/>
      <c r="D6" s="537"/>
      <c r="E6" s="537"/>
      <c r="F6" s="537"/>
      <c r="G6" s="537"/>
      <c r="H6" s="537"/>
      <c r="I6" s="524"/>
      <c r="J6" s="524"/>
      <c r="K6" s="524"/>
      <c r="L6" s="524"/>
      <c r="M6" s="524"/>
      <c r="N6" s="524"/>
      <c r="O6" s="553" t="s">
        <v>52</v>
      </c>
      <c r="P6" s="553"/>
      <c r="Q6" s="524"/>
      <c r="R6" s="524"/>
      <c r="S6" s="524"/>
      <c r="T6" s="554"/>
      <c r="U6" s="524"/>
      <c r="V6" s="555"/>
      <c r="W6" s="555"/>
      <c r="X6" s="555"/>
      <c r="Y6" s="555"/>
      <c r="Z6" s="555"/>
      <c r="AA6" s="556"/>
      <c r="AB6" s="556"/>
      <c r="AC6" s="555"/>
      <c r="AD6" s="555"/>
      <c r="AE6" s="555"/>
      <c r="AF6" s="555"/>
      <c r="AG6" s="555"/>
      <c r="AH6" s="1692"/>
      <c r="AI6" s="1011"/>
      <c r="AJ6" s="524"/>
      <c r="AK6" s="526"/>
      <c r="AL6" s="1714"/>
      <c r="AM6" s="557"/>
      <c r="AN6" s="524"/>
    </row>
    <row r="7" spans="1:45">
      <c r="A7" s="524" t="s">
        <v>516</v>
      </c>
      <c r="B7" s="558">
        <f>'qtrP&amp;L'!F14</f>
        <v>1933.7800000000002</v>
      </c>
      <c r="C7" s="558">
        <f>'qtrP&amp;L'!J14</f>
        <v>2518.893</v>
      </c>
      <c r="D7" s="558">
        <f>'qtrP&amp;L'!N14</f>
        <v>2960.4090000000001</v>
      </c>
      <c r="E7" s="558">
        <f>'qtrP&amp;L'!R14</f>
        <v>3295.6790000000001</v>
      </c>
      <c r="F7" s="558">
        <f>'qtrP&amp;L'!V14</f>
        <v>3722.9399999999996</v>
      </c>
      <c r="G7" s="558">
        <f>'qtrP&amp;L'!Z14</f>
        <v>4395.2530000000006</v>
      </c>
      <c r="H7" s="559">
        <f>'qtrP&amp;L'!AD14</f>
        <v>5284.3810000000003</v>
      </c>
      <c r="I7" s="559">
        <f>'qtrP&amp;L'!AH14</f>
        <v>6507.8250000000007</v>
      </c>
      <c r="J7" s="559">
        <f>'qtrP&amp;L'!AL14</f>
        <v>9054.4619999999995</v>
      </c>
      <c r="K7" s="559">
        <f>'qtrP&amp;L'!AP14</f>
        <v>11635.398000000001</v>
      </c>
      <c r="L7" s="559">
        <f>'qtrP&amp;L'!AT14</f>
        <v>13673.46</v>
      </c>
      <c r="M7" s="559">
        <f>'qtrP&amp;L'!AX14</f>
        <v>13847.873</v>
      </c>
      <c r="N7" s="559">
        <f>'qtrP&amp;L'!BB14</f>
        <v>14454.708999999999</v>
      </c>
      <c r="O7" s="559">
        <f>'qtrP&amp;L'!BF14</f>
        <v>15853.79</v>
      </c>
      <c r="P7" s="559">
        <f>'qtrP&amp;L'!BJ14</f>
        <v>16267.401000000002</v>
      </c>
      <c r="Q7" s="559">
        <f>'qtrP&amp;L'!BN14</f>
        <v>16023.38</v>
      </c>
      <c r="R7" s="559">
        <f>+'qtrP&amp;L'!BR14</f>
        <v>15923</v>
      </c>
      <c r="S7" s="559">
        <f>+'qtrP&amp;L'!$BV$14</f>
        <v>15763</v>
      </c>
      <c r="T7" s="559">
        <f>+'qtrP&amp;L'!$BZ$14</f>
        <v>14526</v>
      </c>
      <c r="U7" s="559">
        <f>+'qtrP&amp;L'!$CD$14</f>
        <v>14197</v>
      </c>
      <c r="V7" s="559">
        <f>+'qtrP&amp;L'!$CH$14</f>
        <v>14664</v>
      </c>
      <c r="W7" s="559">
        <f>'qtrP&amp;L'!$CL$14</f>
        <v>14549</v>
      </c>
      <c r="X7" s="559">
        <f>yrSales!X7</f>
        <v>15651</v>
      </c>
      <c r="Y7" s="559">
        <f>yrSales!Y7</f>
        <v>16148</v>
      </c>
      <c r="Z7" s="559">
        <f>yrSales!Z7</f>
        <v>16435</v>
      </c>
      <c r="AA7" s="559">
        <f>yrSales!AA7</f>
        <v>15797</v>
      </c>
      <c r="AB7" s="559">
        <f>yrSales!AB7</f>
        <v>15516</v>
      </c>
      <c r="AC7" s="559">
        <f>yrSales!AC7</f>
        <v>15855</v>
      </c>
      <c r="AD7" s="1693">
        <f>yrSales!AD7</f>
        <v>16007.374239900169</v>
      </c>
      <c r="AE7" s="559">
        <f>yrSales!AE7</f>
        <v>15929.412165188094</v>
      </c>
      <c r="AF7" s="559">
        <f>yrSales!AF7</f>
        <v>15853.165473056992</v>
      </c>
      <c r="AG7" s="559">
        <f>yrSales!AG7</f>
        <v>15789.040595885397</v>
      </c>
      <c r="AH7" s="1693">
        <f>yrSales!AH7</f>
        <v>15718.713972636162</v>
      </c>
      <c r="AI7" s="1012"/>
      <c r="AJ7" s="560">
        <f>((AB7/W7)^(1/5)-1)*100</f>
        <v>1.2953070926749133</v>
      </c>
      <c r="AK7" s="561" t="s">
        <v>489</v>
      </c>
      <c r="AL7" s="1683">
        <f>((AH7/AB7)^(1/6)-1)*100</f>
        <v>0.21657127287419975</v>
      </c>
      <c r="AM7" s="557" t="s">
        <v>489</v>
      </c>
      <c r="AN7" s="562"/>
    </row>
    <row r="8" spans="1:45">
      <c r="A8" s="563" t="s">
        <v>97</v>
      </c>
      <c r="B8" s="523"/>
      <c r="C8" s="564">
        <f>(C7-B7)/B7</f>
        <v>0.3025747499715582</v>
      </c>
      <c r="D8" s="564">
        <f>(D7-C7)/C7</f>
        <v>0.17528176067820272</v>
      </c>
      <c r="E8" s="564">
        <f t="shared" ref="E8:AA8" si="4">(E7-D7)/D7</f>
        <v>0.11325124332482436</v>
      </c>
      <c r="F8" s="564">
        <f>(F7-E7)/E7</f>
        <v>0.12964278377839575</v>
      </c>
      <c r="G8" s="564">
        <f t="shared" si="4"/>
        <v>0.18058657942378903</v>
      </c>
      <c r="H8" s="564">
        <f t="shared" si="4"/>
        <v>0.20229279179150769</v>
      </c>
      <c r="I8" s="564">
        <f t="shared" si="4"/>
        <v>0.23152077793028178</v>
      </c>
      <c r="J8" s="564">
        <f t="shared" si="4"/>
        <v>0.39131921955492022</v>
      </c>
      <c r="K8" s="564">
        <f t="shared" si="4"/>
        <v>0.28504575975911123</v>
      </c>
      <c r="L8" s="564">
        <f t="shared" si="4"/>
        <v>0.17516048870868001</v>
      </c>
      <c r="M8" s="564">
        <f t="shared" si="4"/>
        <v>1.2755586369507094E-2</v>
      </c>
      <c r="N8" s="564">
        <f t="shared" si="4"/>
        <v>4.3821603505462492E-2</v>
      </c>
      <c r="O8" s="564">
        <f t="shared" si="4"/>
        <v>9.6790672160885563E-2</v>
      </c>
      <c r="P8" s="564">
        <f t="shared" si="4"/>
        <v>2.6089092891983606E-2</v>
      </c>
      <c r="Q8" s="564">
        <f t="shared" si="4"/>
        <v>-1.5000613804258125E-2</v>
      </c>
      <c r="R8" s="564">
        <f t="shared" si="4"/>
        <v>-6.2645958593005478E-3</v>
      </c>
      <c r="S8" s="564">
        <f t="shared" si="4"/>
        <v>-1.0048357721534886E-2</v>
      </c>
      <c r="T8" s="564">
        <f t="shared" si="4"/>
        <v>-7.8474909598426693E-2</v>
      </c>
      <c r="U8" s="564">
        <f t="shared" si="4"/>
        <v>-2.2649043095139751E-2</v>
      </c>
      <c r="V8" s="564">
        <f t="shared" si="4"/>
        <v>3.2894273438050292E-2</v>
      </c>
      <c r="W8" s="564">
        <f t="shared" si="4"/>
        <v>-7.8423349699945442E-3</v>
      </c>
      <c r="X8" s="564">
        <f t="shared" si="4"/>
        <v>7.5744037390885977E-2</v>
      </c>
      <c r="Y8" s="564">
        <f t="shared" si="4"/>
        <v>3.1755159414733884E-2</v>
      </c>
      <c r="Z8" s="564">
        <f t="shared" si="4"/>
        <v>1.7773098835769136E-2</v>
      </c>
      <c r="AA8" s="564">
        <f t="shared" si="4"/>
        <v>-3.8819592333434745E-2</v>
      </c>
      <c r="AB8" s="564">
        <f t="shared" ref="AB8:AH8" si="5">(AB7-AA7)/AA7</f>
        <v>-1.7788187630562766E-2</v>
      </c>
      <c r="AC8" s="564">
        <f t="shared" si="5"/>
        <v>2.1848414539829854E-2</v>
      </c>
      <c r="AD8" s="564">
        <f t="shared" si="5"/>
        <v>9.6104850142017927E-3</v>
      </c>
      <c r="AE8" s="564">
        <f t="shared" si="5"/>
        <v>-4.8703849578118864E-3</v>
      </c>
      <c r="AF8" s="564">
        <f t="shared" si="5"/>
        <v>-4.7865352054692186E-3</v>
      </c>
      <c r="AG8" s="564">
        <f t="shared" si="5"/>
        <v>-4.044925745623297E-3</v>
      </c>
      <c r="AH8" s="1694">
        <f t="shared" si="5"/>
        <v>-4.4541416447787304E-3</v>
      </c>
      <c r="AI8" s="1013"/>
      <c r="AJ8" s="560"/>
      <c r="AK8" s="565"/>
      <c r="AL8" s="1683"/>
      <c r="AM8" s="566"/>
      <c r="AN8" s="524"/>
    </row>
    <row r="9" spans="1:45">
      <c r="A9" s="524"/>
      <c r="B9" s="523"/>
      <c r="C9" s="523"/>
      <c r="D9" s="523"/>
      <c r="E9" s="523"/>
      <c r="F9" s="523"/>
      <c r="G9" s="523"/>
      <c r="H9" s="523"/>
      <c r="I9" s="523"/>
      <c r="J9" s="523"/>
      <c r="K9" s="523"/>
      <c r="L9" s="523"/>
      <c r="M9" s="523"/>
      <c r="N9" s="523"/>
      <c r="O9" s="523"/>
      <c r="P9" s="567"/>
      <c r="Q9" s="523"/>
      <c r="R9" s="523"/>
      <c r="S9" s="523"/>
      <c r="T9" s="568"/>
      <c r="U9" s="523"/>
      <c r="V9" s="523"/>
      <c r="W9" s="523"/>
      <c r="X9" s="523"/>
      <c r="Y9" s="523"/>
      <c r="Z9" s="523"/>
      <c r="AA9" s="569"/>
      <c r="AB9" s="523"/>
      <c r="AC9" s="523"/>
      <c r="AD9" s="523"/>
      <c r="AE9" s="523"/>
      <c r="AF9" s="523"/>
      <c r="AG9" s="523"/>
      <c r="AH9" s="1695"/>
      <c r="AI9" s="1013"/>
      <c r="AJ9" s="560"/>
      <c r="AK9" s="570"/>
      <c r="AL9" s="1683"/>
      <c r="AM9" s="557"/>
      <c r="AN9" s="524"/>
    </row>
    <row r="10" spans="1:45">
      <c r="A10" s="524" t="s">
        <v>281</v>
      </c>
      <c r="B10" s="479">
        <f>'qtrP&amp;L'!F24</f>
        <v>1241.2429999999999</v>
      </c>
      <c r="C10" s="479">
        <f>'qtrP&amp;L'!J24</f>
        <v>1568.921</v>
      </c>
      <c r="D10" s="479">
        <f>'qtrP&amp;L'!N24</f>
        <v>1955.5530000000001</v>
      </c>
      <c r="E10" s="479">
        <f>'qtrP&amp;L'!R24</f>
        <v>2121.7889999999998</v>
      </c>
      <c r="F10" s="479">
        <f>'qtrP&amp;L'!V24</f>
        <v>2350.9960000000001</v>
      </c>
      <c r="G10" s="479">
        <f>'qtrP&amp;L'!Z24</f>
        <v>2821.4549999999999</v>
      </c>
      <c r="H10" s="479">
        <f>'qtrP&amp;L'!AD24</f>
        <v>3285.1660000000002</v>
      </c>
      <c r="I10" s="479">
        <f>'qtrP&amp;L'!AH24</f>
        <v>4021.5410000000002</v>
      </c>
      <c r="J10" s="479">
        <f>'qtrP&amp;L'!AL24</f>
        <v>5318.2179999999998</v>
      </c>
      <c r="K10" s="479">
        <f>'qtrP&amp;L'!AP24</f>
        <v>6775.2610000000004</v>
      </c>
      <c r="L10" s="479">
        <f>'qtrP&amp;L'!AT24</f>
        <v>8599.4420000000009</v>
      </c>
      <c r="M10" s="479">
        <f>'qtrP&amp;L'!AX24</f>
        <v>9704.389000000001</v>
      </c>
      <c r="N10" s="479">
        <f>'qtrP&amp;L'!BB24</f>
        <v>9541.5580000000009</v>
      </c>
      <c r="O10" s="479">
        <f>'qtrP&amp;L'!BF24</f>
        <v>9884.7890000000007</v>
      </c>
      <c r="P10" s="479">
        <f>'qtrP&amp;L'!BJ24</f>
        <v>9886.3539999999994</v>
      </c>
      <c r="Q10" s="479">
        <f>'qtrP&amp;L'!BN24</f>
        <v>10153.833999999999</v>
      </c>
      <c r="R10" s="479">
        <f>+'qtrP&amp;L'!BR24</f>
        <v>10266</v>
      </c>
      <c r="S10" s="479">
        <f>+'qtrP&amp;L'!$BV$24</f>
        <v>10071</v>
      </c>
      <c r="T10" s="479">
        <f>+'qtrP&amp;L'!$BZ$24</f>
        <v>9079</v>
      </c>
      <c r="U10" s="479">
        <f>+'qtrP&amp;L'!$CD$24</f>
        <v>8473</v>
      </c>
      <c r="V10" s="479">
        <f>+'qtrP&amp;L'!$CH$24</f>
        <v>8775</v>
      </c>
      <c r="W10" s="479">
        <f>'qtrP&amp;L'!$CL$24</f>
        <v>9275</v>
      </c>
      <c r="X10" s="479">
        <f>+'qtrP&amp;L'!$CP$24</f>
        <v>9480</v>
      </c>
      <c r="Y10" s="479">
        <f>'qtrP&amp;L'!CT24</f>
        <v>9855</v>
      </c>
      <c r="Z10" s="479">
        <f>'qtrP&amp;L'!CX24</f>
        <v>10146</v>
      </c>
      <c r="AA10" s="479">
        <f>'qtrP&amp;L'!DB24</f>
        <v>10044</v>
      </c>
      <c r="AB10" s="479">
        <f>'qtrP&amp;L'!$DF$24</f>
        <v>9868</v>
      </c>
      <c r="AC10" s="479">
        <f>'qtrP&amp;L'!$DJ$24</f>
        <v>9789</v>
      </c>
      <c r="AD10" s="481">
        <f>'qtrP&amp;L'!$DN$24</f>
        <v>9942.8848606534903</v>
      </c>
      <c r="AE10" s="481">
        <f>(1-AE11)*AE7</f>
        <v>9939.061537853433</v>
      </c>
      <c r="AF10" s="481">
        <f>(1-AF11)*AF7</f>
        <v>9923.1942008392871</v>
      </c>
      <c r="AG10" s="481">
        <f>(1-AG11)*AG7</f>
        <v>9914.633698329264</v>
      </c>
      <c r="AH10" s="357">
        <f>(1-AH11)*AH7</f>
        <v>9901.9099434260806</v>
      </c>
      <c r="AI10" s="1013"/>
      <c r="AJ10" s="560">
        <f>((AB10/W10)^(1/5)-1)*100</f>
        <v>1.2472053397309502</v>
      </c>
      <c r="AK10" s="561" t="s">
        <v>489</v>
      </c>
      <c r="AL10" s="1683">
        <f>((AH10/AB10)^(1/6)-1)*100</f>
        <v>5.7190738411283526E-2</v>
      </c>
      <c r="AM10" s="557" t="s">
        <v>489</v>
      </c>
      <c r="AN10" s="524"/>
    </row>
    <row r="11" spans="1:45">
      <c r="A11" s="571" t="s">
        <v>283</v>
      </c>
      <c r="B11" s="564">
        <f>+(B7-B10)/B7</f>
        <v>0.35812605363588423</v>
      </c>
      <c r="C11" s="564">
        <f>+(C7-C10)/C7</f>
        <v>0.37713868751074381</v>
      </c>
      <c r="D11" s="564">
        <f>+(D7-D10)/D7</f>
        <v>0.33943147720467004</v>
      </c>
      <c r="E11" s="564">
        <f>+(E7-E10)/E7</f>
        <v>0.35619063628466252</v>
      </c>
      <c r="F11" s="564">
        <f>+(F7-F10)/F7</f>
        <v>0.36851090804579167</v>
      </c>
      <c r="G11" s="564">
        <f t="shared" ref="G11:AA11" si="6">+(G7-G10)/G7</f>
        <v>0.35806766982469507</v>
      </c>
      <c r="H11" s="564">
        <f t="shared" si="6"/>
        <v>0.37832529486424238</v>
      </c>
      <c r="I11" s="564">
        <f t="shared" si="6"/>
        <v>0.38204530699580891</v>
      </c>
      <c r="J11" s="564">
        <f t="shared" si="6"/>
        <v>0.41264119281741973</v>
      </c>
      <c r="K11" s="564">
        <f t="shared" si="6"/>
        <v>0.41770268623385293</v>
      </c>
      <c r="L11" s="564">
        <f t="shared" si="6"/>
        <v>0.37108515328234393</v>
      </c>
      <c r="M11" s="564">
        <f t="shared" si="6"/>
        <v>0.29921447142098995</v>
      </c>
      <c r="N11" s="564">
        <f t="shared" si="6"/>
        <v>0.33989968251868635</v>
      </c>
      <c r="O11" s="564">
        <f t="shared" si="6"/>
        <v>0.37650309484356737</v>
      </c>
      <c r="P11" s="564">
        <f t="shared" si="6"/>
        <v>0.39225977155170649</v>
      </c>
      <c r="Q11" s="564">
        <f t="shared" si="6"/>
        <v>0.36631135253610664</v>
      </c>
      <c r="R11" s="564">
        <f>+(R7-R10)/R7</f>
        <v>0.35527224769201782</v>
      </c>
      <c r="S11" s="564">
        <f t="shared" si="6"/>
        <v>0.36109877561377912</v>
      </c>
      <c r="T11" s="564">
        <f t="shared" si="6"/>
        <v>0.37498278948093072</v>
      </c>
      <c r="U11" s="564">
        <f t="shared" si="6"/>
        <v>0.40318377121927168</v>
      </c>
      <c r="V11" s="564">
        <f t="shared" si="6"/>
        <v>0.40159574468085107</v>
      </c>
      <c r="W11" s="564">
        <f t="shared" si="6"/>
        <v>0.36249914083442158</v>
      </c>
      <c r="X11" s="564">
        <f t="shared" si="6"/>
        <v>0.3942879049262028</v>
      </c>
      <c r="Y11" s="564">
        <f t="shared" si="6"/>
        <v>0.38970770374040131</v>
      </c>
      <c r="Z11" s="564">
        <f t="shared" si="6"/>
        <v>0.38265895953757223</v>
      </c>
      <c r="AA11" s="564">
        <f t="shared" si="6"/>
        <v>0.36418307273532952</v>
      </c>
      <c r="AB11" s="564">
        <f>+(AB7-AB10)/AB7</f>
        <v>0.36401134312967259</v>
      </c>
      <c r="AC11" s="564">
        <f>+(AC7-AC10)/AC7</f>
        <v>0.38259224219489119</v>
      </c>
      <c r="AD11" s="564">
        <f>+(AD7-AD10)/AD7</f>
        <v>0.37885597527483689</v>
      </c>
      <c r="AE11" s="572">
        <f>AD11-0.0028</f>
        <v>0.37605597527483686</v>
      </c>
      <c r="AF11" s="572">
        <f t="shared" ref="AF11:AH11" si="7">AE11-0.002</f>
        <v>0.37405597527483686</v>
      </c>
      <c r="AG11" s="572">
        <f t="shared" si="7"/>
        <v>0.37205597527483686</v>
      </c>
      <c r="AH11" s="48">
        <f t="shared" si="7"/>
        <v>0.37005597527483686</v>
      </c>
      <c r="AI11" s="787"/>
      <c r="AJ11" s="560"/>
      <c r="AK11" s="570"/>
      <c r="AL11" s="1683"/>
      <c r="AM11" s="557"/>
      <c r="AN11" s="524"/>
    </row>
    <row r="12" spans="1:45" hidden="1" outlineLevel="1">
      <c r="A12" s="573" t="s">
        <v>282</v>
      </c>
      <c r="B12" s="523">
        <f>'qtrP&amp;L'!F24-B30</f>
        <v>1187.644</v>
      </c>
      <c r="C12" s="523">
        <f>'qtrP&amp;L'!J24-C30</f>
        <v>1496.1559999999999</v>
      </c>
      <c r="D12" s="523">
        <f>'qtrP&amp;L'!N24-D30</f>
        <v>1856.1020000000001</v>
      </c>
      <c r="E12" s="523">
        <f>'qtrP&amp;L'!R24-E30</f>
        <v>1996.9289999999999</v>
      </c>
      <c r="F12" s="523">
        <f>'qtrP&amp;L'!V24-F30</f>
        <v>2202.1330000000003</v>
      </c>
      <c r="G12" s="523">
        <f>'qtrP&amp;L'!Z24-G30</f>
        <v>2645.7359999999999</v>
      </c>
      <c r="H12" s="523">
        <f>'qtrP&amp;L'!AD24-H30</f>
        <v>3093.7090000000003</v>
      </c>
      <c r="I12" s="523">
        <f>'qtrP&amp;L'!AH24-I30</f>
        <v>3775.9570000000003</v>
      </c>
      <c r="J12" s="523">
        <f>'qtrP&amp;L'!AL24-J30</f>
        <v>5013.473</v>
      </c>
      <c r="K12" s="523">
        <f>'qtrP&amp;L'!AP24-K30</f>
        <v>6339.0770000000002</v>
      </c>
      <c r="L12" s="523">
        <f>'qtrP&amp;L'!AT24-L30</f>
        <v>8009.0770000000011</v>
      </c>
      <c r="M12" s="523">
        <f>'qtrP&amp;L'!AX24-M30</f>
        <v>8893.9030000000002</v>
      </c>
      <c r="N12" s="523">
        <f>'qtrP&amp;L'!BB24-N30</f>
        <v>8848.6440000000002</v>
      </c>
      <c r="O12" s="523">
        <f>'qtrP&amp;L'!BF24-O30</f>
        <v>9209.6239999999998</v>
      </c>
      <c r="P12" s="523">
        <f>'qtrP&amp;L'!BJ24-P30</f>
        <v>9271.8529999999992</v>
      </c>
      <c r="Q12" s="523">
        <f>'qtrP&amp;L'!BN24-Q30</f>
        <v>9528.5729999999985</v>
      </c>
      <c r="R12" s="523">
        <f>'qtrP&amp;L'!BR24-R30</f>
        <v>9736</v>
      </c>
      <c r="S12" s="523">
        <f>'qtrP&amp;L'!$BV$24-S30</f>
        <v>9524</v>
      </c>
      <c r="T12" s="523">
        <f>'qtrP&amp;L'!$BZ$24-T30</f>
        <v>8511</v>
      </c>
      <c r="U12" s="523">
        <f>'qtrP&amp;L'!$CD$24-U30</f>
        <v>7900</v>
      </c>
      <c r="V12" s="523">
        <f t="shared" ref="V12:AC12" si="8">V10-V30</f>
        <v>8213</v>
      </c>
      <c r="W12" s="523">
        <f t="shared" si="8"/>
        <v>8769</v>
      </c>
      <c r="X12" s="523">
        <f t="shared" si="8"/>
        <v>8997</v>
      </c>
      <c r="Y12" s="523">
        <f>Y10-Y30</f>
        <v>9385</v>
      </c>
      <c r="Z12" s="523">
        <f t="shared" si="8"/>
        <v>9646</v>
      </c>
      <c r="AA12" s="523">
        <f t="shared" si="8"/>
        <v>9517</v>
      </c>
      <c r="AB12" s="523">
        <f t="shared" si="8"/>
        <v>9337</v>
      </c>
      <c r="AC12" s="523">
        <f t="shared" si="8"/>
        <v>9254</v>
      </c>
      <c r="AD12" s="523">
        <f>AD10-AD30</f>
        <v>9392.8848606534903</v>
      </c>
      <c r="AE12" s="523">
        <f>AE10-AE30</f>
        <v>9374.061537853433</v>
      </c>
      <c r="AF12" s="523">
        <f>AF10-AF30</f>
        <v>9343.1942008392871</v>
      </c>
      <c r="AG12" s="523">
        <f>AG10-AG30</f>
        <v>9319.633698329264</v>
      </c>
      <c r="AH12" s="1695">
        <f>AH10-AH30</f>
        <v>9291.9099434260806</v>
      </c>
      <c r="AI12" s="1013"/>
      <c r="AJ12" s="560"/>
      <c r="AK12" s="570"/>
      <c r="AL12" s="1683"/>
      <c r="AM12" s="557"/>
      <c r="AN12" s="524"/>
      <c r="AS12" s="449">
        <v>9379.9</v>
      </c>
    </row>
    <row r="13" spans="1:45" hidden="1" outlineLevel="1">
      <c r="A13" s="573" t="s">
        <v>280</v>
      </c>
      <c r="B13" s="564"/>
      <c r="C13" s="564">
        <f t="shared" ref="C13:M13" si="9">(C7-C12)/C7</f>
        <v>0.40602637746025738</v>
      </c>
      <c r="D13" s="564">
        <f t="shared" si="9"/>
        <v>0.37302514618757071</v>
      </c>
      <c r="E13" s="564">
        <f t="shared" si="9"/>
        <v>0.39407660758223123</v>
      </c>
      <c r="F13" s="564">
        <f t="shared" si="9"/>
        <v>0.40849624221717229</v>
      </c>
      <c r="G13" s="564">
        <f t="shared" si="9"/>
        <v>0.39804693836737054</v>
      </c>
      <c r="H13" s="564">
        <f t="shared" si="9"/>
        <v>0.4145560284165733</v>
      </c>
      <c r="I13" s="564">
        <f t="shared" si="9"/>
        <v>0.41978203163115174</v>
      </c>
      <c r="J13" s="564">
        <f t="shared" si="9"/>
        <v>0.44629807933370308</v>
      </c>
      <c r="K13" s="564">
        <f t="shared" si="9"/>
        <v>0.45519035962499954</v>
      </c>
      <c r="L13" s="564">
        <f t="shared" si="9"/>
        <v>0.4142611306867463</v>
      </c>
      <c r="M13" s="564">
        <f t="shared" si="9"/>
        <v>0.35774230454019901</v>
      </c>
      <c r="N13" s="564">
        <f t="shared" ref="N13:T13" si="10">(N$7-N12)/N$7</f>
        <v>0.38783658667912296</v>
      </c>
      <c r="O13" s="564">
        <f t="shared" si="10"/>
        <v>0.41909007246847602</v>
      </c>
      <c r="P13" s="564">
        <f t="shared" si="10"/>
        <v>0.43003476707803551</v>
      </c>
      <c r="Q13" s="564">
        <f t="shared" si="10"/>
        <v>0.4053331444426832</v>
      </c>
      <c r="R13" s="564">
        <f>(R$7-R12)/R$7</f>
        <v>0.38855743264460213</v>
      </c>
      <c r="S13" s="564">
        <f t="shared" si="10"/>
        <v>0.39580029182262261</v>
      </c>
      <c r="T13" s="564">
        <f t="shared" si="10"/>
        <v>0.41408508880627842</v>
      </c>
      <c r="U13" s="564">
        <f t="shared" ref="U13:AA13" si="11">(U$7-U12)/U$7</f>
        <v>0.4435444107910122</v>
      </c>
      <c r="V13" s="564">
        <f t="shared" si="11"/>
        <v>0.43992089470812873</v>
      </c>
      <c r="W13" s="564">
        <f t="shared" si="11"/>
        <v>0.39727816344765965</v>
      </c>
      <c r="X13" s="564">
        <f t="shared" si="11"/>
        <v>0.4251485528081273</v>
      </c>
      <c r="Y13" s="564">
        <f t="shared" si="11"/>
        <v>0.41881347535298491</v>
      </c>
      <c r="Z13" s="564">
        <f t="shared" si="11"/>
        <v>0.41308183754183148</v>
      </c>
      <c r="AA13" s="564">
        <f t="shared" si="11"/>
        <v>0.39754383743748811</v>
      </c>
      <c r="AB13" s="564">
        <f t="shared" ref="AB13:AG13" si="12">(AB$7-AB12)/AB$7</f>
        <v>0.39823408094869811</v>
      </c>
      <c r="AC13" s="564">
        <f t="shared" si="12"/>
        <v>0.4163355408388521</v>
      </c>
      <c r="AD13" s="564">
        <f t="shared" si="12"/>
        <v>0.41321513947986077</v>
      </c>
      <c r="AE13" s="564">
        <f t="shared" si="12"/>
        <v>0.41152495518074605</v>
      </c>
      <c r="AF13" s="564">
        <f t="shared" si="12"/>
        <v>0.41064172851041186</v>
      </c>
      <c r="AG13" s="564">
        <f t="shared" si="12"/>
        <v>0.40974034224993072</v>
      </c>
      <c r="AH13" s="1694">
        <f t="shared" ref="AH13" si="13">(AH$7-AH12)/AH$7</f>
        <v>0.40886322127867131</v>
      </c>
      <c r="AI13" s="1013"/>
      <c r="AJ13" s="560"/>
      <c r="AK13" s="565"/>
      <c r="AL13" s="1683"/>
      <c r="AM13" s="557"/>
      <c r="AN13" s="524"/>
    </row>
    <row r="14" spans="1:45" hidden="1" outlineLevel="1">
      <c r="A14" s="574" t="s">
        <v>275</v>
      </c>
      <c r="B14" s="523"/>
      <c r="C14" s="575">
        <f>137.721+30.473</f>
        <v>168.19400000000002</v>
      </c>
      <c r="D14" s="575">
        <f>172.256+30.99</f>
        <v>203.24600000000001</v>
      </c>
      <c r="E14" s="575">
        <f>207.249+26.574</f>
        <v>233.82300000000001</v>
      </c>
      <c r="F14" s="575">
        <f>255.202+20.955</f>
        <v>276.15699999999998</v>
      </c>
      <c r="G14" s="575">
        <f>300.171+22.464</f>
        <v>322.63499999999999</v>
      </c>
      <c r="H14" s="575">
        <f>337.487+30.644</f>
        <v>368.13100000000003</v>
      </c>
      <c r="I14" s="575">
        <v>437.99900000000002</v>
      </c>
      <c r="J14" s="575">
        <f>471.628+75.601</f>
        <v>547.22900000000004</v>
      </c>
      <c r="K14" s="575">
        <f>561.994+114.484</f>
        <v>676.47800000000007</v>
      </c>
      <c r="L14" s="575">
        <v>903.68100000000004</v>
      </c>
      <c r="M14" s="575">
        <v>950.88400000000001</v>
      </c>
      <c r="N14" s="575">
        <v>938.64700000000005</v>
      </c>
      <c r="O14" s="575">
        <v>954.27099999999996</v>
      </c>
      <c r="P14" s="575">
        <v>966.67</v>
      </c>
      <c r="Q14" s="575">
        <v>1004.677</v>
      </c>
      <c r="R14" s="575">
        <f>259.433+264.164+257.633+265</f>
        <v>1046.23</v>
      </c>
      <c r="S14" s="575">
        <f>970+129</f>
        <v>1099</v>
      </c>
      <c r="T14" s="575">
        <f>992+126</f>
        <v>1118</v>
      </c>
      <c r="U14" s="575">
        <f>973+135</f>
        <v>1108</v>
      </c>
      <c r="V14" s="575">
        <f>1009+125</f>
        <v>1134</v>
      </c>
      <c r="W14" s="575">
        <f>1072+123</f>
        <v>1195</v>
      </c>
      <c r="X14" s="575">
        <f>1104+123</f>
        <v>1227</v>
      </c>
      <c r="Y14" s="575">
        <f>1162+121</f>
        <v>1283</v>
      </c>
      <c r="Z14" s="575">
        <f>1209+114</f>
        <v>1323</v>
      </c>
      <c r="AA14" s="575">
        <f>1211+106</f>
        <v>1317</v>
      </c>
      <c r="AB14" s="1443">
        <f>1208+107</f>
        <v>1315</v>
      </c>
      <c r="AC14" s="1443">
        <f>1208+98</f>
        <v>1306</v>
      </c>
      <c r="AD14" s="523">
        <f t="shared" ref="AD14:AG14" si="14">AD7*AD15</f>
        <v>1424.6563073511149</v>
      </c>
      <c r="AE14" s="523">
        <f t="shared" si="14"/>
        <v>1433.6470948669285</v>
      </c>
      <c r="AF14" s="523">
        <f t="shared" si="14"/>
        <v>1426.7848925751291</v>
      </c>
      <c r="AG14" s="523">
        <f t="shared" si="14"/>
        <v>1421.0136536296857</v>
      </c>
      <c r="AH14" s="1695">
        <f t="shared" ref="AH14" si="15">AH7*AH15</f>
        <v>1414.6842575372546</v>
      </c>
      <c r="AI14" s="1013"/>
      <c r="AJ14" s="560"/>
      <c r="AK14" s="565"/>
      <c r="AL14" s="1683"/>
      <c r="AM14" s="557"/>
      <c r="AN14" s="524"/>
    </row>
    <row r="15" spans="1:45" hidden="1" outlineLevel="1">
      <c r="A15" s="574" t="s">
        <v>111</v>
      </c>
      <c r="B15" s="564"/>
      <c r="C15" s="564">
        <f t="shared" ref="C15:Y15" si="16">+C14/C7</f>
        <v>6.6772983211275755E-2</v>
      </c>
      <c r="D15" s="564">
        <f t="shared" si="16"/>
        <v>6.8654702779244361E-2</v>
      </c>
      <c r="E15" s="564">
        <f t="shared" si="16"/>
        <v>7.0948353890048152E-2</v>
      </c>
      <c r="F15" s="564">
        <f t="shared" si="16"/>
        <v>7.4177128828291625E-2</v>
      </c>
      <c r="G15" s="564">
        <f t="shared" si="16"/>
        <v>7.3405330705649918E-2</v>
      </c>
      <c r="H15" s="564">
        <f t="shared" si="16"/>
        <v>6.9663977673070893E-2</v>
      </c>
      <c r="I15" s="564">
        <f t="shared" si="16"/>
        <v>6.7303438552819103E-2</v>
      </c>
      <c r="J15" s="564">
        <f t="shared" si="16"/>
        <v>6.0437494795383767E-2</v>
      </c>
      <c r="K15" s="564">
        <f t="shared" si="16"/>
        <v>5.813965280775097E-2</v>
      </c>
      <c r="L15" s="564">
        <f t="shared" si="16"/>
        <v>6.6090148360400378E-2</v>
      </c>
      <c r="M15" s="564">
        <f t="shared" si="16"/>
        <v>6.8666429855328684E-2</v>
      </c>
      <c r="N15" s="564">
        <f t="shared" si="16"/>
        <v>6.4937108038632951E-2</v>
      </c>
      <c r="O15" s="564">
        <f t="shared" si="16"/>
        <v>6.0191979331125231E-2</v>
      </c>
      <c r="P15" s="564">
        <f t="shared" si="16"/>
        <v>5.9423751833498163E-2</v>
      </c>
      <c r="Q15" s="564">
        <f t="shared" si="16"/>
        <v>6.2700691115108051E-2</v>
      </c>
      <c r="R15" s="564">
        <f t="shared" si="16"/>
        <v>6.5705583118759028E-2</v>
      </c>
      <c r="S15" s="564">
        <f t="shared" si="16"/>
        <v>6.9720230920510051E-2</v>
      </c>
      <c r="T15" s="564">
        <f t="shared" si="16"/>
        <v>7.6965441277708935E-2</v>
      </c>
      <c r="U15" s="564">
        <f t="shared" si="16"/>
        <v>7.8044657321969427E-2</v>
      </c>
      <c r="V15" s="564">
        <f t="shared" si="16"/>
        <v>7.7332242225859243E-2</v>
      </c>
      <c r="W15" s="564">
        <f t="shared" si="16"/>
        <v>8.2136229294109561E-2</v>
      </c>
      <c r="X15" s="564">
        <f t="shared" si="16"/>
        <v>7.8397546482652861E-2</v>
      </c>
      <c r="Y15" s="564">
        <f t="shared" si="16"/>
        <v>7.9452563784988856E-2</v>
      </c>
      <c r="Z15" s="564">
        <f>+Z14/Z7</f>
        <v>8.0498935199269844E-2</v>
      </c>
      <c r="AA15" s="564">
        <f>+AA14/AA7</f>
        <v>8.3370260175982785E-2</v>
      </c>
      <c r="AB15" s="564">
        <f>+AB14/AB7</f>
        <v>8.4751224542407841E-2</v>
      </c>
      <c r="AC15" s="564">
        <f>+AC14/AC7</f>
        <v>8.2371491643014827E-2</v>
      </c>
      <c r="AD15" s="572">
        <v>8.8999999999999996E-2</v>
      </c>
      <c r="AE15" s="572">
        <v>0.09</v>
      </c>
      <c r="AF15" s="572">
        <v>0.09</v>
      </c>
      <c r="AG15" s="572">
        <v>0.09</v>
      </c>
      <c r="AH15" s="48">
        <v>0.09</v>
      </c>
      <c r="AI15" s="1013"/>
      <c r="AJ15" s="560"/>
      <c r="AK15" s="565"/>
      <c r="AL15" s="1683"/>
      <c r="AM15" s="576"/>
      <c r="AN15" s="524"/>
    </row>
    <row r="16" spans="1:45" hidden="1" outlineLevel="1">
      <c r="A16" s="574" t="s">
        <v>109</v>
      </c>
      <c r="B16" s="523"/>
      <c r="C16" s="523">
        <f t="shared" ref="C16:T16" si="17">+C12-C14</f>
        <v>1327.962</v>
      </c>
      <c r="D16" s="523">
        <f t="shared" si="17"/>
        <v>1652.856</v>
      </c>
      <c r="E16" s="523">
        <f t="shared" si="17"/>
        <v>1763.1059999999998</v>
      </c>
      <c r="F16" s="523">
        <f t="shared" si="17"/>
        <v>1925.9760000000003</v>
      </c>
      <c r="G16" s="523">
        <f t="shared" si="17"/>
        <v>2323.1009999999997</v>
      </c>
      <c r="H16" s="523">
        <f t="shared" si="17"/>
        <v>2725.5780000000004</v>
      </c>
      <c r="I16" s="523">
        <f t="shared" si="17"/>
        <v>3337.9580000000005</v>
      </c>
      <c r="J16" s="523">
        <f t="shared" si="17"/>
        <v>4466.2439999999997</v>
      </c>
      <c r="K16" s="523">
        <f t="shared" si="17"/>
        <v>5662.5990000000002</v>
      </c>
      <c r="L16" s="523">
        <f t="shared" si="17"/>
        <v>7105.3960000000006</v>
      </c>
      <c r="M16" s="523">
        <f t="shared" si="17"/>
        <v>7943.0190000000002</v>
      </c>
      <c r="N16" s="523">
        <f t="shared" si="17"/>
        <v>7909.9970000000003</v>
      </c>
      <c r="O16" s="523">
        <f t="shared" si="17"/>
        <v>8255.3529999999992</v>
      </c>
      <c r="P16" s="523">
        <f t="shared" si="17"/>
        <v>8305.1829999999991</v>
      </c>
      <c r="Q16" s="523">
        <f t="shared" si="17"/>
        <v>8523.8959999999988</v>
      </c>
      <c r="R16" s="523">
        <f t="shared" si="17"/>
        <v>8689.77</v>
      </c>
      <c r="S16" s="523">
        <f t="shared" si="17"/>
        <v>8425</v>
      </c>
      <c r="T16" s="523">
        <f t="shared" si="17"/>
        <v>7393</v>
      </c>
      <c r="U16" s="523">
        <f t="shared" ref="U16:AC16" si="18">+U12-U14</f>
        <v>6792</v>
      </c>
      <c r="V16" s="523">
        <f t="shared" si="18"/>
        <v>7079</v>
      </c>
      <c r="W16" s="523">
        <f t="shared" si="18"/>
        <v>7574</v>
      </c>
      <c r="X16" s="523">
        <f t="shared" si="18"/>
        <v>7770</v>
      </c>
      <c r="Y16" s="523">
        <f t="shared" si="18"/>
        <v>8102</v>
      </c>
      <c r="Z16" s="523">
        <f t="shared" si="18"/>
        <v>8323</v>
      </c>
      <c r="AA16" s="523">
        <f t="shared" si="18"/>
        <v>8200</v>
      </c>
      <c r="AB16" s="523">
        <f t="shared" si="18"/>
        <v>8022</v>
      </c>
      <c r="AC16" s="523">
        <f t="shared" si="18"/>
        <v>7948</v>
      </c>
      <c r="AD16" s="523">
        <f>+AD12-AD14</f>
        <v>7968.2285533023751</v>
      </c>
      <c r="AE16" s="523">
        <f>+AE12-AE14</f>
        <v>7940.4144429865046</v>
      </c>
      <c r="AF16" s="523">
        <f>+AF12-AF14</f>
        <v>7916.4093082641575</v>
      </c>
      <c r="AG16" s="523">
        <f>+AG12-AG14</f>
        <v>7898.6200446995781</v>
      </c>
      <c r="AH16" s="1695">
        <f>+AH12-AH14</f>
        <v>7877.2256858888259</v>
      </c>
      <c r="AI16" s="1013"/>
      <c r="AJ16" s="560"/>
      <c r="AK16" s="565"/>
      <c r="AL16" s="1683"/>
      <c r="AM16" s="557"/>
      <c r="AN16" s="524"/>
    </row>
    <row r="17" spans="1:41" hidden="1" outlineLevel="1">
      <c r="A17" s="574" t="s">
        <v>110</v>
      </c>
      <c r="B17" s="564"/>
      <c r="C17" s="564">
        <f t="shared" ref="C17:X17" si="19">(C$7-C16)/C$7</f>
        <v>0.47279936067153311</v>
      </c>
      <c r="D17" s="564">
        <f t="shared" si="19"/>
        <v>0.44167984896681506</v>
      </c>
      <c r="E17" s="564">
        <f t="shared" si="19"/>
        <v>0.4650249614722794</v>
      </c>
      <c r="F17" s="564">
        <f t="shared" si="19"/>
        <v>0.48267337104546393</v>
      </c>
      <c r="G17" s="564">
        <f t="shared" si="19"/>
        <v>0.47145226907302051</v>
      </c>
      <c r="H17" s="564">
        <f t="shared" si="19"/>
        <v>0.48422000608964411</v>
      </c>
      <c r="I17" s="564">
        <f t="shared" si="19"/>
        <v>0.4870854701839708</v>
      </c>
      <c r="J17" s="564">
        <f t="shared" si="19"/>
        <v>0.50673557412908687</v>
      </c>
      <c r="K17" s="564">
        <f t="shared" si="19"/>
        <v>0.51333001243275045</v>
      </c>
      <c r="L17" s="564">
        <f t="shared" si="19"/>
        <v>0.48035127904714675</v>
      </c>
      <c r="M17" s="564">
        <f t="shared" si="19"/>
        <v>0.42640873439552773</v>
      </c>
      <c r="N17" s="564">
        <f t="shared" si="19"/>
        <v>0.45277369471775591</v>
      </c>
      <c r="O17" s="564">
        <f t="shared" si="19"/>
        <v>0.47928205179960132</v>
      </c>
      <c r="P17" s="564">
        <f t="shared" si="19"/>
        <v>0.48945851891153369</v>
      </c>
      <c r="Q17" s="564">
        <f t="shared" si="19"/>
        <v>0.46803383555779121</v>
      </c>
      <c r="R17" s="564">
        <f t="shared" si="19"/>
        <v>0.45426301576336114</v>
      </c>
      <c r="S17" s="564">
        <f t="shared" si="19"/>
        <v>0.46552052274313266</v>
      </c>
      <c r="T17" s="564">
        <f t="shared" si="19"/>
        <v>0.49105053008398736</v>
      </c>
      <c r="U17" s="564">
        <f t="shared" si="19"/>
        <v>0.52158906811298167</v>
      </c>
      <c r="V17" s="564">
        <f t="shared" si="19"/>
        <v>0.517253136933988</v>
      </c>
      <c r="W17" s="564">
        <f t="shared" si="19"/>
        <v>0.47941439274176917</v>
      </c>
      <c r="X17" s="564">
        <f t="shared" si="19"/>
        <v>0.50354609929078009</v>
      </c>
      <c r="Y17" s="564">
        <f t="shared" ref="Y17:AD17" si="20">(Y$7-Y16)/Y$7</f>
        <v>0.49826603913797374</v>
      </c>
      <c r="Z17" s="564">
        <f t="shared" si="20"/>
        <v>0.49358077274110129</v>
      </c>
      <c r="AA17" s="564">
        <f t="shared" si="20"/>
        <v>0.48091409761347093</v>
      </c>
      <c r="AB17" s="564">
        <f t="shared" si="20"/>
        <v>0.48298530549110597</v>
      </c>
      <c r="AC17" s="564">
        <f t="shared" si="20"/>
        <v>0.49870703248186693</v>
      </c>
      <c r="AD17" s="564">
        <f t="shared" si="20"/>
        <v>0.50221513947986085</v>
      </c>
      <c r="AE17" s="564">
        <f>(AE$7-AE16)/AE$7</f>
        <v>0.50152495518074602</v>
      </c>
      <c r="AF17" s="564">
        <f>(AF$7-AF16)/AF$7</f>
        <v>0.50064172851041189</v>
      </c>
      <c r="AG17" s="564">
        <f>(AG$7-AG16)/AG$7</f>
        <v>0.49974034224993075</v>
      </c>
      <c r="AH17" s="1694">
        <f>(AH$7-AH16)/AH$7</f>
        <v>0.49886322127867128</v>
      </c>
      <c r="AI17" s="1013"/>
      <c r="AJ17" s="560"/>
      <c r="AK17" s="565"/>
      <c r="AL17" s="1683"/>
      <c r="AM17" s="557"/>
      <c r="AN17" s="524"/>
    </row>
    <row r="18" spans="1:41" hidden="1" outlineLevel="1">
      <c r="A18" s="574" t="s">
        <v>142</v>
      </c>
      <c r="B18" s="564"/>
      <c r="C18" s="564"/>
      <c r="D18" s="564"/>
      <c r="E18" s="564"/>
      <c r="F18" s="564"/>
      <c r="G18" s="564"/>
      <c r="H18" s="564"/>
      <c r="I18" s="564"/>
      <c r="J18" s="523">
        <f>J14+246.25305</f>
        <v>793.48205000000007</v>
      </c>
      <c r="K18" s="523">
        <f>K14+304.4151</f>
        <v>980.8931</v>
      </c>
      <c r="L18" s="523">
        <f>L14+406.65645</f>
        <v>1310.33745</v>
      </c>
      <c r="M18" s="523">
        <f>M14+427.8978</f>
        <v>1378.7818</v>
      </c>
      <c r="N18" s="523">
        <f>N14+422.39115</f>
        <v>1361.0381500000001</v>
      </c>
      <c r="O18" s="523">
        <f>O14+429.42195</f>
        <v>1383.6929499999999</v>
      </c>
      <c r="P18" s="523">
        <f>P14+435.0015</f>
        <v>1401.6714999999999</v>
      </c>
      <c r="Q18" s="523">
        <f>Q14+452.10465</f>
        <v>1456.7816499999999</v>
      </c>
      <c r="R18" s="523">
        <f>R14+470.8035</f>
        <v>1517.0335</v>
      </c>
      <c r="S18" s="523">
        <f>S14+494.55</f>
        <v>1593.55</v>
      </c>
      <c r="T18" s="523">
        <f>T14+503.1</f>
        <v>1621.1</v>
      </c>
      <c r="U18" s="523">
        <f t="shared" ref="U18:AD18" si="21">U14*1.45</f>
        <v>1606.6</v>
      </c>
      <c r="V18" s="523">
        <f t="shared" si="21"/>
        <v>1644.3</v>
      </c>
      <c r="W18" s="523">
        <f t="shared" si="21"/>
        <v>1732.75</v>
      </c>
      <c r="X18" s="523">
        <f t="shared" si="21"/>
        <v>1779.1499999999999</v>
      </c>
      <c r="Y18" s="575">
        <f t="shared" si="21"/>
        <v>1860.35</v>
      </c>
      <c r="Z18" s="575">
        <f t="shared" si="21"/>
        <v>1918.35</v>
      </c>
      <c r="AA18" s="575">
        <f t="shared" si="21"/>
        <v>1909.6499999999999</v>
      </c>
      <c r="AB18" s="575">
        <f t="shared" si="21"/>
        <v>1906.75</v>
      </c>
      <c r="AC18" s="575">
        <f t="shared" si="21"/>
        <v>1893.7</v>
      </c>
      <c r="AD18" s="575">
        <f t="shared" si="21"/>
        <v>2065.7516456591165</v>
      </c>
      <c r="AE18" s="575">
        <f>AE14*1.45</f>
        <v>2078.7882875570463</v>
      </c>
      <c r="AF18" s="575">
        <f>AF14*1.45</f>
        <v>2068.8380942339372</v>
      </c>
      <c r="AG18" s="575">
        <f>AG14*1.45</f>
        <v>2060.469797763044</v>
      </c>
      <c r="AH18" s="1696">
        <f>AH14*1.45</f>
        <v>2051.2921734290189</v>
      </c>
      <c r="AI18" s="1013"/>
      <c r="AJ18" s="560"/>
      <c r="AK18" s="565"/>
      <c r="AL18" s="1683"/>
      <c r="AM18" s="557"/>
      <c r="AN18" s="524"/>
    </row>
    <row r="19" spans="1:41" hidden="1" outlineLevel="1">
      <c r="A19" s="574" t="s">
        <v>111</v>
      </c>
      <c r="B19" s="564"/>
      <c r="C19" s="564"/>
      <c r="D19" s="564"/>
      <c r="E19" s="564"/>
      <c r="F19" s="564"/>
      <c r="G19" s="564"/>
      <c r="H19" s="564"/>
      <c r="I19" s="564"/>
      <c r="J19" s="564">
        <f>+J18/J7</f>
        <v>8.7634367453306466E-2</v>
      </c>
      <c r="K19" s="564">
        <f t="shared" ref="K19:X19" si="22">+K18/K7</f>
        <v>8.4302496571238894E-2</v>
      </c>
      <c r="L19" s="564">
        <f t="shared" si="22"/>
        <v>9.583071512258054E-2</v>
      </c>
      <c r="M19" s="564">
        <f t="shared" si="22"/>
        <v>9.9566323290226591E-2</v>
      </c>
      <c r="N19" s="564">
        <f t="shared" si="22"/>
        <v>9.4158806656017779E-2</v>
      </c>
      <c r="O19" s="564">
        <f t="shared" si="22"/>
        <v>8.7278370030131586E-2</v>
      </c>
      <c r="P19" s="564">
        <f t="shared" si="22"/>
        <v>8.6164440158572331E-2</v>
      </c>
      <c r="Q19" s="564">
        <f t="shared" si="22"/>
        <v>9.0916002116906675E-2</v>
      </c>
      <c r="R19" s="564">
        <f t="shared" si="22"/>
        <v>9.527309552220059E-2</v>
      </c>
      <c r="S19" s="564">
        <f t="shared" si="22"/>
        <v>0.10109433483473958</v>
      </c>
      <c r="T19" s="564">
        <f t="shared" si="22"/>
        <v>0.11159988985267795</v>
      </c>
      <c r="U19" s="564">
        <f t="shared" si="22"/>
        <v>0.11316475311685567</v>
      </c>
      <c r="V19" s="564">
        <f t="shared" si="22"/>
        <v>0.1121317512274959</v>
      </c>
      <c r="W19" s="564">
        <f t="shared" si="22"/>
        <v>0.11909753247645886</v>
      </c>
      <c r="X19" s="564">
        <f t="shared" si="22"/>
        <v>0.11367644239984664</v>
      </c>
      <c r="Y19" s="564">
        <f t="shared" ref="Y19:AD19" si="23">+Y18/Y7</f>
        <v>0.11520621748823383</v>
      </c>
      <c r="Z19" s="564">
        <f t="shared" si="23"/>
        <v>0.11672345603894128</v>
      </c>
      <c r="AA19" s="564">
        <f t="shared" si="23"/>
        <v>0.12088687725517502</v>
      </c>
      <c r="AB19" s="564">
        <f t="shared" si="23"/>
        <v>0.12288927558649136</v>
      </c>
      <c r="AC19" s="564">
        <f t="shared" si="23"/>
        <v>0.1194386628823715</v>
      </c>
      <c r="AD19" s="564">
        <f t="shared" si="23"/>
        <v>0.12904999999999997</v>
      </c>
      <c r="AE19" s="564">
        <f>+AE18/AE7</f>
        <v>0.1305</v>
      </c>
      <c r="AF19" s="564">
        <f>+AF18/AF7</f>
        <v>0.13049999999999998</v>
      </c>
      <c r="AG19" s="564">
        <f>+AG18/AG7</f>
        <v>0.13049999999999998</v>
      </c>
      <c r="AH19" s="1694">
        <f>+AH18/AH7</f>
        <v>0.13049999999999998</v>
      </c>
      <c r="AI19" s="1013"/>
      <c r="AJ19" s="560"/>
      <c r="AK19" s="565"/>
      <c r="AL19" s="1683"/>
      <c r="AM19" s="557"/>
      <c r="AN19" s="524"/>
    </row>
    <row r="20" spans="1:41" collapsed="1">
      <c r="A20" s="524"/>
      <c r="B20" s="523"/>
      <c r="C20" s="523">
        <v>32.342823079215826</v>
      </c>
      <c r="D20" s="523">
        <v>33.462741611511738</v>
      </c>
      <c r="E20" s="523">
        <v>33.271388424460177</v>
      </c>
      <c r="F20" s="523">
        <v>33.048616615666894</v>
      </c>
      <c r="G20" s="523">
        <v>31.839978928286449</v>
      </c>
      <c r="H20" s="523">
        <v>31.006808457736163</v>
      </c>
      <c r="I20" s="523">
        <v>31.332969068852137</v>
      </c>
      <c r="J20" s="523">
        <v>32.12408679853359</v>
      </c>
      <c r="K20" s="523">
        <v>31.659127976768513</v>
      </c>
      <c r="L20" s="523">
        <v>32.652426616446078</v>
      </c>
      <c r="M20" s="523">
        <v>28.08827452250053</v>
      </c>
      <c r="N20" s="523">
        <v>25.511941904612186</v>
      </c>
      <c r="O20" s="523">
        <v>25.871616382894423</v>
      </c>
      <c r="P20" s="523">
        <v>26.444575672919008</v>
      </c>
      <c r="Q20" s="523"/>
      <c r="R20" s="523"/>
      <c r="S20" s="523"/>
      <c r="T20" s="523"/>
      <c r="U20" s="523"/>
      <c r="V20" s="523"/>
      <c r="W20" s="523"/>
      <c r="X20" s="523"/>
      <c r="Y20" s="523"/>
      <c r="Z20" s="467"/>
      <c r="AA20" s="488"/>
      <c r="AB20" s="488"/>
      <c r="AC20" s="488"/>
      <c r="AD20" s="491"/>
      <c r="AE20" s="491"/>
      <c r="AF20" s="491"/>
      <c r="AG20" s="491"/>
      <c r="AH20" s="60"/>
      <c r="AI20" s="1013"/>
      <c r="AJ20" s="560"/>
      <c r="AK20" s="570"/>
      <c r="AL20" s="1683"/>
      <c r="AM20" s="557"/>
      <c r="AN20" s="524"/>
    </row>
    <row r="21" spans="1:41">
      <c r="A21" s="524" t="s">
        <v>517</v>
      </c>
      <c r="B21" s="523">
        <f>'qtrP&amp;L'!F34</f>
        <v>454.18</v>
      </c>
      <c r="C21" s="523">
        <f>'qtrP&amp;L'!J34</f>
        <v>575.68599999999992</v>
      </c>
      <c r="D21" s="523">
        <f>'qtrP&amp;L'!N34</f>
        <v>661.25199999999995</v>
      </c>
      <c r="E21" s="523">
        <f>'qtrP&amp;L'!R34</f>
        <v>748.19299999999998</v>
      </c>
      <c r="F21" s="523">
        <f>'qtrP&amp;L'!V34</f>
        <v>853.52400000000011</v>
      </c>
      <c r="G21" s="523">
        <f>'qtrP&amp;L'!Z34</f>
        <v>1004.396</v>
      </c>
      <c r="H21" s="523">
        <f>'qtrP&amp;L'!AD34</f>
        <v>1270.1379999999999</v>
      </c>
      <c r="I21" s="523">
        <f>'qtrP&amp;L'!AH34</f>
        <v>1635.0169999999998</v>
      </c>
      <c r="J21" s="523">
        <f>'qtrP&amp;L'!AL34</f>
        <v>2403.3649999999998</v>
      </c>
      <c r="K21" s="523">
        <f>'qtrP&amp;L'!AP34</f>
        <v>3043.4319999999998</v>
      </c>
      <c r="L21" s="523">
        <f>'qtrP&amp;L'!AT34</f>
        <v>3629.2569999999996</v>
      </c>
      <c r="M21" s="523">
        <f>'qtrP&amp;L'!AX34</f>
        <v>3805.9680000000003</v>
      </c>
      <c r="N21" s="523">
        <f>'qtrP&amp;L'!BB34</f>
        <v>3900.5220000000004</v>
      </c>
      <c r="O21" s="575">
        <f>4068+21</f>
        <v>4089</v>
      </c>
      <c r="P21" s="575">
        <f>4296+105</f>
        <v>4401</v>
      </c>
      <c r="Q21" s="523">
        <f>+'qtrP&amp;L'!BN34</f>
        <v>4125.277</v>
      </c>
      <c r="R21" s="523">
        <f>+'qtrP&amp;L'!BR34</f>
        <v>4432</v>
      </c>
      <c r="S21" s="523">
        <f>+'qtrP&amp;L'!$BV$34</f>
        <v>4348</v>
      </c>
      <c r="T21" s="523">
        <f>+'qtrP&amp;L'!$BZ$34</f>
        <v>3899</v>
      </c>
      <c r="U21" s="523">
        <f>+'qtrP&amp;L'!$CD$34</f>
        <v>3909</v>
      </c>
      <c r="V21" s="523">
        <f>+'qtrP&amp;L'!$CH$34</f>
        <v>3921</v>
      </c>
      <c r="W21" s="523">
        <f>+'qtrP&amp;L'!$CL$34</f>
        <v>3836</v>
      </c>
      <c r="X21" s="523">
        <f>+'qtrP&amp;L'!$CP$34</f>
        <v>4229</v>
      </c>
      <c r="Y21" s="523">
        <f>'qtrP&amp;L'!CT34</f>
        <v>4144</v>
      </c>
      <c r="Z21" s="523">
        <f>'qtrP&amp;L'!CX34</f>
        <v>4245</v>
      </c>
      <c r="AA21" s="523">
        <f>'qtrP&amp;L'!DB34</f>
        <v>4097</v>
      </c>
      <c r="AB21" s="523">
        <f>'qtrP&amp;L'!$DF$34</f>
        <v>4254</v>
      </c>
      <c r="AC21" s="523">
        <f>'qtrP&amp;L'!$DJ$34</f>
        <v>4651</v>
      </c>
      <c r="AD21" s="523">
        <f>'qtrP&amp;L'!$DN$34</f>
        <v>4683.5822655465763</v>
      </c>
      <c r="AE21" s="523">
        <f>+AE7*AE25</f>
        <v>4683.247176565299</v>
      </c>
      <c r="AF21" s="523">
        <f>+AF7*AF25</f>
        <v>4681.4397641937294</v>
      </c>
      <c r="AG21" s="523">
        <f>+AG7*AG25</f>
        <v>4683.0294407396086</v>
      </c>
      <c r="AH21" s="1695">
        <f>+AH7*AH25</f>
        <v>4681.0330210510492</v>
      </c>
      <c r="AI21" s="1013"/>
      <c r="AJ21" s="560">
        <f>((AB21/W21)^(1/5)-1)*100</f>
        <v>2.0901348363281835</v>
      </c>
      <c r="AK21" s="561" t="s">
        <v>489</v>
      </c>
      <c r="AL21" s="1683">
        <f>((AH21/AB21)^(1/6)-1)*100</f>
        <v>1.6070953965422907</v>
      </c>
      <c r="AM21" s="557" t="s">
        <v>489</v>
      </c>
      <c r="AN21" s="524"/>
    </row>
    <row r="22" spans="1:41" hidden="1" outlineLevel="1">
      <c r="A22" s="563" t="s">
        <v>108</v>
      </c>
      <c r="B22" s="523"/>
      <c r="C22" s="575">
        <v>34.673999999999999</v>
      </c>
      <c r="D22" s="575">
        <v>46.249000000000002</v>
      </c>
      <c r="E22" s="575">
        <v>37.51</v>
      </c>
      <c r="F22" s="575">
        <v>44</v>
      </c>
      <c r="G22" s="575">
        <v>64</v>
      </c>
      <c r="H22" s="575">
        <v>96</v>
      </c>
      <c r="I22" s="575">
        <v>175</v>
      </c>
      <c r="J22" s="575">
        <v>419</v>
      </c>
      <c r="K22" s="575">
        <v>504</v>
      </c>
      <c r="L22" s="575">
        <v>487</v>
      </c>
      <c r="M22" s="575">
        <v>423</v>
      </c>
      <c r="N22" s="575">
        <f>78+117+167+134</f>
        <v>496</v>
      </c>
      <c r="O22" s="575">
        <f>101+89+174+146-1</f>
        <v>509</v>
      </c>
      <c r="P22" s="575">
        <v>528</v>
      </c>
      <c r="Q22" s="575">
        <v>510</v>
      </c>
      <c r="R22" s="575">
        <v>573</v>
      </c>
      <c r="S22" s="575">
        <v>476</v>
      </c>
      <c r="T22" s="575">
        <v>435</v>
      </c>
      <c r="U22" s="575">
        <v>513</v>
      </c>
      <c r="V22" s="575">
        <v>516</v>
      </c>
      <c r="W22" s="575">
        <v>548</v>
      </c>
      <c r="X22" s="575">
        <v>653</v>
      </c>
      <c r="Y22" s="575">
        <v>637</v>
      </c>
      <c r="Z22" s="575">
        <v>639</v>
      </c>
      <c r="AA22" s="575">
        <v>578</v>
      </c>
      <c r="AB22" s="575">
        <v>601</v>
      </c>
      <c r="AC22" s="575">
        <v>673</v>
      </c>
      <c r="AD22" s="575">
        <f>AC22</f>
        <v>673</v>
      </c>
      <c r="AE22" s="575">
        <f t="shared" ref="AC22:AH22" si="24">+AD22</f>
        <v>673</v>
      </c>
      <c r="AF22" s="575">
        <f t="shared" si="24"/>
        <v>673</v>
      </c>
      <c r="AG22" s="575">
        <f t="shared" si="24"/>
        <v>673</v>
      </c>
      <c r="AH22" s="1696">
        <f t="shared" si="24"/>
        <v>673</v>
      </c>
      <c r="AI22" s="1013"/>
      <c r="AJ22" s="560">
        <f>((AB22/W22)^(1/5)-1)*100</f>
        <v>1.8635441834962796</v>
      </c>
      <c r="AK22" s="561" t="s">
        <v>489</v>
      </c>
      <c r="AL22" s="1683">
        <f>((AG22/AB22)^(1/5)-1)*100</f>
        <v>2.2888081792102444</v>
      </c>
      <c r="AM22" s="557" t="s">
        <v>489</v>
      </c>
      <c r="AN22" s="524"/>
    </row>
    <row r="23" spans="1:41" hidden="1" outlineLevel="1">
      <c r="A23" s="563" t="s">
        <v>131</v>
      </c>
      <c r="B23" s="523"/>
      <c r="C23" s="564">
        <f t="shared" ref="C23:Z23" si="25">+C22/C7</f>
        <v>1.3765570828137598E-2</v>
      </c>
      <c r="D23" s="564">
        <f t="shared" si="25"/>
        <v>1.5622503512183621E-2</v>
      </c>
      <c r="E23" s="564">
        <f t="shared" si="25"/>
        <v>1.1381569624954371E-2</v>
      </c>
      <c r="F23" s="564">
        <f t="shared" si="25"/>
        <v>1.1818616469779261E-2</v>
      </c>
      <c r="G23" s="564">
        <f t="shared" si="25"/>
        <v>1.4561164055857534E-2</v>
      </c>
      <c r="H23" s="564">
        <f t="shared" si="25"/>
        <v>1.8166744600739422E-2</v>
      </c>
      <c r="I23" s="564">
        <f t="shared" si="25"/>
        <v>2.6890704651707748E-2</v>
      </c>
      <c r="J23" s="564">
        <f t="shared" si="25"/>
        <v>4.6275526917005122E-2</v>
      </c>
      <c r="K23" s="564">
        <f t="shared" si="25"/>
        <v>4.3316094559034415E-2</v>
      </c>
      <c r="L23" s="564">
        <f t="shared" si="25"/>
        <v>3.5616442363527595E-2</v>
      </c>
      <c r="M23" s="564">
        <f t="shared" si="25"/>
        <v>3.0546207348955325E-2</v>
      </c>
      <c r="N23" s="564">
        <f t="shared" si="25"/>
        <v>3.4314077163365937E-2</v>
      </c>
      <c r="O23" s="564">
        <f t="shared" si="25"/>
        <v>3.2105887614255015E-2</v>
      </c>
      <c r="P23" s="564">
        <f t="shared" si="25"/>
        <v>3.2457551147844696E-2</v>
      </c>
      <c r="Q23" s="564">
        <f t="shared" si="25"/>
        <v>3.1828490618084328E-2</v>
      </c>
      <c r="R23" s="564">
        <f t="shared" si="25"/>
        <v>3.5985681090246815E-2</v>
      </c>
      <c r="S23" s="564">
        <f t="shared" si="25"/>
        <v>3.0197297468755949E-2</v>
      </c>
      <c r="T23" s="564">
        <f t="shared" si="25"/>
        <v>2.9946303180503925E-2</v>
      </c>
      <c r="U23" s="564">
        <f t="shared" si="25"/>
        <v>3.6134394590406425E-2</v>
      </c>
      <c r="V23" s="564">
        <f t="shared" si="25"/>
        <v>3.5188216039279872E-2</v>
      </c>
      <c r="W23" s="564">
        <f t="shared" si="25"/>
        <v>3.7665818956629321E-2</v>
      </c>
      <c r="X23" s="564">
        <f t="shared" si="25"/>
        <v>4.1722573637467252E-2</v>
      </c>
      <c r="Y23" s="564">
        <f t="shared" si="25"/>
        <v>3.9447609611097348E-2</v>
      </c>
      <c r="Z23" s="564">
        <f t="shared" si="25"/>
        <v>3.8880438089443262E-2</v>
      </c>
      <c r="AA23" s="564">
        <f t="shared" ref="AA23:AG23" si="26">+AA22/AA7</f>
        <v>3.6589225802367537E-2</v>
      </c>
      <c r="AB23" s="564">
        <f t="shared" si="26"/>
        <v>3.8734209847898944E-2</v>
      </c>
      <c r="AC23" s="564">
        <f t="shared" si="26"/>
        <v>4.2447177546515294E-2</v>
      </c>
      <c r="AD23" s="564">
        <f t="shared" si="26"/>
        <v>4.2043122745420186E-2</v>
      </c>
      <c r="AE23" s="564">
        <f t="shared" si="26"/>
        <v>4.2248891109162488E-2</v>
      </c>
      <c r="AF23" s="564">
        <f t="shared" si="26"/>
        <v>4.2452089530244735E-2</v>
      </c>
      <c r="AG23" s="564">
        <f t="shared" si="26"/>
        <v>4.2624502477711212E-2</v>
      </c>
      <c r="AH23" s="1694">
        <f t="shared" ref="AH23" si="27">+AH22/AH7</f>
        <v>4.2815207476361514E-2</v>
      </c>
      <c r="AI23" s="1013"/>
      <c r="AJ23" s="560"/>
      <c r="AK23" s="570"/>
      <c r="AL23" s="1683"/>
      <c r="AM23" s="557"/>
      <c r="AN23" s="524"/>
    </row>
    <row r="24" spans="1:41" hidden="1" outlineLevel="1">
      <c r="A24" s="563" t="s">
        <v>130</v>
      </c>
      <c r="B24" s="523"/>
      <c r="C24" s="523">
        <f t="shared" ref="C24:N24" si="28">+C21-C22</f>
        <v>541.01199999999994</v>
      </c>
      <c r="D24" s="523">
        <f t="shared" si="28"/>
        <v>615.00299999999993</v>
      </c>
      <c r="E24" s="523">
        <f t="shared" si="28"/>
        <v>710.68299999999999</v>
      </c>
      <c r="F24" s="523">
        <f t="shared" si="28"/>
        <v>809.52400000000011</v>
      </c>
      <c r="G24" s="523">
        <f t="shared" si="28"/>
        <v>940.39599999999996</v>
      </c>
      <c r="H24" s="523">
        <f t="shared" si="28"/>
        <v>1174.1379999999999</v>
      </c>
      <c r="I24" s="523">
        <f t="shared" si="28"/>
        <v>1460.0169999999998</v>
      </c>
      <c r="J24" s="523">
        <f t="shared" si="28"/>
        <v>1984.3649999999998</v>
      </c>
      <c r="K24" s="523">
        <f t="shared" si="28"/>
        <v>2539.4319999999998</v>
      </c>
      <c r="L24" s="523">
        <f t="shared" si="28"/>
        <v>3142.2569999999996</v>
      </c>
      <c r="M24" s="523">
        <f t="shared" si="28"/>
        <v>3382.9680000000003</v>
      </c>
      <c r="N24" s="523">
        <f t="shared" si="28"/>
        <v>3404.5220000000004</v>
      </c>
      <c r="O24" s="523">
        <f t="shared" ref="O24:U24" si="29">+O21-O22</f>
        <v>3580</v>
      </c>
      <c r="P24" s="523">
        <f t="shared" si="29"/>
        <v>3873</v>
      </c>
      <c r="Q24" s="523">
        <f t="shared" si="29"/>
        <v>3615.277</v>
      </c>
      <c r="R24" s="523">
        <f t="shared" si="29"/>
        <v>3859</v>
      </c>
      <c r="S24" s="523">
        <f t="shared" si="29"/>
        <v>3872</v>
      </c>
      <c r="T24" s="523">
        <f t="shared" si="29"/>
        <v>3464</v>
      </c>
      <c r="U24" s="523">
        <f t="shared" si="29"/>
        <v>3396</v>
      </c>
      <c r="V24" s="523">
        <f t="shared" ref="V24:AC24" si="30">+V21-V22</f>
        <v>3405</v>
      </c>
      <c r="W24" s="523">
        <f t="shared" si="30"/>
        <v>3288</v>
      </c>
      <c r="X24" s="523">
        <f t="shared" si="30"/>
        <v>3576</v>
      </c>
      <c r="Y24" s="523">
        <f>+Y21-Y22</f>
        <v>3507</v>
      </c>
      <c r="Z24" s="523">
        <f t="shared" si="30"/>
        <v>3606</v>
      </c>
      <c r="AA24" s="523">
        <f t="shared" si="30"/>
        <v>3519</v>
      </c>
      <c r="AB24" s="523">
        <f>+AB21-AB22</f>
        <v>3653</v>
      </c>
      <c r="AC24" s="523">
        <f t="shared" si="30"/>
        <v>3978</v>
      </c>
      <c r="AD24" s="523">
        <f>+AD21-AD22</f>
        <v>4010.5822655465763</v>
      </c>
      <c r="AE24" s="523">
        <f>+AE21-AE22</f>
        <v>4010.247176565299</v>
      </c>
      <c r="AF24" s="523">
        <f>+AF21-AF22</f>
        <v>4008.4397641937294</v>
      </c>
      <c r="AG24" s="523">
        <f>+AG21-AG22</f>
        <v>4010.0294407396086</v>
      </c>
      <c r="AH24" s="1695">
        <f>+AH21-AH22</f>
        <v>4008.0330210510492</v>
      </c>
      <c r="AI24" s="1013"/>
      <c r="AJ24" s="560">
        <f>((AB24/W24)^(1/5)-1)*100</f>
        <v>2.1277050137302744</v>
      </c>
      <c r="AK24" s="561" t="s">
        <v>489</v>
      </c>
      <c r="AL24" s="1683">
        <f>((AG24/AB24)^(1/5)-1)*100</f>
        <v>1.8824963899665148</v>
      </c>
      <c r="AM24" s="557" t="s">
        <v>489</v>
      </c>
      <c r="AN24" s="524"/>
    </row>
    <row r="25" spans="1:41" collapsed="1">
      <c r="A25" s="563" t="s">
        <v>18</v>
      </c>
      <c r="B25" s="564">
        <f t="shared" ref="B25:AA25" si="31">B21/B$7</f>
        <v>0.23486642741159799</v>
      </c>
      <c r="C25" s="564">
        <f>C21/C$7</f>
        <v>0.22854722292689683</v>
      </c>
      <c r="D25" s="564">
        <f t="shared" si="31"/>
        <v>0.22336508232477334</v>
      </c>
      <c r="E25" s="564">
        <f t="shared" si="31"/>
        <v>0.22702241328721637</v>
      </c>
      <c r="F25" s="564">
        <f t="shared" si="31"/>
        <v>0.22926074553981537</v>
      </c>
      <c r="G25" s="564">
        <f t="shared" si="31"/>
        <v>0.22851835832886067</v>
      </c>
      <c r="H25" s="564">
        <f t="shared" si="31"/>
        <v>0.24035700680931216</v>
      </c>
      <c r="I25" s="564">
        <f t="shared" si="31"/>
        <v>0.25123862427154997</v>
      </c>
      <c r="J25" s="564">
        <f t="shared" si="31"/>
        <v>0.26543432398302624</v>
      </c>
      <c r="K25" s="564">
        <f t="shared" si="31"/>
        <v>0.26156664344442704</v>
      </c>
      <c r="L25" s="564">
        <f t="shared" si="31"/>
        <v>0.26542345536535739</v>
      </c>
      <c r="M25" s="564">
        <f t="shared" si="31"/>
        <v>0.27484134206025723</v>
      </c>
      <c r="N25" s="564">
        <f t="shared" si="31"/>
        <v>0.26984438081735168</v>
      </c>
      <c r="O25" s="564">
        <f t="shared" si="31"/>
        <v>0.25791939971451622</v>
      </c>
      <c r="P25" s="564">
        <f t="shared" si="31"/>
        <v>0.27054106553345553</v>
      </c>
      <c r="Q25" s="564">
        <f t="shared" si="31"/>
        <v>0.25745360841470405</v>
      </c>
      <c r="R25" s="564">
        <f t="shared" si="31"/>
        <v>0.27833950888651637</v>
      </c>
      <c r="S25" s="564">
        <f t="shared" si="31"/>
        <v>0.27583581805493879</v>
      </c>
      <c r="T25" s="564">
        <f t="shared" si="31"/>
        <v>0.26841525540410299</v>
      </c>
      <c r="U25" s="564">
        <f t="shared" si="31"/>
        <v>0.27533986053391563</v>
      </c>
      <c r="V25" s="564">
        <f t="shared" si="31"/>
        <v>0.26738952536824878</v>
      </c>
      <c r="W25" s="564">
        <f t="shared" si="31"/>
        <v>0.26366073269640528</v>
      </c>
      <c r="X25" s="564">
        <f t="shared" si="31"/>
        <v>0.27020637658935531</v>
      </c>
      <c r="Y25" s="564">
        <f t="shared" si="31"/>
        <v>0.25662620757988608</v>
      </c>
      <c r="Z25" s="564">
        <f t="shared" si="31"/>
        <v>0.25829023425616066</v>
      </c>
      <c r="AA25" s="564">
        <f t="shared" si="31"/>
        <v>0.25935304171678164</v>
      </c>
      <c r="AB25" s="564">
        <f>AB21/AB$7</f>
        <v>0.27416860015467903</v>
      </c>
      <c r="AC25" s="564">
        <f>AC21/AC$7</f>
        <v>0.29334594765058342</v>
      </c>
      <c r="AD25" s="564">
        <f>AD21/AD$7</f>
        <v>0.29258904023573234</v>
      </c>
      <c r="AE25" s="572">
        <v>0.29399999999999998</v>
      </c>
      <c r="AF25" s="572">
        <v>0.29530000000000001</v>
      </c>
      <c r="AG25" s="572">
        <v>0.29659999999999997</v>
      </c>
      <c r="AH25" s="48">
        <v>0.29780000000000001</v>
      </c>
      <c r="AI25" s="1013"/>
      <c r="AJ25" s="560"/>
      <c r="AK25" s="565"/>
      <c r="AL25" s="1683"/>
      <c r="AM25" s="557"/>
      <c r="AN25" s="524"/>
      <c r="AO25" s="653"/>
    </row>
    <row r="26" spans="1:41">
      <c r="A26" s="563"/>
      <c r="B26" s="564"/>
      <c r="C26" s="564"/>
      <c r="D26" s="564"/>
      <c r="E26" s="564"/>
      <c r="F26" s="564"/>
      <c r="G26" s="564"/>
      <c r="H26" s="564"/>
      <c r="I26" s="564"/>
      <c r="J26" s="564"/>
      <c r="K26" s="564"/>
      <c r="L26" s="564"/>
      <c r="M26" s="564"/>
      <c r="N26" s="564"/>
      <c r="O26" s="564"/>
      <c r="P26" s="564"/>
      <c r="Q26" s="564"/>
      <c r="R26" s="572"/>
      <c r="S26" s="523"/>
      <c r="T26" s="572"/>
      <c r="U26" s="577">
        <f>U14/T14-1</f>
        <v>-8.9445438282647061E-3</v>
      </c>
      <c r="V26" s="577">
        <f t="shared" ref="V26:AA26" si="32">V21/U21-1</f>
        <v>3.0698388334613469E-3</v>
      </c>
      <c r="W26" s="577">
        <f t="shared" si="32"/>
        <v>-2.1678143330782995E-2</v>
      </c>
      <c r="X26" s="577">
        <f t="shared" si="32"/>
        <v>0.10245046923879042</v>
      </c>
      <c r="Y26" s="577">
        <f t="shared" si="32"/>
        <v>-2.0099314258690049E-2</v>
      </c>
      <c r="Z26" s="577">
        <f t="shared" si="32"/>
        <v>2.437258687258681E-2</v>
      </c>
      <c r="AA26" s="577">
        <f t="shared" si="32"/>
        <v>-3.4864546525323892E-2</v>
      </c>
      <c r="AB26" s="577">
        <f t="shared" ref="AB26:AH26" si="33">AB21/AA21-1</f>
        <v>3.8320722479863401E-2</v>
      </c>
      <c r="AC26" s="577">
        <f t="shared" si="33"/>
        <v>9.3323930418429679E-2</v>
      </c>
      <c r="AD26" s="577">
        <f t="shared" si="33"/>
        <v>7.0054322826438309E-3</v>
      </c>
      <c r="AE26" s="577">
        <f t="shared" si="33"/>
        <v>-7.1545445831544541E-5</v>
      </c>
      <c r="AF26" s="577">
        <f t="shared" si="33"/>
        <v>-3.8593144957499437E-4</v>
      </c>
      <c r="AG26" s="577">
        <f t="shared" si="33"/>
        <v>3.3957000964490724E-4</v>
      </c>
      <c r="AH26" s="1697">
        <f t="shared" si="33"/>
        <v>-4.2630944644328483E-4</v>
      </c>
      <c r="AI26" s="1013"/>
      <c r="AJ26" s="560"/>
      <c r="AK26" s="565"/>
      <c r="AL26" s="1683"/>
      <c r="AM26" s="557"/>
      <c r="AN26" s="524"/>
    </row>
    <row r="27" spans="1:41" ht="12.75" hidden="1" customHeight="1" outlineLevel="1">
      <c r="A27" s="524" t="s">
        <v>65</v>
      </c>
      <c r="B27" s="523"/>
      <c r="C27" s="523"/>
      <c r="D27" s="523"/>
      <c r="E27" s="523"/>
      <c r="F27" s="523"/>
      <c r="G27" s="523"/>
      <c r="H27" s="523"/>
      <c r="I27" s="523"/>
      <c r="J27" s="523"/>
      <c r="K27" s="523"/>
      <c r="L27" s="523"/>
      <c r="M27" s="523">
        <v>78</v>
      </c>
      <c r="N27" s="578">
        <f>38/(1-N43)</f>
        <v>63.740294937554673</v>
      </c>
      <c r="O27" s="578">
        <f>52/(1-O43)</f>
        <v>84.93326946275009</v>
      </c>
      <c r="P27" s="578">
        <f>77/(1-P43)</f>
        <v>125.34206222016611</v>
      </c>
      <c r="Q27" s="578">
        <f>(93-13)/(1-Q43)</f>
        <v>128.86619175245499</v>
      </c>
      <c r="R27" s="578">
        <f>+'qtrP&amp;L'!BR44</f>
        <v>46.900000000000006</v>
      </c>
      <c r="S27" s="579">
        <f>'qtrP&amp;L'!$BV$44</f>
        <v>46.900000000000006</v>
      </c>
      <c r="T27" s="579">
        <f t="shared" ref="T27:Y27" si="34">+S27*1.02</f>
        <v>47.838000000000008</v>
      </c>
      <c r="U27" s="579">
        <f t="shared" si="34"/>
        <v>48.794760000000011</v>
      </c>
      <c r="V27" s="579">
        <f t="shared" si="34"/>
        <v>49.770655200000014</v>
      </c>
      <c r="W27" s="579">
        <f t="shared" si="34"/>
        <v>50.766068304000015</v>
      </c>
      <c r="X27" s="579">
        <f t="shared" si="34"/>
        <v>51.781389670080017</v>
      </c>
      <c r="Y27" s="579">
        <f t="shared" si="34"/>
        <v>52.817017463481619</v>
      </c>
      <c r="Z27" s="579">
        <f>+Y27*1.02</f>
        <v>53.873357812751252</v>
      </c>
      <c r="AA27" s="579">
        <f>+Z27*1.02</f>
        <v>54.950824969006277</v>
      </c>
      <c r="AB27" s="579"/>
      <c r="AC27" s="579"/>
      <c r="AD27" s="579"/>
      <c r="AE27" s="579"/>
      <c r="AF27" s="579"/>
      <c r="AG27" s="579"/>
      <c r="AH27" s="1698"/>
      <c r="AI27" s="1013"/>
      <c r="AJ27" s="560"/>
      <c r="AK27" s="561"/>
      <c r="AL27" s="1683"/>
      <c r="AM27" s="557"/>
      <c r="AN27" s="524"/>
    </row>
    <row r="28" spans="1:41" hidden="1" outlineLevel="1">
      <c r="A28" s="563"/>
      <c r="B28" s="523"/>
      <c r="C28" s="575"/>
      <c r="D28" s="575"/>
      <c r="E28" s="575"/>
      <c r="F28" s="575"/>
      <c r="G28" s="575"/>
      <c r="H28" s="575"/>
      <c r="I28" s="575"/>
      <c r="J28" s="575"/>
      <c r="K28" s="575"/>
      <c r="L28" s="575"/>
      <c r="M28" s="564">
        <f t="shared" ref="M28:AA28" si="35">+M27/M7</f>
        <v>5.6326339792399892E-3</v>
      </c>
      <c r="N28" s="580">
        <f t="shared" si="35"/>
        <v>4.4096560461753106E-3</v>
      </c>
      <c r="O28" s="580">
        <f t="shared" si="35"/>
        <v>5.3572848803188442E-3</v>
      </c>
      <c r="P28" s="580">
        <f t="shared" si="35"/>
        <v>7.7051068096351781E-3</v>
      </c>
      <c r="Q28" s="580">
        <f t="shared" si="35"/>
        <v>8.0423850493750379E-3</v>
      </c>
      <c r="R28" s="580">
        <f t="shared" si="35"/>
        <v>2.9454248571249139E-3</v>
      </c>
      <c r="S28" s="580">
        <f t="shared" si="35"/>
        <v>2.9753219564803658E-3</v>
      </c>
      <c r="T28" s="581">
        <f t="shared" si="35"/>
        <v>3.293267244940108E-3</v>
      </c>
      <c r="U28" s="581">
        <f t="shared" si="35"/>
        <v>3.4369768260900197E-3</v>
      </c>
      <c r="V28" s="581">
        <f t="shared" si="35"/>
        <v>3.3940708674304429E-3</v>
      </c>
      <c r="W28" s="581">
        <f t="shared" si="35"/>
        <v>3.4893166749604796E-3</v>
      </c>
      <c r="X28" s="581">
        <f t="shared" si="35"/>
        <v>3.3085035889131695E-3</v>
      </c>
      <c r="Y28" s="581">
        <f t="shared" si="35"/>
        <v>3.2708086118083735E-3</v>
      </c>
      <c r="Z28" s="581">
        <f t="shared" si="35"/>
        <v>3.2779651848342715E-3</v>
      </c>
      <c r="AA28" s="581">
        <f t="shared" si="35"/>
        <v>3.4785608007220532E-3</v>
      </c>
      <c r="AB28" s="581"/>
      <c r="AC28" s="581"/>
      <c r="AD28" s="581"/>
      <c r="AE28" s="581"/>
      <c r="AF28" s="581"/>
      <c r="AG28" s="581"/>
      <c r="AH28" s="1699"/>
      <c r="AI28" s="1013"/>
      <c r="AJ28" s="560"/>
      <c r="AK28" s="561"/>
      <c r="AL28" s="1683"/>
      <c r="AM28" s="557"/>
      <c r="AN28" s="524"/>
    </row>
    <row r="29" spans="1:41" collapsed="1">
      <c r="A29" s="524"/>
      <c r="B29" s="523"/>
      <c r="C29" s="523"/>
      <c r="D29" s="523"/>
      <c r="E29" s="523"/>
      <c r="F29" s="523"/>
      <c r="G29" s="523"/>
      <c r="H29" s="523"/>
      <c r="I29" s="523"/>
      <c r="J29" s="523"/>
      <c r="K29" s="523"/>
      <c r="L29" s="523"/>
      <c r="M29" s="564"/>
      <c r="N29" s="564"/>
      <c r="O29" s="564"/>
      <c r="P29" s="564"/>
      <c r="Q29" s="564"/>
      <c r="R29" s="564"/>
      <c r="S29" s="523"/>
      <c r="T29" s="523"/>
      <c r="U29" s="523"/>
      <c r="V29" s="523"/>
      <c r="W29" s="523"/>
      <c r="X29" s="523"/>
      <c r="Y29" s="523"/>
      <c r="Z29" s="523"/>
      <c r="AA29" s="523"/>
      <c r="AB29" s="523"/>
      <c r="AC29"/>
      <c r="AD29" s="564"/>
      <c r="AE29" s="564"/>
      <c r="AF29" s="564"/>
      <c r="AG29" s="564"/>
      <c r="AH29" s="1694"/>
      <c r="AI29" s="1013"/>
      <c r="AJ29" s="560"/>
      <c r="AK29" s="565"/>
      <c r="AL29" s="1683"/>
      <c r="AM29" s="557"/>
      <c r="AN29" s="524"/>
    </row>
    <row r="30" spans="1:41">
      <c r="A30" s="524" t="s">
        <v>72</v>
      </c>
      <c r="B30" s="575">
        <v>53.598999999999997</v>
      </c>
      <c r="C30" s="575">
        <v>72.765000000000001</v>
      </c>
      <c r="D30" s="575">
        <v>99.450999999999993</v>
      </c>
      <c r="E30" s="575">
        <v>124.86</v>
      </c>
      <c r="F30" s="575">
        <v>148.863</v>
      </c>
      <c r="G30" s="575">
        <v>175.71899999999999</v>
      </c>
      <c r="H30" s="575">
        <v>191.45699999999999</v>
      </c>
      <c r="I30" s="575">
        <v>245.584</v>
      </c>
      <c r="J30" s="582">
        <v>304.745</v>
      </c>
      <c r="K30" s="575">
        <f>'qtrP&amp;L'!AP54</f>
        <v>436.18400000000003</v>
      </c>
      <c r="L30" s="575">
        <f>'qtrP&amp;L'!AT54</f>
        <v>590.36500000000001</v>
      </c>
      <c r="M30" s="575">
        <f>'qtrP&amp;L'!AX54</f>
        <v>810.48599999999999</v>
      </c>
      <c r="N30" s="575">
        <f>'qtrP&amp;L'!BB54</f>
        <v>692.91399999999999</v>
      </c>
      <c r="O30" s="575">
        <f>'qtrP&amp;L'!BF54</f>
        <v>675.16499999999996</v>
      </c>
      <c r="P30" s="575">
        <f>'qtrP&amp;L'!BJ54</f>
        <v>614.50099999999998</v>
      </c>
      <c r="Q30" s="523">
        <f>'qtrP&amp;L'!BN54</f>
        <v>625.26099999999997</v>
      </c>
      <c r="R30" s="523">
        <f>+'qtrP&amp;L'!BR54</f>
        <v>530</v>
      </c>
      <c r="S30" s="523">
        <f>+'qtrP&amp;L'!BV54</f>
        <v>547</v>
      </c>
      <c r="T30" s="523">
        <f>+'qtrP&amp;L'!BZ54</f>
        <v>568</v>
      </c>
      <c r="U30" s="523">
        <f>+'qtrP&amp;L'!CD54</f>
        <v>573</v>
      </c>
      <c r="V30" s="523">
        <f>+'qtrP&amp;L'!CH54</f>
        <v>562</v>
      </c>
      <c r="W30" s="523">
        <f>'qtrP&amp;L'!$CL$54</f>
        <v>506</v>
      </c>
      <c r="X30" s="523">
        <f>+'qtrP&amp;L'!$CP$54</f>
        <v>483</v>
      </c>
      <c r="Y30" s="523">
        <f>'qtrP&amp;L'!CT54</f>
        <v>470</v>
      </c>
      <c r="Z30" s="523">
        <f>'qtrP&amp;L'!CX54</f>
        <v>500</v>
      </c>
      <c r="AA30" s="523">
        <f>'qtrP&amp;L'!DB54</f>
        <v>527</v>
      </c>
      <c r="AB30" s="523">
        <f>'qtrP&amp;L'!$DF$54</f>
        <v>531</v>
      </c>
      <c r="AC30" s="523">
        <f>'qtrP&amp;L'!$DJ$54</f>
        <v>535</v>
      </c>
      <c r="AD30" s="523">
        <f>+AC30+15</f>
        <v>550</v>
      </c>
      <c r="AE30" s="523">
        <f>+AD30+15</f>
        <v>565</v>
      </c>
      <c r="AF30" s="523">
        <f>+AE30+15</f>
        <v>580</v>
      </c>
      <c r="AG30" s="523">
        <f>+AF30+15</f>
        <v>595</v>
      </c>
      <c r="AH30" s="1695">
        <f>+AG30+15</f>
        <v>610</v>
      </c>
      <c r="AI30" s="1013"/>
      <c r="AJ30" s="560">
        <f>((AB30/W30)^(1/5)-1)*100</f>
        <v>0.96917339862105933</v>
      </c>
      <c r="AK30" s="561" t="s">
        <v>489</v>
      </c>
      <c r="AL30" s="1683">
        <f>((AH30/AB30)^(1/6)-1)*100</f>
        <v>2.338540498599806</v>
      </c>
      <c r="AM30" s="557" t="s">
        <v>489</v>
      </c>
      <c r="AN30" s="524"/>
    </row>
    <row r="31" spans="1:41">
      <c r="A31" s="524" t="s">
        <v>112</v>
      </c>
      <c r="B31" s="564">
        <f t="shared" ref="B31:AA31" si="36">+B30/B7</f>
        <v>2.7717217056748955E-2</v>
      </c>
      <c r="C31" s="564">
        <f t="shared" si="36"/>
        <v>2.8887689949513535E-2</v>
      </c>
      <c r="D31" s="564">
        <f t="shared" si="36"/>
        <v>3.3593668982900671E-2</v>
      </c>
      <c r="E31" s="564">
        <f t="shared" si="36"/>
        <v>3.7885971297568724E-2</v>
      </c>
      <c r="F31" s="564">
        <f t="shared" si="36"/>
        <v>3.9985334171380685E-2</v>
      </c>
      <c r="G31" s="564">
        <f t="shared" si="36"/>
        <v>3.9979268542675465E-2</v>
      </c>
      <c r="H31" s="564">
        <f t="shared" si="36"/>
        <v>3.6230733552330911E-2</v>
      </c>
      <c r="I31" s="564">
        <f t="shared" si="36"/>
        <v>3.7736724635342833E-2</v>
      </c>
      <c r="J31" s="564">
        <f t="shared" si="36"/>
        <v>3.3656886516283353E-2</v>
      </c>
      <c r="K31" s="564">
        <f t="shared" si="36"/>
        <v>3.7487673391146566E-2</v>
      </c>
      <c r="L31" s="564">
        <f t="shared" si="36"/>
        <v>4.3175977404402398E-2</v>
      </c>
      <c r="M31" s="564">
        <f t="shared" si="36"/>
        <v>5.8527833119208991E-2</v>
      </c>
      <c r="N31" s="564">
        <f t="shared" si="36"/>
        <v>4.7936904160436576E-2</v>
      </c>
      <c r="O31" s="564">
        <f t="shared" si="36"/>
        <v>4.2586977624908616E-2</v>
      </c>
      <c r="P31" s="564">
        <f t="shared" si="36"/>
        <v>3.7774995526329E-2</v>
      </c>
      <c r="Q31" s="564">
        <f t="shared" si="36"/>
        <v>3.9021791906576515E-2</v>
      </c>
      <c r="R31" s="564">
        <f t="shared" si="36"/>
        <v>3.3285184952584312E-2</v>
      </c>
      <c r="S31" s="564">
        <f t="shared" si="36"/>
        <v>3.4701516208843493E-2</v>
      </c>
      <c r="T31" s="564">
        <f t="shared" si="36"/>
        <v>3.9102299325347652E-2</v>
      </c>
      <c r="U31" s="564">
        <f t="shared" si="36"/>
        <v>4.0360639571740506E-2</v>
      </c>
      <c r="V31" s="564">
        <f t="shared" si="36"/>
        <v>3.8325150027277689E-2</v>
      </c>
      <c r="W31" s="564">
        <f t="shared" si="36"/>
        <v>3.4779022613238023E-2</v>
      </c>
      <c r="X31" s="564">
        <f t="shared" si="36"/>
        <v>3.0860647881924479E-2</v>
      </c>
      <c r="Y31" s="564">
        <f t="shared" si="36"/>
        <v>2.9105771612583601E-2</v>
      </c>
      <c r="Z31" s="564">
        <f t="shared" si="36"/>
        <v>3.0422878004259205E-2</v>
      </c>
      <c r="AA31" s="564">
        <f t="shared" si="36"/>
        <v>3.3360764702158638E-2</v>
      </c>
      <c r="AB31" s="564">
        <f t="shared" ref="AB31:AG31" si="37">+AB30/AB7</f>
        <v>3.4222737819025524E-2</v>
      </c>
      <c r="AC31" s="564">
        <f t="shared" si="37"/>
        <v>3.3743298643960896E-2</v>
      </c>
      <c r="AD31" s="564">
        <f t="shared" si="37"/>
        <v>3.4359164205023926E-2</v>
      </c>
      <c r="AE31" s="564">
        <f t="shared" si="37"/>
        <v>3.5468979905909068E-2</v>
      </c>
      <c r="AF31" s="564">
        <f t="shared" si="37"/>
        <v>3.6585753235574954E-2</v>
      </c>
      <c r="AG31" s="564">
        <f t="shared" si="37"/>
        <v>3.7684366975093864E-2</v>
      </c>
      <c r="AH31" s="1694">
        <f t="shared" ref="AH31" si="38">+AH30/AH7</f>
        <v>3.880724600383436E-2</v>
      </c>
      <c r="AI31" s="1013"/>
      <c r="AJ31" s="560"/>
      <c r="AK31" s="565"/>
      <c r="AL31" s="1683"/>
      <c r="AM31" s="557"/>
      <c r="AN31" s="524"/>
    </row>
    <row r="32" spans="1:41">
      <c r="A32" s="524"/>
      <c r="B32" s="523"/>
      <c r="C32" s="523"/>
      <c r="D32" s="523"/>
      <c r="E32" s="523"/>
      <c r="F32" s="523"/>
      <c r="G32" s="523"/>
      <c r="H32" s="523"/>
      <c r="I32" s="523"/>
      <c r="J32" s="523"/>
      <c r="K32" s="523"/>
      <c r="L32" s="523"/>
      <c r="M32" s="523"/>
      <c r="N32" s="523"/>
      <c r="O32" s="523"/>
      <c r="P32" s="523"/>
      <c r="Q32" s="523"/>
      <c r="R32" s="523"/>
      <c r="S32" s="523"/>
      <c r="T32" s="523"/>
      <c r="U32" s="523"/>
      <c r="V32" s="523"/>
      <c r="W32" s="564"/>
      <c r="X32" s="564"/>
      <c r="Y32" s="523"/>
      <c r="Z32" s="523"/>
      <c r="AA32" s="523"/>
      <c r="AB32" s="523"/>
      <c r="AC32" s="523"/>
      <c r="AD32" s="523"/>
      <c r="AE32" s="523"/>
      <c r="AF32" s="523"/>
      <c r="AG32" s="523"/>
      <c r="AH32" s="1695"/>
      <c r="AI32" s="1013"/>
      <c r="AJ32" s="560"/>
      <c r="AK32" s="565"/>
      <c r="AL32" s="1683"/>
      <c r="AM32" s="557"/>
      <c r="AN32" s="524"/>
    </row>
    <row r="33" spans="1:45">
      <c r="A33" s="524" t="s">
        <v>71</v>
      </c>
      <c r="B33" s="523">
        <f t="shared" ref="B33:Z33" si="39">B7-B12-B21-B30</f>
        <v>238.3570000000002</v>
      </c>
      <c r="C33" s="523">
        <f t="shared" si="39"/>
        <v>374.28600000000017</v>
      </c>
      <c r="D33" s="523">
        <f t="shared" si="39"/>
        <v>343.60400000000004</v>
      </c>
      <c r="E33" s="523">
        <f t="shared" si="39"/>
        <v>425.69700000000023</v>
      </c>
      <c r="F33" s="523">
        <f t="shared" si="39"/>
        <v>518.41999999999916</v>
      </c>
      <c r="G33" s="523">
        <f t="shared" si="39"/>
        <v>569.40200000000073</v>
      </c>
      <c r="H33" s="523">
        <f t="shared" si="39"/>
        <v>729.07700000000011</v>
      </c>
      <c r="I33" s="523">
        <f t="shared" si="39"/>
        <v>851.26700000000051</v>
      </c>
      <c r="J33" s="523">
        <f t="shared" si="39"/>
        <v>1332.8789999999999</v>
      </c>
      <c r="K33" s="523">
        <f t="shared" si="39"/>
        <v>1816.7050000000011</v>
      </c>
      <c r="L33" s="523">
        <f t="shared" si="39"/>
        <v>1444.7609999999984</v>
      </c>
      <c r="M33" s="523">
        <f t="shared" si="39"/>
        <v>337.51599999999905</v>
      </c>
      <c r="N33" s="523">
        <f t="shared" si="39"/>
        <v>1012.6289999999983</v>
      </c>
      <c r="O33" s="523">
        <f t="shared" si="39"/>
        <v>1880.0010000000011</v>
      </c>
      <c r="P33" s="523">
        <f t="shared" si="39"/>
        <v>1980.0470000000025</v>
      </c>
      <c r="Q33" s="523">
        <f t="shared" si="39"/>
        <v>1744.2690000000007</v>
      </c>
      <c r="R33" s="523">
        <f t="shared" si="39"/>
        <v>1225</v>
      </c>
      <c r="S33" s="523">
        <f t="shared" si="39"/>
        <v>1344</v>
      </c>
      <c r="T33" s="523">
        <f t="shared" si="39"/>
        <v>1548</v>
      </c>
      <c r="U33" s="523">
        <f t="shared" si="39"/>
        <v>1815</v>
      </c>
      <c r="V33" s="523">
        <f t="shared" si="39"/>
        <v>1968</v>
      </c>
      <c r="W33" s="523">
        <f t="shared" si="39"/>
        <v>1438</v>
      </c>
      <c r="X33" s="523">
        <f t="shared" si="39"/>
        <v>1942</v>
      </c>
      <c r="Y33" s="523">
        <f t="shared" si="39"/>
        <v>2149</v>
      </c>
      <c r="Z33" s="523">
        <f t="shared" si="39"/>
        <v>2044</v>
      </c>
      <c r="AA33" s="523">
        <f t="shared" ref="AA33:AG33" si="40">AA7-AA12-AA21-AA30</f>
        <v>1656</v>
      </c>
      <c r="AB33" s="523">
        <f t="shared" si="40"/>
        <v>1394</v>
      </c>
      <c r="AC33" s="523">
        <f t="shared" si="40"/>
        <v>1415</v>
      </c>
      <c r="AD33" s="523">
        <f t="shared" si="40"/>
        <v>1380.9071137001029</v>
      </c>
      <c r="AE33" s="523">
        <f t="shared" si="40"/>
        <v>1307.1034507693621</v>
      </c>
      <c r="AF33" s="523">
        <f t="shared" si="40"/>
        <v>1248.5315080239752</v>
      </c>
      <c r="AG33" s="523">
        <f t="shared" si="40"/>
        <v>1191.3774568165245</v>
      </c>
      <c r="AH33" s="1695">
        <f t="shared" ref="AH33" si="41">AH7-AH12-AH21-AH30</f>
        <v>1135.7710081590321</v>
      </c>
      <c r="AI33" s="1013"/>
      <c r="AJ33" s="560">
        <f>((AB33/W33)^(1/5)-1)*100</f>
        <v>-0.61959150544075303</v>
      </c>
      <c r="AK33" s="561" t="s">
        <v>489</v>
      </c>
      <c r="AL33" s="1683">
        <f>((AH33/AB33)^(1/6)-1)*100</f>
        <v>-3.3567927691799948</v>
      </c>
      <c r="AM33" s="557" t="s">
        <v>489</v>
      </c>
      <c r="AN33" s="562"/>
    </row>
    <row r="34" spans="1:45">
      <c r="A34" s="524" t="s">
        <v>376</v>
      </c>
      <c r="B34" s="564">
        <f t="shared" ref="B34:N34" si="42">B33/B$7</f>
        <v>0.1232596262242862</v>
      </c>
      <c r="C34" s="564">
        <f>C33/C$7</f>
        <v>0.148591464583847</v>
      </c>
      <c r="D34" s="564">
        <f t="shared" si="42"/>
        <v>0.11606639487989667</v>
      </c>
      <c r="E34" s="564">
        <f t="shared" si="42"/>
        <v>0.12916822299744612</v>
      </c>
      <c r="F34" s="564">
        <f t="shared" si="42"/>
        <v>0.13925016250597624</v>
      </c>
      <c r="G34" s="564">
        <f t="shared" si="42"/>
        <v>0.1295493114958344</v>
      </c>
      <c r="H34" s="564">
        <f t="shared" si="42"/>
        <v>0.13796828805493019</v>
      </c>
      <c r="I34" s="564">
        <f t="shared" si="42"/>
        <v>0.13080668272425894</v>
      </c>
      <c r="J34" s="564">
        <f t="shared" si="42"/>
        <v>0.14720686883439346</v>
      </c>
      <c r="K34" s="564">
        <f t="shared" si="42"/>
        <v>0.15613604278942594</v>
      </c>
      <c r="L34" s="564">
        <f t="shared" si="42"/>
        <v>0.10566169791698651</v>
      </c>
      <c r="M34" s="564">
        <f t="shared" si="42"/>
        <v>2.4373129360732805E-2</v>
      </c>
      <c r="N34" s="564">
        <f t="shared" si="42"/>
        <v>7.0055301701334727E-2</v>
      </c>
      <c r="O34" s="564">
        <f t="shared" ref="O34:AA34" si="43">O33/O$7</f>
        <v>0.11858369512905123</v>
      </c>
      <c r="P34" s="564">
        <f>P33/P$7</f>
        <v>0.12171870601825099</v>
      </c>
      <c r="Q34" s="564">
        <f t="shared" si="43"/>
        <v>0.10885774412140264</v>
      </c>
      <c r="R34" s="564">
        <f t="shared" si="43"/>
        <v>7.6932738805501472E-2</v>
      </c>
      <c r="S34" s="564">
        <f t="shared" si="43"/>
        <v>8.5262957558840322E-2</v>
      </c>
      <c r="T34" s="564">
        <f t="shared" si="43"/>
        <v>0.10656753407682776</v>
      </c>
      <c r="U34" s="564">
        <f t="shared" si="43"/>
        <v>0.12784391068535605</v>
      </c>
      <c r="V34" s="564">
        <f t="shared" si="43"/>
        <v>0.13420621931260229</v>
      </c>
      <c r="W34" s="564">
        <f t="shared" si="43"/>
        <v>9.8838408138016365E-2</v>
      </c>
      <c r="X34" s="564">
        <f t="shared" si="43"/>
        <v>0.12408152833684749</v>
      </c>
      <c r="Y34" s="564">
        <f t="shared" si="43"/>
        <v>0.13308149616051523</v>
      </c>
      <c r="Z34" s="564">
        <f t="shared" si="43"/>
        <v>0.12436872528141162</v>
      </c>
      <c r="AA34" s="564">
        <f t="shared" si="43"/>
        <v>0.10483003101854782</v>
      </c>
      <c r="AB34" s="564">
        <f t="shared" ref="AB34:AG34" si="44">AB33/AB$7</f>
        <v>8.9842742974993561E-2</v>
      </c>
      <c r="AC34" s="564">
        <f t="shared" si="44"/>
        <v>8.9246294544307783E-2</v>
      </c>
      <c r="AD34" s="564">
        <f t="shared" si="44"/>
        <v>8.6266935039104514E-2</v>
      </c>
      <c r="AE34" s="564">
        <f t="shared" si="44"/>
        <v>8.2055975274837004E-2</v>
      </c>
      <c r="AF34" s="564">
        <f t="shared" si="44"/>
        <v>7.8755975274836951E-2</v>
      </c>
      <c r="AG34" s="564">
        <f t="shared" si="44"/>
        <v>7.5455975274836898E-2</v>
      </c>
      <c r="AH34" s="1694">
        <f t="shared" ref="AH34" si="45">AH33/AH$7</f>
        <v>7.2255975274836917E-2</v>
      </c>
      <c r="AI34" s="1013"/>
      <c r="AJ34" s="560"/>
      <c r="AK34" s="565"/>
      <c r="AL34" s="1683"/>
      <c r="AM34" s="557"/>
      <c r="AN34" s="524"/>
    </row>
    <row r="35" spans="1:45">
      <c r="A35" s="524"/>
      <c r="B35" s="523"/>
      <c r="C35" s="523"/>
      <c r="D35" s="523"/>
      <c r="E35" s="523"/>
      <c r="F35" s="523"/>
      <c r="G35" s="523"/>
      <c r="H35" s="523"/>
      <c r="I35" s="523"/>
      <c r="J35" s="523"/>
      <c r="K35" s="523"/>
      <c r="L35" s="523"/>
      <c r="M35" s="583"/>
      <c r="N35" s="523"/>
      <c r="O35" s="584"/>
      <c r="P35" s="523"/>
      <c r="Q35" s="523"/>
      <c r="R35" s="585"/>
      <c r="S35" s="585"/>
      <c r="T35" s="523"/>
      <c r="U35" s="586"/>
      <c r="V35" s="577"/>
      <c r="W35" s="577"/>
      <c r="X35" s="523"/>
      <c r="Y35" s="523"/>
      <c r="Z35" s="523"/>
      <c r="AA35" s="523"/>
      <c r="AB35" s="607"/>
      <c r="AC35" s="523"/>
      <c r="AD35" s="523"/>
      <c r="AE35" s="523"/>
      <c r="AF35" s="523"/>
      <c r="AG35" s="523"/>
      <c r="AH35" s="1695"/>
      <c r="AI35" s="1013"/>
      <c r="AJ35" s="560"/>
      <c r="AK35" s="565"/>
      <c r="AL35" s="1683"/>
      <c r="AM35" s="557"/>
      <c r="AN35" s="524"/>
    </row>
    <row r="36" spans="1:45">
      <c r="A36" s="524" t="s">
        <v>118</v>
      </c>
      <c r="B36" s="558">
        <f>'qtrP&amp;L'!F81</f>
        <v>1.4350000000000001</v>
      </c>
      <c r="C36" s="558">
        <f>'qtrP&amp;L'!J81</f>
        <v>3.5229999999999997</v>
      </c>
      <c r="D36" s="558">
        <f>'qtrP&amp;L'!N81</f>
        <v>3.7629999999999999</v>
      </c>
      <c r="E36" s="558">
        <f>'qtrP&amp;L'!R81</f>
        <v>0.80900000000000016</v>
      </c>
      <c r="F36" s="558">
        <f>'qtrP&amp;L'!V81</f>
        <v>-10.901999999999999</v>
      </c>
      <c r="G36" s="558">
        <f>'qtrP&amp;L'!Z81</f>
        <v>-15.796999999999999</v>
      </c>
      <c r="H36" s="558">
        <f>'qtrP&amp;L'!AD81</f>
        <v>-19.45</v>
      </c>
      <c r="I36" s="558">
        <f>'qtrP&amp;L'!AH81</f>
        <v>-2.9750000000000014</v>
      </c>
      <c r="J36" s="558">
        <f>'qtrP&amp;L'!AL81</f>
        <v>13.617000000000001</v>
      </c>
      <c r="K36" s="558">
        <f>'qtrP&amp;L'!AP81</f>
        <v>31.754999999999999</v>
      </c>
      <c r="L36" s="558">
        <f>'qtrP&amp;L'!AT81</f>
        <v>62.876000000000005</v>
      </c>
      <c r="M36" s="558">
        <f>'qtrP&amp;L'!AX81</f>
        <v>95.875</v>
      </c>
      <c r="N36" s="558">
        <f>'qtrP&amp;L'!BB81</f>
        <v>211.75399999999999</v>
      </c>
      <c r="O36" s="558">
        <f>'qtrP&amp;L'!BF81</f>
        <v>195.624</v>
      </c>
      <c r="P36" s="558">
        <f>'qtrP&amp;L'!BJ81</f>
        <v>108.03400000000001</v>
      </c>
      <c r="Q36" s="558">
        <f>+'qtrP&amp;L'!BN81</f>
        <v>-47.972999999999999</v>
      </c>
      <c r="R36" s="558">
        <f>+'qtrP&amp;L'!BR81</f>
        <v>-90.191000000000003</v>
      </c>
      <c r="S36" s="558">
        <f>+'qtrP&amp;L'!BV81</f>
        <v>-91</v>
      </c>
      <c r="T36" s="558">
        <f>+'qtrP&amp;L'!BZ81</f>
        <v>-36</v>
      </c>
      <c r="U36" s="558">
        <f>+'qtrP&amp;L'!CD81</f>
        <v>-1</v>
      </c>
      <c r="V36" s="558">
        <f>+'qtrP&amp;L'!CH81</f>
        <v>-14</v>
      </c>
      <c r="W36" s="558">
        <f>'qtrP&amp;L'!CL81</f>
        <v>69</v>
      </c>
      <c r="X36" s="558">
        <f>+'qtrP&amp;L'!CP81</f>
        <v>81</v>
      </c>
      <c r="Y36" s="558">
        <f>'qtrP&amp;L'!CT81</f>
        <v>56</v>
      </c>
      <c r="Z36" s="558">
        <f>'qtrP&amp;L'!CX81</f>
        <v>70</v>
      </c>
      <c r="AA36" s="558">
        <f>'qtrP&amp;L'!DB81</f>
        <v>53</v>
      </c>
      <c r="AB36" s="558">
        <f>'qtrP&amp;L'!$DF$81</f>
        <v>67</v>
      </c>
      <c r="AC36" s="558">
        <f>'qtrP&amp;L'!$DJ$81</f>
        <v>55</v>
      </c>
      <c r="AD36" s="558">
        <f>'qtrP&amp;L'!$DN$81</f>
        <v>53</v>
      </c>
      <c r="AE36" s="585">
        <f>AD36</f>
        <v>53</v>
      </c>
      <c r="AF36" s="585">
        <f>AE36</f>
        <v>53</v>
      </c>
      <c r="AG36" s="585">
        <f>AF36</f>
        <v>53</v>
      </c>
      <c r="AH36" s="45">
        <f>AG36</f>
        <v>53</v>
      </c>
      <c r="AI36" s="1013"/>
      <c r="AJ36" s="560"/>
      <c r="AK36" s="570"/>
      <c r="AL36" s="1683"/>
      <c r="AM36" s="557"/>
      <c r="AN36" s="524"/>
    </row>
    <row r="37" spans="1:45">
      <c r="A37" s="524" t="s">
        <v>508</v>
      </c>
      <c r="B37" s="564">
        <f t="shared" ref="B37:N37" si="46">B36/B$7</f>
        <v>7.4206993556661044E-4</v>
      </c>
      <c r="C37" s="564">
        <f>C36/C$7</f>
        <v>1.3986302713136286E-3</v>
      </c>
      <c r="D37" s="564">
        <f t="shared" si="46"/>
        <v>1.2711081475566383E-3</v>
      </c>
      <c r="E37" s="564">
        <f t="shared" si="46"/>
        <v>2.4547293592610208E-4</v>
      </c>
      <c r="F37" s="564">
        <f t="shared" si="46"/>
        <v>-2.9283308353075794E-3</v>
      </c>
      <c r="G37" s="564">
        <f t="shared" si="46"/>
        <v>-3.5941048217247099E-3</v>
      </c>
      <c r="H37" s="564">
        <f t="shared" si="46"/>
        <v>-3.6806581508789767E-3</v>
      </c>
      <c r="I37" s="564">
        <f t="shared" si="46"/>
        <v>-4.5714197907903193E-4</v>
      </c>
      <c r="J37" s="564">
        <f t="shared" si="46"/>
        <v>1.5038994034101642E-3</v>
      </c>
      <c r="K37" s="564">
        <f t="shared" si="46"/>
        <v>2.7291717911153532E-3</v>
      </c>
      <c r="L37" s="564">
        <f t="shared" si="46"/>
        <v>4.5983971869592629E-3</v>
      </c>
      <c r="M37" s="564">
        <f t="shared" si="46"/>
        <v>6.9234459328158197E-3</v>
      </c>
      <c r="N37" s="564">
        <f t="shared" si="46"/>
        <v>1.4649482047684254E-2</v>
      </c>
      <c r="O37" s="564">
        <f t="shared" ref="O37:AA37" si="47">O36/O$7</f>
        <v>1.2339257679078629E-2</v>
      </c>
      <c r="P37" s="564">
        <f t="shared" si="47"/>
        <v>6.6411346225497235E-3</v>
      </c>
      <c r="Q37" s="564">
        <f t="shared" si="47"/>
        <v>-2.9939376086693319E-3</v>
      </c>
      <c r="R37" s="564">
        <f t="shared" si="47"/>
        <v>-5.6641964453934563E-3</v>
      </c>
      <c r="S37" s="564">
        <f t="shared" si="47"/>
        <v>-5.7730127513798135E-3</v>
      </c>
      <c r="T37" s="564">
        <f t="shared" si="47"/>
        <v>-2.4783147459727386E-3</v>
      </c>
      <c r="U37" s="564">
        <f t="shared" si="47"/>
        <v>-7.0437416355568081E-5</v>
      </c>
      <c r="V37" s="564">
        <f t="shared" si="47"/>
        <v>-9.5471903982542283E-4</v>
      </c>
      <c r="W37" s="564">
        <f t="shared" si="47"/>
        <v>4.742593992714276E-3</v>
      </c>
      <c r="X37" s="564">
        <f t="shared" si="47"/>
        <v>5.1753881541115581E-3</v>
      </c>
      <c r="Y37" s="564">
        <f t="shared" si="47"/>
        <v>3.4679217240525142E-3</v>
      </c>
      <c r="Z37" s="564">
        <f t="shared" si="47"/>
        <v>4.2592029205962886E-3</v>
      </c>
      <c r="AA37" s="564">
        <f t="shared" si="47"/>
        <v>3.3550674178641515E-3</v>
      </c>
      <c r="AB37" s="564">
        <f t="shared" ref="AB37:AG37" si="48">AB36/AB$7</f>
        <v>4.3181232276359883E-3</v>
      </c>
      <c r="AC37" s="564">
        <f t="shared" si="48"/>
        <v>3.4689372437716809E-3</v>
      </c>
      <c r="AD37" s="564">
        <f t="shared" si="48"/>
        <v>3.3109740052113968E-3</v>
      </c>
      <c r="AE37" s="564">
        <f t="shared" si="48"/>
        <v>3.3271786460410276E-3</v>
      </c>
      <c r="AF37" s="564">
        <f t="shared" si="48"/>
        <v>3.3431808991128838E-3</v>
      </c>
      <c r="AG37" s="564">
        <f t="shared" si="48"/>
        <v>3.3567587389579409E-3</v>
      </c>
      <c r="AH37" s="1694">
        <f t="shared" ref="AH37" si="49">AH36/AH$7</f>
        <v>3.3717771118085592E-3</v>
      </c>
      <c r="AI37" s="1013"/>
      <c r="AJ37" s="560"/>
      <c r="AK37" s="565"/>
      <c r="AL37" s="1683"/>
      <c r="AM37" s="557"/>
      <c r="AN37" s="524"/>
    </row>
    <row r="38" spans="1:45">
      <c r="A38" s="524"/>
      <c r="B38" s="523"/>
      <c r="C38" s="523"/>
      <c r="D38" s="523"/>
      <c r="E38" s="523"/>
      <c r="F38" s="523"/>
      <c r="G38" s="523"/>
      <c r="H38" s="523"/>
      <c r="I38" s="523"/>
      <c r="J38" s="523"/>
      <c r="K38" s="523"/>
      <c r="L38" s="523"/>
      <c r="M38" s="523"/>
      <c r="N38" s="523"/>
      <c r="O38" s="523"/>
      <c r="P38" s="523"/>
      <c r="Q38" s="523"/>
      <c r="R38" s="523"/>
      <c r="S38" s="523"/>
      <c r="T38" s="523"/>
      <c r="U38" s="523"/>
      <c r="V38" s="523"/>
      <c r="W38" s="523"/>
      <c r="X38" s="523"/>
      <c r="Y38" s="523"/>
      <c r="Z38" s="523"/>
      <c r="AA38" s="523"/>
      <c r="AB38" s="523"/>
      <c r="AC38" s="523"/>
      <c r="AD38" s="523"/>
      <c r="AE38" s="523"/>
      <c r="AF38" s="523"/>
      <c r="AG38" s="523"/>
      <c r="AH38" s="1695"/>
      <c r="AI38" s="1013"/>
      <c r="AJ38" s="560"/>
      <c r="AK38" s="565"/>
      <c r="AL38" s="1683"/>
      <c r="AM38" s="557"/>
      <c r="AN38" s="524"/>
    </row>
    <row r="39" spans="1:45">
      <c r="A39" s="524" t="s">
        <v>67</v>
      </c>
      <c r="B39" s="523">
        <f>B33-B36</f>
        <v>236.9220000000002</v>
      </c>
      <c r="C39" s="523">
        <f t="shared" ref="C39:R39" si="50">C33-C36</f>
        <v>370.76300000000015</v>
      </c>
      <c r="D39" s="523">
        <f t="shared" si="50"/>
        <v>339.84100000000007</v>
      </c>
      <c r="E39" s="523">
        <f t="shared" si="50"/>
        <v>424.8880000000002</v>
      </c>
      <c r="F39" s="523">
        <f t="shared" si="50"/>
        <v>529.32199999999921</v>
      </c>
      <c r="G39" s="523">
        <f t="shared" si="50"/>
        <v>585.19900000000075</v>
      </c>
      <c r="H39" s="523">
        <f t="shared" si="50"/>
        <v>748.52700000000016</v>
      </c>
      <c r="I39" s="523">
        <f t="shared" si="50"/>
        <v>854.24200000000053</v>
      </c>
      <c r="J39" s="523">
        <f t="shared" si="50"/>
        <v>1319.2619999999999</v>
      </c>
      <c r="K39" s="523">
        <f t="shared" si="50"/>
        <v>1784.950000000001</v>
      </c>
      <c r="L39" s="523">
        <f t="shared" si="50"/>
        <v>1381.8849999999984</v>
      </c>
      <c r="M39" s="523">
        <f t="shared" si="50"/>
        <v>241.64099999999905</v>
      </c>
      <c r="N39" s="523">
        <f t="shared" si="50"/>
        <v>800.87499999999829</v>
      </c>
      <c r="O39" s="523">
        <f>O33-O36</f>
        <v>1684.3770000000011</v>
      </c>
      <c r="P39" s="523">
        <f t="shared" si="50"/>
        <v>1872.0130000000024</v>
      </c>
      <c r="Q39" s="523">
        <f t="shared" si="50"/>
        <v>1792.2420000000006</v>
      </c>
      <c r="R39" s="523">
        <f t="shared" si="50"/>
        <v>1315.191</v>
      </c>
      <c r="S39" s="523">
        <f t="shared" ref="S39:X39" si="51">S33-S36</f>
        <v>1435</v>
      </c>
      <c r="T39" s="523">
        <f t="shared" si="51"/>
        <v>1584</v>
      </c>
      <c r="U39" s="523">
        <f t="shared" si="51"/>
        <v>1816</v>
      </c>
      <c r="V39" s="523">
        <f t="shared" si="51"/>
        <v>1982</v>
      </c>
      <c r="W39" s="523">
        <f t="shared" si="51"/>
        <v>1369</v>
      </c>
      <c r="X39" s="523">
        <f t="shared" si="51"/>
        <v>1861</v>
      </c>
      <c r="Y39" s="523">
        <f t="shared" ref="Y39:AE39" si="52">Y33-Y36</f>
        <v>2093</v>
      </c>
      <c r="Z39" s="523">
        <f t="shared" si="52"/>
        <v>1974</v>
      </c>
      <c r="AA39" s="523">
        <f t="shared" si="52"/>
        <v>1603</v>
      </c>
      <c r="AB39" s="523">
        <f t="shared" si="52"/>
        <v>1327</v>
      </c>
      <c r="AC39" s="523">
        <f t="shared" si="52"/>
        <v>1360</v>
      </c>
      <c r="AD39" s="523">
        <f t="shared" si="52"/>
        <v>1327.9071137001029</v>
      </c>
      <c r="AE39" s="523">
        <f t="shared" si="52"/>
        <v>1254.1034507693621</v>
      </c>
      <c r="AF39" s="523">
        <f t="shared" ref="AF39:AG39" si="53">AF33-AF36</f>
        <v>1195.5315080239752</v>
      </c>
      <c r="AG39" s="523">
        <f t="shared" si="53"/>
        <v>1138.3774568165245</v>
      </c>
      <c r="AH39" s="1695">
        <f t="shared" ref="AH39" si="54">AH33-AH36</f>
        <v>1082.7710081590321</v>
      </c>
      <c r="AI39" s="1013"/>
      <c r="AJ39" s="560">
        <f>((AB39/W39)^(1/5)-1)*100</f>
        <v>-0.62125798157718348</v>
      </c>
      <c r="AK39" s="561" t="s">
        <v>489</v>
      </c>
      <c r="AL39" s="1683">
        <f>((AH39/AB39)^(1/6)-1)*100</f>
        <v>-3.3331390617717838</v>
      </c>
      <c r="AM39" s="557" t="s">
        <v>489</v>
      </c>
      <c r="AN39" s="524"/>
    </row>
    <row r="40" spans="1:45">
      <c r="A40" s="524" t="s">
        <v>518</v>
      </c>
      <c r="B40" s="564">
        <f t="shared" ref="B40:N40" si="55">B39/B$7</f>
        <v>0.12251755628871959</v>
      </c>
      <c r="C40" s="564">
        <f>C39/C$7</f>
        <v>0.14719283431253338</v>
      </c>
      <c r="D40" s="564">
        <f t="shared" si="55"/>
        <v>0.11479528673234005</v>
      </c>
      <c r="E40" s="564">
        <f t="shared" si="55"/>
        <v>0.12892275006152001</v>
      </c>
      <c r="F40" s="564">
        <f t="shared" si="55"/>
        <v>0.14217849334128385</v>
      </c>
      <c r="G40" s="564">
        <f t="shared" si="55"/>
        <v>0.13314341631755913</v>
      </c>
      <c r="H40" s="564">
        <f t="shared" si="55"/>
        <v>0.14164894620580917</v>
      </c>
      <c r="I40" s="564">
        <f t="shared" si="55"/>
        <v>0.13126382470333797</v>
      </c>
      <c r="J40" s="564">
        <f t="shared" si="55"/>
        <v>0.14570296943098332</v>
      </c>
      <c r="K40" s="564">
        <f t="shared" si="55"/>
        <v>0.15340687099831057</v>
      </c>
      <c r="L40" s="564">
        <f t="shared" si="55"/>
        <v>0.10106330073002726</v>
      </c>
      <c r="M40" s="564">
        <f t="shared" si="55"/>
        <v>1.7449683427916984E-2</v>
      </c>
      <c r="N40" s="564">
        <f t="shared" si="55"/>
        <v>5.5405819653650469E-2</v>
      </c>
      <c r="O40" s="564">
        <f t="shared" ref="O40:AA40" si="56">O39/O$7</f>
        <v>0.1062444374499726</v>
      </c>
      <c r="P40" s="564">
        <f t="shared" si="56"/>
        <v>0.11507757139570127</v>
      </c>
      <c r="Q40" s="564">
        <f t="shared" si="56"/>
        <v>0.11185168173007198</v>
      </c>
      <c r="R40" s="564">
        <f t="shared" si="56"/>
        <v>8.259693525089494E-2</v>
      </c>
      <c r="S40" s="564">
        <f t="shared" si="56"/>
        <v>9.1035970310220135E-2</v>
      </c>
      <c r="T40" s="564">
        <f t="shared" si="56"/>
        <v>0.1090458488228005</v>
      </c>
      <c r="U40" s="564">
        <f t="shared" si="56"/>
        <v>0.12791434810171162</v>
      </c>
      <c r="V40" s="564">
        <f t="shared" si="56"/>
        <v>0.13516093835242771</v>
      </c>
      <c r="W40" s="564">
        <f t="shared" si="56"/>
        <v>9.4095814145302076E-2</v>
      </c>
      <c r="X40" s="564">
        <f t="shared" si="56"/>
        <v>0.11890614018273593</v>
      </c>
      <c r="Y40" s="564">
        <f t="shared" si="56"/>
        <v>0.12961357443646271</v>
      </c>
      <c r="Z40" s="564">
        <f t="shared" si="56"/>
        <v>0.12010952236081533</v>
      </c>
      <c r="AA40" s="564">
        <f t="shared" si="56"/>
        <v>0.10147496360068367</v>
      </c>
      <c r="AB40" s="564">
        <f t="shared" ref="AB40:AG40" si="57">AB39/AB$7</f>
        <v>8.5524619747357561E-2</v>
      </c>
      <c r="AC40" s="564">
        <f t="shared" si="57"/>
        <v>8.5777357300536108E-2</v>
      </c>
      <c r="AD40" s="564">
        <f t="shared" si="57"/>
        <v>8.2955961033893119E-2</v>
      </c>
      <c r="AE40" s="564">
        <f t="shared" si="57"/>
        <v>7.8728796628795977E-2</v>
      </c>
      <c r="AF40" s="564">
        <f t="shared" si="57"/>
        <v>7.5412794375724068E-2</v>
      </c>
      <c r="AG40" s="564">
        <f t="shared" si="57"/>
        <v>7.2099216535878946E-2</v>
      </c>
      <c r="AH40" s="1694">
        <f t="shared" ref="AH40" si="58">AH39/AH$7</f>
        <v>6.8884198163028362E-2</v>
      </c>
      <c r="AI40" s="1013"/>
      <c r="AJ40" s="560"/>
      <c r="AK40" s="565"/>
      <c r="AL40" s="1683"/>
      <c r="AM40" s="557"/>
      <c r="AN40" s="524"/>
    </row>
    <row r="41" spans="1:45">
      <c r="A41" s="524"/>
      <c r="B41" s="523"/>
      <c r="C41" s="523"/>
      <c r="D41" s="523"/>
      <c r="E41" s="523"/>
      <c r="F41" s="523"/>
      <c r="G41" s="523"/>
      <c r="H41" s="523"/>
      <c r="I41" s="523"/>
      <c r="J41" s="523"/>
      <c r="K41" s="523"/>
      <c r="L41" s="523"/>
      <c r="M41" s="523"/>
      <c r="N41" s="523"/>
      <c r="O41" s="523"/>
      <c r="P41" s="523"/>
      <c r="Q41" s="523"/>
      <c r="R41" s="523"/>
      <c r="S41" s="523"/>
      <c r="T41" s="523"/>
      <c r="U41" s="523"/>
      <c r="V41" s="523"/>
      <c r="W41" s="523"/>
      <c r="X41" s="523"/>
      <c r="Y41" s="523"/>
      <c r="Z41" s="523"/>
      <c r="AA41" s="523"/>
      <c r="AB41" s="523"/>
      <c r="AC41" s="523"/>
      <c r="AD41" s="523"/>
      <c r="AE41" s="523"/>
      <c r="AF41" s="523"/>
      <c r="AG41" s="523"/>
      <c r="AH41" s="1695"/>
      <c r="AI41" s="1013"/>
      <c r="AJ41" s="560"/>
      <c r="AK41" s="565"/>
      <c r="AL41" s="1683"/>
      <c r="AM41" s="557"/>
      <c r="AN41" s="524"/>
    </row>
    <row r="42" spans="1:45">
      <c r="A42" s="524" t="s">
        <v>68</v>
      </c>
      <c r="B42" s="558">
        <f>'qtrP&amp;L'!F101</f>
        <v>92.4</v>
      </c>
      <c r="C42" s="558">
        <f>'qtrP&amp;L'!J101</f>
        <v>140.88999999999999</v>
      </c>
      <c r="D42" s="558">
        <f>'qtrP&amp;L'!N101</f>
        <v>129.13999999999999</v>
      </c>
      <c r="E42" s="558">
        <f>'qtrP&amp;L'!R101</f>
        <v>166.464</v>
      </c>
      <c r="F42" s="558">
        <f>'qtrP&amp;L'!V101</f>
        <v>209.08213499999999</v>
      </c>
      <c r="G42" s="558">
        <f>'qtrP&amp;L'!Z101</f>
        <v>231.16000000000003</v>
      </c>
      <c r="H42" s="558">
        <f>'qtrP&amp;L'!AD101</f>
        <v>295.66800000000001</v>
      </c>
      <c r="I42" s="558">
        <f>'qtrP&amp;L'!AH101</f>
        <v>320.34100000000001</v>
      </c>
      <c r="J42" s="558">
        <f>'qtrP&amp;L'!AL101</f>
        <v>494.72300000000001</v>
      </c>
      <c r="K42" s="558">
        <f>'qtrP&amp;L'!AP101</f>
        <v>657.88499999999999</v>
      </c>
      <c r="L42" s="558">
        <f>'qtrP&amp;L'!AT101</f>
        <v>504.38799999999998</v>
      </c>
      <c r="M42" s="558">
        <f>'qtrP&amp;L'!AX101</f>
        <v>249.40499999999997</v>
      </c>
      <c r="N42" s="558">
        <f>'qtrP&amp;L'!BB101</f>
        <v>323.41800000000001</v>
      </c>
      <c r="O42" s="558">
        <f>'qtrP&amp;L'!BF101</f>
        <v>653.125</v>
      </c>
      <c r="P42" s="585">
        <v>722</v>
      </c>
      <c r="Q42" s="558">
        <f>+'qtrP&amp;L'!BN101</f>
        <v>679.62</v>
      </c>
      <c r="R42" s="558">
        <f>+'qtrP&amp;L'!BR101</f>
        <v>506</v>
      </c>
      <c r="S42" s="558">
        <f>+'qtrP&amp;L'!BV101</f>
        <v>539</v>
      </c>
      <c r="T42" s="558">
        <f>+'qtrP&amp;L'!BZ101</f>
        <v>617</v>
      </c>
      <c r="U42" s="558">
        <f>+'qtrP&amp;L'!CD101</f>
        <v>714</v>
      </c>
      <c r="V42" s="558">
        <f>+'qtrP&amp;L'!CH101</f>
        <v>778</v>
      </c>
      <c r="W42" s="558">
        <f>'qtrP&amp;L'!CL101</f>
        <v>536</v>
      </c>
      <c r="X42" s="558">
        <f>+'qtrP&amp;L'!CP101</f>
        <v>726</v>
      </c>
      <c r="Y42" s="558">
        <f>'qtrP&amp;L'!CT101</f>
        <v>813</v>
      </c>
      <c r="Z42" s="558">
        <f>'qtrP&amp;L'!CX101</f>
        <v>734</v>
      </c>
      <c r="AA42" s="558">
        <f>'qtrP&amp;L'!DB101</f>
        <v>601.11500000000001</v>
      </c>
      <c r="AB42" s="558">
        <f>'qtrP&amp;L'!$DF$101</f>
        <v>517.83000000000004</v>
      </c>
      <c r="AC42" s="558">
        <f>'qtrP&amp;L'!$DJ$101</f>
        <v>517.68000000000006</v>
      </c>
      <c r="AD42" s="558">
        <f>'qtrP&amp;L'!$DN$101</f>
        <v>345.25584956202715</v>
      </c>
      <c r="AE42" s="558">
        <f>+AE43*AE39</f>
        <v>326.06689720003453</v>
      </c>
      <c r="AF42" s="558">
        <f>+AF43*AF39</f>
        <v>310.8381920862339</v>
      </c>
      <c r="AG42" s="558">
        <f>+AG43*AG39</f>
        <v>295.97813877229669</v>
      </c>
      <c r="AH42" s="46">
        <f>+AH43*AH39</f>
        <v>281.52046212134866</v>
      </c>
      <c r="AI42" s="1013"/>
      <c r="AJ42" s="560"/>
      <c r="AK42" s="570"/>
      <c r="AL42" s="1683"/>
      <c r="AM42" s="557"/>
      <c r="AN42" s="524"/>
    </row>
    <row r="43" spans="1:45">
      <c r="A43" s="524" t="s">
        <v>519</v>
      </c>
      <c r="B43" s="587">
        <f t="shared" ref="B43:AA43" si="59">B42/B39</f>
        <v>0.39000177273533032</v>
      </c>
      <c r="C43" s="587">
        <f>C42/C39</f>
        <v>0.38000016182844548</v>
      </c>
      <c r="D43" s="587">
        <f t="shared" si="59"/>
        <v>0.38000123587206946</v>
      </c>
      <c r="E43" s="587">
        <f t="shared" si="59"/>
        <v>0.39178324640846512</v>
      </c>
      <c r="F43" s="587">
        <f t="shared" si="59"/>
        <v>0.39499989609349379</v>
      </c>
      <c r="G43" s="587">
        <f t="shared" si="59"/>
        <v>0.39501092790657488</v>
      </c>
      <c r="H43" s="587">
        <f t="shared" si="59"/>
        <v>0.39499977956706966</v>
      </c>
      <c r="I43" s="587">
        <f t="shared" si="59"/>
        <v>0.37500029265711565</v>
      </c>
      <c r="J43" s="587">
        <f t="shared" si="59"/>
        <v>0.374999810500113</v>
      </c>
      <c r="K43" s="587">
        <f t="shared" si="59"/>
        <v>0.36857334939354025</v>
      </c>
      <c r="L43" s="587">
        <f t="shared" si="59"/>
        <v>0.36499998190876992</v>
      </c>
      <c r="M43" s="587">
        <f t="shared" si="59"/>
        <v>1.0321303090121334</v>
      </c>
      <c r="N43" s="587">
        <f t="shared" si="59"/>
        <v>0.40383081005150701</v>
      </c>
      <c r="O43" s="587">
        <f t="shared" si="59"/>
        <v>0.38775464162714141</v>
      </c>
      <c r="P43" s="587">
        <f t="shared" si="59"/>
        <v>0.3856810823429106</v>
      </c>
      <c r="Q43" s="587">
        <f t="shared" si="59"/>
        <v>0.37920102307612463</v>
      </c>
      <c r="R43" s="587">
        <f t="shared" si="59"/>
        <v>0.3847349928641543</v>
      </c>
      <c r="S43" s="587">
        <f t="shared" si="59"/>
        <v>0.37560975609756098</v>
      </c>
      <c r="T43" s="587">
        <f t="shared" si="59"/>
        <v>0.38952020202020204</v>
      </c>
      <c r="U43" s="587">
        <f t="shared" si="59"/>
        <v>0.39317180616740088</v>
      </c>
      <c r="V43" s="587">
        <f t="shared" si="59"/>
        <v>0.39253279515640765</v>
      </c>
      <c r="W43" s="587">
        <f t="shared" si="59"/>
        <v>0.39152666179693207</v>
      </c>
      <c r="X43" s="587">
        <f t="shared" si="59"/>
        <v>0.39011284255776463</v>
      </c>
      <c r="Y43" s="587">
        <f t="shared" si="59"/>
        <v>0.38843764930721453</v>
      </c>
      <c r="Z43" s="587">
        <f t="shared" si="59"/>
        <v>0.37183383991894631</v>
      </c>
      <c r="AA43" s="587">
        <f t="shared" si="59"/>
        <v>0.37499376169681847</v>
      </c>
      <c r="AB43" s="587">
        <f>AB42/AB39</f>
        <v>0.39022607385079128</v>
      </c>
      <c r="AC43" s="587">
        <f>AC42/AC39</f>
        <v>0.38064705882352945</v>
      </c>
      <c r="AD43" s="587">
        <f>AD42/AD39</f>
        <v>0.26000000000000029</v>
      </c>
      <c r="AE43" s="588">
        <f>AD43</f>
        <v>0.26000000000000029</v>
      </c>
      <c r="AF43" s="588">
        <f>AE43</f>
        <v>0.26000000000000029</v>
      </c>
      <c r="AG43" s="588">
        <f>AF43</f>
        <v>0.26000000000000029</v>
      </c>
      <c r="AH43" s="1700">
        <f>AG43</f>
        <v>0.26000000000000029</v>
      </c>
      <c r="AI43" s="64"/>
      <c r="AJ43" s="560"/>
      <c r="AK43" s="565"/>
      <c r="AL43" s="1683"/>
      <c r="AM43" s="557"/>
      <c r="AN43" s="524"/>
    </row>
    <row r="44" spans="1:45">
      <c r="A44" s="524"/>
      <c r="B44" s="523"/>
      <c r="C44" s="523"/>
      <c r="D44" s="523"/>
      <c r="E44" s="523"/>
      <c r="F44" s="523"/>
      <c r="G44" s="523"/>
      <c r="H44" s="523"/>
      <c r="I44" s="523"/>
      <c r="J44" s="523"/>
      <c r="K44" s="523"/>
      <c r="L44" s="523"/>
      <c r="M44" s="523"/>
      <c r="N44" s="523"/>
      <c r="O44" s="523"/>
      <c r="P44" s="523"/>
      <c r="Q44" s="523"/>
      <c r="R44" s="523"/>
      <c r="S44" s="523"/>
      <c r="T44" s="523"/>
      <c r="U44" s="523"/>
      <c r="V44" s="523"/>
      <c r="W44" s="523"/>
      <c r="X44" s="523"/>
      <c r="Y44" s="523"/>
      <c r="Z44" s="523"/>
      <c r="AA44" s="523"/>
      <c r="AB44" s="564"/>
      <c r="AC44" s="523"/>
      <c r="AD44" s="523"/>
      <c r="AE44" s="523"/>
      <c r="AF44" s="523"/>
      <c r="AG44" s="523"/>
      <c r="AH44" s="1695"/>
      <c r="AI44" s="1013"/>
      <c r="AJ44" s="560"/>
      <c r="AK44" s="589"/>
      <c r="AL44" s="1683"/>
      <c r="AM44" s="557"/>
      <c r="AN44" s="524"/>
    </row>
    <row r="45" spans="1:45">
      <c r="A45" s="524" t="s">
        <v>69</v>
      </c>
      <c r="B45" s="523">
        <f>B39-B42</f>
        <v>144.52200000000019</v>
      </c>
      <c r="C45" s="523">
        <f>C39-C42</f>
        <v>229.87300000000016</v>
      </c>
      <c r="D45" s="523">
        <f>D39-D42</f>
        <v>210.70100000000008</v>
      </c>
      <c r="E45" s="523">
        <f>E39-E42</f>
        <v>258.42400000000021</v>
      </c>
      <c r="F45" s="523">
        <f>F39-F42</f>
        <v>320.23986499999921</v>
      </c>
      <c r="G45" s="523">
        <f t="shared" ref="G45:P45" si="60">G39-G42</f>
        <v>354.03900000000073</v>
      </c>
      <c r="H45" s="523">
        <f t="shared" si="60"/>
        <v>452.85900000000015</v>
      </c>
      <c r="I45" s="523">
        <f t="shared" si="60"/>
        <v>533.90100000000052</v>
      </c>
      <c r="J45" s="523">
        <f t="shared" si="60"/>
        <v>824.53899999999999</v>
      </c>
      <c r="K45" s="523">
        <f t="shared" si="60"/>
        <v>1127.065000000001</v>
      </c>
      <c r="L45" s="523">
        <f t="shared" si="60"/>
        <v>877.49699999999848</v>
      </c>
      <c r="M45" s="523">
        <f t="shared" si="60"/>
        <v>-7.7640000000009195</v>
      </c>
      <c r="N45" s="523">
        <f t="shared" si="60"/>
        <v>477.45699999999829</v>
      </c>
      <c r="O45" s="523">
        <f t="shared" si="60"/>
        <v>1031.2520000000011</v>
      </c>
      <c r="P45" s="523">
        <f t="shared" si="60"/>
        <v>1150.0130000000024</v>
      </c>
      <c r="Q45" s="523">
        <f>Q39-Q42</f>
        <v>1112.6220000000008</v>
      </c>
      <c r="R45" s="523">
        <f>R39-R42</f>
        <v>809.19100000000003</v>
      </c>
      <c r="S45" s="523">
        <f>'qtrP&amp;L'!BV111</f>
        <v>892.31046000000003</v>
      </c>
      <c r="T45" s="523">
        <f t="shared" ref="T45:Y45" si="61">T39-T42</f>
        <v>967</v>
      </c>
      <c r="U45" s="523">
        <f t="shared" si="61"/>
        <v>1102</v>
      </c>
      <c r="V45" s="523">
        <f t="shared" si="61"/>
        <v>1204</v>
      </c>
      <c r="W45" s="523">
        <f t="shared" si="61"/>
        <v>833</v>
      </c>
      <c r="X45" s="523">
        <f t="shared" si="61"/>
        <v>1135</v>
      </c>
      <c r="Y45" s="523">
        <f t="shared" si="61"/>
        <v>1280</v>
      </c>
      <c r="Z45" s="523">
        <f t="shared" ref="Z45:AE45" si="62">Z39-Z42</f>
        <v>1240</v>
      </c>
      <c r="AA45" s="523">
        <f t="shared" si="62"/>
        <v>1001.885</v>
      </c>
      <c r="AB45" s="523">
        <f>AB39-AB42</f>
        <v>809.17</v>
      </c>
      <c r="AC45" s="523">
        <f t="shared" si="62"/>
        <v>842.31999999999994</v>
      </c>
      <c r="AD45" s="523">
        <f t="shared" si="62"/>
        <v>982.6512641380757</v>
      </c>
      <c r="AE45" s="523">
        <f t="shared" si="62"/>
        <v>928.03655356932757</v>
      </c>
      <c r="AF45" s="523">
        <f t="shared" ref="AF45:AG45" si="63">AF39-AF42</f>
        <v>884.69331593774132</v>
      </c>
      <c r="AG45" s="523">
        <f t="shared" si="63"/>
        <v>842.39931804422781</v>
      </c>
      <c r="AH45" s="1695">
        <f t="shared" ref="AH45" si="64">AH39-AH42</f>
        <v>801.25054603768353</v>
      </c>
      <c r="AI45" s="1013"/>
      <c r="AJ45" s="560">
        <f>((AB45/W45)^(1/5)-1)*100</f>
        <v>-0.57881062358473567</v>
      </c>
      <c r="AK45" s="561" t="s">
        <v>489</v>
      </c>
      <c r="AL45" s="1683">
        <f>((AH45/AB45)^(1/6)-1)*100</f>
        <v>-0.16378807463099943</v>
      </c>
      <c r="AM45" s="557" t="s">
        <v>489</v>
      </c>
      <c r="AN45" s="562"/>
    </row>
    <row r="46" spans="1:45">
      <c r="A46" s="590" t="s">
        <v>521</v>
      </c>
      <c r="B46" s="564">
        <f t="shared" ref="B46:N46" si="65">B45/B$7</f>
        <v>7.4735492144918328E-2</v>
      </c>
      <c r="C46" s="564">
        <f>C45/C$7</f>
        <v>9.125953345378314E-2</v>
      </c>
      <c r="D46" s="564">
        <f t="shared" si="65"/>
        <v>7.1172935901762241E-2</v>
      </c>
      <c r="E46" s="564">
        <f t="shared" si="65"/>
        <v>7.8412976506510551E-2</v>
      </c>
      <c r="F46" s="564">
        <f t="shared" si="65"/>
        <v>8.6018003244747232E-2</v>
      </c>
      <c r="G46" s="564">
        <f t="shared" si="65"/>
        <v>8.055031189330869E-2</v>
      </c>
      <c r="H46" s="564">
        <f t="shared" si="65"/>
        <v>8.5697643678606841E-2</v>
      </c>
      <c r="I46" s="564">
        <f t="shared" si="65"/>
        <v>8.2039852024293897E-2</v>
      </c>
      <c r="J46" s="564">
        <f t="shared" si="65"/>
        <v>9.1064383505060825E-2</v>
      </c>
      <c r="K46" s="564">
        <f t="shared" si="65"/>
        <v>9.6865186734480496E-2</v>
      </c>
      <c r="L46" s="564">
        <f t="shared" si="65"/>
        <v>6.4175197791926736E-2</v>
      </c>
      <c r="M46" s="564">
        <f t="shared" si="65"/>
        <v>-5.6066372070287757E-4</v>
      </c>
      <c r="N46" s="564">
        <f t="shared" si="65"/>
        <v>3.3031242621349093E-2</v>
      </c>
      <c r="O46" s="564">
        <f t="shared" ref="O46:AA46" si="66">O45/O$7</f>
        <v>6.5047663681681231E-2</v>
      </c>
      <c r="P46" s="564">
        <f t="shared" si="66"/>
        <v>7.0694329106413642E-2</v>
      </c>
      <c r="Q46" s="564">
        <f t="shared" si="66"/>
        <v>6.9437409585243609E-2</v>
      </c>
      <c r="R46" s="564">
        <f t="shared" si="66"/>
        <v>5.0819003956540855E-2</v>
      </c>
      <c r="S46" s="564">
        <f t="shared" si="66"/>
        <v>5.6607908393072386E-2</v>
      </c>
      <c r="T46" s="564">
        <f t="shared" si="66"/>
        <v>6.6570287759878832E-2</v>
      </c>
      <c r="U46" s="564">
        <f t="shared" si="66"/>
        <v>7.7622032823836021E-2</v>
      </c>
      <c r="V46" s="564">
        <f t="shared" si="66"/>
        <v>8.2105837424986367E-2</v>
      </c>
      <c r="W46" s="564">
        <f t="shared" si="66"/>
        <v>5.7254794143927416E-2</v>
      </c>
      <c r="X46" s="564">
        <f t="shared" si="66"/>
        <v>7.2519327838476769E-2</v>
      </c>
      <c r="Y46" s="564">
        <f t="shared" si="66"/>
        <v>7.9266782264057464E-2</v>
      </c>
      <c r="Z46" s="564">
        <f t="shared" si="66"/>
        <v>7.5448737450562825E-2</v>
      </c>
      <c r="AA46" s="564">
        <f t="shared" si="66"/>
        <v>6.3422485282015578E-2</v>
      </c>
      <c r="AB46" s="564">
        <f t="shared" ref="AB46:AG46" si="67">AB45/AB$7</f>
        <v>5.2150683165764371E-2</v>
      </c>
      <c r="AC46" s="564">
        <f t="shared" si="67"/>
        <v>5.3126458530432033E-2</v>
      </c>
      <c r="AD46" s="564">
        <f t="shared" si="67"/>
        <v>6.1387411165080875E-2</v>
      </c>
      <c r="AE46" s="564">
        <f t="shared" si="67"/>
        <v>5.8259309505308998E-2</v>
      </c>
      <c r="AF46" s="564">
        <f t="shared" si="67"/>
        <v>5.5805467838035784E-2</v>
      </c>
      <c r="AG46" s="564">
        <f t="shared" si="67"/>
        <v>5.3353420236550403E-2</v>
      </c>
      <c r="AH46" s="1694">
        <f t="shared" ref="AH46" si="68">AH45/AH$7</f>
        <v>5.0974306640640968E-2</v>
      </c>
      <c r="AI46" s="1013"/>
      <c r="AJ46" s="560"/>
      <c r="AK46" s="565"/>
      <c r="AL46" s="1683"/>
      <c r="AM46" s="557"/>
      <c r="AN46" s="524"/>
    </row>
    <row r="47" spans="1:45">
      <c r="A47" s="590"/>
      <c r="B47" s="523"/>
      <c r="C47" s="523"/>
      <c r="D47" s="523"/>
      <c r="E47" s="523"/>
      <c r="F47" s="523"/>
      <c r="G47" s="523"/>
      <c r="H47" s="523"/>
      <c r="I47" s="523"/>
      <c r="J47" s="523"/>
      <c r="K47" s="523"/>
      <c r="L47" s="523"/>
      <c r="M47" s="523"/>
      <c r="N47" s="523"/>
      <c r="O47" s="523"/>
      <c r="P47" s="523"/>
      <c r="Q47" s="523"/>
      <c r="R47" s="591"/>
      <c r="S47" s="592"/>
      <c r="T47" s="593"/>
      <c r="U47" s="593"/>
      <c r="V47" s="593"/>
      <c r="W47" s="594"/>
      <c r="X47" s="595"/>
      <c r="Y47" s="594"/>
      <c r="Z47" s="594"/>
      <c r="AA47" s="594"/>
      <c r="AB47" s="594"/>
      <c r="AC47" s="594"/>
      <c r="AD47" s="594"/>
      <c r="AE47" s="594"/>
      <c r="AF47" s="594"/>
      <c r="AG47" s="594"/>
      <c r="AH47" s="1701"/>
      <c r="AI47" s="1013"/>
      <c r="AJ47" s="560"/>
      <c r="AK47" s="565"/>
      <c r="AL47" s="1683"/>
      <c r="AM47" s="557"/>
      <c r="AN47" s="596"/>
    </row>
    <row r="48" spans="1:45">
      <c r="A48" s="524" t="s">
        <v>70</v>
      </c>
      <c r="B48" s="556">
        <f>B45/B54</f>
        <v>0.15131213191990597</v>
      </c>
      <c r="C48" s="556">
        <f>C45/C54</f>
        <v>0.23958955437779147</v>
      </c>
      <c r="D48" s="556">
        <f>D45/D54</f>
        <v>0.21926368544395752</v>
      </c>
      <c r="E48" s="556">
        <f>E45/E54</f>
        <v>0.26776622987730442</v>
      </c>
      <c r="F48" s="556">
        <f>F45/F54</f>
        <v>0.32975265194136677</v>
      </c>
      <c r="G48" s="556">
        <f t="shared" ref="G48:M48" si="69">G45/G54</f>
        <v>0.3678544512278718</v>
      </c>
      <c r="H48" s="556">
        <f t="shared" si="69"/>
        <v>0.47106507882038484</v>
      </c>
      <c r="I48" s="556">
        <f t="shared" si="69"/>
        <v>0.57846758924435904</v>
      </c>
      <c r="J48" s="556">
        <f t="shared" si="69"/>
        <v>0.91173549688305278</v>
      </c>
      <c r="K48" s="556">
        <f t="shared" si="69"/>
        <v>1.2522335879791258</v>
      </c>
      <c r="L48" s="556">
        <f t="shared" si="69"/>
        <v>0.99913261130186515</v>
      </c>
      <c r="M48" s="597">
        <f t="shared" si="69"/>
        <v>-8.9168924741830861E-3</v>
      </c>
      <c r="N48" s="556">
        <f>'qtrP&amp;L'!BB130</f>
        <v>0.54165510729181254</v>
      </c>
      <c r="O48" s="556">
        <f>(O45+'qtrP&amp;L'!BF193*4)/O55</f>
        <v>1.0940885896567705</v>
      </c>
      <c r="P48" s="556">
        <f>(P45+P82*4)/P55</f>
        <v>1.2094971215613137</v>
      </c>
      <c r="Q48" s="556">
        <f>(Q45)/Q55</f>
        <v>1.2330872231814936</v>
      </c>
      <c r="R48" s="556">
        <f t="shared" ref="R48:W48" si="70">(R45)/R54</f>
        <v>0.96793181818181817</v>
      </c>
      <c r="S48" s="556">
        <f t="shared" si="70"/>
        <v>1.1238167002518893</v>
      </c>
      <c r="T48" s="556">
        <f t="shared" si="70"/>
        <v>1.344923504867872</v>
      </c>
      <c r="U48" s="556">
        <f t="shared" si="70"/>
        <v>1.5765379113018598</v>
      </c>
      <c r="V48" s="556">
        <f t="shared" si="70"/>
        <v>1.8783151326053042</v>
      </c>
      <c r="W48" s="556">
        <f t="shared" si="70"/>
        <v>1.5628517823639776</v>
      </c>
      <c r="X48" s="556">
        <f>(X45)/X54</f>
        <v>2.3258196721311477</v>
      </c>
      <c r="Y48" s="556">
        <f>(Y45)/Y54</f>
        <v>2.7438370846730975</v>
      </c>
      <c r="Z48" s="556">
        <f>(Z45)/Z54</f>
        <v>2.8213879408418658</v>
      </c>
      <c r="AA48" s="556">
        <f>(AA45)/AA54</f>
        <v>2.425871670702179</v>
      </c>
      <c r="AB48" s="556">
        <f>(AB45)/AB54</f>
        <v>2.0229249999999999</v>
      </c>
      <c r="AC48" s="556">
        <f t="shared" ref="AC48:AH48" si="71">AC45/AC54</f>
        <v>2.1297597977243994</v>
      </c>
      <c r="AD48" s="556">
        <f t="shared" si="71"/>
        <v>2.554552679735032</v>
      </c>
      <c r="AE48" s="556">
        <f t="shared" si="71"/>
        <v>2.4964960935200362</v>
      </c>
      <c r="AF48" s="556">
        <f t="shared" si="71"/>
        <v>2.45052910191886</v>
      </c>
      <c r="AG48" s="556">
        <f t="shared" si="71"/>
        <v>2.4007763509441493</v>
      </c>
      <c r="AH48" s="1702">
        <f t="shared" si="71"/>
        <v>2.3478436576038972</v>
      </c>
      <c r="AI48" s="1014"/>
      <c r="AJ48" s="560">
        <f>((AB48/W48)^(1/5)-1)*100</f>
        <v>5.2961271390162601</v>
      </c>
      <c r="AK48" s="561" t="s">
        <v>489</v>
      </c>
      <c r="AL48" s="1683">
        <f>((AH48/AB48)^(1/6)-1)*100</f>
        <v>2.5136189695010636</v>
      </c>
      <c r="AM48" s="557" t="s">
        <v>489</v>
      </c>
      <c r="AN48" s="562"/>
      <c r="AS48"/>
    </row>
    <row r="49" spans="1:42">
      <c r="A49" s="524" t="s">
        <v>522</v>
      </c>
      <c r="B49" s="523"/>
      <c r="C49" s="598">
        <f>C48/B48-1</f>
        <v>0.58341272003631128</v>
      </c>
      <c r="D49" s="598">
        <f>D48/C48-1</f>
        <v>-8.4836206597653119E-2</v>
      </c>
      <c r="E49" s="598">
        <f t="shared" ref="E49:L49" si="72">E48/D48-1</f>
        <v>0.22120646351054729</v>
      </c>
      <c r="F49" s="598">
        <f>F48/E48-1</f>
        <v>0.23149454691305071</v>
      </c>
      <c r="G49" s="598">
        <f t="shared" si="72"/>
        <v>0.11554660459040034</v>
      </c>
      <c r="H49" s="598">
        <f t="shared" si="72"/>
        <v>0.28057463284188455</v>
      </c>
      <c r="I49" s="598">
        <f t="shared" si="72"/>
        <v>0.22799930466704432</v>
      </c>
      <c r="J49" s="598">
        <f t="shared" si="72"/>
        <v>0.57612200551120796</v>
      </c>
      <c r="K49" s="598">
        <f t="shared" si="72"/>
        <v>0.37346148335798346</v>
      </c>
      <c r="L49" s="598">
        <f t="shared" si="72"/>
        <v>-0.20211961977934079</v>
      </c>
      <c r="M49" s="599" t="s">
        <v>60</v>
      </c>
      <c r="N49" s="599" t="s">
        <v>60</v>
      </c>
      <c r="O49" s="598">
        <f t="shared" ref="O49:AA49" si="73">O48/N48-1</f>
        <v>1.0198989632480999</v>
      </c>
      <c r="P49" s="598">
        <f t="shared" si="73"/>
        <v>0.10548371767659903</v>
      </c>
      <c r="Q49" s="598">
        <f>Q48/P48-1</f>
        <v>1.9504057677895092E-2</v>
      </c>
      <c r="R49" s="598">
        <f>R48/Q48-1</f>
        <v>-0.21503377864507167</v>
      </c>
      <c r="S49" s="598">
        <f t="shared" si="73"/>
        <v>0.16104944495252593</v>
      </c>
      <c r="T49" s="598">
        <f t="shared" si="73"/>
        <v>0.19674632399253755</v>
      </c>
      <c r="U49" s="598">
        <f t="shared" si="73"/>
        <v>0.17221381409104164</v>
      </c>
      <c r="V49" s="598">
        <f t="shared" si="73"/>
        <v>0.19141767485581451</v>
      </c>
      <c r="W49" s="598">
        <f t="shared" si="73"/>
        <v>-0.16795017234608833</v>
      </c>
      <c r="X49" s="598">
        <f t="shared" si="73"/>
        <v>0.48818953811032606</v>
      </c>
      <c r="Y49" s="598">
        <f t="shared" si="73"/>
        <v>0.17972907252904968</v>
      </c>
      <c r="Z49" s="598">
        <f t="shared" si="73"/>
        <v>2.8263651877133089E-2</v>
      </c>
      <c r="AA49" s="598">
        <f t="shared" si="73"/>
        <v>-0.1401850005858003</v>
      </c>
      <c r="AB49" s="598">
        <f t="shared" ref="AB49:AH49" si="74">AB48/AA48-1</f>
        <v>-0.16610386920654563</v>
      </c>
      <c r="AC49" s="598">
        <f t="shared" si="74"/>
        <v>5.2812040844025132E-2</v>
      </c>
      <c r="AD49" s="598">
        <f t="shared" si="74"/>
        <v>0.19945577077025978</v>
      </c>
      <c r="AE49" s="598">
        <f t="shared" si="74"/>
        <v>-2.2726713242420815E-2</v>
      </c>
      <c r="AF49" s="598">
        <f t="shared" si="74"/>
        <v>-1.8412603056135013E-2</v>
      </c>
      <c r="AG49" s="598">
        <f t="shared" si="74"/>
        <v>-2.0302860690677882E-2</v>
      </c>
      <c r="AH49" s="1703">
        <f t="shared" si="74"/>
        <v>-2.2048156763721627E-2</v>
      </c>
      <c r="AI49" s="1014"/>
      <c r="AJ49" s="560"/>
      <c r="AK49" s="565"/>
      <c r="AL49" s="1683"/>
      <c r="AM49" s="600"/>
      <c r="AN49" s="601"/>
    </row>
    <row r="50" spans="1:42">
      <c r="A50" s="524"/>
      <c r="B50" s="523"/>
      <c r="C50" s="598"/>
      <c r="D50" s="598"/>
      <c r="E50" s="598"/>
      <c r="F50" s="598"/>
      <c r="G50" s="598"/>
      <c r="H50" s="598"/>
      <c r="I50" s="598"/>
      <c r="J50" s="598"/>
      <c r="K50" s="598"/>
      <c r="L50" s="598"/>
      <c r="M50" s="599"/>
      <c r="N50" s="599"/>
      <c r="O50" s="598"/>
      <c r="P50" s="598"/>
      <c r="Q50" s="598"/>
      <c r="R50" s="598"/>
      <c r="S50" s="598"/>
      <c r="T50" s="598"/>
      <c r="U50" s="586"/>
      <c r="V50" s="586"/>
      <c r="W50" s="593"/>
      <c r="X50" s="598"/>
      <c r="Y50" s="598"/>
      <c r="Z50" s="598"/>
      <c r="AA50" s="602"/>
      <c r="AB50" s="602"/>
      <c r="AC50" s="602"/>
      <c r="AD50" s="602"/>
      <c r="AE50" s="602"/>
      <c r="AF50" s="602"/>
      <c r="AG50" s="602"/>
      <c r="AH50" s="1704"/>
      <c r="AI50" s="1014"/>
      <c r="AJ50" s="560"/>
      <c r="AK50" s="565"/>
      <c r="AL50" s="1683"/>
      <c r="AM50" s="600"/>
      <c r="AN50" s="601"/>
    </row>
    <row r="51" spans="1:42" ht="12.75" hidden="1" customHeight="1" outlineLevel="1">
      <c r="A51" s="603" t="s">
        <v>469</v>
      </c>
      <c r="B51" s="604"/>
      <c r="C51" s="604"/>
      <c r="D51" s="604"/>
      <c r="E51" s="604"/>
      <c r="F51" s="604"/>
      <c r="G51" s="604"/>
      <c r="H51" s="604"/>
      <c r="I51" s="604">
        <f t="shared" ref="I51:P51" si="75">+I48</f>
        <v>0.57846758924435904</v>
      </c>
      <c r="J51" s="604">
        <f t="shared" si="75"/>
        <v>0.91173549688305278</v>
      </c>
      <c r="K51" s="604">
        <f t="shared" si="75"/>
        <v>1.2522335879791258</v>
      </c>
      <c r="L51" s="604">
        <f t="shared" si="75"/>
        <v>0.99913261130186515</v>
      </c>
      <c r="M51" s="604">
        <f t="shared" si="75"/>
        <v>-8.9168924741830861E-3</v>
      </c>
      <c r="N51" s="604">
        <f t="shared" si="75"/>
        <v>0.54165510729181254</v>
      </c>
      <c r="O51" s="604">
        <f t="shared" si="75"/>
        <v>1.0940885896567705</v>
      </c>
      <c r="P51" s="604">
        <f t="shared" si="75"/>
        <v>1.2094971215613137</v>
      </c>
      <c r="Q51" s="604">
        <f>+Q48</f>
        <v>1.2330872231814936</v>
      </c>
      <c r="R51" s="604">
        <f t="shared" ref="R51:W51" si="76">(+R45+R27*(1-R43))/R54</f>
        <v>1.0024484794673101</v>
      </c>
      <c r="S51" s="604">
        <f t="shared" si="76"/>
        <v>1.1606981894698041</v>
      </c>
      <c r="T51" s="604">
        <f t="shared" si="76"/>
        <v>1.385541213596325</v>
      </c>
      <c r="U51" s="604">
        <f t="shared" si="76"/>
        <v>1.618898477938906</v>
      </c>
      <c r="V51" s="604">
        <f t="shared" si="76"/>
        <v>1.9254821229291392</v>
      </c>
      <c r="W51" s="604">
        <f t="shared" si="76"/>
        <v>1.6208063772014631</v>
      </c>
      <c r="X51" s="604">
        <f t="shared" ref="X51:AC51" si="77">(+X45+X27*(1-X43))/X54</f>
        <v>2.3905344355620772</v>
      </c>
      <c r="Y51" s="604">
        <f t="shared" si="77"/>
        <v>2.813078026487779</v>
      </c>
      <c r="Z51" s="604">
        <f t="shared" si="77"/>
        <v>2.8983877595174254</v>
      </c>
      <c r="AA51" s="604">
        <f t="shared" si="77"/>
        <v>2.5090305288269614</v>
      </c>
      <c r="AB51" s="604">
        <f t="shared" si="77"/>
        <v>2.0229249999999999</v>
      </c>
      <c r="AC51" s="604">
        <f t="shared" si="77"/>
        <v>2.1297597977243994</v>
      </c>
      <c r="AD51" s="604">
        <f>(+AD45+AD27*(1-AD43))/AD54</f>
        <v>2.554552679735032</v>
      </c>
      <c r="AE51" s="604">
        <f>(+AE45+AE27*(1-AE43))/AE54</f>
        <v>2.4964960935200362</v>
      </c>
      <c r="AF51" s="604">
        <f>(+AF45+AF27*(1-AF43))/AF54</f>
        <v>2.45052910191886</v>
      </c>
      <c r="AG51" s="604">
        <f>(+AG45+AG27*(1-AG43))/AG54</f>
        <v>2.4007763509441493</v>
      </c>
      <c r="AH51" s="1705">
        <f>(+AH45+AH27*(1-AH43))/AH54</f>
        <v>2.3478436576038972</v>
      </c>
      <c r="AI51" s="1014"/>
      <c r="AJ51" s="560"/>
      <c r="AK51" s="570"/>
      <c r="AL51" s="1683"/>
      <c r="AM51" s="557"/>
      <c r="AN51" s="562"/>
    </row>
    <row r="52" spans="1:42" ht="12.75" hidden="1" customHeight="1" outlineLevel="1">
      <c r="A52" s="603" t="s">
        <v>522</v>
      </c>
      <c r="B52" s="578"/>
      <c r="C52" s="605"/>
      <c r="D52" s="605"/>
      <c r="E52" s="605"/>
      <c r="F52" s="605"/>
      <c r="G52" s="605"/>
      <c r="H52" s="605"/>
      <c r="I52" s="605">
        <f>+I49</f>
        <v>0.22799930466704432</v>
      </c>
      <c r="J52" s="605">
        <f>J51/I51-1</f>
        <v>0.57612200551120796</v>
      </c>
      <c r="K52" s="605">
        <f>K51/J51-1</f>
        <v>0.37346148335798346</v>
      </c>
      <c r="L52" s="605">
        <f>L51/K51-1</f>
        <v>-0.20211961977934079</v>
      </c>
      <c r="M52" s="606" t="s">
        <v>60</v>
      </c>
      <c r="N52" s="606" t="s">
        <v>60</v>
      </c>
      <c r="O52" s="605">
        <f t="shared" ref="O52:AA52" si="78">O51/N51-1</f>
        <v>1.0198989632480999</v>
      </c>
      <c r="P52" s="605">
        <f t="shared" si="78"/>
        <v>0.10548371767659903</v>
      </c>
      <c r="Q52" s="605">
        <f t="shared" si="78"/>
        <v>1.9504057677895092E-2</v>
      </c>
      <c r="R52" s="605">
        <f t="shared" si="78"/>
        <v>-0.18704171073893006</v>
      </c>
      <c r="S52" s="605">
        <f t="shared" si="78"/>
        <v>0.15786318523480247</v>
      </c>
      <c r="T52" s="605">
        <f t="shared" si="78"/>
        <v>0.19371359942348754</v>
      </c>
      <c r="U52" s="605">
        <f t="shared" si="78"/>
        <v>0.16842318514429211</v>
      </c>
      <c r="V52" s="605">
        <f t="shared" si="78"/>
        <v>0.18937793145655379</v>
      </c>
      <c r="W52" s="605">
        <f t="shared" si="78"/>
        <v>-0.15823348453850516</v>
      </c>
      <c r="X52" s="605">
        <f t="shared" si="78"/>
        <v>0.47490438659900369</v>
      </c>
      <c r="Y52" s="605">
        <f t="shared" si="78"/>
        <v>0.17675695636919397</v>
      </c>
      <c r="Z52" s="605">
        <f t="shared" si="78"/>
        <v>3.0326116882068321E-2</v>
      </c>
      <c r="AA52" s="605">
        <f t="shared" si="78"/>
        <v>-0.13433579734524237</v>
      </c>
      <c r="AB52" s="605">
        <f t="shared" ref="AB52:AH52" si="79">AB51/AA51-1</f>
        <v>-0.19374237309668318</v>
      </c>
      <c r="AC52" s="605">
        <f t="shared" si="79"/>
        <v>5.2812040844025132E-2</v>
      </c>
      <c r="AD52" s="605">
        <f t="shared" si="79"/>
        <v>0.19945577077025978</v>
      </c>
      <c r="AE52" s="605">
        <f t="shared" si="79"/>
        <v>-2.2726713242420815E-2</v>
      </c>
      <c r="AF52" s="605">
        <f t="shared" si="79"/>
        <v>-1.8412603056135013E-2</v>
      </c>
      <c r="AG52" s="605">
        <f t="shared" si="79"/>
        <v>-2.0302860690677882E-2</v>
      </c>
      <c r="AH52" s="1706">
        <f t="shared" si="79"/>
        <v>-2.2048156763721627E-2</v>
      </c>
      <c r="AI52" s="1014"/>
      <c r="AJ52" s="560"/>
      <c r="AK52" s="565"/>
      <c r="AL52" s="1683"/>
      <c r="AM52" s="600"/>
      <c r="AN52" s="601"/>
    </row>
    <row r="53" spans="1:42" ht="12.75" hidden="1" customHeight="1" outlineLevel="1">
      <c r="A53" s="590"/>
      <c r="B53" s="523"/>
      <c r="C53" s="523"/>
      <c r="D53" s="523"/>
      <c r="E53" s="523"/>
      <c r="F53" s="523"/>
      <c r="G53" s="523"/>
      <c r="H53" s="523"/>
      <c r="I53" s="523"/>
      <c r="J53" s="523"/>
      <c r="K53" s="523"/>
      <c r="L53" s="523"/>
      <c r="M53" s="523"/>
      <c r="N53" s="523"/>
      <c r="O53" s="523"/>
      <c r="P53" s="523"/>
      <c r="Q53" s="607"/>
      <c r="R53" s="607"/>
      <c r="S53" s="607"/>
      <c r="T53" s="607"/>
      <c r="U53" s="607"/>
      <c r="V53" s="607"/>
      <c r="W53" s="607"/>
      <c r="X53" s="607"/>
      <c r="Y53" s="608"/>
      <c r="Z53" s="608"/>
      <c r="AA53" s="607"/>
      <c r="AB53" s="607"/>
      <c r="AC53" s="607"/>
      <c r="AD53" s="607"/>
      <c r="AE53" s="607"/>
      <c r="AF53" s="607"/>
      <c r="AG53" s="607"/>
      <c r="AH53" s="1707"/>
      <c r="AI53" s="1013"/>
      <c r="AJ53" s="560"/>
      <c r="AK53" s="565"/>
      <c r="AL53" s="1683"/>
      <c r="AM53" s="600"/>
      <c r="AN53" s="601"/>
    </row>
    <row r="54" spans="1:42" collapsed="1">
      <c r="A54" s="524" t="s">
        <v>284</v>
      </c>
      <c r="B54" s="586">
        <f>'qtrP&amp;L'!F149</f>
        <v>955.125</v>
      </c>
      <c r="C54" s="586">
        <f>'qtrP&amp;L'!J149</f>
        <v>959.44500000000005</v>
      </c>
      <c r="D54" s="586">
        <f>'qtrP&amp;L'!N149</f>
        <v>960.94799999999998</v>
      </c>
      <c r="E54" s="586">
        <f>'qtrP&amp;L'!R149</f>
        <v>965.1105</v>
      </c>
      <c r="F54" s="586">
        <f>'qtrP&amp;L'!V149</f>
        <v>971.15174999999999</v>
      </c>
      <c r="G54" s="586">
        <f>'qtrP&amp;L'!Z149</f>
        <v>962.44315874999995</v>
      </c>
      <c r="H54" s="586">
        <f>'qtrP&amp;L'!AD149</f>
        <v>961.35124500000006</v>
      </c>
      <c r="I54" s="586">
        <f>'qtrP&amp;L'!AH149</f>
        <v>922.95749999999998</v>
      </c>
      <c r="J54" s="586">
        <f>'qtrP&amp;L'!AL149</f>
        <v>904.36206862500012</v>
      </c>
      <c r="K54" s="586">
        <f>'qtrP&amp;L'!AP149</f>
        <v>900.04373850000002</v>
      </c>
      <c r="L54" s="586">
        <f>'qtrP&amp;L'!AT149</f>
        <v>878.25879175</v>
      </c>
      <c r="M54" s="586">
        <f>'qtrP&amp;L'!AX149</f>
        <v>870.70692200000008</v>
      </c>
      <c r="N54" s="609">
        <f>'qtrP&amp;L'!BB149</f>
        <v>881.47788800000001</v>
      </c>
      <c r="O54" s="609">
        <f>'qtrP&amp;L'!BF149</f>
        <v>988.178</v>
      </c>
      <c r="P54" s="609">
        <f>'qtrP&amp;L'!BJ149</f>
        <v>991.12199999999996</v>
      </c>
      <c r="Q54" s="609">
        <f>+'qtrP&amp;L'!BN149</f>
        <v>902.30600000000004</v>
      </c>
      <c r="R54" s="609">
        <f>+'qtrP&amp;L'!BR149</f>
        <v>836</v>
      </c>
      <c r="S54" s="609">
        <f>'qtrP&amp;L'!$BV$149</f>
        <v>794</v>
      </c>
      <c r="T54" s="609">
        <f>'qtrP&amp;L'!BZ149</f>
        <v>719</v>
      </c>
      <c r="U54" s="609">
        <f>'qtrP&amp;L'!CD149</f>
        <v>699</v>
      </c>
      <c r="V54" s="609">
        <f>'qtrP&amp;L'!CH149</f>
        <v>641</v>
      </c>
      <c r="W54" s="609">
        <f>'qtrP&amp;L'!CL149</f>
        <v>533</v>
      </c>
      <c r="X54" s="609">
        <f>+'qtrP&amp;L'!CP149</f>
        <v>488</v>
      </c>
      <c r="Y54" s="609">
        <f>'qtrP&amp;L'!CT149</f>
        <v>466.5</v>
      </c>
      <c r="Z54" s="609">
        <f>'qtrP&amp;L'!CX149</f>
        <v>439.5</v>
      </c>
      <c r="AA54" s="609">
        <f>'qtrP&amp;L'!DB149</f>
        <v>413</v>
      </c>
      <c r="AB54" s="609">
        <f>'qtrP&amp;L'!$DF$149</f>
        <v>400</v>
      </c>
      <c r="AC54" s="609">
        <f>'qtrP&amp;L'!$DJ$149</f>
        <v>395.5</v>
      </c>
      <c r="AD54" s="609">
        <f>'qtrP&amp;L'!$DN$149</f>
        <v>384.66666666666669</v>
      </c>
      <c r="AE54" s="609">
        <f>AD54-(((-flow!BJ50)/29))</f>
        <v>371.73563218390808</v>
      </c>
      <c r="AF54" s="609">
        <f>AE54-(((-flow!BL50)/35))</f>
        <v>361.02134646962236</v>
      </c>
      <c r="AG54" s="609">
        <f>AF54-(((-flow!BN50)/37))</f>
        <v>350.8862113344872</v>
      </c>
      <c r="AH54" s="1708">
        <f>AG54-(((-flow!BP50)/39))</f>
        <v>341.27082671910256</v>
      </c>
      <c r="AI54" s="1015"/>
      <c r="AJ54" s="560">
        <f>((AB54/W54)^(1/5)-1)*100</f>
        <v>-5.5794433491790807</v>
      </c>
      <c r="AK54" s="561" t="s">
        <v>489</v>
      </c>
      <c r="AL54" s="1683">
        <f>((AH54/AB54)^(1/6)-1)*100</f>
        <v>-2.611757414328153</v>
      </c>
      <c r="AM54" s="557" t="s">
        <v>489</v>
      </c>
      <c r="AN54" s="562"/>
    </row>
    <row r="55" spans="1:42">
      <c r="A55" s="610" t="s">
        <v>286</v>
      </c>
      <c r="B55" s="523"/>
      <c r="C55" s="523"/>
      <c r="D55" s="523"/>
      <c r="E55" s="523"/>
      <c r="F55" s="523"/>
      <c r="G55" s="523"/>
      <c r="H55" s="523"/>
      <c r="I55" s="523"/>
      <c r="J55" s="523"/>
      <c r="K55" s="523"/>
      <c r="L55" s="523"/>
      <c r="M55" s="523"/>
      <c r="N55" s="611">
        <f>+'qtrP&amp;L'!BB188</f>
        <v>967.08582799999999</v>
      </c>
      <c r="O55" s="609">
        <f>'qtrP&amp;L'!BF149</f>
        <v>988.178</v>
      </c>
      <c r="P55" s="609">
        <f>'qtrP&amp;L'!BJ149</f>
        <v>991.12199999999996</v>
      </c>
      <c r="Q55" s="609">
        <f>'qtrP&amp;L'!BN149</f>
        <v>902.30600000000004</v>
      </c>
      <c r="R55" s="609">
        <f t="shared" ref="R55:AA55" si="80">+R54</f>
        <v>836</v>
      </c>
      <c r="S55" s="609">
        <f t="shared" si="80"/>
        <v>794</v>
      </c>
      <c r="T55" s="609">
        <f t="shared" si="80"/>
        <v>719</v>
      </c>
      <c r="U55" s="609">
        <f t="shared" si="80"/>
        <v>699</v>
      </c>
      <c r="V55" s="609">
        <f t="shared" si="80"/>
        <v>641</v>
      </c>
      <c r="W55" s="609">
        <f t="shared" si="80"/>
        <v>533</v>
      </c>
      <c r="X55" s="609">
        <f t="shared" si="80"/>
        <v>488</v>
      </c>
      <c r="Y55" s="609">
        <f t="shared" si="80"/>
        <v>466.5</v>
      </c>
      <c r="Z55" s="609">
        <f t="shared" si="80"/>
        <v>439.5</v>
      </c>
      <c r="AA55" s="609">
        <f t="shared" si="80"/>
        <v>413</v>
      </c>
      <c r="AB55" s="609">
        <f t="shared" ref="AB55:AG55" si="81">+AB54</f>
        <v>400</v>
      </c>
      <c r="AC55" s="609">
        <f t="shared" si="81"/>
        <v>395.5</v>
      </c>
      <c r="AD55" s="609">
        <f t="shared" si="81"/>
        <v>384.66666666666669</v>
      </c>
      <c r="AE55" s="609">
        <f t="shared" si="81"/>
        <v>371.73563218390808</v>
      </c>
      <c r="AF55" s="609">
        <f t="shared" si="81"/>
        <v>361.02134646962236</v>
      </c>
      <c r="AG55" s="609">
        <f t="shared" si="81"/>
        <v>350.8862113344872</v>
      </c>
      <c r="AH55" s="1708">
        <f t="shared" ref="AH55" si="82">+AH54</f>
        <v>341.27082671910256</v>
      </c>
      <c r="AI55" s="1016"/>
      <c r="AJ55" s="612"/>
      <c r="AK55" s="613"/>
      <c r="AL55" s="1688"/>
      <c r="AM55" s="614"/>
      <c r="AN55" s="524"/>
    </row>
    <row r="56" spans="1:42">
      <c r="A56" s="590"/>
      <c r="B56" s="523"/>
      <c r="C56" s="523"/>
      <c r="D56" s="523"/>
      <c r="E56" s="523"/>
      <c r="F56" s="523"/>
      <c r="G56" s="523"/>
      <c r="H56" s="523"/>
      <c r="I56" s="523"/>
      <c r="J56" s="523"/>
      <c r="K56" s="523"/>
      <c r="L56" s="523"/>
      <c r="M56" s="523"/>
      <c r="N56" s="523"/>
      <c r="O56" s="615"/>
      <c r="P56" s="522"/>
      <c r="Q56" s="459"/>
      <c r="R56" s="459"/>
      <c r="S56" s="459"/>
      <c r="T56" s="459"/>
      <c r="U56" s="616">
        <f>U54/T54-1</f>
        <v>-2.781641168289295E-2</v>
      </c>
      <c r="V56" s="616">
        <f t="shared" ref="V56:AH56" si="83">V54/U54-1</f>
        <v>-8.2975679542203196E-2</v>
      </c>
      <c r="W56" s="616">
        <f t="shared" si="83"/>
        <v>-0.16848673946957882</v>
      </c>
      <c r="X56" s="616">
        <f t="shared" si="83"/>
        <v>-8.4427767354596672E-2</v>
      </c>
      <c r="Y56" s="616">
        <f t="shared" si="83"/>
        <v>-4.4057377049180335E-2</v>
      </c>
      <c r="Z56" s="616">
        <f t="shared" si="83"/>
        <v>-5.7877813504823128E-2</v>
      </c>
      <c r="AA56" s="616">
        <f t="shared" si="83"/>
        <v>-6.0295790671217264E-2</v>
      </c>
      <c r="AB56" s="616">
        <f>AB54/AA54-1</f>
        <v>-3.1476997578692489E-2</v>
      </c>
      <c r="AC56" s="616">
        <f>AC54/AB54-1</f>
        <v>-1.1249999999999982E-2</v>
      </c>
      <c r="AD56" s="608">
        <f t="shared" si="83"/>
        <v>-2.7391487568478645E-2</v>
      </c>
      <c r="AE56" s="608">
        <f t="shared" si="83"/>
        <v>-3.3616207494173156E-2</v>
      </c>
      <c r="AF56" s="608">
        <f t="shared" si="83"/>
        <v>-2.8822326370330442E-2</v>
      </c>
      <c r="AG56" s="608">
        <f t="shared" si="83"/>
        <v>-2.8073506550915117E-2</v>
      </c>
      <c r="AH56" s="1709">
        <f t="shared" si="83"/>
        <v>-2.7403141829983824E-2</v>
      </c>
      <c r="AI56" s="523"/>
      <c r="AJ56" s="617"/>
      <c r="AK56" s="618"/>
      <c r="AL56" s="1687"/>
      <c r="AM56" s="524"/>
      <c r="AN56" s="524"/>
    </row>
    <row r="57" spans="1:42">
      <c r="A57" s="553" t="s">
        <v>287</v>
      </c>
      <c r="B57" s="619"/>
      <c r="C57" s="619"/>
      <c r="D57" s="619"/>
      <c r="E57" s="619"/>
      <c r="F57" s="619"/>
      <c r="G57" s="619"/>
      <c r="H57" s="619"/>
      <c r="I57" s="619"/>
      <c r="J57" s="619"/>
      <c r="K57" s="619"/>
      <c r="L57" s="619"/>
      <c r="M57" s="619"/>
      <c r="N57" s="620">
        <f t="shared" ref="N57:S57" si="84">+N45/N54</f>
        <v>0.54165510729181021</v>
      </c>
      <c r="O57" s="620">
        <f t="shared" si="84"/>
        <v>1.0435893128565916</v>
      </c>
      <c r="P57" s="620">
        <f t="shared" si="84"/>
        <v>1.1603142700898603</v>
      </c>
      <c r="Q57" s="620">
        <f t="shared" si="84"/>
        <v>1.2330872231814936</v>
      </c>
      <c r="R57" s="620">
        <f t="shared" si="84"/>
        <v>0.96793181818181817</v>
      </c>
      <c r="S57" s="620">
        <f t="shared" si="84"/>
        <v>1.1238167002518893</v>
      </c>
      <c r="T57" s="620">
        <f t="shared" ref="T57:Y57" si="85">+T45/T54</f>
        <v>1.344923504867872</v>
      </c>
      <c r="U57" s="620">
        <f t="shared" si="85"/>
        <v>1.5765379113018598</v>
      </c>
      <c r="V57" s="620">
        <f t="shared" si="85"/>
        <v>1.8783151326053042</v>
      </c>
      <c r="W57" s="620">
        <f t="shared" si="85"/>
        <v>1.5628517823639776</v>
      </c>
      <c r="X57" s="620">
        <f t="shared" si="85"/>
        <v>2.3258196721311477</v>
      </c>
      <c r="Y57" s="620">
        <f t="shared" si="85"/>
        <v>2.7438370846730975</v>
      </c>
      <c r="Z57" s="620">
        <f t="shared" ref="Z57:AE57" si="86">+Z45/Z54</f>
        <v>2.8213879408418658</v>
      </c>
      <c r="AA57" s="620">
        <f t="shared" si="86"/>
        <v>2.425871670702179</v>
      </c>
      <c r="AB57" s="620">
        <f>+AB45/AB54</f>
        <v>2.0229249999999999</v>
      </c>
      <c r="AC57" s="620">
        <f t="shared" si="86"/>
        <v>2.1297597977243994</v>
      </c>
      <c r="AD57" s="621">
        <f t="shared" si="86"/>
        <v>2.554552679735032</v>
      </c>
      <c r="AE57" s="621">
        <f t="shared" si="86"/>
        <v>2.4964960935200362</v>
      </c>
      <c r="AF57" s="621">
        <f t="shared" ref="AF57:AG57" si="87">+AF45/AF54</f>
        <v>2.45052910191886</v>
      </c>
      <c r="AG57" s="621">
        <f t="shared" si="87"/>
        <v>2.4007763509441493</v>
      </c>
      <c r="AH57" s="1710">
        <f t="shared" ref="AH57" si="88">+AH45/AH54</f>
        <v>2.3478436576038972</v>
      </c>
      <c r="AI57" s="523"/>
      <c r="AJ57" s="617"/>
      <c r="AK57" s="618"/>
      <c r="AL57" s="1687"/>
      <c r="AM57" s="524"/>
      <c r="AN57" s="524"/>
    </row>
    <row r="58" spans="1:42">
      <c r="A58" s="459"/>
      <c r="B58" s="523"/>
      <c r="C58" s="523"/>
      <c r="D58" s="523"/>
      <c r="E58" s="523"/>
      <c r="F58" s="523"/>
      <c r="G58" s="523"/>
      <c r="H58" s="523"/>
      <c r="I58" s="523"/>
      <c r="J58" s="523"/>
      <c r="K58" s="523"/>
      <c r="L58" s="523"/>
      <c r="M58" s="523"/>
      <c r="N58" s="523"/>
      <c r="O58" s="615"/>
      <c r="P58" s="522"/>
      <c r="Q58" s="459"/>
      <c r="R58" s="459"/>
      <c r="S58" s="459"/>
      <c r="T58" s="459"/>
      <c r="U58" s="459"/>
      <c r="V58" s="459"/>
      <c r="W58" s="522"/>
      <c r="X58" s="459"/>
      <c r="Y58" s="459"/>
      <c r="Z58" s="459"/>
      <c r="AA58" s="459"/>
      <c r="AB58" s="459"/>
      <c r="AC58" s="459"/>
      <c r="AD58" s="491"/>
      <c r="AE58" s="491"/>
      <c r="AF58" s="491"/>
      <c r="AG58" s="491"/>
      <c r="AH58" s="60"/>
      <c r="AI58" s="523"/>
      <c r="AJ58" s="617"/>
      <c r="AK58" s="618"/>
      <c r="AL58" s="1687"/>
      <c r="AM58" s="524"/>
      <c r="AN58" s="524"/>
    </row>
    <row r="59" spans="1:42">
      <c r="A59" s="622" t="s">
        <v>66</v>
      </c>
      <c r="B59" s="523"/>
      <c r="C59" s="523"/>
      <c r="D59" s="523"/>
      <c r="E59" s="523"/>
      <c r="F59" s="523"/>
      <c r="G59" s="523"/>
      <c r="H59" s="523"/>
      <c r="I59" s="523"/>
      <c r="J59" s="523"/>
      <c r="K59" s="523"/>
      <c r="L59" s="523"/>
      <c r="M59" s="523"/>
      <c r="N59" s="523"/>
      <c r="O59" s="615"/>
      <c r="P59" s="522"/>
      <c r="Q59" s="459"/>
      <c r="R59" s="459"/>
      <c r="S59" s="459"/>
      <c r="T59" s="623"/>
      <c r="U59" s="623"/>
      <c r="V59" s="459"/>
      <c r="W59" s="459"/>
      <c r="X59" s="459"/>
      <c r="Y59" s="459"/>
      <c r="Z59" s="459"/>
      <c r="AA59" s="459"/>
      <c r="AB59" s="459"/>
      <c r="AC59" s="522"/>
      <c r="AD59" s="491"/>
      <c r="AE59" s="491"/>
      <c r="AF59" s="491"/>
      <c r="AG59" s="491"/>
      <c r="AH59" s="60"/>
      <c r="AI59" s="523"/>
      <c r="AJ59" s="617"/>
      <c r="AK59" s="618"/>
      <c r="AL59" s="1687"/>
      <c r="AM59" s="524"/>
      <c r="AN59" s="524"/>
    </row>
    <row r="60" spans="1:42">
      <c r="A60" s="501" t="s">
        <v>520</v>
      </c>
      <c r="B60" s="624"/>
      <c r="C60" s="624"/>
      <c r="D60" s="624"/>
      <c r="E60" s="624"/>
      <c r="F60" s="624"/>
      <c r="G60" s="523"/>
      <c r="H60" s="523"/>
      <c r="I60" s="524"/>
      <c r="J60" s="524"/>
      <c r="K60" s="524"/>
      <c r="L60" s="524"/>
      <c r="M60" s="459"/>
      <c r="N60" s="459"/>
      <c r="O60" s="459"/>
      <c r="P60" s="522"/>
      <c r="Q60" s="522"/>
      <c r="R60" s="586"/>
      <c r="S60" s="459"/>
      <c r="T60" s="625"/>
      <c r="U60" s="625"/>
      <c r="V60" s="459"/>
      <c r="W60" s="459"/>
      <c r="X60" s="459"/>
      <c r="Y60" s="459"/>
      <c r="Z60" s="459"/>
      <c r="AA60" s="459"/>
      <c r="AB60" s="459"/>
      <c r="AC60" s="459"/>
      <c r="AD60" s="491"/>
      <c r="AE60" s="491"/>
      <c r="AF60" s="491"/>
      <c r="AG60" s="491"/>
      <c r="AH60" s="60"/>
      <c r="AI60" s="524"/>
      <c r="AJ60" s="524"/>
      <c r="AK60" s="526"/>
      <c r="AL60" s="1687"/>
      <c r="AM60" s="524"/>
      <c r="AN60" s="524"/>
    </row>
    <row r="61" spans="1:42" ht="12.75" customHeight="1">
      <c r="A61" s="459"/>
      <c r="B61" s="459"/>
      <c r="C61" s="459"/>
      <c r="D61" s="459"/>
      <c r="E61" s="459"/>
      <c r="F61" s="459"/>
      <c r="G61" s="459"/>
      <c r="H61" s="459"/>
      <c r="I61" s="459"/>
      <c r="J61" s="626"/>
      <c r="K61" s="627"/>
      <c r="L61" s="627"/>
      <c r="M61" s="455" t="s">
        <v>16</v>
      </c>
      <c r="N61" s="612"/>
      <c r="O61" s="612"/>
      <c r="P61" s="612"/>
      <c r="Q61" s="612"/>
      <c r="R61" s="612"/>
      <c r="S61" s="612"/>
      <c r="T61" s="612"/>
      <c r="U61" s="612"/>
      <c r="V61" s="612"/>
      <c r="W61" s="612"/>
      <c r="X61" s="612"/>
      <c r="Y61" s="612"/>
      <c r="Z61" s="612"/>
      <c r="AA61" s="612"/>
      <c r="AB61" s="612"/>
      <c r="AC61" s="1036"/>
      <c r="AD61" s="1036"/>
      <c r="AE61" s="1036"/>
      <c r="AF61" s="1036"/>
      <c r="AG61" s="1036"/>
      <c r="AH61" s="374"/>
      <c r="AI61" s="459"/>
      <c r="AJ61" s="459"/>
      <c r="AK61" s="536"/>
      <c r="AL61" s="57"/>
      <c r="AM61" s="459"/>
      <c r="AN61" s="459"/>
    </row>
    <row r="62" spans="1:42">
      <c r="A62" s="459"/>
      <c r="B62" s="459"/>
      <c r="C62" s="459"/>
      <c r="D62" s="459"/>
      <c r="E62" s="459"/>
      <c r="F62" s="459"/>
      <c r="G62" s="459"/>
      <c r="H62" s="459"/>
      <c r="I62" s="459"/>
      <c r="J62" s="627"/>
      <c r="K62" s="627"/>
      <c r="L62" s="627"/>
      <c r="M62" s="524"/>
      <c r="N62" s="524"/>
      <c r="O62" s="523">
        <f>+O7</f>
        <v>15853.79</v>
      </c>
      <c r="P62" s="523">
        <f>+P7</f>
        <v>16267.401000000002</v>
      </c>
      <c r="Q62" s="523">
        <f>+Q7</f>
        <v>16023.38</v>
      </c>
      <c r="R62" s="523">
        <f>+R7</f>
        <v>15923</v>
      </c>
      <c r="S62" s="523"/>
      <c r="T62" s="523"/>
      <c r="U62" s="523"/>
      <c r="V62" s="523"/>
      <c r="W62" s="523"/>
      <c r="X62" s="523"/>
      <c r="Y62" s="523"/>
      <c r="Z62" s="523"/>
      <c r="AA62" s="523"/>
      <c r="AB62" s="523"/>
      <c r="AC62" s="601"/>
      <c r="AD62" s="601"/>
      <c r="AE62" s="601"/>
      <c r="AF62" s="601"/>
      <c r="AG62" s="601"/>
      <c r="AH62" s="1711"/>
      <c r="AI62" s="459"/>
      <c r="AJ62" s="459"/>
      <c r="AK62" s="536"/>
      <c r="AL62" s="57"/>
      <c r="AM62" s="459"/>
      <c r="AN62" s="459"/>
    </row>
    <row r="63" spans="1:42">
      <c r="A63" s="459"/>
      <c r="B63" s="459"/>
      <c r="C63" s="459"/>
      <c r="D63" s="459"/>
      <c r="E63" s="459"/>
      <c r="F63" s="459"/>
      <c r="G63" s="459"/>
      <c r="H63" s="459"/>
      <c r="I63" s="459"/>
      <c r="J63" s="627"/>
      <c r="K63" s="627"/>
      <c r="L63" s="627"/>
      <c r="M63" s="459"/>
      <c r="N63" s="628" t="s">
        <v>173</v>
      </c>
      <c r="O63" s="523">
        <f>+O62*O64</f>
        <v>1743.9169000000002</v>
      </c>
      <c r="P63" s="523">
        <f>+P62*P64</f>
        <v>2440.11015</v>
      </c>
      <c r="Q63" s="523">
        <f>+Q62*Q64</f>
        <v>2323.3900999999996</v>
      </c>
      <c r="R63" s="523">
        <f>+R62*R64</f>
        <v>2069.9900000000002</v>
      </c>
      <c r="S63" s="523"/>
      <c r="T63" s="523"/>
      <c r="U63" s="523"/>
      <c r="V63" s="523"/>
      <c r="W63" s="523"/>
      <c r="X63" s="523"/>
      <c r="Y63" s="523"/>
      <c r="Z63" s="523"/>
      <c r="AA63" s="523"/>
      <c r="AB63" s="523"/>
      <c r="AC63" s="523"/>
      <c r="AD63" s="523"/>
      <c r="AE63" s="523"/>
      <c r="AF63" s="523"/>
      <c r="AG63" s="523"/>
      <c r="AH63" s="1695"/>
      <c r="AI63" s="459"/>
      <c r="AJ63" s="459"/>
      <c r="AK63" s="536"/>
      <c r="AL63" s="57"/>
      <c r="AM63" s="459"/>
      <c r="AN63" s="459"/>
      <c r="AP63" s="449">
        <f>2.05*10</f>
        <v>20.5</v>
      </c>
    </row>
    <row r="64" spans="1:42">
      <c r="A64" s="459"/>
      <c r="B64" s="459"/>
      <c r="C64" s="459"/>
      <c r="D64" s="459"/>
      <c r="E64" s="459"/>
      <c r="F64" s="459"/>
      <c r="G64" s="459"/>
      <c r="H64" s="459"/>
      <c r="I64" s="459"/>
      <c r="J64" s="459"/>
      <c r="K64" s="459"/>
      <c r="L64" s="459"/>
      <c r="M64" s="459"/>
      <c r="N64" s="459"/>
      <c r="O64" s="572">
        <v>0.11</v>
      </c>
      <c r="P64" s="572">
        <v>0.15</v>
      </c>
      <c r="Q64" s="572">
        <v>0.14499999999999999</v>
      </c>
      <c r="R64" s="572">
        <v>0.13</v>
      </c>
      <c r="S64" s="572"/>
      <c r="T64" s="572"/>
      <c r="U64" s="572"/>
      <c r="V64" s="572"/>
      <c r="W64" s="572"/>
      <c r="X64" s="572"/>
      <c r="Y64" s="572"/>
      <c r="Z64" s="572"/>
      <c r="AA64" s="572"/>
      <c r="AB64" s="572"/>
      <c r="AC64" s="572"/>
      <c r="AD64" s="572"/>
      <c r="AE64" s="572"/>
      <c r="AF64" s="572"/>
      <c r="AG64" s="572"/>
      <c r="AH64" s="48"/>
      <c r="AI64" s="459"/>
      <c r="AJ64" s="459"/>
      <c r="AK64" s="536"/>
      <c r="AL64" s="57"/>
      <c r="AM64" s="459"/>
      <c r="AN64" s="459"/>
    </row>
    <row r="65" spans="1:40">
      <c r="A65" s="459"/>
      <c r="B65" s="459"/>
      <c r="C65" s="459"/>
      <c r="D65" s="459"/>
      <c r="E65" s="459"/>
      <c r="F65" s="459"/>
      <c r="G65" s="459"/>
      <c r="H65" s="459"/>
      <c r="I65" s="459"/>
      <c r="J65" s="459"/>
      <c r="K65" s="459"/>
      <c r="L65" s="459"/>
      <c r="M65" s="459"/>
      <c r="N65" s="459"/>
      <c r="O65" s="629">
        <f>+O34</f>
        <v>0.11858369512905123</v>
      </c>
      <c r="P65" s="629">
        <f>+P34</f>
        <v>0.12171870601825099</v>
      </c>
      <c r="Q65" s="629">
        <f>+Q34</f>
        <v>0.10885774412140264</v>
      </c>
      <c r="R65" s="629">
        <f>+R34</f>
        <v>7.6932738805501472E-2</v>
      </c>
      <c r="S65" s="459"/>
      <c r="T65" s="522"/>
      <c r="U65" s="459"/>
      <c r="V65" s="459"/>
      <c r="W65" s="459"/>
      <c r="X65" s="459"/>
      <c r="Y65" s="459"/>
      <c r="Z65" s="459"/>
      <c r="AA65" s="459"/>
      <c r="AB65" s="459"/>
      <c r="AC65" s="459"/>
      <c r="AD65" s="459"/>
      <c r="AE65" s="459"/>
      <c r="AF65" s="459"/>
      <c r="AG65" s="459"/>
      <c r="AH65" s="57"/>
      <c r="AI65" s="459"/>
      <c r="AJ65" s="459"/>
      <c r="AK65" s="536"/>
      <c r="AL65" s="57"/>
      <c r="AM65" s="459"/>
      <c r="AN65" s="459"/>
    </row>
    <row r="66" spans="1:40">
      <c r="A66" s="459"/>
      <c r="B66" s="459"/>
      <c r="C66" s="459"/>
      <c r="D66" s="459"/>
      <c r="E66" s="459"/>
      <c r="F66" s="459"/>
      <c r="G66" s="459"/>
      <c r="H66" s="459"/>
      <c r="I66" s="459"/>
      <c r="J66" s="459"/>
      <c r="K66" s="459"/>
      <c r="L66" s="459"/>
      <c r="M66" s="459"/>
      <c r="N66" s="459" t="s">
        <v>167</v>
      </c>
      <c r="O66" s="558">
        <f>+O36</f>
        <v>195.624</v>
      </c>
      <c r="P66" s="558">
        <f>+P36</f>
        <v>108.03400000000001</v>
      </c>
      <c r="Q66" s="558">
        <f>+Q36</f>
        <v>-47.972999999999999</v>
      </c>
      <c r="R66" s="558">
        <f>+R36</f>
        <v>-90.191000000000003</v>
      </c>
      <c r="S66" s="558"/>
      <c r="T66" s="558"/>
      <c r="U66" s="558"/>
      <c r="V66" s="558"/>
      <c r="W66" s="558"/>
      <c r="X66" s="558"/>
      <c r="Y66" s="558"/>
      <c r="Z66" s="558"/>
      <c r="AA66" s="558"/>
      <c r="AB66" s="558"/>
      <c r="AC66" s="558"/>
      <c r="AD66" s="558"/>
      <c r="AE66" s="558"/>
      <c r="AF66" s="558"/>
      <c r="AG66" s="558"/>
      <c r="AH66" s="46"/>
      <c r="AI66" s="459"/>
      <c r="AJ66" s="459"/>
      <c r="AK66" s="536"/>
      <c r="AL66" s="57"/>
      <c r="AM66" s="459"/>
      <c r="AN66" s="459"/>
    </row>
    <row r="67" spans="1:40">
      <c r="A67" s="459"/>
      <c r="B67" s="459"/>
      <c r="C67" s="459"/>
      <c r="D67" s="459"/>
      <c r="E67" s="459"/>
      <c r="F67" s="459"/>
      <c r="G67" s="459"/>
      <c r="H67" s="459"/>
      <c r="I67" s="459"/>
      <c r="J67" s="459"/>
      <c r="K67" s="459"/>
      <c r="L67" s="459"/>
      <c r="M67" s="459"/>
      <c r="N67" s="459"/>
      <c r="O67" s="459"/>
      <c r="P67" s="459"/>
      <c r="Q67" s="459"/>
      <c r="R67" s="459"/>
      <c r="S67" s="459"/>
      <c r="T67" s="459"/>
      <c r="U67" s="459"/>
      <c r="V67" s="459"/>
      <c r="W67" s="459"/>
      <c r="X67" s="459"/>
      <c r="Y67" s="459"/>
      <c r="Z67" s="459"/>
      <c r="AA67" s="459"/>
      <c r="AB67" s="459"/>
      <c r="AC67" s="459"/>
      <c r="AD67" s="459"/>
      <c r="AE67" s="459"/>
      <c r="AF67" s="459"/>
      <c r="AG67" s="459"/>
      <c r="AH67" s="57"/>
      <c r="AI67" s="459"/>
      <c r="AJ67" s="459"/>
      <c r="AK67" s="536"/>
      <c r="AL67" s="57"/>
      <c r="AM67" s="459"/>
      <c r="AN67" s="459"/>
    </row>
    <row r="68" spans="1:40">
      <c r="A68" s="459"/>
      <c r="B68" s="459"/>
      <c r="C68" s="459"/>
      <c r="D68" s="459"/>
      <c r="E68" s="459"/>
      <c r="F68" s="459"/>
      <c r="G68" s="459"/>
      <c r="H68" s="459"/>
      <c r="I68" s="459"/>
      <c r="J68" s="459"/>
      <c r="K68" s="459"/>
      <c r="L68" s="459"/>
      <c r="M68" s="459"/>
      <c r="N68" s="459" t="s">
        <v>168</v>
      </c>
      <c r="O68" s="479">
        <f>+O63-O66</f>
        <v>1548.2929000000001</v>
      </c>
      <c r="P68" s="479">
        <f>+P63-P66</f>
        <v>2332.0761499999999</v>
      </c>
      <c r="Q68" s="479">
        <f>+Q63-Q66</f>
        <v>2371.3630999999996</v>
      </c>
      <c r="R68" s="479">
        <f>+R63-R66</f>
        <v>2160.181</v>
      </c>
      <c r="S68" s="479"/>
      <c r="T68" s="479"/>
      <c r="U68" s="479"/>
      <c r="V68" s="479"/>
      <c r="W68" s="479"/>
      <c r="X68" s="479"/>
      <c r="Y68" s="479"/>
      <c r="Z68" s="479"/>
      <c r="AA68" s="479"/>
      <c r="AB68" s="479"/>
      <c r="AC68" s="479"/>
      <c r="AD68" s="479"/>
      <c r="AE68" s="479"/>
      <c r="AF68" s="479"/>
      <c r="AG68" s="479"/>
      <c r="AH68" s="337"/>
      <c r="AI68" s="459"/>
      <c r="AJ68" s="459"/>
      <c r="AK68" s="536"/>
      <c r="AL68" s="57"/>
      <c r="AM68" s="459"/>
      <c r="AN68" s="459"/>
    </row>
    <row r="69" spans="1:40">
      <c r="A69" s="459"/>
      <c r="B69" s="459"/>
      <c r="C69" s="459"/>
      <c r="D69" s="459"/>
      <c r="E69" s="459"/>
      <c r="F69" s="459"/>
      <c r="G69" s="459"/>
      <c r="H69" s="459"/>
      <c r="I69" s="459"/>
      <c r="J69" s="459"/>
      <c r="K69" s="459"/>
      <c r="L69" s="459"/>
      <c r="M69" s="459"/>
      <c r="N69" s="459"/>
      <c r="O69" s="459"/>
      <c r="P69" s="459"/>
      <c r="Q69" s="459"/>
      <c r="R69" s="459"/>
      <c r="S69" s="459"/>
      <c r="T69" s="459"/>
      <c r="U69" s="459"/>
      <c r="V69" s="459"/>
      <c r="W69" s="459"/>
      <c r="X69" s="459"/>
      <c r="Y69" s="459"/>
      <c r="Z69" s="459"/>
      <c r="AA69" s="459"/>
      <c r="AB69" s="459"/>
      <c r="AC69" s="459"/>
      <c r="AD69" s="459"/>
      <c r="AE69" s="459"/>
      <c r="AF69" s="459"/>
      <c r="AG69" s="459"/>
      <c r="AH69" s="57"/>
      <c r="AI69" s="459"/>
      <c r="AJ69" s="459"/>
      <c r="AK69" s="536"/>
      <c r="AL69" s="57"/>
      <c r="AM69" s="459"/>
      <c r="AN69" s="459"/>
    </row>
    <row r="70" spans="1:40">
      <c r="A70" s="459"/>
      <c r="B70" s="459"/>
      <c r="C70" s="459"/>
      <c r="D70" s="459"/>
      <c r="E70" s="459"/>
      <c r="F70" s="459"/>
      <c r="G70" s="459"/>
      <c r="H70" s="459"/>
      <c r="I70" s="459"/>
      <c r="J70" s="459"/>
      <c r="K70" s="459"/>
      <c r="L70" s="459"/>
      <c r="M70" s="459"/>
      <c r="N70" s="459" t="s">
        <v>169</v>
      </c>
      <c r="O70" s="588">
        <f>+O43</f>
        <v>0.38775464162714141</v>
      </c>
      <c r="P70" s="588">
        <f>+P43</f>
        <v>0.3856810823429106</v>
      </c>
      <c r="Q70" s="588">
        <f>+Q43</f>
        <v>0.37920102307612463</v>
      </c>
      <c r="R70" s="588">
        <f>+R43</f>
        <v>0.3847349928641543</v>
      </c>
      <c r="S70" s="588"/>
      <c r="T70" s="588"/>
      <c r="U70" s="588"/>
      <c r="V70" s="588"/>
      <c r="W70" s="588"/>
      <c r="X70" s="588"/>
      <c r="Y70" s="588"/>
      <c r="Z70" s="588"/>
      <c r="AA70" s="588"/>
      <c r="AB70" s="588"/>
      <c r="AC70" s="588"/>
      <c r="AD70" s="588"/>
      <c r="AE70" s="588"/>
      <c r="AF70" s="588"/>
      <c r="AG70" s="588"/>
      <c r="AH70" s="1700"/>
      <c r="AI70" s="459"/>
      <c r="AJ70" s="459"/>
      <c r="AK70" s="536"/>
      <c r="AL70" s="57"/>
      <c r="AM70" s="459"/>
      <c r="AN70" s="459"/>
    </row>
    <row r="71" spans="1:40">
      <c r="A71" s="459"/>
      <c r="B71" s="459"/>
      <c r="C71" s="459"/>
      <c r="D71" s="459"/>
      <c r="E71" s="459"/>
      <c r="F71" s="459"/>
      <c r="G71" s="459"/>
      <c r="H71" s="459"/>
      <c r="I71" s="459"/>
      <c r="J71" s="459"/>
      <c r="K71" s="459"/>
      <c r="L71" s="459"/>
      <c r="M71" s="459"/>
      <c r="N71" s="459"/>
      <c r="O71" s="625">
        <f>+O68*O70</f>
        <v>600.3577585733475</v>
      </c>
      <c r="P71" s="625">
        <f>+P68*P70</f>
        <v>899.43765363808791</v>
      </c>
      <c r="Q71" s="625">
        <f>+Q68*Q70</f>
        <v>899.22331360497026</v>
      </c>
      <c r="R71" s="625">
        <f>+R68*R70</f>
        <v>831.09722162028174</v>
      </c>
      <c r="S71" s="625"/>
      <c r="T71" s="625"/>
      <c r="U71" s="625"/>
      <c r="V71" s="625"/>
      <c r="W71" s="625"/>
      <c r="X71" s="625"/>
      <c r="Y71" s="625"/>
      <c r="Z71" s="625"/>
      <c r="AA71" s="625"/>
      <c r="AB71" s="625"/>
      <c r="AC71" s="625"/>
      <c r="AD71" s="625"/>
      <c r="AE71" s="625"/>
      <c r="AF71" s="625"/>
      <c r="AG71" s="625"/>
      <c r="AH71" s="324"/>
      <c r="AI71" s="459"/>
      <c r="AJ71" s="459"/>
      <c r="AK71" s="536"/>
      <c r="AL71" s="57"/>
      <c r="AM71" s="459"/>
      <c r="AN71" s="459"/>
    </row>
    <row r="72" spans="1:40">
      <c r="A72" s="459"/>
      <c r="B72" s="459"/>
      <c r="C72" s="459"/>
      <c r="D72" s="459"/>
      <c r="E72" s="459"/>
      <c r="F72" s="459"/>
      <c r="G72" s="459"/>
      <c r="H72" s="459"/>
      <c r="I72" s="459"/>
      <c r="J72" s="459"/>
      <c r="K72" s="459"/>
      <c r="L72" s="459"/>
      <c r="M72" s="459"/>
      <c r="N72" s="459"/>
      <c r="O72" s="459"/>
      <c r="P72" s="459"/>
      <c r="Q72" s="459"/>
      <c r="R72" s="459"/>
      <c r="S72" s="459"/>
      <c r="T72" s="459"/>
      <c r="U72" s="459"/>
      <c r="V72" s="459"/>
      <c r="W72" s="459"/>
      <c r="X72" s="459"/>
      <c r="Y72" s="459"/>
      <c r="Z72" s="459"/>
      <c r="AA72" s="459"/>
      <c r="AB72" s="459"/>
      <c r="AC72" s="459"/>
      <c r="AD72" s="459"/>
      <c r="AE72" s="459"/>
      <c r="AF72" s="459"/>
      <c r="AG72" s="459"/>
      <c r="AH72" s="57"/>
      <c r="AI72" s="459"/>
      <c r="AJ72" s="459"/>
      <c r="AK72" s="536"/>
      <c r="AL72" s="57"/>
      <c r="AM72" s="459"/>
      <c r="AN72" s="459"/>
    </row>
    <row r="73" spans="1:40">
      <c r="A73" s="459"/>
      <c r="B73" s="459"/>
      <c r="C73" s="459"/>
      <c r="D73" s="459"/>
      <c r="E73" s="459"/>
      <c r="F73" s="459"/>
      <c r="G73" s="459"/>
      <c r="H73" s="459"/>
      <c r="I73" s="459"/>
      <c r="J73" s="459"/>
      <c r="K73" s="459"/>
      <c r="L73" s="459"/>
      <c r="M73" s="459"/>
      <c r="N73" s="459" t="s">
        <v>170</v>
      </c>
      <c r="O73" s="479">
        <f>+O68-O71</f>
        <v>947.93514142665265</v>
      </c>
      <c r="P73" s="479">
        <f>+P68-P71</f>
        <v>1432.6384963619121</v>
      </c>
      <c r="Q73" s="479">
        <f>+Q68-Q71</f>
        <v>1472.1397863950292</v>
      </c>
      <c r="R73" s="479">
        <f>+R68-R71</f>
        <v>1329.0837783797183</v>
      </c>
      <c r="S73" s="479"/>
      <c r="T73" s="479"/>
      <c r="U73" s="479"/>
      <c r="V73" s="479"/>
      <c r="W73" s="479"/>
      <c r="X73" s="479"/>
      <c r="Y73" s="479"/>
      <c r="Z73" s="479"/>
      <c r="AA73" s="479"/>
      <c r="AB73" s="479"/>
      <c r="AC73" s="479"/>
      <c r="AD73" s="479"/>
      <c r="AE73" s="479"/>
      <c r="AF73" s="479"/>
      <c r="AG73" s="479"/>
      <c r="AH73" s="337"/>
      <c r="AI73" s="459"/>
      <c r="AJ73" s="459"/>
      <c r="AK73" s="536"/>
      <c r="AL73" s="57"/>
      <c r="AM73" s="459"/>
      <c r="AN73" s="459"/>
    </row>
    <row r="74" spans="1:40">
      <c r="A74" s="459"/>
      <c r="B74" s="459"/>
      <c r="C74" s="459"/>
      <c r="D74" s="459"/>
      <c r="E74" s="459"/>
      <c r="F74" s="459"/>
      <c r="G74" s="459"/>
      <c r="H74" s="459"/>
      <c r="I74" s="459"/>
      <c r="J74" s="459"/>
      <c r="K74" s="459"/>
      <c r="L74" s="459"/>
      <c r="M74" s="459"/>
      <c r="N74" s="459"/>
      <c r="O74" s="459"/>
      <c r="P74" s="459"/>
      <c r="Q74" s="459"/>
      <c r="R74" s="459"/>
      <c r="S74" s="459"/>
      <c r="T74" s="459"/>
      <c r="U74" s="459"/>
      <c r="V74" s="459"/>
      <c r="W74" s="459"/>
      <c r="X74" s="459"/>
      <c r="Y74" s="459"/>
      <c r="Z74" s="459"/>
      <c r="AA74" s="459"/>
      <c r="AB74" s="459"/>
      <c r="AC74" s="459"/>
      <c r="AD74" s="459"/>
      <c r="AE74" s="459"/>
      <c r="AF74" s="459"/>
      <c r="AG74" s="459"/>
      <c r="AH74" s="57"/>
      <c r="AI74" s="459"/>
      <c r="AJ74" s="459"/>
      <c r="AK74" s="536"/>
      <c r="AL74" s="57"/>
      <c r="AM74" s="459"/>
      <c r="AN74" s="459"/>
    </row>
    <row r="75" spans="1:40">
      <c r="A75" s="459"/>
      <c r="B75" s="459"/>
      <c r="C75" s="459"/>
      <c r="D75" s="459"/>
      <c r="E75" s="459"/>
      <c r="F75" s="459"/>
      <c r="G75" s="459"/>
      <c r="H75" s="459"/>
      <c r="I75" s="459"/>
      <c r="J75" s="459"/>
      <c r="K75" s="459"/>
      <c r="L75" s="459"/>
      <c r="M75" s="459"/>
      <c r="N75" s="459" t="s">
        <v>171</v>
      </c>
      <c r="O75" s="615">
        <f>+(O73+O82*4)/O55</f>
        <v>1.0084385714046851</v>
      </c>
      <c r="P75" s="615">
        <f>+(P73+P82*4)/P55</f>
        <v>1.4946542428459888</v>
      </c>
      <c r="Q75" s="615">
        <f>+(Q73+Q82*4)/Q55</f>
        <v>1.6861244247671396</v>
      </c>
      <c r="R75" s="615">
        <f>+(R73+R82*4)/R55</f>
        <v>1.6482117903061575</v>
      </c>
      <c r="S75" s="615"/>
      <c r="T75" s="615"/>
      <c r="U75" s="615"/>
      <c r="V75" s="615"/>
      <c r="W75" s="615"/>
      <c r="X75" s="615"/>
      <c r="Y75" s="615"/>
      <c r="Z75" s="615"/>
      <c r="AA75" s="615"/>
      <c r="AB75" s="615"/>
      <c r="AC75" s="615"/>
      <c r="AD75" s="615"/>
      <c r="AE75" s="615"/>
      <c r="AF75" s="615"/>
      <c r="AG75" s="615"/>
      <c r="AH75" s="179"/>
      <c r="AI75" s="459"/>
      <c r="AJ75" s="459"/>
      <c r="AK75" s="536"/>
      <c r="AL75" s="57"/>
      <c r="AM75" s="459"/>
      <c r="AN75" s="459"/>
    </row>
    <row r="76" spans="1:40">
      <c r="A76" s="459"/>
      <c r="B76" s="459"/>
      <c r="C76" s="459"/>
      <c r="D76" s="459"/>
      <c r="E76" s="459"/>
      <c r="F76" s="459"/>
      <c r="G76" s="459"/>
      <c r="H76" s="459"/>
      <c r="I76" s="459"/>
      <c r="J76" s="459"/>
      <c r="K76" s="459"/>
      <c r="L76" s="459"/>
      <c r="M76" s="459"/>
      <c r="N76" s="459" t="s">
        <v>172</v>
      </c>
      <c r="O76" s="630">
        <v>0.42522919951808119</v>
      </c>
      <c r="P76" s="630">
        <v>0.61422502745841157</v>
      </c>
      <c r="Q76" s="630">
        <v>0.71318640201164141</v>
      </c>
      <c r="R76" s="630">
        <v>0.77686112579426048</v>
      </c>
      <c r="S76" s="630"/>
      <c r="T76" s="630"/>
      <c r="U76" s="630"/>
      <c r="V76" s="630"/>
      <c r="W76" s="630"/>
      <c r="X76" s="630"/>
      <c r="Y76" s="630"/>
      <c r="Z76" s="630"/>
      <c r="AA76" s="630"/>
      <c r="AB76" s="630"/>
      <c r="AC76" s="630"/>
      <c r="AD76" s="630"/>
      <c r="AE76" s="630"/>
      <c r="AF76" s="630"/>
      <c r="AG76" s="630"/>
      <c r="AH76" s="369"/>
      <c r="AI76" s="459"/>
      <c r="AJ76" s="459"/>
      <c r="AK76" s="536"/>
      <c r="AL76" s="57"/>
      <c r="AM76" s="459"/>
      <c r="AN76" s="459"/>
    </row>
    <row r="77" spans="1:40">
      <c r="A77" s="459"/>
      <c r="B77" s="459"/>
      <c r="C77" s="459"/>
      <c r="D77" s="459"/>
      <c r="E77" s="459"/>
      <c r="F77" s="459"/>
      <c r="G77" s="459"/>
      <c r="H77" s="459"/>
      <c r="I77" s="459"/>
      <c r="J77" s="459"/>
      <c r="K77" s="459"/>
      <c r="L77" s="459"/>
      <c r="M77" s="459"/>
      <c r="N77" s="459"/>
      <c r="O77" s="630">
        <f>+O75-O76</f>
        <v>0.58320937188660382</v>
      </c>
      <c r="P77" s="630">
        <f>+P75-P76</f>
        <v>0.88042921538757724</v>
      </c>
      <c r="Q77" s="630">
        <f>+Q75-Q76</f>
        <v>0.97293802275549823</v>
      </c>
      <c r="R77" s="630">
        <f>+R75-R76</f>
        <v>0.87135066451189702</v>
      </c>
      <c r="S77" s="630"/>
      <c r="T77" s="630"/>
      <c r="U77" s="630"/>
      <c r="V77" s="630"/>
      <c r="W77" s="630"/>
      <c r="X77" s="630"/>
      <c r="Y77" s="630"/>
      <c r="Z77" s="630"/>
      <c r="AA77" s="630"/>
      <c r="AB77" s="630"/>
      <c r="AC77" s="630"/>
      <c r="AD77" s="630"/>
      <c r="AE77" s="630"/>
      <c r="AF77" s="630"/>
      <c r="AG77" s="630"/>
      <c r="AH77" s="369"/>
      <c r="AI77" s="459"/>
      <c r="AJ77" s="459"/>
      <c r="AK77" s="536"/>
      <c r="AL77" s="57"/>
      <c r="AM77" s="459"/>
      <c r="AN77" s="459"/>
    </row>
    <row r="78" spans="1:40">
      <c r="A78" s="459"/>
      <c r="B78" s="459"/>
      <c r="C78" s="459"/>
      <c r="D78" s="459"/>
      <c r="E78" s="459"/>
      <c r="F78" s="459"/>
      <c r="G78" s="459"/>
      <c r="H78" s="459"/>
      <c r="I78" s="459"/>
      <c r="J78" s="459"/>
      <c r="K78" s="459"/>
      <c r="L78" s="459"/>
      <c r="M78" s="459"/>
      <c r="N78" s="459"/>
      <c r="O78" s="459"/>
      <c r="P78" s="459"/>
      <c r="Q78" s="459"/>
      <c r="R78" s="459"/>
      <c r="S78" s="459"/>
      <c r="T78" s="459"/>
      <c r="U78" s="459"/>
      <c r="V78" s="459"/>
      <c r="W78" s="459"/>
      <c r="X78" s="459"/>
      <c r="Y78" s="459"/>
      <c r="Z78" s="459"/>
      <c r="AA78" s="459"/>
      <c r="AB78" s="459"/>
      <c r="AC78" s="459"/>
      <c r="AD78" s="459"/>
      <c r="AE78" s="459"/>
      <c r="AF78" s="459"/>
      <c r="AG78" s="459"/>
      <c r="AH78" s="57"/>
      <c r="AI78" s="459"/>
      <c r="AJ78" s="459"/>
      <c r="AK78" s="536"/>
      <c r="AL78" s="57"/>
      <c r="AM78" s="459"/>
      <c r="AN78" s="459"/>
    </row>
    <row r="79" spans="1:40">
      <c r="A79" s="459"/>
      <c r="B79" s="459"/>
      <c r="C79" s="459"/>
      <c r="D79" s="459"/>
      <c r="E79" s="459"/>
      <c r="F79" s="459"/>
      <c r="G79" s="459"/>
      <c r="H79" s="459"/>
      <c r="I79" s="459"/>
      <c r="J79" s="459"/>
      <c r="K79" s="459"/>
      <c r="L79" s="459"/>
      <c r="M79" s="459"/>
      <c r="N79" s="459"/>
      <c r="O79" s="459"/>
      <c r="P79" s="459"/>
      <c r="Q79" s="615"/>
      <c r="R79" s="459"/>
      <c r="S79" s="459"/>
      <c r="T79" s="459"/>
      <c r="U79" s="459"/>
      <c r="V79" s="459"/>
      <c r="W79" s="459"/>
      <c r="X79" s="459"/>
      <c r="Y79" s="459"/>
      <c r="Z79" s="459"/>
      <c r="AA79" s="459"/>
      <c r="AB79" s="459"/>
      <c r="AC79" s="459"/>
      <c r="AD79" s="459"/>
      <c r="AE79" s="459"/>
      <c r="AF79" s="459"/>
      <c r="AG79" s="459"/>
      <c r="AH79" s="57"/>
      <c r="AI79" s="459"/>
      <c r="AJ79" s="459"/>
      <c r="AK79" s="536"/>
      <c r="AL79" s="57"/>
      <c r="AM79" s="459"/>
      <c r="AN79" s="459"/>
    </row>
    <row r="80" spans="1:40">
      <c r="A80" s="459"/>
      <c r="B80" s="459"/>
      <c r="C80" s="459"/>
      <c r="D80" s="459"/>
      <c r="E80" s="459"/>
      <c r="F80" s="459"/>
      <c r="G80" s="459"/>
      <c r="H80" s="459"/>
      <c r="I80" s="459"/>
      <c r="J80" s="459"/>
      <c r="K80" s="459"/>
      <c r="L80" s="459"/>
      <c r="M80" s="459"/>
      <c r="N80" s="459"/>
      <c r="O80" s="459"/>
      <c r="P80" s="459"/>
      <c r="Q80" s="459"/>
      <c r="R80" s="459"/>
      <c r="S80" s="459"/>
      <c r="T80" s="459"/>
      <c r="U80" s="459"/>
      <c r="V80" s="459"/>
      <c r="W80" s="459"/>
      <c r="X80" s="459"/>
      <c r="Y80" s="459"/>
      <c r="Z80" s="459"/>
      <c r="AA80" s="459"/>
      <c r="AB80" s="459"/>
      <c r="AC80" s="459"/>
      <c r="AD80" s="459"/>
      <c r="AE80" s="459"/>
      <c r="AF80" s="459"/>
      <c r="AG80" s="459"/>
      <c r="AH80" s="57"/>
      <c r="AI80" s="459"/>
      <c r="AJ80" s="459"/>
      <c r="AK80" s="536"/>
      <c r="AL80" s="57"/>
      <c r="AM80" s="459"/>
      <c r="AN80" s="459"/>
    </row>
    <row r="81" spans="1:40">
      <c r="A81" s="459"/>
      <c r="B81" s="459"/>
      <c r="C81" s="459"/>
      <c r="D81" s="459"/>
      <c r="E81" s="459"/>
      <c r="F81" s="459"/>
      <c r="G81" s="459"/>
      <c r="H81" s="459"/>
      <c r="I81" s="459"/>
      <c r="J81" s="459"/>
      <c r="K81" s="459"/>
      <c r="L81" s="459"/>
      <c r="M81" s="459"/>
      <c r="N81" s="631" t="s">
        <v>271</v>
      </c>
      <c r="O81" s="632">
        <f t="shared" ref="O81:AA81" si="89">85+10</f>
        <v>95</v>
      </c>
      <c r="P81" s="633">
        <f t="shared" si="89"/>
        <v>95</v>
      </c>
      <c r="Q81" s="633">
        <f t="shared" si="89"/>
        <v>95</v>
      </c>
      <c r="R81" s="633">
        <f t="shared" si="89"/>
        <v>95</v>
      </c>
      <c r="S81" s="633">
        <f t="shared" si="89"/>
        <v>95</v>
      </c>
      <c r="T81" s="633">
        <f t="shared" si="89"/>
        <v>95</v>
      </c>
      <c r="U81" s="634">
        <f t="shared" si="89"/>
        <v>95</v>
      </c>
      <c r="V81" s="634">
        <f t="shared" si="89"/>
        <v>95</v>
      </c>
      <c r="W81" s="634">
        <f t="shared" si="89"/>
        <v>95</v>
      </c>
      <c r="X81" s="634">
        <f t="shared" si="89"/>
        <v>95</v>
      </c>
      <c r="Y81" s="634">
        <f t="shared" si="89"/>
        <v>95</v>
      </c>
      <c r="Z81" s="634">
        <f t="shared" si="89"/>
        <v>95</v>
      </c>
      <c r="AA81" s="634">
        <f t="shared" si="89"/>
        <v>95</v>
      </c>
      <c r="AB81" s="635"/>
      <c r="AC81" s="635"/>
      <c r="AD81" s="635"/>
      <c r="AE81" s="635"/>
      <c r="AF81" s="635"/>
      <c r="AG81" s="635"/>
      <c r="AH81" s="1712"/>
      <c r="AI81" s="459"/>
      <c r="AJ81" s="459"/>
      <c r="AK81" s="536"/>
      <c r="AL81" s="57"/>
      <c r="AM81" s="459"/>
      <c r="AN81" s="459"/>
    </row>
    <row r="82" spans="1:40">
      <c r="A82" s="459"/>
      <c r="B82" s="459"/>
      <c r="C82" s="459"/>
      <c r="D82" s="459"/>
      <c r="E82" s="459"/>
      <c r="F82" s="459"/>
      <c r="G82" s="459"/>
      <c r="H82" s="459"/>
      <c r="I82" s="459"/>
      <c r="J82" s="459"/>
      <c r="K82" s="459"/>
      <c r="L82" s="459"/>
      <c r="M82" s="459"/>
      <c r="N82" s="631" t="s">
        <v>272</v>
      </c>
      <c r="O82" s="636">
        <f t="shared" ref="O82:U82" si="90">(1-O43)*((0.0575*1380)/4)</f>
        <v>12.145417296721584</v>
      </c>
      <c r="P82" s="637">
        <f t="shared" si="90"/>
        <v>12.186551529022511</v>
      </c>
      <c r="Q82" s="637">
        <f t="shared" si="90"/>
        <v>12.315099704727379</v>
      </c>
      <c r="R82" s="637">
        <f t="shared" si="90"/>
        <v>12.20531957905734</v>
      </c>
      <c r="S82" s="637">
        <f t="shared" si="90"/>
        <v>12.386341463414636</v>
      </c>
      <c r="T82" s="637">
        <f t="shared" si="90"/>
        <v>12.110392992424245</v>
      </c>
      <c r="U82" s="638">
        <f t="shared" si="90"/>
        <v>12.037954295154186</v>
      </c>
      <c r="V82" s="638">
        <f t="shared" ref="V82:AA82" si="91">(1-V43)*((0.0575*1380)/4)</f>
        <v>12.050630676084763</v>
      </c>
      <c r="W82" s="638">
        <f t="shared" si="91"/>
        <v>12.070589846603362</v>
      </c>
      <c r="X82" s="638">
        <f t="shared" si="91"/>
        <v>12.098636485760345</v>
      </c>
      <c r="Y82" s="638">
        <f t="shared" si="91"/>
        <v>12.131868131868131</v>
      </c>
      <c r="Z82" s="638">
        <f t="shared" si="91"/>
        <v>12.461246200607905</v>
      </c>
      <c r="AA82" s="638">
        <f t="shared" si="91"/>
        <v>12.398561252339366</v>
      </c>
      <c r="AB82" s="635"/>
      <c r="AC82" s="635"/>
      <c r="AD82" s="635"/>
      <c r="AE82" s="635"/>
      <c r="AF82" s="635"/>
      <c r="AG82" s="635"/>
      <c r="AH82" s="1712"/>
      <c r="AI82" s="459"/>
      <c r="AJ82" s="459"/>
      <c r="AK82" s="536"/>
      <c r="AL82" s="57"/>
      <c r="AM82" s="459"/>
      <c r="AN82" s="459"/>
    </row>
    <row r="83" spans="1:40">
      <c r="A83" s="459"/>
      <c r="B83" s="459"/>
      <c r="C83" s="459"/>
      <c r="D83" s="459"/>
      <c r="E83" s="459"/>
      <c r="F83" s="459"/>
      <c r="G83" s="459"/>
      <c r="H83" s="459"/>
      <c r="I83" s="459"/>
      <c r="J83" s="459"/>
      <c r="K83" s="459"/>
      <c r="L83" s="459"/>
      <c r="M83" s="459"/>
      <c r="N83" s="459"/>
      <c r="O83" s="459"/>
      <c r="P83" s="459"/>
      <c r="Q83" s="459"/>
      <c r="R83" s="459"/>
      <c r="S83" s="459"/>
      <c r="T83" s="459"/>
      <c r="U83" s="459"/>
      <c r="V83" s="459"/>
      <c r="W83" s="459"/>
      <c r="X83" s="459"/>
      <c r="Y83" s="459"/>
      <c r="Z83" s="459"/>
      <c r="AA83" s="459"/>
      <c r="AB83" s="459"/>
      <c r="AC83" s="459"/>
      <c r="AD83" s="459"/>
      <c r="AE83" s="459"/>
      <c r="AF83" s="459"/>
      <c r="AG83" s="459"/>
      <c r="AH83" s="57"/>
      <c r="AI83" s="459"/>
      <c r="AJ83" s="459"/>
      <c r="AK83" s="536"/>
      <c r="AL83" s="57"/>
      <c r="AM83" s="459"/>
      <c r="AN83" s="459"/>
    </row>
    <row r="84" spans="1:40">
      <c r="A84" s="459"/>
      <c r="B84" s="459"/>
      <c r="C84" s="459"/>
      <c r="D84" s="459"/>
      <c r="E84" s="459"/>
      <c r="F84" s="459"/>
      <c r="G84" s="459"/>
      <c r="H84" s="459"/>
      <c r="I84" s="459"/>
      <c r="J84" s="459"/>
      <c r="K84" s="459"/>
      <c r="L84" s="459"/>
      <c r="M84" s="459"/>
      <c r="N84" s="459"/>
      <c r="O84" s="459"/>
      <c r="P84" s="459"/>
      <c r="Q84" s="459"/>
      <c r="R84" s="459"/>
      <c r="S84" s="459"/>
      <c r="T84" s="459"/>
      <c r="U84" s="459"/>
      <c r="V84" s="459"/>
      <c r="W84" s="459"/>
      <c r="X84" s="459"/>
      <c r="Y84" s="459"/>
      <c r="Z84" s="459"/>
      <c r="AA84" s="459"/>
      <c r="AB84" s="459"/>
      <c r="AC84" s="459"/>
      <c r="AD84" s="459"/>
      <c r="AE84" s="459"/>
      <c r="AF84" s="459"/>
      <c r="AG84" s="459"/>
      <c r="AH84" s="57"/>
      <c r="AI84" s="459"/>
      <c r="AJ84" s="459"/>
      <c r="AK84" s="536"/>
      <c r="AL84" s="57"/>
      <c r="AM84" s="459"/>
      <c r="AN84" s="459"/>
    </row>
    <row r="85" spans="1:40">
      <c r="A85" s="459" t="s">
        <v>197</v>
      </c>
      <c r="B85" s="459"/>
      <c r="C85" s="459"/>
      <c r="D85" s="459"/>
      <c r="E85" s="459"/>
      <c r="F85" s="459"/>
      <c r="G85" s="459"/>
      <c r="H85" s="459"/>
      <c r="I85" s="459"/>
      <c r="J85" s="459"/>
      <c r="K85">
        <f>'qtrP&amp;L'!AP161</f>
        <v>8.7999999999999995E-2</v>
      </c>
      <c r="L85">
        <f>'qtrP&amp;L'!AT161</f>
        <v>8.7999999999999995E-2</v>
      </c>
      <c r="M85">
        <f>'qtrP&amp;L'!AX161</f>
        <v>8.7999999999999995E-2</v>
      </c>
      <c r="N85">
        <f>'qtrP&amp;L'!BB161</f>
        <v>8.7999999999999995E-2</v>
      </c>
      <c r="O85">
        <f>'qtrP&amp;L'!BF161</f>
        <v>8.7999999999999995E-2</v>
      </c>
      <c r="P85">
        <f>'qtrP&amp;L'!BJ161</f>
        <v>8.7999999999999995E-2</v>
      </c>
      <c r="Q85">
        <f>'qtrP&amp;L'!BN161</f>
        <v>0.18</v>
      </c>
      <c r="R85">
        <f>'qtrP&amp;L'!BR161</f>
        <v>0.32</v>
      </c>
      <c r="S85">
        <f>'qtrP&amp;L'!BV161</f>
        <v>0.32</v>
      </c>
      <c r="T85">
        <f>'qtrP&amp;L'!BZ161</f>
        <v>0.34</v>
      </c>
      <c r="U85">
        <f>'qtrP&amp;L'!CD161</f>
        <v>0.34</v>
      </c>
      <c r="V85">
        <f>'qtrP&amp;L'!BS161</f>
        <v>0</v>
      </c>
      <c r="W85">
        <f>'qtrP&amp;L'!BT161</f>
        <v>0</v>
      </c>
      <c r="X85">
        <f>'qtrP&amp;L'!BU161</f>
        <v>0</v>
      </c>
      <c r="Y85">
        <f>'qtrP&amp;L'!BV161</f>
        <v>0.32</v>
      </c>
      <c r="Z85">
        <f>'qtrP&amp;L'!BW161</f>
        <v>0</v>
      </c>
      <c r="AA85">
        <f>'qtrP&amp;L'!BX161</f>
        <v>0</v>
      </c>
      <c r="AB85"/>
      <c r="AC85"/>
      <c r="AD85"/>
      <c r="AE85" s="1006"/>
      <c r="AF85" s="1030"/>
      <c r="AG85" s="1030"/>
      <c r="AI85" s="459"/>
      <c r="AJ85" s="459"/>
      <c r="AK85" s="536"/>
      <c r="AL85" s="57"/>
      <c r="AM85" s="459"/>
      <c r="AN85" s="459"/>
    </row>
    <row r="86" spans="1:40">
      <c r="A86" s="459"/>
      <c r="B86" s="459"/>
      <c r="C86" s="459"/>
      <c r="D86" s="459"/>
      <c r="E86" s="459"/>
      <c r="F86" s="459"/>
      <c r="G86" s="459"/>
      <c r="H86" s="459"/>
      <c r="I86" s="459"/>
      <c r="J86" s="459"/>
      <c r="K86" s="459"/>
      <c r="L86" s="459"/>
      <c r="M86" s="459"/>
      <c r="N86" s="459"/>
      <c r="O86" s="459"/>
      <c r="P86" s="459"/>
      <c r="Q86" s="459"/>
      <c r="R86" s="459"/>
      <c r="S86" s="459"/>
      <c r="T86" s="459"/>
      <c r="U86" s="459"/>
      <c r="V86" s="459"/>
      <c r="W86" s="459"/>
      <c r="X86" s="459"/>
      <c r="Y86" s="459"/>
      <c r="Z86" s="459"/>
      <c r="AA86" s="459"/>
      <c r="AB86" s="459"/>
      <c r="AC86" s="459"/>
      <c r="AD86" s="459"/>
      <c r="AE86" s="459"/>
      <c r="AF86" s="459"/>
      <c r="AG86" s="459"/>
      <c r="AH86" s="57"/>
      <c r="AI86" s="459"/>
      <c r="AJ86" s="459"/>
      <c r="AK86" s="536"/>
      <c r="AL86" s="57"/>
      <c r="AM86" s="459"/>
      <c r="AN86" s="459"/>
    </row>
    <row r="87" spans="1:40">
      <c r="A87" s="459" t="s">
        <v>195</v>
      </c>
      <c r="B87" s="459"/>
      <c r="C87" s="459"/>
      <c r="D87" s="459"/>
      <c r="E87" s="459"/>
      <c r="F87" s="459"/>
      <c r="G87" s="459"/>
      <c r="H87" s="459"/>
      <c r="I87" s="459"/>
      <c r="J87" s="459"/>
      <c r="K87" s="459">
        <f>'qtrP&amp;L'!AP201</f>
        <v>851.57768899999996</v>
      </c>
      <c r="L87">
        <f>'qtrP&amp;L'!AT201</f>
        <v>854.42940199999998</v>
      </c>
      <c r="M87">
        <f>'qtrP&amp;L'!AX201</f>
        <v>866.75924999999995</v>
      </c>
      <c r="N87">
        <f>'qtrP&amp;L'!BB201</f>
        <v>889.16448800000001</v>
      </c>
      <c r="O87">
        <f>'qtrP&amp;L'!BF201</f>
        <v>898.09523300000001</v>
      </c>
      <c r="P87">
        <f>'qtrP&amp;L'!BJ201</f>
        <v>858.52925100000004</v>
      </c>
      <c r="Q87">
        <f>+'qtrP&amp;L'!BN201</f>
        <v>853.61182099999996</v>
      </c>
      <c r="R87">
        <f>'qtrP&amp;L'!BR202</f>
        <v>815.64673700000003</v>
      </c>
      <c r="S87">
        <f>'qtrP&amp;L'!BV202</f>
        <v>735.07122100000004</v>
      </c>
      <c r="T87">
        <f>'qtrP&amp;L'!BZ202</f>
        <v>695.71823900000004</v>
      </c>
      <c r="U87">
        <f>'qtrP&amp;L'!CD202</f>
        <v>667.42010400000004</v>
      </c>
      <c r="V87">
        <f>'qtrP&amp;L'!CH202</f>
        <v>584.49203199999999</v>
      </c>
      <c r="W87">
        <f>+'qtrP&amp;L'!CL202</f>
        <v>487.72442599999999</v>
      </c>
      <c r="X87">
        <f>+'qtrP&amp;L'!CP202</f>
        <v>470.419352</v>
      </c>
      <c r="Y87">
        <f>+'qtrP&amp;L'!CT202</f>
        <v>446</v>
      </c>
      <c r="Z87">
        <f t="shared" ref="Z87:AH87" si="92">Z88*(Y87/Y88)</f>
        <v>419.8785249457701</v>
      </c>
      <c r="AA87">
        <f t="shared" si="92"/>
        <v>394.24078091106293</v>
      </c>
      <c r="AB87">
        <f>'qtrP&amp;L'!$DF$202</f>
        <v>399.84348499999999</v>
      </c>
      <c r="AC87">
        <f t="shared" si="92"/>
        <v>395.33397201127821</v>
      </c>
      <c r="AD87">
        <f t="shared" si="92"/>
        <v>384.47773703842944</v>
      </c>
      <c r="AE87" s="1006">
        <f t="shared" si="92"/>
        <v>371.51936638118286</v>
      </c>
      <c r="AF87" s="1030">
        <f t="shared" si="92"/>
        <v>360.78243069374997</v>
      </c>
      <c r="AG87" s="1030">
        <f t="shared" si="92"/>
        <v>350.62586990834052</v>
      </c>
      <c r="AH87" s="69">
        <f t="shared" si="92"/>
        <v>340.99015839397765</v>
      </c>
      <c r="AI87" s="459"/>
      <c r="AJ87" s="459"/>
      <c r="AK87" s="536"/>
      <c r="AL87" s="57"/>
      <c r="AM87" s="459"/>
      <c r="AN87" s="459"/>
    </row>
    <row r="88" spans="1:40">
      <c r="A88" s="459" t="s">
        <v>196</v>
      </c>
      <c r="B88" s="459"/>
      <c r="C88" s="459"/>
      <c r="D88" s="459"/>
      <c r="E88" s="459"/>
      <c r="F88" s="459"/>
      <c r="G88" s="459"/>
      <c r="H88" s="459"/>
      <c r="I88" s="459"/>
      <c r="J88" s="459"/>
      <c r="K88" s="459">
        <f>'qtrP&amp;L'!AP213</f>
        <v>855.86026912499995</v>
      </c>
      <c r="L88">
        <f>'qtrP&amp;L'!AT213</f>
        <v>849.79724999999996</v>
      </c>
      <c r="M88">
        <f>'qtrP&amp;L'!AX213</f>
        <v>860.25649999999996</v>
      </c>
      <c r="N88">
        <f>'qtrP&amp;L'!BB213</f>
        <v>875.54575</v>
      </c>
      <c r="O88">
        <f>'qtrP&amp;L'!BF213</f>
        <v>892.55950000000007</v>
      </c>
      <c r="P88">
        <f>'qtrP&amp;L'!BJ213</f>
        <v>889.49009912500003</v>
      </c>
      <c r="Q88">
        <f>+'qtrP&amp;L'!BN213</f>
        <v>876.45273524999993</v>
      </c>
      <c r="R88">
        <f>'qtrP&amp;L'!BR213</f>
        <v>831</v>
      </c>
      <c r="S88">
        <f>'qtrP&amp;L'!BV213</f>
        <v>791</v>
      </c>
      <c r="T88">
        <f>'qtrP&amp;L'!BZ213</f>
        <v>716</v>
      </c>
      <c r="U88">
        <f>'qtrP&amp;L'!CD213</f>
        <v>694</v>
      </c>
      <c r="V88">
        <f>'qtrP&amp;L'!CH213</f>
        <v>636</v>
      </c>
      <c r="W88">
        <f>+'qtrP&amp;L'!CL213</f>
        <v>529</v>
      </c>
      <c r="X88">
        <f>+'qtrP&amp;L'!CP213</f>
        <v>482</v>
      </c>
      <c r="Y88">
        <f>+'qtrP&amp;L'!CT213</f>
        <v>461</v>
      </c>
      <c r="Z88">
        <f t="shared" ref="Z88:AH88" si="93">+Y88+(Z54-Y54)</f>
        <v>434</v>
      </c>
      <c r="AA88">
        <f t="shared" si="93"/>
        <v>407.5</v>
      </c>
      <c r="AB88">
        <f>'qtrP&amp;L'!$DF$213</f>
        <v>399</v>
      </c>
      <c r="AC88">
        <f>+AB88+(AC54-AB54)</f>
        <v>394.5</v>
      </c>
      <c r="AD88">
        <f t="shared" si="93"/>
        <v>383.66666666666669</v>
      </c>
      <c r="AE88" s="1006">
        <f t="shared" si="93"/>
        <v>370.73563218390808</v>
      </c>
      <c r="AF88" s="1030">
        <f t="shared" si="93"/>
        <v>360.02134646962236</v>
      </c>
      <c r="AG88" s="1030">
        <f t="shared" si="93"/>
        <v>349.8862113344872</v>
      </c>
      <c r="AH88" s="69">
        <f t="shared" si="93"/>
        <v>340.27082671910256</v>
      </c>
      <c r="AI88" s="459"/>
      <c r="AJ88" s="459"/>
      <c r="AK88" s="536"/>
      <c r="AL88" s="57"/>
      <c r="AM88" s="459"/>
      <c r="AN88" s="459"/>
    </row>
    <row r="89" spans="1:40">
      <c r="A89" s="459"/>
      <c r="B89" s="459"/>
      <c r="C89" s="459"/>
      <c r="D89" s="459"/>
      <c r="E89" s="459"/>
      <c r="F89" s="459"/>
      <c r="G89" s="459"/>
      <c r="H89" s="459"/>
      <c r="I89" s="459"/>
      <c r="J89" s="459"/>
      <c r="K89" s="459"/>
      <c r="L89" s="459"/>
      <c r="M89" s="459"/>
      <c r="N89" s="459"/>
      <c r="O89" s="459"/>
      <c r="P89" s="459"/>
      <c r="Q89" s="459"/>
      <c r="R89" s="459"/>
      <c r="S89" s="459"/>
      <c r="T89" s="459"/>
      <c r="U89" s="459"/>
      <c r="V89" s="459"/>
      <c r="W89" s="459"/>
      <c r="X89" s="459"/>
      <c r="Y89" s="459"/>
      <c r="Z89" s="459"/>
      <c r="AA89" s="459"/>
      <c r="AB89" s="459"/>
      <c r="AC89" s="459"/>
      <c r="AD89" s="459"/>
      <c r="AE89" s="459"/>
      <c r="AF89" s="459"/>
      <c r="AG89" s="459"/>
      <c r="AH89" s="57"/>
      <c r="AI89" s="459"/>
      <c r="AJ89" s="459"/>
      <c r="AK89" s="536"/>
      <c r="AL89" s="57"/>
      <c r="AM89" s="459"/>
      <c r="AN89" s="459"/>
    </row>
    <row r="90" spans="1:40">
      <c r="A90" s="459"/>
      <c r="B90" s="459"/>
      <c r="C90" s="459"/>
      <c r="D90" s="459"/>
      <c r="E90" s="459"/>
      <c r="F90" s="459"/>
      <c r="G90" s="459"/>
      <c r="H90" s="459"/>
      <c r="I90" s="459"/>
      <c r="J90" s="459"/>
      <c r="K90" s="459"/>
      <c r="L90" s="459"/>
      <c r="M90" s="459"/>
      <c r="N90" s="459"/>
      <c r="O90" s="459"/>
      <c r="P90" s="459"/>
      <c r="Q90" s="459"/>
      <c r="R90" s="459"/>
      <c r="S90" s="459"/>
      <c r="T90" s="459"/>
      <c r="U90" s="459"/>
      <c r="V90" s="459"/>
      <c r="W90" s="459"/>
      <c r="X90" s="459"/>
      <c r="Y90" s="459"/>
      <c r="Z90" s="459"/>
      <c r="AA90" s="459"/>
      <c r="AB90" s="459"/>
      <c r="AC90" s="459"/>
      <c r="AD90" s="459"/>
      <c r="AE90" s="459"/>
      <c r="AF90" s="459"/>
      <c r="AG90" s="459"/>
      <c r="AH90" s="57"/>
      <c r="AI90" s="459"/>
      <c r="AJ90" s="459"/>
      <c r="AK90" s="536"/>
      <c r="AL90" s="57"/>
      <c r="AM90" s="459"/>
      <c r="AN90" s="459"/>
    </row>
    <row r="91" spans="1:40">
      <c r="A91" s="459" t="s">
        <v>663</v>
      </c>
      <c r="B91" s="459"/>
      <c r="C91" s="459"/>
      <c r="D91" s="479">
        <f t="shared" ref="D91:K91" si="94">+D33+D30</f>
        <v>443.05500000000006</v>
      </c>
      <c r="E91" s="479">
        <f t="shared" si="94"/>
        <v>550.55700000000024</v>
      </c>
      <c r="F91" s="479">
        <f t="shared" si="94"/>
        <v>667.28299999999922</v>
      </c>
      <c r="G91" s="479">
        <f t="shared" si="94"/>
        <v>745.12100000000078</v>
      </c>
      <c r="H91" s="479">
        <f t="shared" si="94"/>
        <v>920.53400000000011</v>
      </c>
      <c r="I91" s="479">
        <f t="shared" si="94"/>
        <v>1096.8510000000006</v>
      </c>
      <c r="J91" s="479">
        <f t="shared" si="94"/>
        <v>1637.6239999999998</v>
      </c>
      <c r="K91" s="479">
        <f t="shared" si="94"/>
        <v>2252.889000000001</v>
      </c>
      <c r="L91" s="479">
        <f t="shared" ref="L91:Q91" si="95">+L33+L30</f>
        <v>2035.1259999999984</v>
      </c>
      <c r="M91" s="479">
        <f t="shared" si="95"/>
        <v>1148.001999999999</v>
      </c>
      <c r="N91" s="479">
        <f t="shared" si="95"/>
        <v>1705.5429999999983</v>
      </c>
      <c r="O91" s="479">
        <f t="shared" si="95"/>
        <v>2555.1660000000011</v>
      </c>
      <c r="P91" s="479">
        <f t="shared" si="95"/>
        <v>2594.5480000000025</v>
      </c>
      <c r="Q91" s="479">
        <f t="shared" si="95"/>
        <v>2369.5300000000007</v>
      </c>
      <c r="R91" s="479">
        <f t="shared" ref="R91:W91" si="96">+R33+R30</f>
        <v>1755</v>
      </c>
      <c r="S91" s="479">
        <f t="shared" si="96"/>
        <v>1891</v>
      </c>
      <c r="T91" s="479">
        <f t="shared" si="96"/>
        <v>2116</v>
      </c>
      <c r="U91" s="479">
        <f t="shared" si="96"/>
        <v>2388</v>
      </c>
      <c r="V91" s="479">
        <f t="shared" si="96"/>
        <v>2530</v>
      </c>
      <c r="W91" s="479">
        <f t="shared" si="96"/>
        <v>1944</v>
      </c>
      <c r="X91" s="459"/>
      <c r="Y91" s="459"/>
      <c r="Z91" s="459"/>
      <c r="AA91" s="459"/>
      <c r="AB91" s="459"/>
      <c r="AC91" s="459"/>
      <c r="AD91" s="459"/>
      <c r="AE91" s="459"/>
      <c r="AF91" s="459"/>
      <c r="AG91" s="459"/>
      <c r="AH91" s="57"/>
      <c r="AI91" s="459"/>
      <c r="AJ91" s="459"/>
      <c r="AK91" s="536"/>
      <c r="AL91" s="57"/>
      <c r="AM91" s="459"/>
      <c r="AN91" s="459"/>
    </row>
    <row r="92" spans="1:40">
      <c r="A92" s="524" t="s">
        <v>508</v>
      </c>
      <c r="B92" s="459"/>
      <c r="C92" s="459"/>
      <c r="D92" s="488">
        <f t="shared" ref="D92:R92" si="97">+D91/D7</f>
        <v>0.14966006386279734</v>
      </c>
      <c r="E92" s="488">
        <f t="shared" si="97"/>
        <v>0.16705419429501484</v>
      </c>
      <c r="F92" s="488">
        <f t="shared" si="97"/>
        <v>0.17923549667735694</v>
      </c>
      <c r="G92" s="488">
        <f t="shared" si="97"/>
        <v>0.16952858003850987</v>
      </c>
      <c r="H92" s="488">
        <f t="shared" si="97"/>
        <v>0.17419902160726111</v>
      </c>
      <c r="I92" s="488">
        <f t="shared" si="97"/>
        <v>0.16854340735960177</v>
      </c>
      <c r="J92" s="488">
        <f t="shared" si="97"/>
        <v>0.18086375535067681</v>
      </c>
      <c r="K92" s="488">
        <f t="shared" si="97"/>
        <v>0.1936237161805725</v>
      </c>
      <c r="L92" s="488">
        <f t="shared" si="97"/>
        <v>0.14883767532138892</v>
      </c>
      <c r="M92" s="488">
        <f t="shared" si="97"/>
        <v>8.2900962479941803E-2</v>
      </c>
      <c r="N92" s="488">
        <f t="shared" si="97"/>
        <v>0.11799220586177131</v>
      </c>
      <c r="O92" s="488">
        <f t="shared" si="97"/>
        <v>0.16117067275395983</v>
      </c>
      <c r="P92" s="488">
        <f t="shared" si="97"/>
        <v>0.15949370154458001</v>
      </c>
      <c r="Q92" s="488">
        <f t="shared" si="97"/>
        <v>0.14787953602797915</v>
      </c>
      <c r="R92" s="488">
        <f t="shared" si="97"/>
        <v>0.11021792375808578</v>
      </c>
      <c r="S92" s="488">
        <f>+S91/S7</f>
        <v>0.11996447376768382</v>
      </c>
      <c r="T92" s="488">
        <f>+T91/T7</f>
        <v>0.1456698334021754</v>
      </c>
      <c r="U92" s="488">
        <f>+U91/U7</f>
        <v>0.16820455025709657</v>
      </c>
      <c r="V92" s="488">
        <f>+V91/V7</f>
        <v>0.17253136933987998</v>
      </c>
      <c r="W92" s="488">
        <f>+W91/W7</f>
        <v>0.13361743075125437</v>
      </c>
      <c r="X92" s="459"/>
      <c r="Y92" s="459"/>
      <c r="Z92" s="459"/>
      <c r="AA92" s="459"/>
      <c r="AB92" s="459"/>
      <c r="AC92" s="459"/>
      <c r="AD92" s="459"/>
      <c r="AE92" s="459"/>
      <c r="AF92" s="459"/>
      <c r="AG92" s="459"/>
      <c r="AH92" s="57"/>
      <c r="AI92" s="459"/>
      <c r="AJ92" s="459"/>
      <c r="AK92" s="536"/>
      <c r="AL92" s="57"/>
      <c r="AM92" s="459"/>
      <c r="AN92" s="459"/>
    </row>
  </sheetData>
  <phoneticPr fontId="0" type="noConversion"/>
  <dataValidations disablePrompts="1" count="1">
    <dataValidation type="custom" allowBlank="1" showInputMessage="1" showErrorMessage="1" sqref="AL4 AJ5:AL5">
      <formula1>-1</formula1>
    </dataValidation>
  </dataValidations>
  <pageMargins left="0.5" right="0.25" top="0.5" bottom="0.43" header="0.5" footer="0.5"/>
  <pageSetup scale="81" orientation="landscape"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BI192"/>
  <sheetViews>
    <sheetView topLeftCell="A130" zoomScaleNormal="100" workbookViewId="0">
      <pane xSplit="1" topLeftCell="AM1" activePane="topRight" state="frozen"/>
      <selection pane="topRight" activeCell="AS181" sqref="AS181"/>
    </sheetView>
  </sheetViews>
  <sheetFormatPr defaultRowHeight="12"/>
  <cols>
    <col min="1" max="1" width="29.42578125" style="993" bestFit="1" customWidth="1"/>
    <col min="2" max="25" width="9.28515625" style="993" customWidth="1"/>
    <col min="26" max="26" width="9.28515625" style="993" bestFit="1" customWidth="1"/>
    <col min="27" max="16384" width="9.140625" style="993"/>
  </cols>
  <sheetData>
    <row r="1" spans="1:61">
      <c r="A1" s="1807" t="s">
        <v>808</v>
      </c>
      <c r="B1" s="1807"/>
      <c r="C1" s="1807"/>
      <c r="D1" s="1807"/>
      <c r="E1" s="1807"/>
      <c r="F1" s="1807"/>
      <c r="G1" s="1807"/>
      <c r="H1" s="1807"/>
      <c r="I1" s="1807"/>
      <c r="J1" s="1807"/>
      <c r="K1" s="1807"/>
      <c r="L1" s="1807"/>
      <c r="M1" s="1807"/>
      <c r="N1" s="1807"/>
      <c r="O1" s="1807"/>
      <c r="P1" s="1807"/>
      <c r="Q1" s="1807"/>
      <c r="R1" s="1807"/>
      <c r="S1" s="1807"/>
      <c r="T1" s="1807"/>
      <c r="U1" s="1807"/>
      <c r="V1" s="1807"/>
      <c r="W1" s="1807"/>
      <c r="X1" s="1807"/>
      <c r="Y1" s="1807"/>
    </row>
    <row r="2" spans="1:61">
      <c r="A2" s="991" t="s">
        <v>418</v>
      </c>
      <c r="B2" s="992" t="str">
        <f t="shared" ref="B2:I2" si="0">B42</f>
        <v>1Q04</v>
      </c>
      <c r="C2" s="992" t="str">
        <f t="shared" si="0"/>
        <v>2Q04</v>
      </c>
      <c r="D2" s="992" t="str">
        <f t="shared" si="0"/>
        <v>3Q04</v>
      </c>
      <c r="E2" s="992" t="str">
        <f t="shared" si="0"/>
        <v>4Q04</v>
      </c>
      <c r="F2" s="992" t="str">
        <f t="shared" si="0"/>
        <v>1Q05</v>
      </c>
      <c r="G2" s="992" t="str">
        <f t="shared" si="0"/>
        <v>2Q05</v>
      </c>
      <c r="H2" s="992" t="str">
        <f t="shared" si="0"/>
        <v>3Q05</v>
      </c>
      <c r="I2" s="992" t="str">
        <f t="shared" si="0"/>
        <v>4Q05</v>
      </c>
      <c r="J2" s="992" t="str">
        <f t="shared" ref="J2" si="1">J42</f>
        <v>1Q06</v>
      </c>
      <c r="K2" s="992" t="str">
        <f t="shared" ref="K2" si="2">K42</f>
        <v>2Q06</v>
      </c>
      <c r="L2" s="992" t="str">
        <f t="shared" ref="L2" si="3">L42</f>
        <v>3Q06</v>
      </c>
      <c r="M2" s="992" t="str">
        <f t="shared" ref="M2" si="4">M42</f>
        <v>4Q06</v>
      </c>
      <c r="N2" s="992" t="str">
        <f t="shared" ref="N2" si="5">N42</f>
        <v>1Q07</v>
      </c>
      <c r="O2" s="992" t="str">
        <f t="shared" ref="O2" si="6">O42</f>
        <v>2Q07</v>
      </c>
      <c r="P2" s="992" t="str">
        <f t="shared" ref="P2" si="7">P42</f>
        <v>3Q07</v>
      </c>
      <c r="Q2" s="992" t="str">
        <f t="shared" ref="Q2" si="8">Q42</f>
        <v>4Q07</v>
      </c>
      <c r="R2" s="992" t="str">
        <f t="shared" ref="R2" si="9">R42</f>
        <v>1Q08</v>
      </c>
      <c r="S2" s="992" t="str">
        <f t="shared" ref="S2" si="10">S42</f>
        <v>2Q08</v>
      </c>
      <c r="T2" s="992" t="str">
        <f t="shared" ref="T2" si="11">T42</f>
        <v>3Q08</v>
      </c>
      <c r="U2" s="992" t="str">
        <f t="shared" ref="U2" si="12">U42</f>
        <v>4Q08</v>
      </c>
      <c r="V2" s="992" t="str">
        <f t="shared" ref="V2" si="13">V42</f>
        <v>1Q09</v>
      </c>
      <c r="W2" s="992" t="str">
        <f t="shared" ref="W2" si="14">W42</f>
        <v>2Q09</v>
      </c>
      <c r="X2" s="992" t="str">
        <f t="shared" ref="X2" si="15">X42</f>
        <v>3Q09</v>
      </c>
      <c r="Y2" s="992" t="str">
        <f t="shared" ref="Y2" si="16">Y42</f>
        <v>4Q09</v>
      </c>
      <c r="Z2" s="992" t="str">
        <f t="shared" ref="Z2:AX2" si="17">Z42</f>
        <v>1Q10</v>
      </c>
      <c r="AA2" s="992" t="str">
        <f t="shared" si="17"/>
        <v>2Q10</v>
      </c>
      <c r="AB2" s="992" t="str">
        <f t="shared" si="17"/>
        <v>3Q10</v>
      </c>
      <c r="AC2" s="992" t="str">
        <f t="shared" si="17"/>
        <v>4Q10</v>
      </c>
      <c r="AD2" s="992" t="str">
        <f t="shared" si="17"/>
        <v>1Q11</v>
      </c>
      <c r="AE2" s="992" t="str">
        <f t="shared" si="17"/>
        <v>2Q11</v>
      </c>
      <c r="AF2" s="992" t="str">
        <f t="shared" si="17"/>
        <v>3Q11</v>
      </c>
      <c r="AG2" s="992" t="str">
        <f t="shared" si="17"/>
        <v>4Q11</v>
      </c>
      <c r="AH2" s="992" t="str">
        <f t="shared" si="17"/>
        <v>1Q12</v>
      </c>
      <c r="AI2" s="992" t="str">
        <f t="shared" si="17"/>
        <v>2Q12</v>
      </c>
      <c r="AJ2" s="992" t="str">
        <f t="shared" si="17"/>
        <v>3Q12</v>
      </c>
      <c r="AK2" s="992" t="str">
        <f t="shared" si="17"/>
        <v>4Q12</v>
      </c>
      <c r="AL2" s="992" t="str">
        <f t="shared" si="17"/>
        <v>1Q13</v>
      </c>
      <c r="AM2" s="992" t="str">
        <f t="shared" si="17"/>
        <v>2Q13</v>
      </c>
      <c r="AN2" s="992" t="str">
        <f t="shared" si="17"/>
        <v>3Q13</v>
      </c>
      <c r="AO2" s="992" t="str">
        <f t="shared" si="17"/>
        <v>4Q13</v>
      </c>
      <c r="AP2" s="992" t="str">
        <f t="shared" si="17"/>
        <v>1Q14</v>
      </c>
      <c r="AQ2" s="992" t="str">
        <f t="shared" si="17"/>
        <v>2Q14</v>
      </c>
      <c r="AR2" s="992" t="str">
        <f t="shared" si="17"/>
        <v>3Q14</v>
      </c>
      <c r="AS2" s="992" t="str">
        <f t="shared" si="17"/>
        <v>4Q14</v>
      </c>
      <c r="AT2" s="992" t="str">
        <f t="shared" si="17"/>
        <v>1Q15</v>
      </c>
      <c r="AU2" s="992" t="str">
        <f t="shared" si="17"/>
        <v>2Q15</v>
      </c>
      <c r="AV2" s="992" t="str">
        <f t="shared" si="17"/>
        <v>3Q15</v>
      </c>
      <c r="AW2" s="992" t="str">
        <f t="shared" si="17"/>
        <v>4Q15</v>
      </c>
      <c r="AX2" s="992" t="str">
        <f t="shared" si="17"/>
        <v>1Q16</v>
      </c>
      <c r="AY2" s="992" t="str">
        <f t="shared" ref="AY2" si="18">AY42</f>
        <v>2Q16</v>
      </c>
      <c r="AZ2" s="992" t="s">
        <v>704</v>
      </c>
      <c r="BA2" s="992" t="s">
        <v>705</v>
      </c>
      <c r="BB2" s="992" t="s">
        <v>757</v>
      </c>
      <c r="BC2" s="992" t="s">
        <v>789</v>
      </c>
      <c r="BD2" s="992" t="s">
        <v>790</v>
      </c>
      <c r="BE2" s="992" t="s">
        <v>813</v>
      </c>
      <c r="BF2" s="992" t="s">
        <v>814</v>
      </c>
      <c r="BG2" s="992" t="s">
        <v>815</v>
      </c>
      <c r="BH2" s="992" t="s">
        <v>816</v>
      </c>
      <c r="BI2" s="992" t="s">
        <v>817</v>
      </c>
    </row>
    <row r="3" spans="1:61">
      <c r="A3" s="993" t="s">
        <v>728</v>
      </c>
      <c r="B3" s="994">
        <f t="shared" ref="B3:Z3" si="19">B43+B54+B65</f>
        <v>1747</v>
      </c>
      <c r="C3" s="994">
        <f t="shared" si="19"/>
        <v>1735</v>
      </c>
      <c r="D3" s="994">
        <f t="shared" si="19"/>
        <v>1699</v>
      </c>
      <c r="E3" s="994">
        <f t="shared" si="19"/>
        <v>1705</v>
      </c>
      <c r="F3" s="994">
        <f t="shared" si="19"/>
        <v>1643</v>
      </c>
      <c r="G3" s="994">
        <f t="shared" si="19"/>
        <v>1641</v>
      </c>
      <c r="H3" s="994">
        <f t="shared" si="19"/>
        <v>1635</v>
      </c>
      <c r="I3" s="994">
        <f t="shared" si="19"/>
        <v>1655</v>
      </c>
      <c r="J3" s="994">
        <f t="shared" si="19"/>
        <v>1591</v>
      </c>
      <c r="K3" s="994">
        <f t="shared" si="19"/>
        <v>1590</v>
      </c>
      <c r="L3" s="994">
        <f t="shared" si="19"/>
        <v>1587</v>
      </c>
      <c r="M3" s="994">
        <f t="shared" si="19"/>
        <v>1607</v>
      </c>
      <c r="N3" s="994">
        <f t="shared" si="19"/>
        <v>1566</v>
      </c>
      <c r="O3" s="994">
        <f t="shared" si="19"/>
        <v>1570</v>
      </c>
      <c r="P3" s="994">
        <f t="shared" si="19"/>
        <v>1558</v>
      </c>
      <c r="Q3" s="994">
        <f t="shared" si="19"/>
        <v>1559</v>
      </c>
      <c r="R3" s="994">
        <f t="shared" si="19"/>
        <v>1532</v>
      </c>
      <c r="S3" s="994">
        <f t="shared" si="19"/>
        <v>1528</v>
      </c>
      <c r="T3" s="994">
        <f t="shared" si="19"/>
        <v>1510</v>
      </c>
      <c r="U3" s="994">
        <f t="shared" si="19"/>
        <v>1512</v>
      </c>
      <c r="V3" s="994">
        <f t="shared" si="19"/>
        <v>1479</v>
      </c>
      <c r="W3" s="994">
        <f t="shared" si="19"/>
        <v>1478</v>
      </c>
      <c r="X3" s="994">
        <f t="shared" si="19"/>
        <v>1474</v>
      </c>
      <c r="Y3" s="994">
        <f t="shared" si="19"/>
        <v>1473</v>
      </c>
      <c r="Z3" s="994">
        <f t="shared" si="19"/>
        <v>1450</v>
      </c>
      <c r="AA3" s="994">
        <f t="shared" ref="AA3:AX3" si="20">AA43+AA54+AA65</f>
        <v>1444</v>
      </c>
      <c r="AB3" s="994">
        <f t="shared" si="20"/>
        <v>1435</v>
      </c>
      <c r="AC3" s="994">
        <f t="shared" si="20"/>
        <v>1437</v>
      </c>
      <c r="AD3" s="994">
        <f t="shared" si="20"/>
        <v>1430</v>
      </c>
      <c r="AE3" s="994">
        <f t="shared" si="20"/>
        <v>1426</v>
      </c>
      <c r="AF3" s="994">
        <f t="shared" si="20"/>
        <v>1417</v>
      </c>
      <c r="AG3" s="994">
        <f t="shared" si="20"/>
        <v>1418</v>
      </c>
      <c r="AH3" s="994">
        <f t="shared" si="20"/>
        <v>1388</v>
      </c>
      <c r="AI3" s="994">
        <f t="shared" si="20"/>
        <v>1375</v>
      </c>
      <c r="AJ3" s="994">
        <f t="shared" si="20"/>
        <v>1373</v>
      </c>
      <c r="AK3" s="994">
        <f t="shared" si="20"/>
        <v>1387</v>
      </c>
      <c r="AL3" s="994">
        <f t="shared" si="20"/>
        <v>1379</v>
      </c>
      <c r="AM3" s="994">
        <f t="shared" si="20"/>
        <v>1377</v>
      </c>
      <c r="AN3" s="994">
        <f t="shared" si="20"/>
        <v>1367</v>
      </c>
      <c r="AO3" s="994">
        <f t="shared" si="20"/>
        <v>1392</v>
      </c>
      <c r="AP3" s="994">
        <f t="shared" si="20"/>
        <v>1389</v>
      </c>
      <c r="AQ3" s="994">
        <f t="shared" si="20"/>
        <v>1387</v>
      </c>
      <c r="AR3" s="994">
        <f t="shared" si="20"/>
        <v>1391</v>
      </c>
      <c r="AS3" s="994">
        <f t="shared" si="20"/>
        <v>1415</v>
      </c>
      <c r="AT3" s="994">
        <f t="shared" si="20"/>
        <v>1415</v>
      </c>
      <c r="AU3" s="994">
        <f t="shared" si="20"/>
        <v>1432</v>
      </c>
      <c r="AV3" s="994">
        <f t="shared" si="20"/>
        <v>1418</v>
      </c>
      <c r="AW3" s="994">
        <f t="shared" si="20"/>
        <v>1422</v>
      </c>
      <c r="AX3" s="994">
        <f t="shared" si="20"/>
        <v>1346</v>
      </c>
      <c r="AY3" s="994">
        <f t="shared" ref="AY3:AZ3" si="21">AY43+AY54+AY65</f>
        <v>1347</v>
      </c>
      <c r="AZ3" s="994">
        <f t="shared" si="21"/>
        <v>1337</v>
      </c>
      <c r="BA3" s="994">
        <f t="shared" ref="BA3:BB3" si="22">BA43+BA54+BA65</f>
        <v>1339</v>
      </c>
      <c r="BB3" s="994">
        <f t="shared" si="22"/>
        <v>1319</v>
      </c>
      <c r="BC3" s="994">
        <f t="shared" ref="BC3:BD3" si="23">BC43+BC54+BC65</f>
        <v>1305</v>
      </c>
      <c r="BD3" s="994">
        <f t="shared" si="23"/>
        <v>1298</v>
      </c>
      <c r="BE3" s="994">
        <f t="shared" ref="BE3" si="24">BE43+BE54+BE65</f>
        <v>1301</v>
      </c>
      <c r="BF3" s="994">
        <f t="shared" ref="BF3:BI3" si="25">BE6</f>
        <v>1278</v>
      </c>
      <c r="BG3" s="994">
        <f t="shared" si="25"/>
        <v>1271</v>
      </c>
      <c r="BH3" s="994">
        <f t="shared" si="25"/>
        <v>1263</v>
      </c>
      <c r="BI3" s="994">
        <f t="shared" si="25"/>
        <v>1249</v>
      </c>
    </row>
    <row r="4" spans="1:61">
      <c r="A4" s="993" t="s">
        <v>727</v>
      </c>
      <c r="B4" s="994">
        <f t="shared" ref="B4:I4" si="26">B44+B55+B66</f>
        <v>5</v>
      </c>
      <c r="C4" s="994">
        <f t="shared" si="26"/>
        <v>3</v>
      </c>
      <c r="D4" s="994">
        <f t="shared" si="26"/>
        <v>10</v>
      </c>
      <c r="E4" s="994">
        <f t="shared" si="26"/>
        <v>12</v>
      </c>
      <c r="F4" s="994">
        <f t="shared" si="26"/>
        <v>16</v>
      </c>
      <c r="G4" s="994">
        <f t="shared" si="26"/>
        <v>10</v>
      </c>
      <c r="H4" s="994">
        <f t="shared" si="26"/>
        <v>25</v>
      </c>
      <c r="I4" s="994">
        <f t="shared" si="26"/>
        <v>7</v>
      </c>
      <c r="J4" s="994">
        <f t="shared" ref="J4" si="27">J44+J55+J66</f>
        <v>18</v>
      </c>
      <c r="K4" s="994">
        <f t="shared" ref="K4" si="28">K44+K55+K66</f>
        <v>11</v>
      </c>
      <c r="L4" s="994">
        <f t="shared" ref="L4" si="29">L44+L55+L66</f>
        <v>25</v>
      </c>
      <c r="M4" s="994">
        <f t="shared" ref="M4" si="30">M44+M55+M66</f>
        <v>11</v>
      </c>
      <c r="N4" s="994">
        <f t="shared" ref="N4" si="31">N44+N55+N66</f>
        <v>18</v>
      </c>
      <c r="O4" s="994">
        <f t="shared" ref="O4" si="32">O44+O55+O66</f>
        <v>6</v>
      </c>
      <c r="P4" s="994">
        <f t="shared" ref="P4" si="33">P44+P55+P66</f>
        <v>17</v>
      </c>
      <c r="Q4" s="994">
        <f t="shared" ref="Q4" si="34">Q44+Q55+Q66</f>
        <v>9</v>
      </c>
      <c r="R4" s="994">
        <f t="shared" ref="R4" si="35">R44+R55+R66</f>
        <v>11</v>
      </c>
      <c r="S4" s="994">
        <f t="shared" ref="S4" si="36">S44+S55+S66</f>
        <v>5</v>
      </c>
      <c r="T4" s="994">
        <f t="shared" ref="T4" si="37">T44+T55+T66</f>
        <v>12</v>
      </c>
      <c r="U4" s="994">
        <f t="shared" ref="U4" si="38">U44+U55+U66</f>
        <v>2</v>
      </c>
      <c r="V4" s="994">
        <f t="shared" ref="V4" si="39">V44+V55+V66</f>
        <v>7</v>
      </c>
      <c r="W4" s="994">
        <f t="shared" ref="W4" si="40">W44+W55+W66</f>
        <v>6</v>
      </c>
      <c r="X4" s="994">
        <f t="shared" ref="X4" si="41">X44+X55+X66</f>
        <v>9</v>
      </c>
      <c r="Y4" s="994">
        <f t="shared" ref="Y4" si="42">Y44+Y55+Y66</f>
        <v>7</v>
      </c>
      <c r="Z4" s="994">
        <f t="shared" ref="Z4:AX4" si="43">Z44+Z55+Z66</f>
        <v>5</v>
      </c>
      <c r="AA4" s="994">
        <f t="shared" si="43"/>
        <v>7</v>
      </c>
      <c r="AB4" s="994">
        <f t="shared" si="43"/>
        <v>14</v>
      </c>
      <c r="AC4" s="994">
        <f t="shared" si="43"/>
        <v>15</v>
      </c>
      <c r="AD4" s="994">
        <f t="shared" si="43"/>
        <v>9</v>
      </c>
      <c r="AE4" s="994">
        <f t="shared" si="43"/>
        <v>12</v>
      </c>
      <c r="AF4" s="994">
        <f t="shared" si="43"/>
        <v>18</v>
      </c>
      <c r="AG4" s="994">
        <f t="shared" si="43"/>
        <v>20</v>
      </c>
      <c r="AH4" s="994">
        <f t="shared" si="43"/>
        <v>16</v>
      </c>
      <c r="AI4" s="994">
        <f t="shared" si="43"/>
        <v>10</v>
      </c>
      <c r="AJ4" s="994">
        <f t="shared" si="43"/>
        <v>19</v>
      </c>
      <c r="AK4" s="994">
        <f t="shared" si="43"/>
        <v>36</v>
      </c>
      <c r="AL4" s="994">
        <f t="shared" si="43"/>
        <v>16</v>
      </c>
      <c r="AM4" s="994">
        <f t="shared" si="43"/>
        <v>14</v>
      </c>
      <c r="AN4" s="994">
        <f t="shared" si="43"/>
        <v>30</v>
      </c>
      <c r="AO4" s="994">
        <f t="shared" si="43"/>
        <v>21</v>
      </c>
      <c r="AP4" s="994">
        <f t="shared" si="43"/>
        <v>7</v>
      </c>
      <c r="AQ4" s="994">
        <f t="shared" si="43"/>
        <v>18</v>
      </c>
      <c r="AR4" s="994">
        <f t="shared" si="43"/>
        <v>31</v>
      </c>
      <c r="AS4" s="994">
        <f t="shared" si="43"/>
        <v>26</v>
      </c>
      <c r="AT4" s="994">
        <f t="shared" si="43"/>
        <v>26</v>
      </c>
      <c r="AU4" s="994">
        <f t="shared" si="43"/>
        <v>15</v>
      </c>
      <c r="AV4" s="994">
        <f t="shared" si="43"/>
        <v>23</v>
      </c>
      <c r="AW4" s="994">
        <f t="shared" si="43"/>
        <v>24</v>
      </c>
      <c r="AX4" s="994">
        <f t="shared" si="43"/>
        <v>10</v>
      </c>
      <c r="AY4" s="994">
        <f t="shared" ref="AY4:AZ4" si="44">AY44+AY55+AY66</f>
        <v>7</v>
      </c>
      <c r="AZ4" s="994">
        <f t="shared" si="44"/>
        <v>13</v>
      </c>
      <c r="BA4" s="994">
        <f t="shared" ref="BA4:BB4" si="45">BA44+BA55+BA66</f>
        <v>13</v>
      </c>
      <c r="BB4" s="994">
        <f t="shared" si="45"/>
        <v>2</v>
      </c>
      <c r="BC4" s="994">
        <f t="shared" ref="BC4:BD4" si="46">BC44+BC55+BC66</f>
        <v>4</v>
      </c>
      <c r="BD4" s="994">
        <f t="shared" si="46"/>
        <v>26</v>
      </c>
      <c r="BE4" s="994">
        <f t="shared" ref="BE4" si="47">BE44+BE55+BE66</f>
        <v>31</v>
      </c>
      <c r="BF4" s="1827">
        <v>8</v>
      </c>
      <c r="BG4" s="1827">
        <v>7</v>
      </c>
      <c r="BH4" s="1827">
        <v>6</v>
      </c>
      <c r="BI4" s="1827">
        <v>8</v>
      </c>
    </row>
    <row r="5" spans="1:61">
      <c r="A5" s="995" t="s">
        <v>726</v>
      </c>
      <c r="B5" s="996">
        <f t="shared" ref="B5:I5" si="48">B45+B56+B67</f>
        <v>17</v>
      </c>
      <c r="C5" s="996">
        <f t="shared" si="48"/>
        <v>39</v>
      </c>
      <c r="D5" s="996">
        <f t="shared" si="48"/>
        <v>4</v>
      </c>
      <c r="E5" s="996">
        <f t="shared" si="48"/>
        <v>74</v>
      </c>
      <c r="F5" s="996">
        <f t="shared" si="48"/>
        <v>18</v>
      </c>
      <c r="G5" s="996">
        <f t="shared" si="48"/>
        <v>16</v>
      </c>
      <c r="H5" s="996">
        <f t="shared" si="48"/>
        <v>5</v>
      </c>
      <c r="I5" s="996">
        <f t="shared" si="48"/>
        <v>71</v>
      </c>
      <c r="J5" s="996">
        <f t="shared" ref="J5" si="49">J45+J56+J67</f>
        <v>19</v>
      </c>
      <c r="K5" s="996">
        <f t="shared" ref="K5" si="50">K45+K56+K67</f>
        <v>14</v>
      </c>
      <c r="L5" s="996">
        <f t="shared" ref="L5" si="51">L45+L56+L67</f>
        <v>5</v>
      </c>
      <c r="M5" s="996">
        <f t="shared" ref="M5" si="52">M45+M56+M67</f>
        <v>52</v>
      </c>
      <c r="N5" s="996">
        <f t="shared" ref="N5" si="53">N45+N56+N67</f>
        <v>14</v>
      </c>
      <c r="O5" s="996">
        <f t="shared" ref="O5" si="54">O45+O56+O67</f>
        <v>18</v>
      </c>
      <c r="P5" s="996">
        <f t="shared" ref="P5" si="55">P45+P56+P67</f>
        <v>16</v>
      </c>
      <c r="Q5" s="996">
        <f t="shared" ref="Q5" si="56">Q45+Q56+Q67</f>
        <v>36</v>
      </c>
      <c r="R5" s="996">
        <f t="shared" ref="R5" si="57">R45+R56+R67</f>
        <v>15</v>
      </c>
      <c r="S5" s="996">
        <f t="shared" ref="S5" si="58">S45+S56+S67</f>
        <v>23</v>
      </c>
      <c r="T5" s="996">
        <f t="shared" ref="T5" si="59">T45+T56+T67</f>
        <v>10</v>
      </c>
      <c r="U5" s="996">
        <f t="shared" ref="U5" si="60">U45+U56+U67</f>
        <v>35</v>
      </c>
      <c r="V5" s="996">
        <f t="shared" ref="V5" si="61">V45+V56+V67</f>
        <v>8</v>
      </c>
      <c r="W5" s="996">
        <f t="shared" ref="W5" si="62">W45+W56+W67</f>
        <v>10</v>
      </c>
      <c r="X5" s="996">
        <f t="shared" ref="X5" si="63">X45+X56+X67</f>
        <v>10</v>
      </c>
      <c r="Y5" s="996">
        <f t="shared" ref="Y5" si="64">Y45+Y56+Y67</f>
        <v>30</v>
      </c>
      <c r="Z5" s="996">
        <f t="shared" ref="Z5:AX5" si="65">Z45+Z56+Z67</f>
        <v>11</v>
      </c>
      <c r="AA5" s="996">
        <f t="shared" si="65"/>
        <v>16</v>
      </c>
      <c r="AB5" s="996">
        <f t="shared" si="65"/>
        <v>12</v>
      </c>
      <c r="AC5" s="996">
        <f t="shared" si="65"/>
        <v>22</v>
      </c>
      <c r="AD5" s="996">
        <f t="shared" si="65"/>
        <v>13</v>
      </c>
      <c r="AE5" s="996">
        <f t="shared" si="65"/>
        <v>21</v>
      </c>
      <c r="AF5" s="996">
        <f t="shared" si="65"/>
        <v>17</v>
      </c>
      <c r="AG5" s="996">
        <f t="shared" si="65"/>
        <v>50</v>
      </c>
      <c r="AH5" s="996">
        <f t="shared" si="65"/>
        <v>29</v>
      </c>
      <c r="AI5" s="996">
        <f t="shared" si="65"/>
        <v>12</v>
      </c>
      <c r="AJ5" s="996">
        <f t="shared" si="65"/>
        <v>5</v>
      </c>
      <c r="AK5" s="996">
        <f t="shared" si="65"/>
        <v>44</v>
      </c>
      <c r="AL5" s="996">
        <f t="shared" si="65"/>
        <v>18</v>
      </c>
      <c r="AM5" s="996">
        <f t="shared" si="65"/>
        <v>24</v>
      </c>
      <c r="AN5" s="996">
        <f t="shared" si="65"/>
        <v>5</v>
      </c>
      <c r="AO5" s="996">
        <f t="shared" si="65"/>
        <v>24</v>
      </c>
      <c r="AP5" s="996">
        <f t="shared" si="65"/>
        <v>9</v>
      </c>
      <c r="AQ5" s="996">
        <f t="shared" si="65"/>
        <v>14</v>
      </c>
      <c r="AR5" s="996">
        <f t="shared" si="65"/>
        <v>7</v>
      </c>
      <c r="AS5" s="996">
        <f t="shared" si="65"/>
        <v>26</v>
      </c>
      <c r="AT5" s="996">
        <f t="shared" si="65"/>
        <v>9</v>
      </c>
      <c r="AU5" s="996">
        <f t="shared" si="65"/>
        <v>29</v>
      </c>
      <c r="AV5" s="996">
        <f t="shared" si="65"/>
        <v>19</v>
      </c>
      <c r="AW5" s="996">
        <f t="shared" si="65"/>
        <v>100</v>
      </c>
      <c r="AX5" s="996">
        <f t="shared" si="65"/>
        <v>9</v>
      </c>
      <c r="AY5" s="996">
        <f t="shared" ref="AY5:AZ5" si="66">AY45+AY56+AY67</f>
        <v>17</v>
      </c>
      <c r="AZ5" s="996">
        <f t="shared" si="66"/>
        <v>11</v>
      </c>
      <c r="BA5" s="996">
        <f t="shared" ref="BA5:BB5" si="67">BA45+BA56+BA67</f>
        <v>33</v>
      </c>
      <c r="BB5" s="996">
        <f t="shared" si="67"/>
        <v>16</v>
      </c>
      <c r="BC5" s="996">
        <f t="shared" ref="BC5:BD5" si="68">BC45+BC56+BC67</f>
        <v>11</v>
      </c>
      <c r="BD5" s="996">
        <f t="shared" si="68"/>
        <v>23</v>
      </c>
      <c r="BE5" s="996">
        <f t="shared" ref="BE5" si="69">BE45+BE56+BE67</f>
        <v>54</v>
      </c>
      <c r="BF5" s="1828">
        <v>15</v>
      </c>
      <c r="BG5" s="1828">
        <v>15</v>
      </c>
      <c r="BH5" s="1828">
        <v>20</v>
      </c>
      <c r="BI5" s="1828">
        <v>50</v>
      </c>
    </row>
    <row r="6" spans="1:61">
      <c r="A6" s="997" t="s">
        <v>725</v>
      </c>
      <c r="B6" s="998">
        <f t="shared" ref="B6:Z6" si="70">B3+B4-B5</f>
        <v>1735</v>
      </c>
      <c r="C6" s="998">
        <f t="shared" si="70"/>
        <v>1699</v>
      </c>
      <c r="D6" s="998">
        <f t="shared" si="70"/>
        <v>1705</v>
      </c>
      <c r="E6" s="998">
        <f t="shared" si="70"/>
        <v>1643</v>
      </c>
      <c r="F6" s="998">
        <f t="shared" si="70"/>
        <v>1641</v>
      </c>
      <c r="G6" s="998">
        <f t="shared" si="70"/>
        <v>1635</v>
      </c>
      <c r="H6" s="998">
        <f t="shared" si="70"/>
        <v>1655</v>
      </c>
      <c r="I6" s="998">
        <f t="shared" si="70"/>
        <v>1591</v>
      </c>
      <c r="J6" s="998">
        <f t="shared" si="70"/>
        <v>1590</v>
      </c>
      <c r="K6" s="998">
        <f t="shared" si="70"/>
        <v>1587</v>
      </c>
      <c r="L6" s="998">
        <f t="shared" si="70"/>
        <v>1607</v>
      </c>
      <c r="M6" s="998">
        <f t="shared" si="70"/>
        <v>1566</v>
      </c>
      <c r="N6" s="998">
        <f t="shared" si="70"/>
        <v>1570</v>
      </c>
      <c r="O6" s="998">
        <f t="shared" si="70"/>
        <v>1558</v>
      </c>
      <c r="P6" s="998">
        <f t="shared" si="70"/>
        <v>1559</v>
      </c>
      <c r="Q6" s="998">
        <f t="shared" si="70"/>
        <v>1532</v>
      </c>
      <c r="R6" s="998">
        <f t="shared" si="70"/>
        <v>1528</v>
      </c>
      <c r="S6" s="998">
        <f t="shared" si="70"/>
        <v>1510</v>
      </c>
      <c r="T6" s="998">
        <f t="shared" si="70"/>
        <v>1512</v>
      </c>
      <c r="U6" s="998">
        <f t="shared" si="70"/>
        <v>1479</v>
      </c>
      <c r="V6" s="998">
        <f t="shared" si="70"/>
        <v>1478</v>
      </c>
      <c r="W6" s="998">
        <f t="shared" si="70"/>
        <v>1474</v>
      </c>
      <c r="X6" s="998">
        <f t="shared" si="70"/>
        <v>1473</v>
      </c>
      <c r="Y6" s="998">
        <f t="shared" si="70"/>
        <v>1450</v>
      </c>
      <c r="Z6" s="998">
        <f t="shared" si="70"/>
        <v>1444</v>
      </c>
      <c r="AA6" s="998">
        <f t="shared" ref="AA6:AX6" si="71">AA3+AA4-AA5</f>
        <v>1435</v>
      </c>
      <c r="AB6" s="998">
        <f t="shared" si="71"/>
        <v>1437</v>
      </c>
      <c r="AC6" s="998">
        <f t="shared" si="71"/>
        <v>1430</v>
      </c>
      <c r="AD6" s="998">
        <f t="shared" si="71"/>
        <v>1426</v>
      </c>
      <c r="AE6" s="998">
        <f t="shared" si="71"/>
        <v>1417</v>
      </c>
      <c r="AF6" s="998">
        <f t="shared" si="71"/>
        <v>1418</v>
      </c>
      <c r="AG6" s="998">
        <f t="shared" si="71"/>
        <v>1388</v>
      </c>
      <c r="AH6" s="998">
        <f t="shared" si="71"/>
        <v>1375</v>
      </c>
      <c r="AI6" s="998">
        <f t="shared" si="71"/>
        <v>1373</v>
      </c>
      <c r="AJ6" s="998">
        <f t="shared" si="71"/>
        <v>1387</v>
      </c>
      <c r="AK6" s="998">
        <f t="shared" si="71"/>
        <v>1379</v>
      </c>
      <c r="AL6" s="998">
        <f t="shared" si="71"/>
        <v>1377</v>
      </c>
      <c r="AM6" s="998">
        <f t="shared" si="71"/>
        <v>1367</v>
      </c>
      <c r="AN6" s="998">
        <f t="shared" si="71"/>
        <v>1392</v>
      </c>
      <c r="AO6" s="998">
        <f t="shared" si="71"/>
        <v>1389</v>
      </c>
      <c r="AP6" s="998">
        <f t="shared" si="71"/>
        <v>1387</v>
      </c>
      <c r="AQ6" s="998">
        <f t="shared" si="71"/>
        <v>1391</v>
      </c>
      <c r="AR6" s="998">
        <f t="shared" si="71"/>
        <v>1415</v>
      </c>
      <c r="AS6" s="998">
        <f t="shared" si="71"/>
        <v>1415</v>
      </c>
      <c r="AT6" s="998">
        <f t="shared" si="71"/>
        <v>1432</v>
      </c>
      <c r="AU6" s="998">
        <f t="shared" si="71"/>
        <v>1418</v>
      </c>
      <c r="AV6" s="998">
        <f t="shared" si="71"/>
        <v>1422</v>
      </c>
      <c r="AW6" s="998">
        <f t="shared" si="71"/>
        <v>1346</v>
      </c>
      <c r="AX6" s="998">
        <f t="shared" si="71"/>
        <v>1347</v>
      </c>
      <c r="AY6" s="998">
        <f t="shared" ref="AY6:AZ6" si="72">AY3+AY4-AY5</f>
        <v>1337</v>
      </c>
      <c r="AZ6" s="998">
        <f t="shared" si="72"/>
        <v>1339</v>
      </c>
      <c r="BA6" s="998">
        <f t="shared" ref="BA6:BB6" si="73">BA3+BA4-BA5</f>
        <v>1319</v>
      </c>
      <c r="BB6" s="998">
        <f t="shared" si="73"/>
        <v>1305</v>
      </c>
      <c r="BC6" s="998">
        <f t="shared" ref="BC6:BD6" si="74">BC3+BC4-BC5</f>
        <v>1298</v>
      </c>
      <c r="BD6" s="998">
        <f t="shared" si="74"/>
        <v>1301</v>
      </c>
      <c r="BE6" s="998">
        <f t="shared" ref="BE6" si="75">BE3+BE4-BE5</f>
        <v>1278</v>
      </c>
      <c r="BF6" s="998">
        <f t="shared" ref="BF6:BI6" si="76">BF3+BF4-BF5</f>
        <v>1271</v>
      </c>
      <c r="BG6" s="998">
        <f t="shared" si="76"/>
        <v>1263</v>
      </c>
      <c r="BH6" s="998">
        <f t="shared" si="76"/>
        <v>1249</v>
      </c>
      <c r="BI6" s="998">
        <f t="shared" si="76"/>
        <v>1207</v>
      </c>
    </row>
    <row r="7" spans="1:61">
      <c r="A7" s="999" t="s">
        <v>737</v>
      </c>
      <c r="B7" s="999"/>
      <c r="C7" s="999"/>
      <c r="D7" s="999"/>
      <c r="E7" s="999"/>
      <c r="F7" s="999"/>
      <c r="G7" s="999"/>
      <c r="H7" s="999"/>
      <c r="I7" s="999"/>
      <c r="J7" s="999"/>
      <c r="K7" s="999"/>
      <c r="L7" s="999"/>
      <c r="M7" s="999"/>
      <c r="N7" s="999"/>
      <c r="O7" s="999"/>
      <c r="P7" s="999"/>
      <c r="Q7" s="999"/>
      <c r="R7" s="999"/>
      <c r="S7" s="999"/>
      <c r="T7" s="999"/>
      <c r="U7" s="999"/>
      <c r="V7" s="999"/>
      <c r="W7" s="999"/>
      <c r="X7" s="999"/>
      <c r="Y7" s="999"/>
      <c r="Z7" s="999"/>
      <c r="AA7" s="999"/>
      <c r="AB7" s="999"/>
      <c r="AC7" s="999"/>
      <c r="AD7" s="1000">
        <f>AD6/Z6-1</f>
        <v>-1.2465373961218829E-2</v>
      </c>
      <c r="AE7" s="1000">
        <f t="shared" ref="AE7:BI7" si="77">AE6/AA6-1</f>
        <v>-1.2543554006968605E-2</v>
      </c>
      <c r="AF7" s="1000">
        <f t="shared" si="77"/>
        <v>-1.3221990257480831E-2</v>
      </c>
      <c r="AG7" s="1000">
        <f t="shared" si="77"/>
        <v>-2.9370629370629397E-2</v>
      </c>
      <c r="AH7" s="1000">
        <f t="shared" si="77"/>
        <v>-3.5764375876577881E-2</v>
      </c>
      <c r="AI7" s="1000">
        <f t="shared" si="77"/>
        <v>-3.1051517290049402E-2</v>
      </c>
      <c r="AJ7" s="1000">
        <f t="shared" si="77"/>
        <v>-2.186177715091675E-2</v>
      </c>
      <c r="AK7" s="1000">
        <f t="shared" si="77"/>
        <v>-6.4841498559077282E-3</v>
      </c>
      <c r="AL7" s="1000">
        <f t="shared" si="77"/>
        <v>1.4545454545453751E-3</v>
      </c>
      <c r="AM7" s="1000">
        <f t="shared" si="77"/>
        <v>-4.3699927166788166E-3</v>
      </c>
      <c r="AN7" s="1000">
        <f t="shared" si="77"/>
        <v>3.6049026676279183E-3</v>
      </c>
      <c r="AO7" s="1000">
        <f t="shared" si="77"/>
        <v>7.2516316171138406E-3</v>
      </c>
      <c r="AP7" s="1000">
        <f t="shared" si="77"/>
        <v>7.2621641249093205E-3</v>
      </c>
      <c r="AQ7" s="1000">
        <f t="shared" si="77"/>
        <v>1.7556693489392927E-2</v>
      </c>
      <c r="AR7" s="1000">
        <f t="shared" si="77"/>
        <v>1.6522988505747183E-2</v>
      </c>
      <c r="AS7" s="1000">
        <f t="shared" si="77"/>
        <v>1.8718502519798452E-2</v>
      </c>
      <c r="AT7" s="1000">
        <f t="shared" si="77"/>
        <v>3.2444124008651709E-2</v>
      </c>
      <c r="AU7" s="1000">
        <f t="shared" si="77"/>
        <v>1.9410496046009973E-2</v>
      </c>
      <c r="AV7" s="1000">
        <f t="shared" si="77"/>
        <v>4.9469964664310417E-3</v>
      </c>
      <c r="AW7" s="1000">
        <f t="shared" si="77"/>
        <v>-4.8763250883392173E-2</v>
      </c>
      <c r="AX7" s="1000">
        <f t="shared" si="77"/>
        <v>-5.9357541899441313E-2</v>
      </c>
      <c r="AY7" s="1000">
        <f t="shared" si="77"/>
        <v>-5.7122708039492265E-2</v>
      </c>
      <c r="AZ7" s="1000">
        <f t="shared" si="77"/>
        <v>-5.8368495077355864E-2</v>
      </c>
      <c r="BA7" s="1000">
        <f t="shared" si="77"/>
        <v>-2.0059435364041645E-2</v>
      </c>
      <c r="BB7" s="1000">
        <f t="shared" si="77"/>
        <v>-3.1180400890868598E-2</v>
      </c>
      <c r="BC7" s="1000">
        <f t="shared" si="77"/>
        <v>-2.9169783096484658E-2</v>
      </c>
      <c r="BD7" s="1000">
        <f t="shared" si="77"/>
        <v>-2.8379387602688544E-2</v>
      </c>
      <c r="BE7" s="1000">
        <f t="shared" si="77"/>
        <v>-3.1084154662623154E-2</v>
      </c>
      <c r="BF7" s="1000">
        <f t="shared" si="77"/>
        <v>-2.6053639846743248E-2</v>
      </c>
      <c r="BG7" s="1000">
        <f t="shared" si="77"/>
        <v>-2.6964560862865916E-2</v>
      </c>
      <c r="BH7" s="1000">
        <f t="shared" si="77"/>
        <v>-3.9969254419677136E-2</v>
      </c>
      <c r="BI7" s="1000">
        <f t="shared" si="77"/>
        <v>-5.555555555555558E-2</v>
      </c>
    </row>
    <row r="9" spans="1:61">
      <c r="A9" s="991" t="s">
        <v>366</v>
      </c>
      <c r="B9" s="992" t="str">
        <f t="shared" ref="B9:Z9" si="78">B2</f>
        <v>1Q04</v>
      </c>
      <c r="C9" s="992" t="str">
        <f t="shared" si="78"/>
        <v>2Q04</v>
      </c>
      <c r="D9" s="992" t="str">
        <f t="shared" si="78"/>
        <v>3Q04</v>
      </c>
      <c r="E9" s="992" t="str">
        <f t="shared" si="78"/>
        <v>4Q04</v>
      </c>
      <c r="F9" s="992" t="str">
        <f t="shared" si="78"/>
        <v>1Q05</v>
      </c>
      <c r="G9" s="992" t="str">
        <f t="shared" si="78"/>
        <v>2Q05</v>
      </c>
      <c r="H9" s="992" t="str">
        <f t="shared" si="78"/>
        <v>3Q05</v>
      </c>
      <c r="I9" s="992" t="str">
        <f t="shared" si="78"/>
        <v>4Q05</v>
      </c>
      <c r="J9" s="992" t="str">
        <f t="shared" si="78"/>
        <v>1Q06</v>
      </c>
      <c r="K9" s="992" t="str">
        <f t="shared" si="78"/>
        <v>2Q06</v>
      </c>
      <c r="L9" s="992" t="str">
        <f t="shared" si="78"/>
        <v>3Q06</v>
      </c>
      <c r="M9" s="992" t="str">
        <f t="shared" si="78"/>
        <v>4Q06</v>
      </c>
      <c r="N9" s="992" t="str">
        <f t="shared" si="78"/>
        <v>1Q07</v>
      </c>
      <c r="O9" s="992" t="str">
        <f t="shared" si="78"/>
        <v>2Q07</v>
      </c>
      <c r="P9" s="992" t="str">
        <f t="shared" si="78"/>
        <v>3Q07</v>
      </c>
      <c r="Q9" s="992" t="str">
        <f t="shared" si="78"/>
        <v>4Q07</v>
      </c>
      <c r="R9" s="992" t="str">
        <f t="shared" si="78"/>
        <v>1Q08</v>
      </c>
      <c r="S9" s="992" t="str">
        <f t="shared" si="78"/>
        <v>2Q08</v>
      </c>
      <c r="T9" s="992" t="str">
        <f t="shared" si="78"/>
        <v>3Q08</v>
      </c>
      <c r="U9" s="992" t="str">
        <f t="shared" si="78"/>
        <v>4Q08</v>
      </c>
      <c r="V9" s="992" t="str">
        <f t="shared" si="78"/>
        <v>1Q09</v>
      </c>
      <c r="W9" s="992" t="str">
        <f t="shared" si="78"/>
        <v>2Q09</v>
      </c>
      <c r="X9" s="992" t="str">
        <f t="shared" si="78"/>
        <v>3Q09</v>
      </c>
      <c r="Y9" s="992" t="str">
        <f t="shared" si="78"/>
        <v>4Q09</v>
      </c>
      <c r="Z9" s="992" t="str">
        <f t="shared" si="78"/>
        <v>1Q10</v>
      </c>
      <c r="AA9" s="992" t="str">
        <f t="shared" ref="AA9:AX9" si="79">AA2</f>
        <v>2Q10</v>
      </c>
      <c r="AB9" s="992" t="str">
        <f t="shared" si="79"/>
        <v>3Q10</v>
      </c>
      <c r="AC9" s="992" t="str">
        <f t="shared" si="79"/>
        <v>4Q10</v>
      </c>
      <c r="AD9" s="992" t="str">
        <f t="shared" si="79"/>
        <v>1Q11</v>
      </c>
      <c r="AE9" s="992" t="str">
        <f t="shared" si="79"/>
        <v>2Q11</v>
      </c>
      <c r="AF9" s="992" t="str">
        <f t="shared" si="79"/>
        <v>3Q11</v>
      </c>
      <c r="AG9" s="992" t="str">
        <f t="shared" si="79"/>
        <v>4Q11</v>
      </c>
      <c r="AH9" s="992" t="str">
        <f t="shared" si="79"/>
        <v>1Q12</v>
      </c>
      <c r="AI9" s="992" t="str">
        <f t="shared" si="79"/>
        <v>2Q12</v>
      </c>
      <c r="AJ9" s="992" t="str">
        <f t="shared" si="79"/>
        <v>3Q12</v>
      </c>
      <c r="AK9" s="992" t="str">
        <f t="shared" si="79"/>
        <v>4Q12</v>
      </c>
      <c r="AL9" s="992" t="str">
        <f t="shared" si="79"/>
        <v>1Q13</v>
      </c>
      <c r="AM9" s="992" t="str">
        <f t="shared" si="79"/>
        <v>2Q13</v>
      </c>
      <c r="AN9" s="992" t="str">
        <f t="shared" si="79"/>
        <v>3Q13</v>
      </c>
      <c r="AO9" s="992" t="str">
        <f t="shared" si="79"/>
        <v>4Q13</v>
      </c>
      <c r="AP9" s="992" t="str">
        <f t="shared" si="79"/>
        <v>1Q14</v>
      </c>
      <c r="AQ9" s="992" t="str">
        <f t="shared" si="79"/>
        <v>2Q14</v>
      </c>
      <c r="AR9" s="992" t="str">
        <f t="shared" si="79"/>
        <v>3Q14</v>
      </c>
      <c r="AS9" s="992" t="str">
        <f t="shared" si="79"/>
        <v>4Q14</v>
      </c>
      <c r="AT9" s="992" t="str">
        <f t="shared" si="79"/>
        <v>1Q15</v>
      </c>
      <c r="AU9" s="992" t="str">
        <f t="shared" si="79"/>
        <v>2Q15</v>
      </c>
      <c r="AV9" s="992" t="str">
        <f t="shared" si="79"/>
        <v>3Q15</v>
      </c>
      <c r="AW9" s="992" t="str">
        <f t="shared" si="79"/>
        <v>4Q15</v>
      </c>
      <c r="AX9" s="992" t="str">
        <f t="shared" si="79"/>
        <v>1Q16</v>
      </c>
      <c r="AY9" s="992" t="str">
        <f t="shared" ref="AY9" si="80">AY2</f>
        <v>2Q16</v>
      </c>
      <c r="AZ9" s="992" t="s">
        <v>704</v>
      </c>
      <c r="BA9" s="992" t="s">
        <v>705</v>
      </c>
      <c r="BB9" s="992" t="str">
        <f t="shared" ref="BB9:BI9" si="81">BB2</f>
        <v>1Q17</v>
      </c>
      <c r="BC9" s="992" t="str">
        <f t="shared" si="81"/>
        <v>2Q17</v>
      </c>
      <c r="BD9" s="992" t="str">
        <f t="shared" si="81"/>
        <v>3Q17</v>
      </c>
      <c r="BE9" s="992" t="str">
        <f t="shared" si="81"/>
        <v>4Q17</v>
      </c>
      <c r="BF9" s="992" t="str">
        <f t="shared" si="81"/>
        <v>1Q18</v>
      </c>
      <c r="BG9" s="992" t="str">
        <f t="shared" si="81"/>
        <v>2Q18</v>
      </c>
      <c r="BH9" s="992" t="str">
        <f t="shared" si="81"/>
        <v>3Q18</v>
      </c>
      <c r="BI9" s="992" t="str">
        <f t="shared" si="81"/>
        <v>4Q18</v>
      </c>
    </row>
    <row r="10" spans="1:61">
      <c r="A10" s="993" t="s">
        <v>728</v>
      </c>
      <c r="B10" s="994">
        <f t="shared" ref="B10:I10" si="82">B76+B87</f>
        <v>840</v>
      </c>
      <c r="C10" s="994">
        <f t="shared" si="82"/>
        <v>843</v>
      </c>
      <c r="D10" s="994">
        <f t="shared" si="82"/>
        <v>853</v>
      </c>
      <c r="E10" s="994">
        <f t="shared" si="82"/>
        <v>887</v>
      </c>
      <c r="F10" s="994">
        <f t="shared" si="82"/>
        <v>889</v>
      </c>
      <c r="G10" s="994">
        <f t="shared" si="82"/>
        <v>907</v>
      </c>
      <c r="H10" s="994">
        <f t="shared" si="82"/>
        <v>921</v>
      </c>
      <c r="I10" s="994">
        <f t="shared" si="82"/>
        <v>958</v>
      </c>
      <c r="J10" s="994">
        <f t="shared" ref="J10" si="83">J76+J87</f>
        <v>959</v>
      </c>
      <c r="K10" s="994">
        <f t="shared" ref="K10" si="84">K76+K87</f>
        <v>971</v>
      </c>
      <c r="L10" s="994">
        <f t="shared" ref="L10" si="85">L76+L87</f>
        <v>982</v>
      </c>
      <c r="M10" s="994">
        <f t="shared" ref="M10" si="86">M76+M87</f>
        <v>1008</v>
      </c>
      <c r="N10" s="994">
        <f t="shared" ref="N10" si="87">N76+N87</f>
        <v>1012</v>
      </c>
      <c r="O10" s="994">
        <f t="shared" ref="O10" si="88">O76+O87</f>
        <v>1021</v>
      </c>
      <c r="P10" s="994">
        <f t="shared" ref="P10" si="89">P76+P87</f>
        <v>1034</v>
      </c>
      <c r="Q10" s="994">
        <f t="shared" ref="Q10" si="90">Q76+Q87</f>
        <v>1062</v>
      </c>
      <c r="R10" s="994">
        <f t="shared" ref="R10" si="91">R76+R87</f>
        <v>1059</v>
      </c>
      <c r="S10" s="994">
        <f t="shared" ref="S10" si="92">S76+S87</f>
        <v>1065</v>
      </c>
      <c r="T10" s="994">
        <f t="shared" ref="T10" si="93">T76+T87</f>
        <v>1066</v>
      </c>
      <c r="U10" s="994">
        <f t="shared" ref="U10" si="94">U76+U87</f>
        <v>1076</v>
      </c>
      <c r="V10" s="994">
        <f t="shared" ref="V10" si="95">V76+V87</f>
        <v>1067</v>
      </c>
      <c r="W10" s="994">
        <f t="shared" ref="W10" si="96">W76+W87</f>
        <v>1066</v>
      </c>
      <c r="X10" s="994">
        <f t="shared" ref="X10" si="97">X76+X87</f>
        <v>1062</v>
      </c>
      <c r="Y10" s="994">
        <f t="shared" ref="Y10" si="98">Y76+Y87</f>
        <v>1059</v>
      </c>
      <c r="Z10" s="994">
        <f t="shared" ref="Z10:AX10" si="99">Z76+Z87</f>
        <v>1039</v>
      </c>
      <c r="AA10" s="994">
        <f t="shared" si="99"/>
        <v>1035</v>
      </c>
      <c r="AB10" s="994">
        <f t="shared" si="99"/>
        <v>1035</v>
      </c>
      <c r="AC10" s="994">
        <f t="shared" si="99"/>
        <v>1036</v>
      </c>
      <c r="AD10" s="994">
        <f t="shared" si="99"/>
        <v>1027</v>
      </c>
      <c r="AE10" s="994">
        <f t="shared" si="99"/>
        <v>1021</v>
      </c>
      <c r="AF10" s="994">
        <f t="shared" si="99"/>
        <v>1022</v>
      </c>
      <c r="AG10" s="994">
        <f t="shared" si="99"/>
        <v>1022</v>
      </c>
      <c r="AH10" s="994">
        <f t="shared" si="99"/>
        <v>1016</v>
      </c>
      <c r="AI10" s="994">
        <f t="shared" si="99"/>
        <v>1014</v>
      </c>
      <c r="AJ10" s="994">
        <f t="shared" si="99"/>
        <v>1011</v>
      </c>
      <c r="AK10" s="994">
        <f t="shared" si="99"/>
        <v>1014</v>
      </c>
      <c r="AL10" s="994">
        <f t="shared" si="99"/>
        <v>1011</v>
      </c>
      <c r="AM10" s="994">
        <f t="shared" si="99"/>
        <v>1015</v>
      </c>
      <c r="AN10" s="994">
        <f t="shared" si="99"/>
        <v>1013</v>
      </c>
      <c r="AO10" s="994">
        <f t="shared" si="99"/>
        <v>1021</v>
      </c>
      <c r="AP10" s="994">
        <f t="shared" si="99"/>
        <v>1022</v>
      </c>
      <c r="AQ10" s="994">
        <f t="shared" si="99"/>
        <v>1028</v>
      </c>
      <c r="AR10" s="994">
        <f t="shared" si="99"/>
        <v>1034</v>
      </c>
      <c r="AS10" s="994">
        <f t="shared" si="99"/>
        <v>1051</v>
      </c>
      <c r="AT10" s="994">
        <f t="shared" si="99"/>
        <v>1056</v>
      </c>
      <c r="AU10" s="994">
        <f t="shared" si="99"/>
        <v>1060</v>
      </c>
      <c r="AV10" s="994">
        <f t="shared" si="99"/>
        <v>1064</v>
      </c>
      <c r="AW10" s="994">
        <f t="shared" si="99"/>
        <v>1084</v>
      </c>
      <c r="AX10" s="994">
        <f t="shared" si="99"/>
        <v>1095</v>
      </c>
      <c r="AY10" s="994">
        <f t="shared" ref="AY10:AZ10" si="100">AY76+AY87</f>
        <v>1098</v>
      </c>
      <c r="AZ10" s="994">
        <f t="shared" si="100"/>
        <v>1101</v>
      </c>
      <c r="BA10" s="994">
        <f t="shared" ref="BA10:BB10" si="101">BA76+BA87</f>
        <v>1099</v>
      </c>
      <c r="BB10" s="994">
        <f t="shared" si="101"/>
        <v>1056</v>
      </c>
      <c r="BC10" s="994">
        <f t="shared" ref="BC10:BD10" si="102">BC76+BC87</f>
        <v>1060</v>
      </c>
      <c r="BD10" s="994">
        <f t="shared" si="102"/>
        <v>1064</v>
      </c>
      <c r="BE10" s="994">
        <f t="shared" ref="BE10" si="103">BE76+BE87</f>
        <v>1070</v>
      </c>
      <c r="BF10" s="994">
        <f t="shared" ref="BF10:BI10" si="104">BE13</f>
        <v>1080</v>
      </c>
      <c r="BG10" s="994">
        <f t="shared" si="104"/>
        <v>1094</v>
      </c>
      <c r="BH10" s="994">
        <f t="shared" si="104"/>
        <v>1107</v>
      </c>
      <c r="BI10" s="994">
        <f t="shared" si="104"/>
        <v>1120</v>
      </c>
    </row>
    <row r="11" spans="1:61">
      <c r="A11" s="993" t="s">
        <v>727</v>
      </c>
      <c r="B11" s="994">
        <f t="shared" ref="B11:I11" si="105">B77+B88</f>
        <v>6</v>
      </c>
      <c r="C11" s="994">
        <f t="shared" si="105"/>
        <v>13</v>
      </c>
      <c r="D11" s="994">
        <f t="shared" si="105"/>
        <v>38</v>
      </c>
      <c r="E11" s="994">
        <f t="shared" si="105"/>
        <v>11</v>
      </c>
      <c r="F11" s="994">
        <f t="shared" si="105"/>
        <v>23</v>
      </c>
      <c r="G11" s="994">
        <f t="shared" si="105"/>
        <v>19</v>
      </c>
      <c r="H11" s="994">
        <f t="shared" si="105"/>
        <v>43</v>
      </c>
      <c r="I11" s="994">
        <f t="shared" si="105"/>
        <v>8</v>
      </c>
      <c r="J11" s="994">
        <f t="shared" ref="J11" si="106">J77+J88</f>
        <v>13</v>
      </c>
      <c r="K11" s="994">
        <f t="shared" ref="K11" si="107">K77+K88</f>
        <v>17</v>
      </c>
      <c r="L11" s="994">
        <f t="shared" ref="L11" si="108">L77+L88</f>
        <v>31</v>
      </c>
      <c r="M11" s="994">
        <f t="shared" ref="M11" si="109">M77+M88</f>
        <v>8</v>
      </c>
      <c r="N11" s="994">
        <f t="shared" ref="N11" si="110">N77+N88</f>
        <v>11</v>
      </c>
      <c r="O11" s="994">
        <f t="shared" ref="O11" si="111">O77+O88</f>
        <v>17</v>
      </c>
      <c r="P11" s="994">
        <f t="shared" ref="P11" si="112">P77+P88</f>
        <v>74</v>
      </c>
      <c r="Q11" s="994">
        <f t="shared" ref="Q11" si="113">Q77+Q88</f>
        <v>11</v>
      </c>
      <c r="R11" s="994">
        <f t="shared" ref="R11" si="114">R77+R88</f>
        <v>11</v>
      </c>
      <c r="S11" s="994">
        <f t="shared" ref="S11" si="115">S77+S88</f>
        <v>4</v>
      </c>
      <c r="T11" s="994">
        <f t="shared" ref="T11" si="116">T77+T88</f>
        <v>16</v>
      </c>
      <c r="U11" s="994">
        <f t="shared" ref="U11" si="117">U77+U88</f>
        <v>3</v>
      </c>
      <c r="V11" s="994">
        <f t="shared" ref="V11" si="118">V77+V88</f>
        <v>1</v>
      </c>
      <c r="W11" s="994">
        <f t="shared" ref="W11" si="119">W77+W88</f>
        <v>1</v>
      </c>
      <c r="X11" s="994">
        <f t="shared" ref="X11" si="120">X77+X88</f>
        <v>0</v>
      </c>
      <c r="Y11" s="994">
        <f t="shared" ref="Y11" si="121">Y77+Y88</f>
        <v>1</v>
      </c>
      <c r="Z11" s="994">
        <f t="shared" ref="Z11:AX11" si="122">Z77+Z88</f>
        <v>3</v>
      </c>
      <c r="AA11" s="994">
        <f t="shared" si="122"/>
        <v>3</v>
      </c>
      <c r="AB11" s="994">
        <f t="shared" si="122"/>
        <v>5</v>
      </c>
      <c r="AC11" s="994">
        <f t="shared" si="122"/>
        <v>7</v>
      </c>
      <c r="AD11" s="994">
        <f t="shared" si="122"/>
        <v>6</v>
      </c>
      <c r="AE11" s="994">
        <f t="shared" si="122"/>
        <v>6</v>
      </c>
      <c r="AF11" s="994">
        <f t="shared" si="122"/>
        <v>9</v>
      </c>
      <c r="AG11" s="994">
        <f t="shared" si="122"/>
        <v>11</v>
      </c>
      <c r="AH11" s="994">
        <f t="shared" si="122"/>
        <v>6</v>
      </c>
      <c r="AI11" s="994">
        <f t="shared" si="122"/>
        <v>3</v>
      </c>
      <c r="AJ11" s="994">
        <f t="shared" si="122"/>
        <v>9</v>
      </c>
      <c r="AK11" s="994">
        <f t="shared" si="122"/>
        <v>9</v>
      </c>
      <c r="AL11" s="994">
        <f t="shared" si="122"/>
        <v>16</v>
      </c>
      <c r="AM11" s="994">
        <f t="shared" si="122"/>
        <v>5</v>
      </c>
      <c r="AN11" s="994">
        <f t="shared" si="122"/>
        <v>11</v>
      </c>
      <c r="AO11" s="994">
        <f t="shared" si="122"/>
        <v>12</v>
      </c>
      <c r="AP11" s="994">
        <f t="shared" si="122"/>
        <v>12</v>
      </c>
      <c r="AQ11" s="994">
        <f t="shared" si="122"/>
        <v>11</v>
      </c>
      <c r="AR11" s="994">
        <f t="shared" si="122"/>
        <v>22</v>
      </c>
      <c r="AS11" s="994">
        <f t="shared" si="122"/>
        <v>13</v>
      </c>
      <c r="AT11" s="994">
        <f t="shared" si="122"/>
        <v>11</v>
      </c>
      <c r="AU11" s="994">
        <f t="shared" si="122"/>
        <v>8</v>
      </c>
      <c r="AV11" s="994">
        <f t="shared" si="122"/>
        <v>22</v>
      </c>
      <c r="AW11" s="994">
        <f t="shared" si="122"/>
        <v>17</v>
      </c>
      <c r="AX11" s="994">
        <f t="shared" si="122"/>
        <v>6</v>
      </c>
      <c r="AY11" s="994">
        <f t="shared" ref="AY11:AZ11" si="123">AY77+AY88</f>
        <v>6</v>
      </c>
      <c r="AZ11" s="994">
        <f t="shared" si="123"/>
        <v>12</v>
      </c>
      <c r="BA11" s="994">
        <f t="shared" ref="BA11:BB11" si="124">BA77+BA88</f>
        <v>8</v>
      </c>
      <c r="BB11" s="994">
        <f t="shared" si="124"/>
        <v>5</v>
      </c>
      <c r="BC11" s="994">
        <f t="shared" ref="BC11:BD11" si="125">BC77+BC88</f>
        <v>8</v>
      </c>
      <c r="BD11" s="994">
        <f t="shared" si="125"/>
        <v>7</v>
      </c>
      <c r="BE11" s="994">
        <f t="shared" ref="BE11" si="126">BE77+BE88</f>
        <v>13</v>
      </c>
      <c r="BF11" s="1827">
        <v>15</v>
      </c>
      <c r="BG11" s="1827">
        <v>15</v>
      </c>
      <c r="BH11" s="1827">
        <v>15</v>
      </c>
      <c r="BI11" s="1827">
        <v>15</v>
      </c>
    </row>
    <row r="12" spans="1:61">
      <c r="A12" s="995" t="s">
        <v>726</v>
      </c>
      <c r="B12" s="996">
        <f t="shared" ref="B12:I12" si="127">B78+B89</f>
        <v>3</v>
      </c>
      <c r="C12" s="996">
        <f t="shared" si="127"/>
        <v>3</v>
      </c>
      <c r="D12" s="996">
        <f t="shared" si="127"/>
        <v>4</v>
      </c>
      <c r="E12" s="996">
        <f t="shared" si="127"/>
        <v>9</v>
      </c>
      <c r="F12" s="996">
        <f t="shared" si="127"/>
        <v>5</v>
      </c>
      <c r="G12" s="996">
        <f t="shared" si="127"/>
        <v>5</v>
      </c>
      <c r="H12" s="996">
        <f t="shared" si="127"/>
        <v>6</v>
      </c>
      <c r="I12" s="996">
        <f t="shared" si="127"/>
        <v>7</v>
      </c>
      <c r="J12" s="996">
        <f t="shared" ref="J12" si="128">J78+J89</f>
        <v>1</v>
      </c>
      <c r="K12" s="996">
        <f t="shared" ref="K12" si="129">K78+K89</f>
        <v>6</v>
      </c>
      <c r="L12" s="996">
        <f t="shared" ref="L12" si="130">L78+L89</f>
        <v>5</v>
      </c>
      <c r="M12" s="996">
        <f t="shared" ref="M12" si="131">M78+M89</f>
        <v>4</v>
      </c>
      <c r="N12" s="996">
        <f t="shared" ref="N12" si="132">N78+N89</f>
        <v>2</v>
      </c>
      <c r="O12" s="996">
        <f t="shared" ref="O12" si="133">O78+O89</f>
        <v>4</v>
      </c>
      <c r="P12" s="996">
        <f t="shared" ref="P12" si="134">P78+P89</f>
        <v>46</v>
      </c>
      <c r="Q12" s="996">
        <f t="shared" ref="Q12" si="135">Q78+Q89</f>
        <v>14</v>
      </c>
      <c r="R12" s="996">
        <f t="shared" ref="R12" si="136">R78+R89</f>
        <v>5</v>
      </c>
      <c r="S12" s="996">
        <f t="shared" ref="S12" si="137">S78+S89</f>
        <v>3</v>
      </c>
      <c r="T12" s="996">
        <f t="shared" ref="T12" si="138">T78+T89</f>
        <v>6</v>
      </c>
      <c r="U12" s="996">
        <f t="shared" ref="U12" si="139">U78+U89</f>
        <v>12</v>
      </c>
      <c r="V12" s="996">
        <f t="shared" ref="V12" si="140">V78+V89</f>
        <v>2</v>
      </c>
      <c r="W12" s="996">
        <f t="shared" ref="W12" si="141">W78+W89</f>
        <v>5</v>
      </c>
      <c r="X12" s="996">
        <f t="shared" ref="X12" si="142">X78+X89</f>
        <v>3</v>
      </c>
      <c r="Y12" s="996">
        <f t="shared" ref="Y12" si="143">Y78+Y89</f>
        <v>21</v>
      </c>
      <c r="Z12" s="996">
        <f t="shared" ref="Z12:AX12" si="144">Z78+Z89</f>
        <v>7</v>
      </c>
      <c r="AA12" s="996">
        <f t="shared" si="144"/>
        <v>3</v>
      </c>
      <c r="AB12" s="996">
        <f t="shared" si="144"/>
        <v>4</v>
      </c>
      <c r="AC12" s="996">
        <f t="shared" si="144"/>
        <v>16</v>
      </c>
      <c r="AD12" s="996">
        <f t="shared" si="144"/>
        <v>12</v>
      </c>
      <c r="AE12" s="996">
        <f t="shared" si="144"/>
        <v>5</v>
      </c>
      <c r="AF12" s="996">
        <f t="shared" si="144"/>
        <v>9</v>
      </c>
      <c r="AG12" s="996">
        <f t="shared" si="144"/>
        <v>17</v>
      </c>
      <c r="AH12" s="996">
        <f t="shared" si="144"/>
        <v>8</v>
      </c>
      <c r="AI12" s="996">
        <f t="shared" si="144"/>
        <v>6</v>
      </c>
      <c r="AJ12" s="996">
        <f t="shared" si="144"/>
        <v>6</v>
      </c>
      <c r="AK12" s="996">
        <f t="shared" si="144"/>
        <v>12</v>
      </c>
      <c r="AL12" s="996">
        <f t="shared" si="144"/>
        <v>12</v>
      </c>
      <c r="AM12" s="996">
        <f t="shared" si="144"/>
        <v>7</v>
      </c>
      <c r="AN12" s="996">
        <f t="shared" si="144"/>
        <v>3</v>
      </c>
      <c r="AO12" s="996">
        <f t="shared" si="144"/>
        <v>11</v>
      </c>
      <c r="AP12" s="996">
        <f t="shared" si="144"/>
        <v>6</v>
      </c>
      <c r="AQ12" s="996">
        <f t="shared" si="144"/>
        <v>5</v>
      </c>
      <c r="AR12" s="996">
        <f t="shared" si="144"/>
        <v>5</v>
      </c>
      <c r="AS12" s="996">
        <f t="shared" si="144"/>
        <v>8</v>
      </c>
      <c r="AT12" s="996">
        <f t="shared" si="144"/>
        <v>7</v>
      </c>
      <c r="AU12" s="996">
        <f t="shared" si="144"/>
        <v>4</v>
      </c>
      <c r="AV12" s="996">
        <f t="shared" si="144"/>
        <v>2</v>
      </c>
      <c r="AW12" s="996">
        <f t="shared" si="144"/>
        <v>6</v>
      </c>
      <c r="AX12" s="996">
        <f t="shared" si="144"/>
        <v>3</v>
      </c>
      <c r="AY12" s="996">
        <f t="shared" ref="AY12:AZ12" si="145">AY78+AY89</f>
        <v>3</v>
      </c>
      <c r="AZ12" s="996">
        <f t="shared" si="145"/>
        <v>14</v>
      </c>
      <c r="BA12" s="996">
        <f t="shared" ref="BA12:BB12" si="146">BA78+BA89</f>
        <v>51</v>
      </c>
      <c r="BB12" s="996">
        <f t="shared" si="146"/>
        <v>1</v>
      </c>
      <c r="BC12" s="996">
        <f t="shared" ref="BC12:BD12" si="147">BC78+BC89</f>
        <v>4</v>
      </c>
      <c r="BD12" s="996">
        <f t="shared" si="147"/>
        <v>1</v>
      </c>
      <c r="BE12" s="996">
        <f t="shared" ref="BE12" si="148">BE78+BE89</f>
        <v>3</v>
      </c>
      <c r="BF12" s="1828">
        <v>1</v>
      </c>
      <c r="BG12" s="1828">
        <v>2</v>
      </c>
      <c r="BH12" s="1828">
        <v>2</v>
      </c>
      <c r="BI12" s="1828">
        <v>5</v>
      </c>
    </row>
    <row r="13" spans="1:61">
      <c r="A13" s="997" t="s">
        <v>725</v>
      </c>
      <c r="B13" s="998">
        <f t="shared" ref="B13:Z13" si="149">B10+B11-B12</f>
        <v>843</v>
      </c>
      <c r="C13" s="998">
        <f t="shared" si="149"/>
        <v>853</v>
      </c>
      <c r="D13" s="998">
        <f t="shared" si="149"/>
        <v>887</v>
      </c>
      <c r="E13" s="998">
        <f t="shared" si="149"/>
        <v>889</v>
      </c>
      <c r="F13" s="998">
        <f t="shared" si="149"/>
        <v>907</v>
      </c>
      <c r="G13" s="998">
        <f t="shared" si="149"/>
        <v>921</v>
      </c>
      <c r="H13" s="998">
        <f t="shared" si="149"/>
        <v>958</v>
      </c>
      <c r="I13" s="998">
        <f t="shared" si="149"/>
        <v>959</v>
      </c>
      <c r="J13" s="998">
        <f t="shared" si="149"/>
        <v>971</v>
      </c>
      <c r="K13" s="998">
        <f t="shared" si="149"/>
        <v>982</v>
      </c>
      <c r="L13" s="998">
        <f t="shared" si="149"/>
        <v>1008</v>
      </c>
      <c r="M13" s="998">
        <f t="shared" si="149"/>
        <v>1012</v>
      </c>
      <c r="N13" s="998">
        <f t="shared" si="149"/>
        <v>1021</v>
      </c>
      <c r="O13" s="998">
        <f t="shared" si="149"/>
        <v>1034</v>
      </c>
      <c r="P13" s="998">
        <f t="shared" si="149"/>
        <v>1062</v>
      </c>
      <c r="Q13" s="998">
        <f t="shared" si="149"/>
        <v>1059</v>
      </c>
      <c r="R13" s="998">
        <f t="shared" si="149"/>
        <v>1065</v>
      </c>
      <c r="S13" s="998">
        <f t="shared" si="149"/>
        <v>1066</v>
      </c>
      <c r="T13" s="998">
        <f t="shared" si="149"/>
        <v>1076</v>
      </c>
      <c r="U13" s="998">
        <f t="shared" si="149"/>
        <v>1067</v>
      </c>
      <c r="V13" s="998">
        <f t="shared" si="149"/>
        <v>1066</v>
      </c>
      <c r="W13" s="998">
        <f t="shared" si="149"/>
        <v>1062</v>
      </c>
      <c r="X13" s="998">
        <f t="shared" si="149"/>
        <v>1059</v>
      </c>
      <c r="Y13" s="998">
        <f t="shared" si="149"/>
        <v>1039</v>
      </c>
      <c r="Z13" s="998">
        <f t="shared" si="149"/>
        <v>1035</v>
      </c>
      <c r="AA13" s="998">
        <f t="shared" ref="AA13:AX13" si="150">AA10+AA11-AA12</f>
        <v>1035</v>
      </c>
      <c r="AB13" s="998">
        <f t="shared" si="150"/>
        <v>1036</v>
      </c>
      <c r="AC13" s="998">
        <f t="shared" si="150"/>
        <v>1027</v>
      </c>
      <c r="AD13" s="998">
        <f t="shared" si="150"/>
        <v>1021</v>
      </c>
      <c r="AE13" s="998">
        <f t="shared" si="150"/>
        <v>1022</v>
      </c>
      <c r="AF13" s="998">
        <f t="shared" si="150"/>
        <v>1022</v>
      </c>
      <c r="AG13" s="998">
        <f t="shared" si="150"/>
        <v>1016</v>
      </c>
      <c r="AH13" s="998">
        <f t="shared" si="150"/>
        <v>1014</v>
      </c>
      <c r="AI13" s="998">
        <f t="shared" si="150"/>
        <v>1011</v>
      </c>
      <c r="AJ13" s="998">
        <f t="shared" si="150"/>
        <v>1014</v>
      </c>
      <c r="AK13" s="998">
        <f t="shared" si="150"/>
        <v>1011</v>
      </c>
      <c r="AL13" s="998">
        <f t="shared" si="150"/>
        <v>1015</v>
      </c>
      <c r="AM13" s="998">
        <f t="shared" si="150"/>
        <v>1013</v>
      </c>
      <c r="AN13" s="998">
        <f t="shared" si="150"/>
        <v>1021</v>
      </c>
      <c r="AO13" s="998">
        <f t="shared" si="150"/>
        <v>1022</v>
      </c>
      <c r="AP13" s="998">
        <f t="shared" si="150"/>
        <v>1028</v>
      </c>
      <c r="AQ13" s="998">
        <f t="shared" si="150"/>
        <v>1034</v>
      </c>
      <c r="AR13" s="998">
        <f t="shared" si="150"/>
        <v>1051</v>
      </c>
      <c r="AS13" s="998">
        <f t="shared" si="150"/>
        <v>1056</v>
      </c>
      <c r="AT13" s="998">
        <f t="shared" si="150"/>
        <v>1060</v>
      </c>
      <c r="AU13" s="998">
        <f t="shared" si="150"/>
        <v>1064</v>
      </c>
      <c r="AV13" s="998">
        <f t="shared" si="150"/>
        <v>1084</v>
      </c>
      <c r="AW13" s="998">
        <f t="shared" si="150"/>
        <v>1095</v>
      </c>
      <c r="AX13" s="998">
        <f t="shared" si="150"/>
        <v>1098</v>
      </c>
      <c r="AY13" s="998">
        <f t="shared" ref="AY13:AZ13" si="151">AY10+AY11-AY12</f>
        <v>1101</v>
      </c>
      <c r="AZ13" s="998">
        <f t="shared" si="151"/>
        <v>1099</v>
      </c>
      <c r="BA13" s="998">
        <f t="shared" ref="BA13:BB13" si="152">BA10+BA11-BA12</f>
        <v>1056</v>
      </c>
      <c r="BB13" s="998">
        <f t="shared" si="152"/>
        <v>1060</v>
      </c>
      <c r="BC13" s="998">
        <f t="shared" ref="BC13:BD13" si="153">BC10+BC11-BC12</f>
        <v>1064</v>
      </c>
      <c r="BD13" s="998">
        <f t="shared" si="153"/>
        <v>1070</v>
      </c>
      <c r="BE13" s="998">
        <f t="shared" ref="BE13" si="154">BE10+BE11-BE12</f>
        <v>1080</v>
      </c>
      <c r="BF13" s="998">
        <f t="shared" ref="BF13:BI13" si="155">BF10+BF11-BF12</f>
        <v>1094</v>
      </c>
      <c r="BG13" s="998">
        <f t="shared" si="155"/>
        <v>1107</v>
      </c>
      <c r="BH13" s="998">
        <f t="shared" si="155"/>
        <v>1120</v>
      </c>
      <c r="BI13" s="998">
        <f t="shared" si="155"/>
        <v>1130</v>
      </c>
    </row>
    <row r="14" spans="1:61">
      <c r="A14" s="999" t="s">
        <v>737</v>
      </c>
      <c r="B14" s="999"/>
      <c r="C14" s="999"/>
      <c r="D14" s="999"/>
      <c r="E14" s="999"/>
      <c r="F14" s="999"/>
      <c r="G14" s="999"/>
      <c r="H14" s="999"/>
      <c r="I14" s="999"/>
      <c r="J14" s="999"/>
      <c r="K14" s="999"/>
      <c r="L14" s="999"/>
      <c r="M14" s="999"/>
      <c r="N14" s="999"/>
      <c r="O14" s="999"/>
      <c r="P14" s="999"/>
      <c r="Q14" s="999"/>
      <c r="R14" s="999"/>
      <c r="S14" s="999"/>
      <c r="T14" s="999"/>
      <c r="U14" s="999"/>
      <c r="V14" s="999"/>
      <c r="W14" s="999"/>
      <c r="X14" s="999"/>
      <c r="Y14" s="999"/>
      <c r="Z14" s="999"/>
      <c r="AA14" s="999"/>
      <c r="AB14" s="999"/>
      <c r="AC14" s="999"/>
      <c r="AD14" s="1000">
        <f t="shared" ref="AD14:BI14" si="156">AD13/Z13-1</f>
        <v>-1.352657004830915E-2</v>
      </c>
      <c r="AE14" s="1000">
        <f t="shared" si="156"/>
        <v>-1.2560386473429941E-2</v>
      </c>
      <c r="AF14" s="1000">
        <f t="shared" si="156"/>
        <v>-1.3513513513513487E-2</v>
      </c>
      <c r="AG14" s="1000">
        <f t="shared" si="156"/>
        <v>-1.071080817916259E-2</v>
      </c>
      <c r="AH14" s="1000">
        <f t="shared" si="156"/>
        <v>-6.8560235063662711E-3</v>
      </c>
      <c r="AI14" s="1000">
        <f t="shared" si="156"/>
        <v>-1.0763209393346407E-2</v>
      </c>
      <c r="AJ14" s="1000">
        <f t="shared" si="156"/>
        <v>-7.8277886497064575E-3</v>
      </c>
      <c r="AK14" s="1000">
        <f t="shared" si="156"/>
        <v>-4.9212598425196763E-3</v>
      </c>
      <c r="AL14" s="1000">
        <f t="shared" si="156"/>
        <v>9.8619329388549559E-4</v>
      </c>
      <c r="AM14" s="1000">
        <f t="shared" si="156"/>
        <v>1.9782393669633969E-3</v>
      </c>
      <c r="AN14" s="1000">
        <f t="shared" si="156"/>
        <v>6.9033530571991353E-3</v>
      </c>
      <c r="AO14" s="1000">
        <f t="shared" si="156"/>
        <v>1.0880316518298683E-2</v>
      </c>
      <c r="AP14" s="1000">
        <f t="shared" si="156"/>
        <v>1.2807881773398977E-2</v>
      </c>
      <c r="AQ14" s="1000">
        <f t="shared" si="156"/>
        <v>2.0730503455083982E-2</v>
      </c>
      <c r="AR14" s="1000">
        <f t="shared" si="156"/>
        <v>2.938295788442713E-2</v>
      </c>
      <c r="AS14" s="1000">
        <f t="shared" si="156"/>
        <v>3.3268101761252389E-2</v>
      </c>
      <c r="AT14" s="1000">
        <f t="shared" si="156"/>
        <v>3.112840466926059E-2</v>
      </c>
      <c r="AU14" s="1000">
        <f t="shared" si="156"/>
        <v>2.9013539651837617E-2</v>
      </c>
      <c r="AV14" s="1000">
        <f t="shared" si="156"/>
        <v>3.1398667935299773E-2</v>
      </c>
      <c r="AW14" s="1000">
        <f t="shared" si="156"/>
        <v>3.6931818181818121E-2</v>
      </c>
      <c r="AX14" s="1000">
        <f t="shared" si="156"/>
        <v>3.5849056603773688E-2</v>
      </c>
      <c r="AY14" s="1000">
        <f t="shared" si="156"/>
        <v>3.4774436090225569E-2</v>
      </c>
      <c r="AZ14" s="1000">
        <f t="shared" si="156"/>
        <v>1.3837638376383854E-2</v>
      </c>
      <c r="BA14" s="1000">
        <f t="shared" si="156"/>
        <v>-3.5616438356164348E-2</v>
      </c>
      <c r="BB14" s="1000">
        <f t="shared" si="156"/>
        <v>-3.4608378870673917E-2</v>
      </c>
      <c r="BC14" s="1000">
        <f t="shared" si="156"/>
        <v>-3.3605812897366083E-2</v>
      </c>
      <c r="BD14" s="1000">
        <f t="shared" si="156"/>
        <v>-2.638762511373971E-2</v>
      </c>
      <c r="BE14" s="1000">
        <f t="shared" si="156"/>
        <v>2.2727272727272707E-2</v>
      </c>
      <c r="BF14" s="1000">
        <f t="shared" si="156"/>
        <v>3.2075471698113311E-2</v>
      </c>
      <c r="BG14" s="1000">
        <f t="shared" si="156"/>
        <v>4.0413533834586568E-2</v>
      </c>
      <c r="BH14" s="1000">
        <f t="shared" si="156"/>
        <v>4.6728971962616717E-2</v>
      </c>
      <c r="BI14" s="1000">
        <f t="shared" si="156"/>
        <v>4.629629629629628E-2</v>
      </c>
    </row>
    <row r="17" spans="1:61">
      <c r="A17" s="991" t="s">
        <v>738</v>
      </c>
      <c r="B17" s="992" t="str">
        <f t="shared" ref="B17:I17" si="157">B9</f>
        <v>1Q04</v>
      </c>
      <c r="C17" s="992" t="str">
        <f t="shared" si="157"/>
        <v>2Q04</v>
      </c>
      <c r="D17" s="992" t="str">
        <f t="shared" si="157"/>
        <v>3Q04</v>
      </c>
      <c r="E17" s="992" t="str">
        <f t="shared" si="157"/>
        <v>4Q04</v>
      </c>
      <c r="F17" s="992" t="str">
        <f t="shared" si="157"/>
        <v>1Q05</v>
      </c>
      <c r="G17" s="992" t="str">
        <f t="shared" si="157"/>
        <v>2Q05</v>
      </c>
      <c r="H17" s="992" t="str">
        <f t="shared" si="157"/>
        <v>3Q05</v>
      </c>
      <c r="I17" s="992" t="str">
        <f t="shared" si="157"/>
        <v>4Q05</v>
      </c>
      <c r="J17" s="992" t="str">
        <f t="shared" ref="J17" si="158">J9</f>
        <v>1Q06</v>
      </c>
      <c r="K17" s="992" t="str">
        <f t="shared" ref="K17" si="159">K9</f>
        <v>2Q06</v>
      </c>
      <c r="L17" s="992" t="str">
        <f t="shared" ref="L17" si="160">L9</f>
        <v>3Q06</v>
      </c>
      <c r="M17" s="992" t="str">
        <f t="shared" ref="M17" si="161">M9</f>
        <v>4Q06</v>
      </c>
      <c r="N17" s="992" t="str">
        <f t="shared" ref="N17" si="162">N9</f>
        <v>1Q07</v>
      </c>
      <c r="O17" s="992" t="str">
        <f t="shared" ref="O17" si="163">O9</f>
        <v>2Q07</v>
      </c>
      <c r="P17" s="992" t="str">
        <f t="shared" ref="P17" si="164">P9</f>
        <v>3Q07</v>
      </c>
      <c r="Q17" s="992" t="str">
        <f t="shared" ref="Q17" si="165">Q9</f>
        <v>4Q07</v>
      </c>
      <c r="R17" s="992" t="str">
        <f t="shared" ref="R17" si="166">R9</f>
        <v>1Q08</v>
      </c>
      <c r="S17" s="992" t="str">
        <f t="shared" ref="S17" si="167">S9</f>
        <v>2Q08</v>
      </c>
      <c r="T17" s="992" t="str">
        <f t="shared" ref="T17" si="168">T9</f>
        <v>3Q08</v>
      </c>
      <c r="U17" s="992" t="str">
        <f t="shared" ref="U17" si="169">U9</f>
        <v>4Q08</v>
      </c>
      <c r="V17" s="992" t="str">
        <f t="shared" ref="V17" si="170">V9</f>
        <v>1Q09</v>
      </c>
      <c r="W17" s="992" t="str">
        <f t="shared" ref="W17" si="171">W9</f>
        <v>2Q09</v>
      </c>
      <c r="X17" s="992" t="str">
        <f t="shared" ref="X17" si="172">X9</f>
        <v>3Q09</v>
      </c>
      <c r="Y17" s="992" t="str">
        <f t="shared" ref="Y17" si="173">Y9</f>
        <v>4Q09</v>
      </c>
      <c r="Z17" s="992" t="str">
        <f t="shared" ref="Z17:AW17" si="174">Z9</f>
        <v>1Q10</v>
      </c>
      <c r="AA17" s="992" t="str">
        <f t="shared" si="174"/>
        <v>2Q10</v>
      </c>
      <c r="AB17" s="992" t="str">
        <f t="shared" si="174"/>
        <v>3Q10</v>
      </c>
      <c r="AC17" s="992" t="str">
        <f t="shared" si="174"/>
        <v>4Q10</v>
      </c>
      <c r="AD17" s="992" t="str">
        <f t="shared" si="174"/>
        <v>1Q11</v>
      </c>
      <c r="AE17" s="992" t="str">
        <f t="shared" si="174"/>
        <v>2Q11</v>
      </c>
      <c r="AF17" s="992" t="str">
        <f t="shared" si="174"/>
        <v>3Q11</v>
      </c>
      <c r="AG17" s="992" t="str">
        <f t="shared" si="174"/>
        <v>4Q11</v>
      </c>
      <c r="AH17" s="992" t="str">
        <f t="shared" si="174"/>
        <v>1Q12</v>
      </c>
      <c r="AI17" s="992" t="str">
        <f t="shared" si="174"/>
        <v>2Q12</v>
      </c>
      <c r="AJ17" s="992" t="str">
        <f t="shared" si="174"/>
        <v>3Q12</v>
      </c>
      <c r="AK17" s="992" t="str">
        <f t="shared" si="174"/>
        <v>4Q12</v>
      </c>
      <c r="AL17" s="992" t="str">
        <f t="shared" si="174"/>
        <v>1Q13</v>
      </c>
      <c r="AM17" s="992" t="str">
        <f t="shared" si="174"/>
        <v>2Q13</v>
      </c>
      <c r="AN17" s="992" t="str">
        <f t="shared" si="174"/>
        <v>3Q13</v>
      </c>
      <c r="AO17" s="992" t="str">
        <f t="shared" si="174"/>
        <v>4Q13</v>
      </c>
      <c r="AP17" s="992" t="str">
        <f t="shared" si="174"/>
        <v>1Q14</v>
      </c>
      <c r="AQ17" s="992" t="str">
        <f t="shared" si="174"/>
        <v>2Q14</v>
      </c>
      <c r="AR17" s="992" t="str">
        <f t="shared" si="174"/>
        <v>3Q14</v>
      </c>
      <c r="AS17" s="992" t="str">
        <f t="shared" si="174"/>
        <v>4Q14</v>
      </c>
      <c r="AT17" s="992" t="str">
        <f t="shared" si="174"/>
        <v>1Q15</v>
      </c>
      <c r="AU17" s="992" t="str">
        <f t="shared" si="174"/>
        <v>2Q15</v>
      </c>
      <c r="AV17" s="992" t="str">
        <f t="shared" si="174"/>
        <v>3Q15</v>
      </c>
      <c r="AW17" s="992" t="str">
        <f t="shared" si="174"/>
        <v>4Q15</v>
      </c>
      <c r="AX17" s="992" t="str">
        <f>AX9</f>
        <v>1Q16</v>
      </c>
      <c r="AY17" s="992" t="str">
        <f>AY9</f>
        <v>2Q16</v>
      </c>
      <c r="AZ17" s="992" t="s">
        <v>704</v>
      </c>
      <c r="BA17" s="992" t="s">
        <v>705</v>
      </c>
      <c r="BB17" s="992" t="str">
        <f t="shared" ref="BB17:BI17" si="175">BB9</f>
        <v>1Q17</v>
      </c>
      <c r="BC17" s="992" t="str">
        <f t="shared" si="175"/>
        <v>2Q17</v>
      </c>
      <c r="BD17" s="992" t="str">
        <f t="shared" si="175"/>
        <v>3Q17</v>
      </c>
      <c r="BE17" s="992" t="str">
        <f t="shared" si="175"/>
        <v>4Q17</v>
      </c>
      <c r="BF17" s="992" t="str">
        <f t="shared" si="175"/>
        <v>1Q18</v>
      </c>
      <c r="BG17" s="992" t="str">
        <f t="shared" si="175"/>
        <v>2Q18</v>
      </c>
      <c r="BH17" s="992" t="str">
        <f t="shared" si="175"/>
        <v>3Q18</v>
      </c>
      <c r="BI17" s="992" t="str">
        <f t="shared" si="175"/>
        <v>4Q18</v>
      </c>
    </row>
    <row r="18" spans="1:61">
      <c r="A18" s="993" t="s">
        <v>728</v>
      </c>
      <c r="B18" s="994">
        <f t="shared" ref="B18:I18" si="176">B98+B109+B120</f>
        <v>435</v>
      </c>
      <c r="C18" s="994">
        <f t="shared" si="176"/>
        <v>438</v>
      </c>
      <c r="D18" s="994">
        <f t="shared" si="176"/>
        <v>447</v>
      </c>
      <c r="E18" s="994">
        <f t="shared" si="176"/>
        <v>459</v>
      </c>
      <c r="F18" s="994">
        <f t="shared" si="176"/>
        <v>462</v>
      </c>
      <c r="G18" s="994">
        <f t="shared" si="176"/>
        <v>462</v>
      </c>
      <c r="H18" s="994">
        <f t="shared" si="176"/>
        <v>473</v>
      </c>
      <c r="I18" s="994">
        <f t="shared" si="176"/>
        <v>499</v>
      </c>
      <c r="J18" s="994">
        <f t="shared" ref="J18" si="177">J98+J109+J120</f>
        <v>498</v>
      </c>
      <c r="K18" s="994">
        <f t="shared" ref="K18" si="178">K98+K109+K120</f>
        <v>504</v>
      </c>
      <c r="L18" s="994">
        <f t="shared" ref="L18" si="179">L98+L109+L120</f>
        <v>511</v>
      </c>
      <c r="M18" s="994">
        <f t="shared" ref="M18" si="180">M98+M109+M120</f>
        <v>527</v>
      </c>
      <c r="N18" s="994">
        <f t="shared" ref="N18" si="181">N98+N109+N120</f>
        <v>534</v>
      </c>
      <c r="O18" s="994">
        <f t="shared" ref="O18" si="182">O98+O109+O120</f>
        <v>543</v>
      </c>
      <c r="P18" s="994">
        <f t="shared" ref="P18" si="183">P98+P109+P120</f>
        <v>551</v>
      </c>
      <c r="Q18" s="994">
        <f t="shared" ref="Q18" si="184">Q98+Q109+Q120</f>
        <v>570</v>
      </c>
      <c r="R18" s="994">
        <f t="shared" ref="R18" si="185">R98+R109+R120</f>
        <v>576</v>
      </c>
      <c r="S18" s="994">
        <f t="shared" ref="S18" si="186">S98+S109+S120</f>
        <v>584</v>
      </c>
      <c r="T18" s="994">
        <f t="shared" ref="T18" si="187">T98+T109+T120</f>
        <v>594</v>
      </c>
      <c r="U18" s="994">
        <f t="shared" ref="U18" si="188">U98+U109+U120</f>
        <v>602</v>
      </c>
      <c r="V18" s="994">
        <f t="shared" ref="V18" si="189">V98+V109+V120</f>
        <v>603</v>
      </c>
      <c r="W18" s="994">
        <f t="shared" ref="W18" si="190">W98+W109+W120</f>
        <v>605</v>
      </c>
      <c r="X18" s="994">
        <f t="shared" ref="X18" si="191">X98+X109+X120</f>
        <v>609</v>
      </c>
      <c r="Y18" s="994">
        <f t="shared" ref="Y18" si="192">Y98+Y109+Y120</f>
        <v>611</v>
      </c>
      <c r="Z18" s="994">
        <f t="shared" ref="Z18:AX18" si="193">Z98+Z109+Z120</f>
        <v>606</v>
      </c>
      <c r="AA18" s="994">
        <f t="shared" si="193"/>
        <v>606</v>
      </c>
      <c r="AB18" s="994">
        <f t="shared" si="193"/>
        <v>606</v>
      </c>
      <c r="AC18" s="994">
        <f t="shared" si="193"/>
        <v>609</v>
      </c>
      <c r="AD18" s="994">
        <f t="shared" si="193"/>
        <v>610</v>
      </c>
      <c r="AE18" s="994">
        <f t="shared" si="193"/>
        <v>611</v>
      </c>
      <c r="AF18" s="994">
        <f t="shared" si="193"/>
        <v>613</v>
      </c>
      <c r="AG18" s="994">
        <f t="shared" si="193"/>
        <v>621</v>
      </c>
      <c r="AH18" s="994">
        <f t="shared" si="193"/>
        <v>622</v>
      </c>
      <c r="AI18" s="994">
        <f t="shared" si="193"/>
        <v>626</v>
      </c>
      <c r="AJ18" s="994">
        <f t="shared" si="193"/>
        <v>629</v>
      </c>
      <c r="AK18" s="994">
        <f t="shared" si="193"/>
        <v>636</v>
      </c>
      <c r="AL18" s="994">
        <f t="shared" si="193"/>
        <v>638</v>
      </c>
      <c r="AM18" s="994">
        <f t="shared" si="193"/>
        <v>640</v>
      </c>
      <c r="AN18" s="994">
        <f t="shared" si="193"/>
        <v>645</v>
      </c>
      <c r="AO18" s="994">
        <f t="shared" si="193"/>
        <v>650</v>
      </c>
      <c r="AP18" s="994">
        <f t="shared" si="193"/>
        <v>650</v>
      </c>
      <c r="AQ18" s="994">
        <f t="shared" si="193"/>
        <v>655</v>
      </c>
      <c r="AR18" s="994">
        <f t="shared" si="193"/>
        <v>656</v>
      </c>
      <c r="AS18" s="994">
        <f t="shared" si="193"/>
        <v>666</v>
      </c>
      <c r="AT18" s="994">
        <f t="shared" si="193"/>
        <v>665</v>
      </c>
      <c r="AU18" s="994">
        <f t="shared" si="193"/>
        <v>669</v>
      </c>
      <c r="AV18" s="994">
        <f t="shared" si="193"/>
        <v>673</v>
      </c>
      <c r="AW18" s="994">
        <f t="shared" si="193"/>
        <v>679</v>
      </c>
      <c r="AX18" s="994">
        <f t="shared" si="193"/>
        <v>673</v>
      </c>
      <c r="AY18" s="994">
        <f t="shared" ref="AY18:AZ18" si="194">AY98+AY109+AY120</f>
        <v>668</v>
      </c>
      <c r="AZ18" s="994">
        <f t="shared" si="194"/>
        <v>669</v>
      </c>
      <c r="BA18" s="994">
        <f t="shared" ref="BA18:BB18" si="195">BA98+BA109+BA120</f>
        <v>671</v>
      </c>
      <c r="BB18" s="994">
        <f t="shared" si="195"/>
        <v>650</v>
      </c>
      <c r="BC18" s="994">
        <f t="shared" ref="BC18" si="196">BC98+BC109+BC120</f>
        <v>646</v>
      </c>
      <c r="BD18" s="994">
        <f>BD98+BD109+BD120</f>
        <v>644</v>
      </c>
      <c r="BE18" s="994">
        <f>BE98+BE109+BE120</f>
        <v>644</v>
      </c>
      <c r="BF18" s="994">
        <f t="shared" ref="BF18:BI18" si="197">BE21</f>
        <v>621</v>
      </c>
      <c r="BG18" s="994">
        <f t="shared" si="197"/>
        <v>614</v>
      </c>
      <c r="BH18" s="994">
        <f t="shared" si="197"/>
        <v>605</v>
      </c>
      <c r="BI18" s="994">
        <f t="shared" si="197"/>
        <v>588</v>
      </c>
    </row>
    <row r="19" spans="1:61">
      <c r="A19" s="993" t="s">
        <v>727</v>
      </c>
      <c r="B19" s="994">
        <f t="shared" ref="B19:I19" si="198">B99+B110+B121</f>
        <v>3</v>
      </c>
      <c r="C19" s="994">
        <f t="shared" si="198"/>
        <v>11</v>
      </c>
      <c r="D19" s="994">
        <f t="shared" si="198"/>
        <v>13</v>
      </c>
      <c r="E19" s="994">
        <f t="shared" si="198"/>
        <v>5</v>
      </c>
      <c r="F19" s="994">
        <f t="shared" si="198"/>
        <v>2</v>
      </c>
      <c r="G19" s="994">
        <f t="shared" si="198"/>
        <v>11</v>
      </c>
      <c r="H19" s="994">
        <f t="shared" si="198"/>
        <v>26</v>
      </c>
      <c r="I19" s="994">
        <f t="shared" si="198"/>
        <v>3</v>
      </c>
      <c r="J19" s="994">
        <f t="shared" ref="J19" si="199">J99+J110+J121</f>
        <v>7</v>
      </c>
      <c r="K19" s="994">
        <f t="shared" ref="K19" si="200">K99+K110+K121</f>
        <v>9</v>
      </c>
      <c r="L19" s="994">
        <f t="shared" ref="L19" si="201">L99+L110+L121</f>
        <v>19</v>
      </c>
      <c r="M19" s="994">
        <f t="shared" ref="M19" si="202">M99+M110+M121</f>
        <v>11</v>
      </c>
      <c r="N19" s="994">
        <f t="shared" ref="N19" si="203">N99+N110+N121</f>
        <v>12</v>
      </c>
      <c r="O19" s="994">
        <f t="shared" ref="O19" si="204">O99+O110+O121</f>
        <v>9</v>
      </c>
      <c r="P19" s="994">
        <f t="shared" ref="P19" si="205">P99+P110+P121</f>
        <v>22</v>
      </c>
      <c r="Q19" s="994">
        <f t="shared" ref="Q19" si="206">Q99+Q110+Q121</f>
        <v>8</v>
      </c>
      <c r="R19" s="994">
        <f t="shared" ref="R19" si="207">R99+R110+R121</f>
        <v>11</v>
      </c>
      <c r="S19" s="994">
        <f t="shared" ref="S19" si="208">S99+S110+S121</f>
        <v>13</v>
      </c>
      <c r="T19" s="994">
        <f t="shared" ref="T19" si="209">T99+T110+T121</f>
        <v>9</v>
      </c>
      <c r="U19" s="994">
        <f t="shared" ref="U19" si="210">U99+U110+U121</f>
        <v>4</v>
      </c>
      <c r="V19" s="994">
        <f t="shared" ref="V19" si="211">V99+V110+V121</f>
        <v>3</v>
      </c>
      <c r="W19" s="994">
        <f t="shared" ref="W19" si="212">W99+W110+W121</f>
        <v>5</v>
      </c>
      <c r="X19" s="994">
        <f t="shared" ref="X19" si="213">X99+X110+X121</f>
        <v>4</v>
      </c>
      <c r="Y19" s="994">
        <f t="shared" ref="Y19" si="214">Y99+Y110+Y121</f>
        <v>3</v>
      </c>
      <c r="Z19" s="994">
        <f t="shared" ref="Z19:AX19" si="215">Z99+Z110+Z121</f>
        <v>1</v>
      </c>
      <c r="AA19" s="994">
        <f t="shared" si="215"/>
        <v>0</v>
      </c>
      <c r="AB19" s="994">
        <f t="shared" si="215"/>
        <v>6</v>
      </c>
      <c r="AC19" s="994">
        <f t="shared" si="215"/>
        <v>4</v>
      </c>
      <c r="AD19" s="994">
        <f t="shared" si="215"/>
        <v>2</v>
      </c>
      <c r="AE19" s="994">
        <f t="shared" si="215"/>
        <v>3</v>
      </c>
      <c r="AF19" s="994">
        <f t="shared" si="215"/>
        <v>11</v>
      </c>
      <c r="AG19" s="994">
        <f t="shared" si="215"/>
        <v>6</v>
      </c>
      <c r="AH19" s="994">
        <f t="shared" si="215"/>
        <v>9</v>
      </c>
      <c r="AI19" s="994">
        <f t="shared" si="215"/>
        <v>5</v>
      </c>
      <c r="AJ19" s="994">
        <f t="shared" si="215"/>
        <v>9</v>
      </c>
      <c r="AK19" s="994">
        <f t="shared" si="215"/>
        <v>8</v>
      </c>
      <c r="AL19" s="994">
        <f t="shared" si="215"/>
        <v>5</v>
      </c>
      <c r="AM19" s="994">
        <f t="shared" si="215"/>
        <v>6</v>
      </c>
      <c r="AN19" s="994">
        <f t="shared" si="215"/>
        <v>8</v>
      </c>
      <c r="AO19" s="994">
        <f t="shared" si="215"/>
        <v>9</v>
      </c>
      <c r="AP19" s="994">
        <f t="shared" si="215"/>
        <v>6</v>
      </c>
      <c r="AQ19" s="994">
        <f t="shared" si="215"/>
        <v>8</v>
      </c>
      <c r="AR19" s="994">
        <f t="shared" si="215"/>
        <v>15</v>
      </c>
      <c r="AS19" s="994">
        <f t="shared" si="215"/>
        <v>5</v>
      </c>
      <c r="AT19" s="994">
        <f t="shared" si="215"/>
        <v>8</v>
      </c>
      <c r="AU19" s="994">
        <f t="shared" si="215"/>
        <v>6</v>
      </c>
      <c r="AV19" s="994">
        <f t="shared" si="215"/>
        <v>10</v>
      </c>
      <c r="AW19" s="994">
        <f t="shared" si="215"/>
        <v>8</v>
      </c>
      <c r="AX19" s="994">
        <f t="shared" si="215"/>
        <v>0</v>
      </c>
      <c r="AY19" s="994">
        <f t="shared" ref="AY19:AZ19" si="216">AY99+AY110+AY121</f>
        <v>2</v>
      </c>
      <c r="AZ19" s="994">
        <f t="shared" si="216"/>
        <v>5</v>
      </c>
      <c r="BA19" s="994">
        <f t="shared" ref="BA19:BB19" si="217">BA99+BA110+BA121</f>
        <v>2</v>
      </c>
      <c r="BB19" s="994">
        <f t="shared" si="217"/>
        <v>1</v>
      </c>
      <c r="BC19" s="994">
        <f t="shared" ref="BC19:BD19" si="218">BC99+BC110+BC121</f>
        <v>3</v>
      </c>
      <c r="BD19" s="994">
        <f t="shared" si="218"/>
        <v>1</v>
      </c>
      <c r="BE19" s="994">
        <f t="shared" ref="BE19" si="219">BE99+BE110+BE121</f>
        <v>1</v>
      </c>
      <c r="BF19" s="1827">
        <v>3</v>
      </c>
      <c r="BG19" s="1827">
        <v>6</v>
      </c>
      <c r="BH19" s="1827">
        <v>8</v>
      </c>
      <c r="BI19" s="1827">
        <v>10</v>
      </c>
    </row>
    <row r="20" spans="1:61">
      <c r="A20" s="995" t="s">
        <v>726</v>
      </c>
      <c r="B20" s="996">
        <f t="shared" ref="B20:I20" si="220">B100+B111+B122</f>
        <v>0</v>
      </c>
      <c r="C20" s="996">
        <f t="shared" si="220"/>
        <v>2</v>
      </c>
      <c r="D20" s="996">
        <f t="shared" si="220"/>
        <v>1</v>
      </c>
      <c r="E20" s="996">
        <f t="shared" si="220"/>
        <v>2</v>
      </c>
      <c r="F20" s="996">
        <f t="shared" si="220"/>
        <v>2</v>
      </c>
      <c r="G20" s="996">
        <f t="shared" si="220"/>
        <v>0</v>
      </c>
      <c r="H20" s="996">
        <f t="shared" si="220"/>
        <v>0</v>
      </c>
      <c r="I20" s="996">
        <f t="shared" si="220"/>
        <v>4</v>
      </c>
      <c r="J20" s="996">
        <f t="shared" ref="J20" si="221">J100+J111+J122</f>
        <v>1</v>
      </c>
      <c r="K20" s="996">
        <f t="shared" ref="K20" si="222">K100+K111+K122</f>
        <v>2</v>
      </c>
      <c r="L20" s="996">
        <f t="shared" ref="L20" si="223">L100+L111+L122</f>
        <v>3</v>
      </c>
      <c r="M20" s="996">
        <f t="shared" ref="M20" si="224">M100+M111+M122</f>
        <v>4</v>
      </c>
      <c r="N20" s="996">
        <f t="shared" ref="N20" si="225">N100+N111+N122</f>
        <v>3</v>
      </c>
      <c r="O20" s="996">
        <f t="shared" ref="O20" si="226">O100+O111+O122</f>
        <v>1</v>
      </c>
      <c r="P20" s="996">
        <f t="shared" ref="P20" si="227">P100+P111+P122</f>
        <v>3</v>
      </c>
      <c r="Q20" s="996">
        <f t="shared" ref="Q20" si="228">Q100+Q111+Q122</f>
        <v>2</v>
      </c>
      <c r="R20" s="996">
        <f t="shared" ref="R20" si="229">R100+R111+R122</f>
        <v>3</v>
      </c>
      <c r="S20" s="996">
        <f t="shared" ref="S20" si="230">S100+S111+S122</f>
        <v>3</v>
      </c>
      <c r="T20" s="996">
        <f t="shared" ref="T20" si="231">T100+T111+T122</f>
        <v>1</v>
      </c>
      <c r="U20" s="996">
        <f t="shared" ref="U20" si="232">U100+U111+U122</f>
        <v>3</v>
      </c>
      <c r="V20" s="996">
        <f t="shared" ref="V20" si="233">V100+V111+V122</f>
        <v>1</v>
      </c>
      <c r="W20" s="996">
        <f t="shared" ref="W20" si="234">W100+W111+W122</f>
        <v>1</v>
      </c>
      <c r="X20" s="996">
        <f t="shared" ref="X20" si="235">X100+X111+X122</f>
        <v>2</v>
      </c>
      <c r="Y20" s="996">
        <f t="shared" ref="Y20" si="236">Y100+Y111+Y122</f>
        <v>8</v>
      </c>
      <c r="Z20" s="996">
        <f t="shared" ref="Z20:AX20" si="237">Z100+Z111+Z122</f>
        <v>1</v>
      </c>
      <c r="AA20" s="996">
        <f t="shared" si="237"/>
        <v>0</v>
      </c>
      <c r="AB20" s="996">
        <f t="shared" si="237"/>
        <v>3</v>
      </c>
      <c r="AC20" s="996">
        <f t="shared" si="237"/>
        <v>3</v>
      </c>
      <c r="AD20" s="996">
        <f t="shared" si="237"/>
        <v>1</v>
      </c>
      <c r="AE20" s="996">
        <f t="shared" si="237"/>
        <v>1</v>
      </c>
      <c r="AF20" s="996">
        <f t="shared" si="237"/>
        <v>3</v>
      </c>
      <c r="AG20" s="996">
        <f t="shared" si="237"/>
        <v>5</v>
      </c>
      <c r="AH20" s="996">
        <f t="shared" si="237"/>
        <v>5</v>
      </c>
      <c r="AI20" s="996">
        <f t="shared" si="237"/>
        <v>2</v>
      </c>
      <c r="AJ20" s="996">
        <f t="shared" si="237"/>
        <v>2</v>
      </c>
      <c r="AK20" s="996">
        <f t="shared" si="237"/>
        <v>6</v>
      </c>
      <c r="AL20" s="996">
        <f t="shared" si="237"/>
        <v>3</v>
      </c>
      <c r="AM20" s="996">
        <f t="shared" si="237"/>
        <v>1</v>
      </c>
      <c r="AN20" s="996">
        <f t="shared" si="237"/>
        <v>3</v>
      </c>
      <c r="AO20" s="996">
        <f t="shared" si="237"/>
        <v>9</v>
      </c>
      <c r="AP20" s="996">
        <f t="shared" si="237"/>
        <v>1</v>
      </c>
      <c r="AQ20" s="996">
        <f t="shared" si="237"/>
        <v>7</v>
      </c>
      <c r="AR20" s="996">
        <f t="shared" si="237"/>
        <v>5</v>
      </c>
      <c r="AS20" s="996">
        <f t="shared" si="237"/>
        <v>6</v>
      </c>
      <c r="AT20" s="996">
        <f t="shared" si="237"/>
        <v>4</v>
      </c>
      <c r="AU20" s="996">
        <f t="shared" si="237"/>
        <v>2</v>
      </c>
      <c r="AV20" s="996">
        <f t="shared" si="237"/>
        <v>4</v>
      </c>
      <c r="AW20" s="996">
        <f t="shared" si="237"/>
        <v>14</v>
      </c>
      <c r="AX20" s="996">
        <f t="shared" si="237"/>
        <v>5</v>
      </c>
      <c r="AY20" s="996">
        <f t="shared" ref="AY20:AZ20" si="238">AY100+AY111+AY122</f>
        <v>1</v>
      </c>
      <c r="AZ20" s="996">
        <f t="shared" si="238"/>
        <v>3</v>
      </c>
      <c r="BA20" s="996">
        <f t="shared" ref="BA20:BB20" si="239">BA100+BA111+BA122</f>
        <v>23</v>
      </c>
      <c r="BB20" s="996">
        <f t="shared" si="239"/>
        <v>5</v>
      </c>
      <c r="BC20" s="996">
        <f t="shared" ref="BC20:BD20" si="240">BC100+BC111+BC122</f>
        <v>5</v>
      </c>
      <c r="BD20" s="996">
        <f t="shared" si="240"/>
        <v>1</v>
      </c>
      <c r="BE20" s="996">
        <f t="shared" ref="BE20" si="241">BE100+BE111+BE122</f>
        <v>24</v>
      </c>
      <c r="BF20" s="1828">
        <v>10</v>
      </c>
      <c r="BG20" s="1828">
        <v>15</v>
      </c>
      <c r="BH20" s="1828">
        <v>25</v>
      </c>
      <c r="BI20" s="1828">
        <v>50</v>
      </c>
    </row>
    <row r="21" spans="1:61">
      <c r="A21" s="997" t="s">
        <v>725</v>
      </c>
      <c r="B21" s="998">
        <f t="shared" ref="B21:I21" si="242">B18+B19-B20</f>
        <v>438</v>
      </c>
      <c r="C21" s="998">
        <f t="shared" si="242"/>
        <v>447</v>
      </c>
      <c r="D21" s="998">
        <f t="shared" si="242"/>
        <v>459</v>
      </c>
      <c r="E21" s="998">
        <f t="shared" si="242"/>
        <v>462</v>
      </c>
      <c r="F21" s="998">
        <f t="shared" si="242"/>
        <v>462</v>
      </c>
      <c r="G21" s="998">
        <f t="shared" si="242"/>
        <v>473</v>
      </c>
      <c r="H21" s="998">
        <f t="shared" si="242"/>
        <v>499</v>
      </c>
      <c r="I21" s="998">
        <f t="shared" si="242"/>
        <v>498</v>
      </c>
      <c r="J21" s="998">
        <f t="shared" ref="J21" si="243">J18+J19-J20</f>
        <v>504</v>
      </c>
      <c r="K21" s="998">
        <f t="shared" ref="K21" si="244">K18+K19-K20</f>
        <v>511</v>
      </c>
      <c r="L21" s="998">
        <f t="shared" ref="L21" si="245">L18+L19-L20</f>
        <v>527</v>
      </c>
      <c r="M21" s="998">
        <f t="shared" ref="M21" si="246">M18+M19-M20</f>
        <v>534</v>
      </c>
      <c r="N21" s="998">
        <f t="shared" ref="N21" si="247">N18+N19-N20</f>
        <v>543</v>
      </c>
      <c r="O21" s="998">
        <f t="shared" ref="O21" si="248">O18+O19-O20</f>
        <v>551</v>
      </c>
      <c r="P21" s="998">
        <f t="shared" ref="P21" si="249">P18+P19-P20</f>
        <v>570</v>
      </c>
      <c r="Q21" s="998">
        <f t="shared" ref="Q21" si="250">Q18+Q19-Q20</f>
        <v>576</v>
      </c>
      <c r="R21" s="998">
        <f t="shared" ref="R21" si="251">R18+R19-R20</f>
        <v>584</v>
      </c>
      <c r="S21" s="998">
        <f t="shared" ref="S21" si="252">S18+S19-S20</f>
        <v>594</v>
      </c>
      <c r="T21" s="998">
        <f t="shared" ref="T21" si="253">T18+T19-T20</f>
        <v>602</v>
      </c>
      <c r="U21" s="998">
        <f t="shared" ref="U21" si="254">U18+U19-U20</f>
        <v>603</v>
      </c>
      <c r="V21" s="998">
        <f t="shared" ref="V21" si="255">V18+V19-V20</f>
        <v>605</v>
      </c>
      <c r="W21" s="998">
        <f t="shared" ref="W21" si="256">W18+W19-W20</f>
        <v>609</v>
      </c>
      <c r="X21" s="998">
        <f t="shared" ref="X21" si="257">X18+X19-X20</f>
        <v>611</v>
      </c>
      <c r="Y21" s="998">
        <f t="shared" ref="Y21" si="258">Y18+Y19-Y20</f>
        <v>606</v>
      </c>
      <c r="Z21" s="998">
        <f t="shared" ref="Z21:AX21" si="259">Z18+Z19-Z20</f>
        <v>606</v>
      </c>
      <c r="AA21" s="998">
        <f t="shared" si="259"/>
        <v>606</v>
      </c>
      <c r="AB21" s="998">
        <f t="shared" si="259"/>
        <v>609</v>
      </c>
      <c r="AC21" s="998">
        <f t="shared" si="259"/>
        <v>610</v>
      </c>
      <c r="AD21" s="998">
        <f t="shared" si="259"/>
        <v>611</v>
      </c>
      <c r="AE21" s="998">
        <f t="shared" si="259"/>
        <v>613</v>
      </c>
      <c r="AF21" s="998">
        <f t="shared" si="259"/>
        <v>621</v>
      </c>
      <c r="AG21" s="998">
        <f t="shared" si="259"/>
        <v>622</v>
      </c>
      <c r="AH21" s="998">
        <f t="shared" si="259"/>
        <v>626</v>
      </c>
      <c r="AI21" s="998">
        <f t="shared" si="259"/>
        <v>629</v>
      </c>
      <c r="AJ21" s="998">
        <f t="shared" si="259"/>
        <v>636</v>
      </c>
      <c r="AK21" s="998">
        <f t="shared" si="259"/>
        <v>638</v>
      </c>
      <c r="AL21" s="998">
        <f t="shared" si="259"/>
        <v>640</v>
      </c>
      <c r="AM21" s="998">
        <f t="shared" si="259"/>
        <v>645</v>
      </c>
      <c r="AN21" s="998">
        <f t="shared" si="259"/>
        <v>650</v>
      </c>
      <c r="AO21" s="998">
        <f t="shared" si="259"/>
        <v>650</v>
      </c>
      <c r="AP21" s="998">
        <f t="shared" si="259"/>
        <v>655</v>
      </c>
      <c r="AQ21" s="998">
        <f t="shared" si="259"/>
        <v>656</v>
      </c>
      <c r="AR21" s="998">
        <f t="shared" si="259"/>
        <v>666</v>
      </c>
      <c r="AS21" s="998">
        <f t="shared" si="259"/>
        <v>665</v>
      </c>
      <c r="AT21" s="998">
        <f t="shared" si="259"/>
        <v>669</v>
      </c>
      <c r="AU21" s="998">
        <f t="shared" si="259"/>
        <v>673</v>
      </c>
      <c r="AV21" s="998">
        <f t="shared" si="259"/>
        <v>679</v>
      </c>
      <c r="AW21" s="998">
        <f t="shared" si="259"/>
        <v>673</v>
      </c>
      <c r="AX21" s="998">
        <f t="shared" si="259"/>
        <v>668</v>
      </c>
      <c r="AY21" s="998">
        <f t="shared" ref="AY21:AZ21" si="260">AY18+AY19-AY20</f>
        <v>669</v>
      </c>
      <c r="AZ21" s="998">
        <f t="shared" si="260"/>
        <v>671</v>
      </c>
      <c r="BA21" s="998">
        <f t="shared" ref="BA21:BB21" si="261">BA18+BA19-BA20</f>
        <v>650</v>
      </c>
      <c r="BB21" s="998">
        <f t="shared" si="261"/>
        <v>646</v>
      </c>
      <c r="BC21" s="998">
        <f t="shared" ref="BC21:BD21" si="262">BC18+BC19-BC20</f>
        <v>644</v>
      </c>
      <c r="BD21" s="998">
        <f t="shared" si="262"/>
        <v>644</v>
      </c>
      <c r="BE21" s="998">
        <f t="shared" ref="BE21" si="263">BE18+BE19-BE20</f>
        <v>621</v>
      </c>
      <c r="BF21" s="998">
        <f t="shared" ref="BF21:BI21" si="264">BF18+BF19-BF20</f>
        <v>614</v>
      </c>
      <c r="BG21" s="998">
        <f t="shared" si="264"/>
        <v>605</v>
      </c>
      <c r="BH21" s="998">
        <f t="shared" si="264"/>
        <v>588</v>
      </c>
      <c r="BI21" s="998">
        <f t="shared" si="264"/>
        <v>548</v>
      </c>
    </row>
    <row r="22" spans="1:61">
      <c r="A22" s="999" t="s">
        <v>737</v>
      </c>
      <c r="B22" s="999"/>
      <c r="C22" s="999"/>
      <c r="D22" s="999"/>
      <c r="E22" s="999"/>
      <c r="F22" s="999"/>
      <c r="G22" s="999"/>
      <c r="H22" s="999"/>
      <c r="I22" s="999"/>
      <c r="J22" s="999"/>
      <c r="K22" s="999"/>
      <c r="L22" s="999"/>
      <c r="M22" s="999"/>
      <c r="N22" s="999"/>
      <c r="O22" s="999"/>
      <c r="P22" s="999"/>
      <c r="Q22" s="999"/>
      <c r="R22" s="999"/>
      <c r="S22" s="999"/>
      <c r="T22" s="999"/>
      <c r="U22" s="999"/>
      <c r="V22" s="999"/>
      <c r="W22" s="999"/>
      <c r="X22" s="999"/>
      <c r="Y22" s="999"/>
      <c r="Z22" s="999"/>
      <c r="AA22" s="999"/>
      <c r="AB22" s="999"/>
      <c r="AC22" s="999"/>
      <c r="AD22" s="1000">
        <f t="shared" ref="AD22:BI22" si="265">AD21/Z21-1</f>
        <v>8.2508250825081841E-3</v>
      </c>
      <c r="AE22" s="1000">
        <f t="shared" si="265"/>
        <v>1.1551155115511635E-2</v>
      </c>
      <c r="AF22" s="1000">
        <f t="shared" si="265"/>
        <v>1.9704433497536922E-2</v>
      </c>
      <c r="AG22" s="1000">
        <f t="shared" si="265"/>
        <v>1.9672131147540961E-2</v>
      </c>
      <c r="AH22" s="1000">
        <f t="shared" si="265"/>
        <v>2.4549918166939522E-2</v>
      </c>
      <c r="AI22" s="1000">
        <f t="shared" si="265"/>
        <v>2.610114192495927E-2</v>
      </c>
      <c r="AJ22" s="1000">
        <f t="shared" si="265"/>
        <v>2.4154589371980784E-2</v>
      </c>
      <c r="AK22" s="1000">
        <f t="shared" si="265"/>
        <v>2.5723472668810254E-2</v>
      </c>
      <c r="AL22" s="1000">
        <f t="shared" si="265"/>
        <v>2.2364217252396124E-2</v>
      </c>
      <c r="AM22" s="1000">
        <f t="shared" si="265"/>
        <v>2.5437201907790197E-2</v>
      </c>
      <c r="AN22" s="1000">
        <f t="shared" si="265"/>
        <v>2.2012578616352307E-2</v>
      </c>
      <c r="AO22" s="1000">
        <f t="shared" si="265"/>
        <v>1.8808777429467183E-2</v>
      </c>
      <c r="AP22" s="1000">
        <f t="shared" si="265"/>
        <v>2.34375E-2</v>
      </c>
      <c r="AQ22" s="1000">
        <f t="shared" si="265"/>
        <v>1.7054263565891459E-2</v>
      </c>
      <c r="AR22" s="1000">
        <f t="shared" si="265"/>
        <v>2.4615384615384706E-2</v>
      </c>
      <c r="AS22" s="1000">
        <f t="shared" si="265"/>
        <v>2.3076923076922995E-2</v>
      </c>
      <c r="AT22" s="1000">
        <f t="shared" si="265"/>
        <v>2.1374045801526798E-2</v>
      </c>
      <c r="AU22" s="1000">
        <f t="shared" si="265"/>
        <v>2.5914634146341431E-2</v>
      </c>
      <c r="AV22" s="1000">
        <f t="shared" si="265"/>
        <v>1.9519519519519468E-2</v>
      </c>
      <c r="AW22" s="1000">
        <f t="shared" si="265"/>
        <v>1.2030075187969835E-2</v>
      </c>
      <c r="AX22" s="1000">
        <f t="shared" si="265"/>
        <v>-1.494768310911776E-3</v>
      </c>
      <c r="AY22" s="1000">
        <f t="shared" si="265"/>
        <v>-5.9435364041604544E-3</v>
      </c>
      <c r="AZ22" s="1000">
        <f t="shared" si="265"/>
        <v>-1.178203240058906E-2</v>
      </c>
      <c r="BA22" s="1000">
        <f t="shared" si="265"/>
        <v>-3.4175334323922724E-2</v>
      </c>
      <c r="BB22" s="1000">
        <f t="shared" si="265"/>
        <v>-3.2934131736526928E-2</v>
      </c>
      <c r="BC22" s="1000">
        <f t="shared" si="265"/>
        <v>-3.7369207772795177E-2</v>
      </c>
      <c r="BD22" s="1000">
        <f t="shared" si="265"/>
        <v>-4.0238450074515653E-2</v>
      </c>
      <c r="BE22" s="1000">
        <f t="shared" si="265"/>
        <v>-4.4615384615384612E-2</v>
      </c>
      <c r="BF22" s="1000">
        <f t="shared" si="265"/>
        <v>-4.9535603715170295E-2</v>
      </c>
      <c r="BG22" s="1000">
        <f t="shared" si="265"/>
        <v>-6.0559006211180155E-2</v>
      </c>
      <c r="BH22" s="1000">
        <f t="shared" si="265"/>
        <v>-8.6956521739130488E-2</v>
      </c>
      <c r="BI22" s="1000">
        <f t="shared" si="265"/>
        <v>-0.11755233494363926</v>
      </c>
    </row>
    <row r="23" spans="1:61">
      <c r="A23" s="999"/>
      <c r="B23" s="999"/>
      <c r="C23" s="999"/>
      <c r="D23" s="999"/>
      <c r="E23" s="999"/>
      <c r="F23" s="999"/>
      <c r="G23" s="999"/>
      <c r="H23" s="999"/>
      <c r="I23" s="999"/>
      <c r="J23" s="999"/>
      <c r="K23" s="999"/>
      <c r="L23" s="999"/>
      <c r="M23" s="999"/>
      <c r="N23" s="999"/>
      <c r="O23" s="999"/>
      <c r="P23" s="999"/>
      <c r="Q23" s="999"/>
      <c r="R23" s="999"/>
      <c r="S23" s="999"/>
      <c r="T23" s="999"/>
      <c r="U23" s="999"/>
      <c r="V23" s="999"/>
      <c r="W23" s="999"/>
      <c r="X23" s="999"/>
      <c r="Y23" s="999"/>
      <c r="Z23" s="999"/>
      <c r="AA23" s="999"/>
      <c r="AB23" s="999"/>
      <c r="AC23" s="999"/>
      <c r="AD23" s="1000"/>
      <c r="AE23" s="1000"/>
      <c r="AF23" s="1000"/>
      <c r="AG23" s="1000"/>
      <c r="AH23" s="1000"/>
      <c r="AI23" s="1000"/>
      <c r="AJ23" s="1000"/>
      <c r="AK23" s="1000"/>
      <c r="AL23" s="1000"/>
      <c r="AM23" s="1000"/>
      <c r="AN23" s="1000"/>
      <c r="AO23" s="1000"/>
      <c r="AP23" s="1000"/>
      <c r="AQ23" s="1000"/>
      <c r="AR23" s="1000"/>
      <c r="AS23" s="1000"/>
      <c r="AT23" s="1000"/>
      <c r="AU23" s="1000"/>
      <c r="AV23" s="1000"/>
      <c r="AW23" s="1000"/>
      <c r="AX23" s="1000"/>
      <c r="AY23" s="1000"/>
      <c r="AZ23" s="1000"/>
      <c r="BA23" s="1000"/>
      <c r="BB23" s="1000"/>
      <c r="BC23" s="1000"/>
      <c r="BD23" s="1000"/>
      <c r="BE23" s="1000"/>
      <c r="BF23" s="1000"/>
      <c r="BG23" s="1000"/>
      <c r="BH23" s="1000"/>
      <c r="BI23" s="1000"/>
    </row>
    <row r="24" spans="1:61">
      <c r="A24" s="1807" t="s">
        <v>809</v>
      </c>
      <c r="B24" s="999"/>
      <c r="C24" s="999"/>
      <c r="D24" s="999"/>
      <c r="E24" s="999"/>
      <c r="F24" s="999"/>
      <c r="G24" s="999"/>
      <c r="H24" s="999"/>
      <c r="I24" s="999"/>
      <c r="J24" s="999"/>
      <c r="K24" s="999"/>
      <c r="L24" s="999"/>
      <c r="M24" s="999"/>
      <c r="N24" s="999"/>
      <c r="O24" s="999"/>
      <c r="P24" s="999"/>
      <c r="Q24" s="999"/>
      <c r="R24" s="999"/>
      <c r="S24" s="999"/>
      <c r="T24" s="999"/>
      <c r="U24" s="999"/>
      <c r="V24" s="999"/>
      <c r="W24" s="999"/>
      <c r="X24" s="999"/>
      <c r="Y24" s="999"/>
      <c r="Z24" s="999"/>
      <c r="AA24" s="999"/>
      <c r="AB24" s="999"/>
      <c r="AC24" s="999"/>
      <c r="AD24" s="1000"/>
      <c r="AE24" s="1000"/>
      <c r="AF24" s="1000"/>
      <c r="AG24" s="1000"/>
      <c r="AH24" s="1000"/>
      <c r="AI24" s="1000"/>
      <c r="AJ24" s="1000"/>
      <c r="AK24" s="1000"/>
      <c r="AL24" s="1000"/>
      <c r="AM24" s="1000"/>
      <c r="AN24" s="1000"/>
      <c r="AO24" s="1000"/>
      <c r="AP24" s="1000"/>
      <c r="AQ24" s="1000"/>
      <c r="AR24" s="1000"/>
      <c r="AS24" s="1000"/>
      <c r="AT24" s="1000"/>
      <c r="AU24" s="1000"/>
      <c r="AV24" s="1000"/>
      <c r="AW24" s="1000"/>
      <c r="AX24" s="1000"/>
      <c r="AY24" s="1000"/>
      <c r="AZ24" s="1000"/>
      <c r="BA24" s="1000"/>
      <c r="BB24" s="1000"/>
      <c r="BC24" s="1000"/>
      <c r="BD24" s="1000"/>
      <c r="BE24" s="1000"/>
      <c r="BF24" s="1000"/>
      <c r="BG24" s="1000"/>
      <c r="BH24" s="1000"/>
      <c r="BI24" s="1000"/>
    </row>
    <row r="25" spans="1:61">
      <c r="A25" s="991" t="s">
        <v>418</v>
      </c>
      <c r="B25" s="992" t="str">
        <f t="shared" ref="B25:Z25" si="266">B2</f>
        <v>1Q04</v>
      </c>
      <c r="C25" s="992" t="str">
        <f t="shared" si="266"/>
        <v>2Q04</v>
      </c>
      <c r="D25" s="992" t="str">
        <f t="shared" si="266"/>
        <v>3Q04</v>
      </c>
      <c r="E25" s="992" t="str">
        <f t="shared" si="266"/>
        <v>4Q04</v>
      </c>
      <c r="F25" s="992" t="str">
        <f t="shared" si="266"/>
        <v>1Q05</v>
      </c>
      <c r="G25" s="992" t="str">
        <f t="shared" si="266"/>
        <v>2Q05</v>
      </c>
      <c r="H25" s="992" t="str">
        <f t="shared" si="266"/>
        <v>3Q05</v>
      </c>
      <c r="I25" s="992" t="str">
        <f t="shared" si="266"/>
        <v>4Q05</v>
      </c>
      <c r="J25" s="992" t="str">
        <f t="shared" si="266"/>
        <v>1Q06</v>
      </c>
      <c r="K25" s="992" t="str">
        <f t="shared" si="266"/>
        <v>2Q06</v>
      </c>
      <c r="L25" s="992" t="str">
        <f t="shared" si="266"/>
        <v>3Q06</v>
      </c>
      <c r="M25" s="992" t="str">
        <f t="shared" si="266"/>
        <v>4Q06</v>
      </c>
      <c r="N25" s="992" t="str">
        <f t="shared" si="266"/>
        <v>1Q07</v>
      </c>
      <c r="O25" s="992" t="str">
        <f t="shared" si="266"/>
        <v>2Q07</v>
      </c>
      <c r="P25" s="992" t="str">
        <f t="shared" si="266"/>
        <v>3Q07</v>
      </c>
      <c r="Q25" s="992" t="str">
        <f t="shared" si="266"/>
        <v>4Q07</v>
      </c>
      <c r="R25" s="992" t="str">
        <f t="shared" si="266"/>
        <v>1Q08</v>
      </c>
      <c r="S25" s="992" t="str">
        <f t="shared" si="266"/>
        <v>2Q08</v>
      </c>
      <c r="T25" s="992" t="str">
        <f t="shared" si="266"/>
        <v>3Q08</v>
      </c>
      <c r="U25" s="992" t="str">
        <f t="shared" si="266"/>
        <v>4Q08</v>
      </c>
      <c r="V25" s="992" t="str">
        <f t="shared" si="266"/>
        <v>1Q09</v>
      </c>
      <c r="W25" s="992" t="str">
        <f t="shared" si="266"/>
        <v>2Q09</v>
      </c>
      <c r="X25" s="992" t="str">
        <f t="shared" si="266"/>
        <v>3Q09</v>
      </c>
      <c r="Y25" s="992" t="str">
        <f t="shared" si="266"/>
        <v>4Q09</v>
      </c>
      <c r="Z25" s="992" t="str">
        <f t="shared" si="266"/>
        <v>1Q10</v>
      </c>
      <c r="AA25" s="992" t="str">
        <f t="shared" ref="AA25:BD25" si="267">AA2</f>
        <v>2Q10</v>
      </c>
      <c r="AB25" s="992" t="str">
        <f t="shared" si="267"/>
        <v>3Q10</v>
      </c>
      <c r="AC25" s="992" t="str">
        <f t="shared" si="267"/>
        <v>4Q10</v>
      </c>
      <c r="AD25" s="992" t="str">
        <f t="shared" si="267"/>
        <v>1Q11</v>
      </c>
      <c r="AE25" s="992" t="str">
        <f t="shared" si="267"/>
        <v>2Q11</v>
      </c>
      <c r="AF25" s="992" t="str">
        <f t="shared" si="267"/>
        <v>3Q11</v>
      </c>
      <c r="AG25" s="992" t="str">
        <f t="shared" si="267"/>
        <v>4Q11</v>
      </c>
      <c r="AH25" s="992" t="str">
        <f t="shared" si="267"/>
        <v>1Q12</v>
      </c>
      <c r="AI25" s="992" t="str">
        <f t="shared" si="267"/>
        <v>2Q12</v>
      </c>
      <c r="AJ25" s="992" t="str">
        <f t="shared" si="267"/>
        <v>3Q12</v>
      </c>
      <c r="AK25" s="992" t="str">
        <f t="shared" si="267"/>
        <v>4Q12</v>
      </c>
      <c r="AL25" s="992" t="str">
        <f t="shared" si="267"/>
        <v>1Q13</v>
      </c>
      <c r="AM25" s="992" t="str">
        <f t="shared" si="267"/>
        <v>2Q13</v>
      </c>
      <c r="AN25" s="992" t="str">
        <f t="shared" si="267"/>
        <v>3Q13</v>
      </c>
      <c r="AO25" s="992" t="str">
        <f t="shared" si="267"/>
        <v>4Q13</v>
      </c>
      <c r="AP25" s="992" t="str">
        <f t="shared" si="267"/>
        <v>1Q14</v>
      </c>
      <c r="AQ25" s="992" t="str">
        <f t="shared" si="267"/>
        <v>2Q14</v>
      </c>
      <c r="AR25" s="992" t="str">
        <f t="shared" si="267"/>
        <v>3Q14</v>
      </c>
      <c r="AS25" s="992" t="str">
        <f t="shared" si="267"/>
        <v>4Q14</v>
      </c>
      <c r="AT25" s="992" t="str">
        <f t="shared" si="267"/>
        <v>1Q15</v>
      </c>
      <c r="AU25" s="992" t="str">
        <f t="shared" si="267"/>
        <v>2Q15</v>
      </c>
      <c r="AV25" s="992" t="str">
        <f t="shared" si="267"/>
        <v>3Q15</v>
      </c>
      <c r="AW25" s="992" t="str">
        <f t="shared" si="267"/>
        <v>4Q15</v>
      </c>
      <c r="AX25" s="992" t="str">
        <f t="shared" si="267"/>
        <v>1Q16</v>
      </c>
      <c r="AY25" s="992" t="str">
        <f t="shared" si="267"/>
        <v>2Q16</v>
      </c>
      <c r="AZ25" s="992" t="str">
        <f t="shared" si="267"/>
        <v>3Q16</v>
      </c>
      <c r="BA25" s="992" t="str">
        <f t="shared" si="267"/>
        <v>4Q16</v>
      </c>
      <c r="BB25" s="992" t="str">
        <f t="shared" si="267"/>
        <v>1Q17</v>
      </c>
      <c r="BC25" s="992" t="str">
        <f t="shared" si="267"/>
        <v>2Q17</v>
      </c>
      <c r="BD25" s="992" t="str">
        <f t="shared" si="267"/>
        <v>3Q17</v>
      </c>
      <c r="BE25" s="992" t="str">
        <f t="shared" ref="BE25:BI25" si="268">BE2</f>
        <v>4Q17</v>
      </c>
      <c r="BF25" s="992" t="str">
        <f t="shared" si="268"/>
        <v>1Q18</v>
      </c>
      <c r="BG25" s="992" t="str">
        <f t="shared" si="268"/>
        <v>2Q18</v>
      </c>
      <c r="BH25" s="992" t="str">
        <f t="shared" si="268"/>
        <v>3Q18</v>
      </c>
      <c r="BI25" s="992" t="str">
        <f t="shared" si="268"/>
        <v>4Q18</v>
      </c>
    </row>
    <row r="26" spans="1:61">
      <c r="A26" s="993" t="s">
        <v>716</v>
      </c>
      <c r="B26" s="1001">
        <f t="shared" ref="B26:Z26" si="269">B49+B60+B71</f>
        <v>0</v>
      </c>
      <c r="C26" s="1001">
        <f t="shared" si="269"/>
        <v>16.099999999999998</v>
      </c>
      <c r="D26" s="1001">
        <f t="shared" si="269"/>
        <v>15.8</v>
      </c>
      <c r="E26" s="1001">
        <f t="shared" si="269"/>
        <v>15.8</v>
      </c>
      <c r="F26" s="1001">
        <f t="shared" si="269"/>
        <v>15.4</v>
      </c>
      <c r="G26" s="1001">
        <f t="shared" si="269"/>
        <v>15.4</v>
      </c>
      <c r="H26" s="1001">
        <f t="shared" si="269"/>
        <v>15.3</v>
      </c>
      <c r="I26" s="1001">
        <f t="shared" si="269"/>
        <v>15.6</v>
      </c>
      <c r="J26" s="1001">
        <f t="shared" si="269"/>
        <v>15.1</v>
      </c>
      <c r="K26" s="1001">
        <f t="shared" si="269"/>
        <v>15.1</v>
      </c>
      <c r="L26" s="1001">
        <f t="shared" si="269"/>
        <v>15</v>
      </c>
      <c r="M26" s="1001">
        <f t="shared" si="269"/>
        <v>15.2</v>
      </c>
      <c r="N26" s="1001">
        <f t="shared" si="269"/>
        <v>14.8</v>
      </c>
      <c r="O26" s="1001">
        <f t="shared" si="269"/>
        <v>14.9</v>
      </c>
      <c r="P26" s="1001">
        <f t="shared" si="269"/>
        <v>14.9</v>
      </c>
      <c r="Q26" s="1001">
        <f t="shared" si="269"/>
        <v>14.9</v>
      </c>
      <c r="R26" s="1001">
        <f t="shared" si="269"/>
        <v>14.799999999999999</v>
      </c>
      <c r="S26" s="1001">
        <f t="shared" si="269"/>
        <v>14.7</v>
      </c>
      <c r="T26" s="1001">
        <f t="shared" si="269"/>
        <v>14.6</v>
      </c>
      <c r="U26" s="1001">
        <f t="shared" si="269"/>
        <v>14.7</v>
      </c>
      <c r="V26" s="1001">
        <f t="shared" si="269"/>
        <v>14.3</v>
      </c>
      <c r="W26" s="1001">
        <f t="shared" si="269"/>
        <v>14.4</v>
      </c>
      <c r="X26" s="1001">
        <f t="shared" si="269"/>
        <v>14.299999999999999</v>
      </c>
      <c r="Y26" s="1001">
        <f t="shared" si="269"/>
        <v>14.399999999999999</v>
      </c>
      <c r="Z26" s="1001">
        <f t="shared" si="269"/>
        <v>14.2</v>
      </c>
      <c r="AA26" s="1001">
        <f t="shared" ref="AA26:BD28" si="270">AA49+AA60+AA71</f>
        <v>14.2</v>
      </c>
      <c r="AB26" s="1001">
        <f t="shared" si="270"/>
        <v>14.1</v>
      </c>
      <c r="AC26" s="1001">
        <f t="shared" si="270"/>
        <v>13.999999999999998</v>
      </c>
      <c r="AD26" s="1001">
        <f t="shared" si="270"/>
        <v>14</v>
      </c>
      <c r="AE26" s="1001">
        <f t="shared" si="270"/>
        <v>14</v>
      </c>
      <c r="AF26" s="1001">
        <f t="shared" si="270"/>
        <v>14</v>
      </c>
      <c r="AG26" s="1001">
        <f t="shared" si="270"/>
        <v>14.1</v>
      </c>
      <c r="AH26" s="1001">
        <f t="shared" si="270"/>
        <v>13.899999999999999</v>
      </c>
      <c r="AI26" s="1001">
        <f t="shared" si="270"/>
        <v>13.799999999999999</v>
      </c>
      <c r="AJ26" s="1001">
        <f t="shared" si="270"/>
        <v>13.7</v>
      </c>
      <c r="AK26" s="1001">
        <f t="shared" si="270"/>
        <v>13.899999999999999</v>
      </c>
      <c r="AL26" s="1001">
        <f t="shared" si="270"/>
        <v>13.799999999999999</v>
      </c>
      <c r="AM26" s="1001">
        <f t="shared" si="270"/>
        <v>13.799999999999999</v>
      </c>
      <c r="AN26" s="1001">
        <f t="shared" si="270"/>
        <v>13.799999999999999</v>
      </c>
      <c r="AO26" s="1001">
        <f t="shared" si="270"/>
        <v>14.099999999999998</v>
      </c>
      <c r="AP26" s="1001">
        <f t="shared" si="270"/>
        <v>14.099999999999998</v>
      </c>
      <c r="AQ26" s="1001">
        <f t="shared" si="270"/>
        <v>14</v>
      </c>
      <c r="AR26" s="1001">
        <f t="shared" si="270"/>
        <v>14.1</v>
      </c>
      <c r="AS26" s="1001">
        <f t="shared" si="270"/>
        <v>14.299999999999999</v>
      </c>
      <c r="AT26" s="1001">
        <f t="shared" si="270"/>
        <v>14.3</v>
      </c>
      <c r="AU26" s="1001">
        <f t="shared" si="270"/>
        <v>14.5</v>
      </c>
      <c r="AV26" s="1001">
        <f t="shared" si="270"/>
        <v>14.3</v>
      </c>
      <c r="AW26" s="1001">
        <f t="shared" si="270"/>
        <v>14.3</v>
      </c>
      <c r="AX26" s="1001">
        <f t="shared" si="270"/>
        <v>13.6</v>
      </c>
      <c r="AY26" s="1001">
        <f t="shared" si="270"/>
        <v>13.5</v>
      </c>
      <c r="AZ26" s="1001">
        <f t="shared" si="270"/>
        <v>13.4</v>
      </c>
      <c r="BA26" s="1441">
        <f t="shared" si="270"/>
        <v>13.4</v>
      </c>
      <c r="BB26" s="1441">
        <f t="shared" si="270"/>
        <v>13.200000000000001</v>
      </c>
      <c r="BC26" s="1441">
        <f t="shared" si="270"/>
        <v>12.9</v>
      </c>
      <c r="BD26" s="1441">
        <f t="shared" si="270"/>
        <v>12.9</v>
      </c>
      <c r="BE26" s="1441">
        <f t="shared" ref="BE26" si="271">BE49+BE60+BE71</f>
        <v>12.9</v>
      </c>
      <c r="BF26" s="1441">
        <f t="shared" ref="BF26:BI26" si="272">BE28</f>
        <v>12.700000000000001</v>
      </c>
      <c r="BG26" s="1441">
        <f t="shared" si="272"/>
        <v>12.63</v>
      </c>
      <c r="BH26" s="1441">
        <f t="shared" si="272"/>
        <v>12.55</v>
      </c>
      <c r="BI26" s="1441">
        <f t="shared" si="272"/>
        <v>12.41</v>
      </c>
    </row>
    <row r="27" spans="1:61">
      <c r="A27" s="995" t="s">
        <v>136</v>
      </c>
      <c r="B27" s="1470">
        <f t="shared" ref="B27:I27" si="273">B50+B61+B72</f>
        <v>0</v>
      </c>
      <c r="C27" s="1470">
        <f t="shared" si="273"/>
        <v>-0.29999999999999916</v>
      </c>
      <c r="D27" s="1470">
        <f t="shared" si="273"/>
        <v>0</v>
      </c>
      <c r="E27" s="1470">
        <f t="shared" si="273"/>
        <v>-0.40000000000000036</v>
      </c>
      <c r="F27" s="1470">
        <f t="shared" si="273"/>
        <v>-1.1102230246251565E-16</v>
      </c>
      <c r="G27" s="1470">
        <f t="shared" si="273"/>
        <v>-9.9999999999999645E-2</v>
      </c>
      <c r="H27" s="1470">
        <f t="shared" si="273"/>
        <v>0.29999999999999927</v>
      </c>
      <c r="I27" s="1470">
        <f t="shared" si="273"/>
        <v>-0.5</v>
      </c>
      <c r="J27" s="1470">
        <f t="shared" ref="J27" si="274">J50+J61+J72</f>
        <v>0</v>
      </c>
      <c r="K27" s="1470">
        <f t="shared" ref="K27" si="275">K50+K61+K72</f>
        <v>-9.9999999999999978E-2</v>
      </c>
      <c r="L27" s="1470">
        <f t="shared" ref="L27" si="276">L50+L61+L72</f>
        <v>0.19999999999999962</v>
      </c>
      <c r="M27" s="1470">
        <f t="shared" ref="M27" si="277">M50+M61+M72</f>
        <v>-0.39999999999999858</v>
      </c>
      <c r="N27" s="1470">
        <f t="shared" ref="N27" si="278">N50+N61+N72</f>
        <v>9.9999999999999645E-2</v>
      </c>
      <c r="O27" s="1470">
        <f t="shared" ref="O27" si="279">O50+O61+O72</f>
        <v>0</v>
      </c>
      <c r="P27" s="1470">
        <f t="shared" ref="P27" si="280">P50+P61+P72</f>
        <v>0</v>
      </c>
      <c r="Q27" s="1470">
        <f t="shared" ref="Q27" si="281">Q50+Q61+Q72</f>
        <v>-0.10000000000000098</v>
      </c>
      <c r="R27" s="1470">
        <f t="shared" ref="R27" si="282">R50+R61+R72</f>
        <v>-0.10000000000000009</v>
      </c>
      <c r="S27" s="1470">
        <f t="shared" ref="S27" si="283">S50+S61+S72</f>
        <v>-9.9999999999999645E-2</v>
      </c>
      <c r="T27" s="1470">
        <f t="shared" ref="T27" si="284">T50+T61+T72</f>
        <v>0.10000000000000009</v>
      </c>
      <c r="U27" s="1470">
        <f t="shared" ref="U27" si="285">U50+U61+U72</f>
        <v>-0.39999999999999902</v>
      </c>
      <c r="V27" s="1470">
        <f t="shared" ref="V27" si="286">V50+V61+V72</f>
        <v>0.10000000000000009</v>
      </c>
      <c r="W27" s="1470">
        <f t="shared" ref="W27" si="287">W50+W61+W72</f>
        <v>-0.10000000000000142</v>
      </c>
      <c r="X27" s="1470">
        <f t="shared" ref="X27" si="288">X50+X61+X72</f>
        <v>0.10000000000000009</v>
      </c>
      <c r="Y27" s="1470">
        <f t="shared" ref="Y27" si="289">Y50+Y61+Y72</f>
        <v>-0.19999999999999929</v>
      </c>
      <c r="Z27" s="1470">
        <f t="shared" ref="Z27:AO28" si="290">Z50+Z61+Z72</f>
        <v>0</v>
      </c>
      <c r="AA27" s="1470">
        <f t="shared" si="290"/>
        <v>-9.9999999999999645E-2</v>
      </c>
      <c r="AB27" s="1470">
        <f t="shared" si="290"/>
        <v>-0.1000000000000012</v>
      </c>
      <c r="AC27" s="1470">
        <f t="shared" si="290"/>
        <v>4.4408920985006262E-16</v>
      </c>
      <c r="AD27" s="1470">
        <f t="shared" si="290"/>
        <v>0</v>
      </c>
      <c r="AE27" s="1470">
        <f t="shared" si="290"/>
        <v>0</v>
      </c>
      <c r="AF27" s="1470">
        <f t="shared" si="290"/>
        <v>9.9999999999999867E-2</v>
      </c>
      <c r="AG27" s="1470">
        <f t="shared" si="290"/>
        <v>-0.2000000000000004</v>
      </c>
      <c r="AH27" s="1470">
        <f t="shared" si="290"/>
        <v>-9.9999999999999201E-2</v>
      </c>
      <c r="AI27" s="1470">
        <f t="shared" si="290"/>
        <v>-9.9999999999999645E-2</v>
      </c>
      <c r="AJ27" s="1470">
        <f t="shared" si="290"/>
        <v>0.19999999999999951</v>
      </c>
      <c r="AK27" s="1470">
        <f t="shared" si="290"/>
        <v>-0.10000000000000075</v>
      </c>
      <c r="AL27" s="1470">
        <f t="shared" si="290"/>
        <v>0</v>
      </c>
      <c r="AM27" s="1470">
        <f t="shared" si="290"/>
        <v>4.4408920985006262E-16</v>
      </c>
      <c r="AN27" s="1470">
        <f t="shared" si="290"/>
        <v>0.29999999999999982</v>
      </c>
      <c r="AO27" s="1470">
        <f t="shared" si="290"/>
        <v>0</v>
      </c>
      <c r="AP27" s="1470">
        <f t="shared" si="270"/>
        <v>-9.9999999999999867E-2</v>
      </c>
      <c r="AQ27" s="1470">
        <f t="shared" si="270"/>
        <v>0.10000000000000009</v>
      </c>
      <c r="AR27" s="1470">
        <f t="shared" si="270"/>
        <v>0.19999999999999973</v>
      </c>
      <c r="AS27" s="1470">
        <f t="shared" si="270"/>
        <v>8.8817841970012523E-16</v>
      </c>
      <c r="AT27" s="1470">
        <f t="shared" si="270"/>
        <v>0.19999999999999929</v>
      </c>
      <c r="AU27" s="1470">
        <f t="shared" si="270"/>
        <v>-0.19999999999999929</v>
      </c>
      <c r="AV27" s="1470">
        <f t="shared" si="270"/>
        <v>4.4408920985006262E-16</v>
      </c>
      <c r="AW27" s="1470">
        <f t="shared" si="270"/>
        <v>-0.70000000000000107</v>
      </c>
      <c r="AX27" s="1470">
        <f t="shared" si="270"/>
        <v>-9.9999999999999645E-2</v>
      </c>
      <c r="AY27" s="1470">
        <f t="shared" si="270"/>
        <v>-9.9999999999999645E-2</v>
      </c>
      <c r="AZ27" s="1470">
        <f t="shared" si="270"/>
        <v>-4.4408920985006262E-16</v>
      </c>
      <c r="BA27" s="1470">
        <f t="shared" si="270"/>
        <v>-0.19999999999999929</v>
      </c>
      <c r="BB27" s="1470">
        <f t="shared" si="270"/>
        <v>-0.30000000000000115</v>
      </c>
      <c r="BC27" s="1470">
        <f t="shared" si="270"/>
        <v>0</v>
      </c>
      <c r="BD27" s="1470">
        <f t="shared" si="270"/>
        <v>2.2204460492503131E-16</v>
      </c>
      <c r="BE27" s="1470">
        <f t="shared" ref="BE27" si="291">BE50+BE61+BE72</f>
        <v>-0.19999999999999929</v>
      </c>
      <c r="BF27" s="1470">
        <v>-7.0000000000000007E-2</v>
      </c>
      <c r="BG27" s="1470">
        <v>-0.08</v>
      </c>
      <c r="BH27" s="1470">
        <v>-0.14000000000000001</v>
      </c>
      <c r="BI27" s="1470">
        <v>-0.42</v>
      </c>
    </row>
    <row r="28" spans="1:61">
      <c r="A28" s="997" t="s">
        <v>715</v>
      </c>
      <c r="B28" s="1003">
        <f t="shared" ref="B28:I28" si="292">B51+B62+B73</f>
        <v>0</v>
      </c>
      <c r="C28" s="1003">
        <f t="shared" si="292"/>
        <v>15.8</v>
      </c>
      <c r="D28" s="1003">
        <f t="shared" si="292"/>
        <v>15.8</v>
      </c>
      <c r="E28" s="1003">
        <f t="shared" si="292"/>
        <v>15.4</v>
      </c>
      <c r="F28" s="1003">
        <f t="shared" si="292"/>
        <v>15.4</v>
      </c>
      <c r="G28" s="1003">
        <f t="shared" si="292"/>
        <v>15.3</v>
      </c>
      <c r="H28" s="1003">
        <f t="shared" si="292"/>
        <v>15.6</v>
      </c>
      <c r="I28" s="1003">
        <f t="shared" si="292"/>
        <v>15.1</v>
      </c>
      <c r="J28" s="1003">
        <f t="shared" ref="J28" si="293">J51+J62+J73</f>
        <v>15.1</v>
      </c>
      <c r="K28" s="1003">
        <f t="shared" ref="K28" si="294">K51+K62+K73</f>
        <v>15</v>
      </c>
      <c r="L28" s="1003">
        <f t="shared" ref="L28" si="295">L51+L62+L73</f>
        <v>15.2</v>
      </c>
      <c r="M28" s="1003">
        <f t="shared" ref="M28" si="296">M51+M62+M73</f>
        <v>14.8</v>
      </c>
      <c r="N28" s="1003">
        <f t="shared" ref="N28" si="297">N51+N62+N73</f>
        <v>14.9</v>
      </c>
      <c r="O28" s="1003">
        <f t="shared" ref="O28" si="298">O51+O62+O73</f>
        <v>14.9</v>
      </c>
      <c r="P28" s="1003">
        <f t="shared" ref="P28" si="299">P51+P62+P73</f>
        <v>14.9</v>
      </c>
      <c r="Q28" s="1003">
        <f t="shared" ref="Q28" si="300">Q51+Q62+Q73</f>
        <v>14.799999999999999</v>
      </c>
      <c r="R28" s="1003">
        <f t="shared" ref="R28" si="301">R51+R62+R73</f>
        <v>14.7</v>
      </c>
      <c r="S28" s="1003">
        <f t="shared" ref="S28" si="302">S51+S62+S73</f>
        <v>14.6</v>
      </c>
      <c r="T28" s="1003">
        <f t="shared" ref="T28" si="303">T51+T62+T73</f>
        <v>14.7</v>
      </c>
      <c r="U28" s="1003">
        <f t="shared" ref="U28" si="304">U51+U62+U73</f>
        <v>14.3</v>
      </c>
      <c r="V28" s="1003">
        <f t="shared" ref="V28" si="305">V51+V62+V73</f>
        <v>14.4</v>
      </c>
      <c r="W28" s="1003">
        <f t="shared" ref="W28" si="306">W51+W62+W73</f>
        <v>14.299999999999999</v>
      </c>
      <c r="X28" s="1003">
        <f t="shared" ref="X28" si="307">X51+X62+X73</f>
        <v>14.399999999999999</v>
      </c>
      <c r="Y28" s="1003">
        <f t="shared" ref="Y28" si="308">Y51+Y62+Y73</f>
        <v>14.2</v>
      </c>
      <c r="Z28" s="1003">
        <f t="shared" si="290"/>
        <v>14.2</v>
      </c>
      <c r="AA28" s="1003">
        <f t="shared" si="270"/>
        <v>14.1</v>
      </c>
      <c r="AB28" s="1003">
        <f t="shared" si="270"/>
        <v>13.999999999999998</v>
      </c>
      <c r="AC28" s="1003">
        <f t="shared" si="270"/>
        <v>14</v>
      </c>
      <c r="AD28" s="1003">
        <f t="shared" si="270"/>
        <v>14</v>
      </c>
      <c r="AE28" s="1003">
        <f t="shared" si="270"/>
        <v>14</v>
      </c>
      <c r="AF28" s="1003">
        <f t="shared" si="270"/>
        <v>14.1</v>
      </c>
      <c r="AG28" s="1003">
        <f t="shared" si="270"/>
        <v>13.899999999999999</v>
      </c>
      <c r="AH28" s="1003">
        <f t="shared" si="270"/>
        <v>13.799999999999999</v>
      </c>
      <c r="AI28" s="1003">
        <f t="shared" si="270"/>
        <v>13.7</v>
      </c>
      <c r="AJ28" s="1003">
        <f t="shared" si="270"/>
        <v>13.899999999999999</v>
      </c>
      <c r="AK28" s="1003">
        <f t="shared" si="270"/>
        <v>13.799999999999999</v>
      </c>
      <c r="AL28" s="1003">
        <f t="shared" si="270"/>
        <v>13.799999999999999</v>
      </c>
      <c r="AM28" s="1003">
        <f t="shared" si="270"/>
        <v>13.799999999999999</v>
      </c>
      <c r="AN28" s="1003">
        <f t="shared" si="270"/>
        <v>14.099999999999998</v>
      </c>
      <c r="AO28" s="1003">
        <f t="shared" si="270"/>
        <v>14.099999999999998</v>
      </c>
      <c r="AP28" s="1003">
        <f t="shared" si="270"/>
        <v>14</v>
      </c>
      <c r="AQ28" s="1003">
        <f t="shared" si="270"/>
        <v>14.1</v>
      </c>
      <c r="AR28" s="1003">
        <f t="shared" si="270"/>
        <v>14.299999999999999</v>
      </c>
      <c r="AS28" s="1003">
        <f t="shared" si="270"/>
        <v>14.3</v>
      </c>
      <c r="AT28" s="1003">
        <f t="shared" si="270"/>
        <v>14.5</v>
      </c>
      <c r="AU28" s="1003">
        <f t="shared" si="270"/>
        <v>14.3</v>
      </c>
      <c r="AV28" s="1003">
        <f t="shared" si="270"/>
        <v>14.3</v>
      </c>
      <c r="AW28" s="1003">
        <f t="shared" si="270"/>
        <v>13.6</v>
      </c>
      <c r="AX28" s="1003">
        <f t="shared" si="270"/>
        <v>13.5</v>
      </c>
      <c r="AY28" s="1003">
        <f t="shared" si="270"/>
        <v>13.4</v>
      </c>
      <c r="AZ28" s="1440">
        <f t="shared" si="270"/>
        <v>13.4</v>
      </c>
      <c r="BA28" s="1003">
        <f t="shared" si="270"/>
        <v>13.200000000000001</v>
      </c>
      <c r="BB28" s="1003">
        <f t="shared" si="270"/>
        <v>12.9</v>
      </c>
      <c r="BC28" s="1003">
        <f t="shared" si="270"/>
        <v>12.9</v>
      </c>
      <c r="BD28" s="1003">
        <f t="shared" si="270"/>
        <v>12.9</v>
      </c>
      <c r="BE28" s="1003">
        <f t="shared" ref="BE28" si="309">BE51+BE62+BE73</f>
        <v>12.700000000000001</v>
      </c>
      <c r="BF28" s="1440">
        <f t="shared" ref="BF28:BI28" si="310">BF26+BF27</f>
        <v>12.63</v>
      </c>
      <c r="BG28" s="1440">
        <f t="shared" si="310"/>
        <v>12.55</v>
      </c>
      <c r="BH28" s="1440">
        <f t="shared" si="310"/>
        <v>12.41</v>
      </c>
      <c r="BI28" s="1440">
        <f t="shared" si="310"/>
        <v>11.99</v>
      </c>
    </row>
    <row r="29" spans="1:61">
      <c r="A29" s="999"/>
      <c r="B29" s="999"/>
      <c r="C29" s="999"/>
      <c r="D29" s="999"/>
      <c r="E29" s="999"/>
      <c r="F29" s="999"/>
      <c r="G29" s="999"/>
      <c r="H29" s="999"/>
      <c r="I29" s="999"/>
      <c r="J29" s="999"/>
      <c r="K29" s="999"/>
      <c r="L29" s="999"/>
      <c r="M29" s="999"/>
      <c r="N29" s="999"/>
      <c r="O29" s="999"/>
      <c r="P29" s="999"/>
      <c r="Q29" s="999"/>
      <c r="R29" s="999"/>
      <c r="S29" s="999"/>
      <c r="T29" s="999"/>
      <c r="U29" s="999"/>
      <c r="V29" s="999"/>
      <c r="W29" s="999"/>
      <c r="X29" s="999"/>
      <c r="Y29" s="999"/>
      <c r="Z29" s="999"/>
      <c r="AA29" s="999"/>
      <c r="AB29" s="999"/>
      <c r="AC29" s="999"/>
      <c r="AD29" s="1000"/>
      <c r="AE29" s="1000"/>
      <c r="AF29" s="1000"/>
      <c r="AG29" s="1000"/>
      <c r="AH29" s="1000"/>
      <c r="AI29" s="1000"/>
      <c r="AJ29" s="1000"/>
      <c r="AK29" s="1000"/>
      <c r="AL29" s="1000"/>
      <c r="AM29" s="1000"/>
      <c r="AN29" s="1000"/>
      <c r="AO29" s="1000"/>
      <c r="AP29" s="1000"/>
      <c r="AQ29" s="1000"/>
      <c r="AR29" s="1000"/>
      <c r="AS29" s="1000"/>
      <c r="AT29" s="1000"/>
      <c r="AU29" s="1000"/>
      <c r="AV29" s="1000"/>
      <c r="AW29" s="1000"/>
      <c r="AX29" s="1000"/>
      <c r="AY29" s="1000"/>
      <c r="AZ29" s="1000"/>
      <c r="BA29" s="1000"/>
      <c r="BB29" s="1000"/>
      <c r="BC29" s="1000"/>
      <c r="BD29" s="1000"/>
      <c r="BE29" s="1000"/>
      <c r="BF29" s="1000"/>
      <c r="BG29" s="1000"/>
      <c r="BH29" s="1000"/>
      <c r="BI29" s="1000"/>
    </row>
    <row r="30" spans="1:61">
      <c r="A30" s="991" t="s">
        <v>366</v>
      </c>
      <c r="B30" s="992" t="str">
        <f t="shared" ref="B30:I30" si="311">B70</f>
        <v>1Q04</v>
      </c>
      <c r="C30" s="992" t="str">
        <f t="shared" si="311"/>
        <v>2Q04</v>
      </c>
      <c r="D30" s="992" t="str">
        <f t="shared" si="311"/>
        <v>3Q04</v>
      </c>
      <c r="E30" s="992" t="str">
        <f t="shared" si="311"/>
        <v>4Q04</v>
      </c>
      <c r="F30" s="992" t="str">
        <f t="shared" si="311"/>
        <v>1Q05</v>
      </c>
      <c r="G30" s="992" t="str">
        <f t="shared" si="311"/>
        <v>2Q05</v>
      </c>
      <c r="H30" s="992" t="str">
        <f t="shared" si="311"/>
        <v>3Q05</v>
      </c>
      <c r="I30" s="992" t="str">
        <f t="shared" si="311"/>
        <v>4Q05</v>
      </c>
      <c r="J30" s="992" t="str">
        <f t="shared" ref="J30" si="312">J70</f>
        <v>1Q06</v>
      </c>
      <c r="K30" s="992" t="str">
        <f t="shared" ref="K30" si="313">K70</f>
        <v>2Q06</v>
      </c>
      <c r="L30" s="992" t="str">
        <f t="shared" ref="L30" si="314">L70</f>
        <v>3Q06</v>
      </c>
      <c r="M30" s="992" t="str">
        <f t="shared" ref="M30" si="315">M70</f>
        <v>4Q06</v>
      </c>
      <c r="N30" s="992" t="str">
        <f t="shared" ref="N30" si="316">N70</f>
        <v>1Q07</v>
      </c>
      <c r="O30" s="992" t="str">
        <f t="shared" ref="O30" si="317">O70</f>
        <v>2Q07</v>
      </c>
      <c r="P30" s="992" t="str">
        <f t="shared" ref="P30" si="318">P70</f>
        <v>3Q07</v>
      </c>
      <c r="Q30" s="992" t="str">
        <f t="shared" ref="Q30" si="319">Q70</f>
        <v>4Q07</v>
      </c>
      <c r="R30" s="992" t="str">
        <f t="shared" ref="R30" si="320">R70</f>
        <v>1Q08</v>
      </c>
      <c r="S30" s="992" t="str">
        <f t="shared" ref="S30" si="321">S70</f>
        <v>2Q08</v>
      </c>
      <c r="T30" s="992" t="str">
        <f t="shared" ref="T30" si="322">T70</f>
        <v>3Q08</v>
      </c>
      <c r="U30" s="992" t="str">
        <f t="shared" ref="U30" si="323">U70</f>
        <v>4Q08</v>
      </c>
      <c r="V30" s="992" t="str">
        <f t="shared" ref="V30" si="324">V70</f>
        <v>1Q09</v>
      </c>
      <c r="W30" s="992" t="str">
        <f t="shared" ref="W30" si="325">W70</f>
        <v>2Q09</v>
      </c>
      <c r="X30" s="992" t="str">
        <f t="shared" ref="X30" si="326">X70</f>
        <v>3Q09</v>
      </c>
      <c r="Y30" s="992" t="str">
        <f t="shared" ref="Y30" si="327">Y70</f>
        <v>4Q09</v>
      </c>
      <c r="Z30" s="992" t="str">
        <f t="shared" ref="Z30:AY30" si="328">Z70</f>
        <v>1Q10</v>
      </c>
      <c r="AA30" s="992" t="str">
        <f t="shared" si="328"/>
        <v>2Q10</v>
      </c>
      <c r="AB30" s="992" t="str">
        <f t="shared" si="328"/>
        <v>3Q10</v>
      </c>
      <c r="AC30" s="992" t="str">
        <f t="shared" si="328"/>
        <v>4Q10</v>
      </c>
      <c r="AD30" s="992" t="str">
        <f t="shared" si="328"/>
        <v>1Q11</v>
      </c>
      <c r="AE30" s="992" t="str">
        <f t="shared" si="328"/>
        <v>2Q11</v>
      </c>
      <c r="AF30" s="992" t="str">
        <f t="shared" si="328"/>
        <v>3Q11</v>
      </c>
      <c r="AG30" s="992" t="str">
        <f t="shared" si="328"/>
        <v>4Q11</v>
      </c>
      <c r="AH30" s="992" t="str">
        <f t="shared" si="328"/>
        <v>1Q12</v>
      </c>
      <c r="AI30" s="992" t="str">
        <f t="shared" si="328"/>
        <v>2Q12</v>
      </c>
      <c r="AJ30" s="992" t="str">
        <f t="shared" si="328"/>
        <v>3Q12</v>
      </c>
      <c r="AK30" s="992" t="str">
        <f t="shared" si="328"/>
        <v>4Q12</v>
      </c>
      <c r="AL30" s="992" t="str">
        <f t="shared" si="328"/>
        <v>1Q13</v>
      </c>
      <c r="AM30" s="992" t="str">
        <f t="shared" si="328"/>
        <v>2Q13</v>
      </c>
      <c r="AN30" s="992" t="str">
        <f t="shared" si="328"/>
        <v>3Q13</v>
      </c>
      <c r="AO30" s="992" t="str">
        <f t="shared" si="328"/>
        <v>4Q13</v>
      </c>
      <c r="AP30" s="992" t="str">
        <f t="shared" si="328"/>
        <v>1Q14</v>
      </c>
      <c r="AQ30" s="992" t="str">
        <f t="shared" si="328"/>
        <v>2Q14</v>
      </c>
      <c r="AR30" s="992" t="str">
        <f t="shared" si="328"/>
        <v>3Q14</v>
      </c>
      <c r="AS30" s="992" t="str">
        <f t="shared" si="328"/>
        <v>4Q14</v>
      </c>
      <c r="AT30" s="992" t="str">
        <f t="shared" si="328"/>
        <v>1Q15</v>
      </c>
      <c r="AU30" s="992" t="str">
        <f t="shared" si="328"/>
        <v>2Q15</v>
      </c>
      <c r="AV30" s="992" t="str">
        <f t="shared" si="328"/>
        <v>3Q15</v>
      </c>
      <c r="AW30" s="992" t="str">
        <f t="shared" si="328"/>
        <v>4Q15</v>
      </c>
      <c r="AX30" s="992" t="str">
        <f t="shared" si="328"/>
        <v>1Q16</v>
      </c>
      <c r="AY30" s="992" t="str">
        <f t="shared" si="328"/>
        <v>2Q16</v>
      </c>
      <c r="AZ30" s="992" t="s">
        <v>704</v>
      </c>
      <c r="BA30" s="992" t="s">
        <v>705</v>
      </c>
      <c r="BB30" s="992" t="s">
        <v>757</v>
      </c>
      <c r="BC30" s="992" t="s">
        <v>789</v>
      </c>
      <c r="BD30" s="992" t="s">
        <v>790</v>
      </c>
      <c r="BE30" s="992" t="str">
        <f>BE25</f>
        <v>4Q17</v>
      </c>
      <c r="BF30" s="992" t="str">
        <f t="shared" ref="BF30:BI30" si="329">BF25</f>
        <v>1Q18</v>
      </c>
      <c r="BG30" s="992" t="str">
        <f t="shared" si="329"/>
        <v>2Q18</v>
      </c>
      <c r="BH30" s="992" t="str">
        <f t="shared" si="329"/>
        <v>3Q18</v>
      </c>
      <c r="BI30" s="992" t="str">
        <f t="shared" si="329"/>
        <v>4Q18</v>
      </c>
    </row>
    <row r="31" spans="1:61">
      <c r="A31" s="993" t="s">
        <v>716</v>
      </c>
      <c r="B31" s="1001">
        <f t="shared" ref="B31:Z31" si="330">B82+B93</f>
        <v>0</v>
      </c>
      <c r="C31" s="1001">
        <f t="shared" si="330"/>
        <v>16.7</v>
      </c>
      <c r="D31" s="1001">
        <f t="shared" si="330"/>
        <v>16.8</v>
      </c>
      <c r="E31" s="1001">
        <f t="shared" si="330"/>
        <v>17.3</v>
      </c>
      <c r="F31" s="1001">
        <f t="shared" si="330"/>
        <v>17.3</v>
      </c>
      <c r="G31" s="1001">
        <f t="shared" si="330"/>
        <v>17.600000000000001</v>
      </c>
      <c r="H31" s="1001">
        <f t="shared" si="330"/>
        <v>17.8</v>
      </c>
      <c r="I31" s="1001">
        <f t="shared" si="330"/>
        <v>18.399999999999999</v>
      </c>
      <c r="J31" s="1001">
        <f t="shared" si="330"/>
        <v>18.399999999999999</v>
      </c>
      <c r="K31" s="1001">
        <f t="shared" si="330"/>
        <v>18.600000000000001</v>
      </c>
      <c r="L31" s="1001">
        <f t="shared" si="330"/>
        <v>18.8</v>
      </c>
      <c r="M31" s="1001">
        <f t="shared" si="330"/>
        <v>19.2</v>
      </c>
      <c r="N31" s="1001">
        <f t="shared" si="330"/>
        <v>19.3</v>
      </c>
      <c r="O31" s="1001">
        <f t="shared" si="330"/>
        <v>19.399999999999999</v>
      </c>
      <c r="P31" s="1001">
        <f t="shared" si="330"/>
        <v>19.600000000000001</v>
      </c>
      <c r="Q31" s="1001">
        <f t="shared" si="330"/>
        <v>20</v>
      </c>
      <c r="R31" s="1001">
        <f t="shared" si="330"/>
        <v>20</v>
      </c>
      <c r="S31" s="1001">
        <f t="shared" si="330"/>
        <v>20.100000000000001</v>
      </c>
      <c r="T31" s="1001">
        <f t="shared" si="330"/>
        <v>20.100000000000001</v>
      </c>
      <c r="U31" s="1001">
        <f t="shared" si="330"/>
        <v>20.2</v>
      </c>
      <c r="V31" s="1001">
        <f t="shared" si="330"/>
        <v>20.100000000000001</v>
      </c>
      <c r="W31" s="1001">
        <f t="shared" si="330"/>
        <v>20</v>
      </c>
      <c r="X31" s="1001">
        <f t="shared" si="330"/>
        <v>20</v>
      </c>
      <c r="Y31" s="1001">
        <f t="shared" si="330"/>
        <v>19.899999999999999</v>
      </c>
      <c r="Z31" s="1001">
        <f t="shared" si="330"/>
        <v>19.5</v>
      </c>
      <c r="AA31" s="1001">
        <f t="shared" ref="AA31:BD33" si="331">AA82+AA93</f>
        <v>19.5</v>
      </c>
      <c r="AB31" s="1001">
        <f t="shared" si="331"/>
        <v>19.3</v>
      </c>
      <c r="AC31" s="1001">
        <f t="shared" si="331"/>
        <v>19.3</v>
      </c>
      <c r="AD31" s="1001">
        <f t="shared" si="331"/>
        <v>19</v>
      </c>
      <c r="AE31" s="1001">
        <f t="shared" si="331"/>
        <v>18.600000000000001</v>
      </c>
      <c r="AF31" s="1001">
        <f t="shared" si="331"/>
        <v>18.5</v>
      </c>
      <c r="AG31" s="1001">
        <f t="shared" si="331"/>
        <v>18.3</v>
      </c>
      <c r="AH31" s="1001">
        <f t="shared" si="331"/>
        <v>18.100000000000001</v>
      </c>
      <c r="AI31" s="1001">
        <f t="shared" si="331"/>
        <v>17.899999999999999</v>
      </c>
      <c r="AJ31" s="1001">
        <f t="shared" si="331"/>
        <v>17.8</v>
      </c>
      <c r="AK31" s="1001">
        <f t="shared" si="331"/>
        <v>17.7</v>
      </c>
      <c r="AL31" s="1001">
        <f t="shared" si="331"/>
        <v>17.600000000000001</v>
      </c>
      <c r="AM31" s="1001">
        <f t="shared" si="331"/>
        <v>17.7</v>
      </c>
      <c r="AN31" s="1001">
        <f t="shared" si="331"/>
        <v>17.5</v>
      </c>
      <c r="AO31" s="1001">
        <f t="shared" si="331"/>
        <v>17.5</v>
      </c>
      <c r="AP31" s="1001">
        <f t="shared" si="331"/>
        <v>17.399999999999999</v>
      </c>
      <c r="AQ31" s="1001">
        <f t="shared" si="331"/>
        <v>17.5</v>
      </c>
      <c r="AR31" s="1001">
        <f t="shared" si="331"/>
        <v>17.599999999999998</v>
      </c>
      <c r="AS31" s="1001">
        <f t="shared" si="331"/>
        <v>17.8</v>
      </c>
      <c r="AT31" s="1001">
        <f t="shared" si="331"/>
        <v>17.899999999999999</v>
      </c>
      <c r="AU31" s="1001">
        <f t="shared" si="331"/>
        <v>17.900000000000002</v>
      </c>
      <c r="AV31" s="1001">
        <f t="shared" si="331"/>
        <v>17.900000000000002</v>
      </c>
      <c r="AW31" s="1001">
        <f t="shared" si="331"/>
        <v>18.2</v>
      </c>
      <c r="AX31" s="1001">
        <f t="shared" si="331"/>
        <v>18.3</v>
      </c>
      <c r="AY31" s="1001">
        <f t="shared" si="331"/>
        <v>18.3</v>
      </c>
      <c r="AZ31" s="1001">
        <f t="shared" si="331"/>
        <v>18.399999999999999</v>
      </c>
      <c r="BA31" s="1441">
        <f t="shared" si="331"/>
        <v>18.299999999999997</v>
      </c>
      <c r="BB31" s="1441">
        <f t="shared" si="331"/>
        <v>17.599999999999998</v>
      </c>
      <c r="BC31" s="1441">
        <f t="shared" si="331"/>
        <v>17.7</v>
      </c>
      <c r="BD31" s="1441">
        <f t="shared" si="331"/>
        <v>17.7</v>
      </c>
      <c r="BE31" s="1441">
        <f t="shared" ref="BE31" si="332">BE82+BE93</f>
        <v>17.8</v>
      </c>
      <c r="BF31" s="1441">
        <f t="shared" ref="BF31:BI31" si="333">BE33</f>
        <v>17.899999999999999</v>
      </c>
      <c r="BG31" s="1441">
        <f t="shared" si="333"/>
        <v>18.011999999999997</v>
      </c>
      <c r="BH31" s="1441">
        <f t="shared" si="333"/>
        <v>18.115999999999996</v>
      </c>
      <c r="BI31" s="1441">
        <f t="shared" si="333"/>
        <v>18.219999999999995</v>
      </c>
    </row>
    <row r="32" spans="1:61">
      <c r="A32" s="995" t="s">
        <v>136</v>
      </c>
      <c r="B32" s="1470">
        <f t="shared" ref="B32:I32" si="334">B83+B94</f>
        <v>0</v>
      </c>
      <c r="C32" s="1470">
        <f t="shared" si="334"/>
        <v>0.10000000000000142</v>
      </c>
      <c r="D32" s="1470">
        <f t="shared" si="334"/>
        <v>0.5</v>
      </c>
      <c r="E32" s="1470">
        <f t="shared" si="334"/>
        <v>0</v>
      </c>
      <c r="F32" s="1470">
        <f t="shared" si="334"/>
        <v>0.30000000000000071</v>
      </c>
      <c r="G32" s="1470">
        <f t="shared" si="334"/>
        <v>0.19999999999999929</v>
      </c>
      <c r="H32" s="1470">
        <f t="shared" si="334"/>
        <v>0.59999999999999787</v>
      </c>
      <c r="I32" s="1470">
        <f t="shared" si="334"/>
        <v>0</v>
      </c>
      <c r="J32" s="1470">
        <f t="shared" ref="J32" si="335">J83+J94</f>
        <v>0.20000000000000284</v>
      </c>
      <c r="K32" s="1470">
        <f t="shared" ref="K32" si="336">K83+K94</f>
        <v>0.19999999999999929</v>
      </c>
      <c r="L32" s="1470">
        <f t="shared" ref="L32" si="337">L83+L94</f>
        <v>0.39999999999999858</v>
      </c>
      <c r="M32" s="1470">
        <f t="shared" ref="M32" si="338">M83+M94</f>
        <v>0.10000000000000142</v>
      </c>
      <c r="N32" s="1470">
        <f t="shared" ref="N32" si="339">N83+N94</f>
        <v>9.9999999999997868E-2</v>
      </c>
      <c r="O32" s="1470">
        <f t="shared" ref="O32" si="340">O83+O94</f>
        <v>0.20000000000000284</v>
      </c>
      <c r="P32" s="1470">
        <f t="shared" ref="P32" si="341">P83+P94</f>
        <v>0.39999999999999858</v>
      </c>
      <c r="Q32" s="1470">
        <f t="shared" ref="Q32" si="342">Q83+Q94</f>
        <v>0</v>
      </c>
      <c r="R32" s="1470">
        <f t="shared" ref="R32" si="343">R83+R94</f>
        <v>0.10000000000000142</v>
      </c>
      <c r="S32" s="1470">
        <f t="shared" ref="S32" si="344">S83+S94</f>
        <v>0</v>
      </c>
      <c r="T32" s="1470">
        <f t="shared" ref="T32" si="345">T83+T94</f>
        <v>9.9999999999997868E-2</v>
      </c>
      <c r="U32" s="1470">
        <f t="shared" ref="U32" si="346">U83+U94</f>
        <v>-9.9999999999997868E-2</v>
      </c>
      <c r="V32" s="1470">
        <f t="shared" ref="V32" si="347">V83+V94</f>
        <v>-0.10000000000000142</v>
      </c>
      <c r="W32" s="1470">
        <f t="shared" ref="W32" si="348">W83+W94</f>
        <v>0</v>
      </c>
      <c r="X32" s="1470">
        <f t="shared" ref="X32" si="349">X83+X94</f>
        <v>-0.10000000000000142</v>
      </c>
      <c r="Y32" s="1470">
        <f t="shared" ref="Y32" si="350">Y83+Y94</f>
        <v>-0.39999999999999858</v>
      </c>
      <c r="Z32" s="1470">
        <f t="shared" ref="Z32:AO33" si="351">Z83+Z94</f>
        <v>0</v>
      </c>
      <c r="AA32" s="1470">
        <f t="shared" si="351"/>
        <v>-0.19999999999999929</v>
      </c>
      <c r="AB32" s="1470">
        <f t="shared" si="351"/>
        <v>0</v>
      </c>
      <c r="AC32" s="1470">
        <f t="shared" si="351"/>
        <v>-0.30000000000000071</v>
      </c>
      <c r="AD32" s="1470">
        <f t="shared" si="351"/>
        <v>-0.39999999999999858</v>
      </c>
      <c r="AE32" s="1470">
        <f t="shared" si="351"/>
        <v>-0.10000000000000142</v>
      </c>
      <c r="AF32" s="1470">
        <f t="shared" si="351"/>
        <v>-0.19999999999999929</v>
      </c>
      <c r="AG32" s="1470">
        <f t="shared" si="351"/>
        <v>-0.19999999999999929</v>
      </c>
      <c r="AH32" s="1470">
        <f t="shared" si="351"/>
        <v>-0.20000000000000284</v>
      </c>
      <c r="AI32" s="1470">
        <f t="shared" si="351"/>
        <v>-9.9999999999997868E-2</v>
      </c>
      <c r="AJ32" s="1470">
        <f t="shared" si="351"/>
        <v>-0.10000000000000142</v>
      </c>
      <c r="AK32" s="1470">
        <f t="shared" si="351"/>
        <v>-9.9999999999997868E-2</v>
      </c>
      <c r="AL32" s="1470">
        <f t="shared" si="351"/>
        <v>9.999999999999859E-2</v>
      </c>
      <c r="AM32" s="1470">
        <f t="shared" si="351"/>
        <v>-0.19999999999999929</v>
      </c>
      <c r="AN32" s="1470">
        <f t="shared" si="351"/>
        <v>0</v>
      </c>
      <c r="AO32" s="1470">
        <f t="shared" si="351"/>
        <v>-0.10000000000000142</v>
      </c>
      <c r="AP32" s="1470">
        <f t="shared" si="331"/>
        <v>9.9999999999999978E-2</v>
      </c>
      <c r="AQ32" s="1470">
        <f t="shared" si="331"/>
        <v>0.10000000000000003</v>
      </c>
      <c r="AR32" s="1470">
        <f t="shared" si="331"/>
        <v>0.2000000000000014</v>
      </c>
      <c r="AS32" s="1470">
        <f t="shared" si="331"/>
        <v>9.9999999999998535E-2</v>
      </c>
      <c r="AT32" s="1470">
        <f t="shared" si="331"/>
        <v>2.2204460492503131E-15</v>
      </c>
      <c r="AU32" s="1470">
        <f t="shared" si="331"/>
        <v>0</v>
      </c>
      <c r="AV32" s="1470">
        <f t="shared" si="331"/>
        <v>0.29999999999999716</v>
      </c>
      <c r="AW32" s="1470">
        <f t="shared" si="331"/>
        <v>0.10000000000000209</v>
      </c>
      <c r="AX32" s="1470">
        <f t="shared" si="331"/>
        <v>0</v>
      </c>
      <c r="AY32" s="1470">
        <f t="shared" si="331"/>
        <v>9.9999999999997868E-2</v>
      </c>
      <c r="AZ32" s="1470">
        <f t="shared" si="331"/>
        <v>-9.9999999999999978E-2</v>
      </c>
      <c r="BA32" s="1470">
        <f t="shared" si="331"/>
        <v>-0.7</v>
      </c>
      <c r="BB32" s="1470">
        <f t="shared" si="331"/>
        <v>0.10000000000000142</v>
      </c>
      <c r="BC32" s="1470">
        <f t="shared" si="331"/>
        <v>0</v>
      </c>
      <c r="BD32" s="1470">
        <f t="shared" si="331"/>
        <v>0.10000000000000142</v>
      </c>
      <c r="BE32" s="1470">
        <f t="shared" ref="BE32" si="352">BE83+BE94</f>
        <v>9.9999999999997868E-2</v>
      </c>
      <c r="BF32" s="1470">
        <v>0.112</v>
      </c>
      <c r="BG32" s="1470">
        <v>0.104</v>
      </c>
      <c r="BH32" s="1470">
        <v>0.104</v>
      </c>
      <c r="BI32" s="1470">
        <v>0.08</v>
      </c>
    </row>
    <row r="33" spans="1:61">
      <c r="A33" s="997" t="s">
        <v>715</v>
      </c>
      <c r="B33" s="1003">
        <f t="shared" ref="B33:I33" si="353">B84+B95</f>
        <v>0</v>
      </c>
      <c r="C33" s="1003">
        <f t="shared" si="353"/>
        <v>16.8</v>
      </c>
      <c r="D33" s="1003">
        <f t="shared" si="353"/>
        <v>17.3</v>
      </c>
      <c r="E33" s="1003">
        <f t="shared" si="353"/>
        <v>17.3</v>
      </c>
      <c r="F33" s="1003">
        <f t="shared" si="353"/>
        <v>17.600000000000001</v>
      </c>
      <c r="G33" s="1003">
        <f t="shared" si="353"/>
        <v>17.8</v>
      </c>
      <c r="H33" s="1003">
        <f t="shared" si="353"/>
        <v>18.399999999999999</v>
      </c>
      <c r="I33" s="1003">
        <f t="shared" si="353"/>
        <v>18.399999999999999</v>
      </c>
      <c r="J33" s="1003">
        <f t="shared" ref="J33" si="354">J84+J95</f>
        <v>18.600000000000001</v>
      </c>
      <c r="K33" s="1003">
        <f t="shared" ref="K33" si="355">K84+K95</f>
        <v>18.8</v>
      </c>
      <c r="L33" s="1003">
        <f t="shared" ref="L33" si="356">L84+L95</f>
        <v>19.2</v>
      </c>
      <c r="M33" s="1003">
        <f t="shared" ref="M33" si="357">M84+M95</f>
        <v>19.3</v>
      </c>
      <c r="N33" s="1003">
        <f t="shared" ref="N33" si="358">N84+N95</f>
        <v>19.399999999999999</v>
      </c>
      <c r="O33" s="1003">
        <f t="shared" ref="O33" si="359">O84+O95</f>
        <v>19.600000000000001</v>
      </c>
      <c r="P33" s="1003">
        <f t="shared" ref="P33" si="360">P84+P95</f>
        <v>20</v>
      </c>
      <c r="Q33" s="1003">
        <f t="shared" ref="Q33" si="361">Q84+Q95</f>
        <v>20</v>
      </c>
      <c r="R33" s="1003">
        <f t="shared" ref="R33" si="362">R84+R95</f>
        <v>20.100000000000001</v>
      </c>
      <c r="S33" s="1003">
        <f t="shared" ref="S33" si="363">S84+S95</f>
        <v>20.100000000000001</v>
      </c>
      <c r="T33" s="1003">
        <f t="shared" ref="T33" si="364">T84+T95</f>
        <v>20.2</v>
      </c>
      <c r="U33" s="1003">
        <f t="shared" ref="U33" si="365">U84+U95</f>
        <v>20.100000000000001</v>
      </c>
      <c r="V33" s="1003">
        <f t="shared" ref="V33" si="366">V84+V95</f>
        <v>20</v>
      </c>
      <c r="W33" s="1003">
        <f t="shared" ref="W33" si="367">W84+W95</f>
        <v>20</v>
      </c>
      <c r="X33" s="1003">
        <f t="shared" ref="X33" si="368">X84+X95</f>
        <v>19.899999999999999</v>
      </c>
      <c r="Y33" s="1003">
        <f t="shared" ref="Y33" si="369">Y84+Y95</f>
        <v>19.5</v>
      </c>
      <c r="Z33" s="1003">
        <f t="shared" si="351"/>
        <v>19.5</v>
      </c>
      <c r="AA33" s="1003">
        <f t="shared" si="331"/>
        <v>19.3</v>
      </c>
      <c r="AB33" s="1003">
        <f t="shared" si="331"/>
        <v>19.3</v>
      </c>
      <c r="AC33" s="1003">
        <f t="shared" si="331"/>
        <v>19</v>
      </c>
      <c r="AD33" s="1003">
        <f t="shared" si="331"/>
        <v>18.600000000000001</v>
      </c>
      <c r="AE33" s="1003">
        <f t="shared" si="331"/>
        <v>18.5</v>
      </c>
      <c r="AF33" s="1003">
        <f t="shared" si="331"/>
        <v>18.3</v>
      </c>
      <c r="AG33" s="1003">
        <f t="shared" si="331"/>
        <v>18.100000000000001</v>
      </c>
      <c r="AH33" s="1003">
        <f t="shared" si="331"/>
        <v>17.899999999999999</v>
      </c>
      <c r="AI33" s="1003">
        <f t="shared" si="331"/>
        <v>17.8</v>
      </c>
      <c r="AJ33" s="1003">
        <f t="shared" si="331"/>
        <v>17.7</v>
      </c>
      <c r="AK33" s="1003">
        <f t="shared" si="331"/>
        <v>17.600000000000001</v>
      </c>
      <c r="AL33" s="1003">
        <f t="shared" si="331"/>
        <v>17.7</v>
      </c>
      <c r="AM33" s="1003">
        <f t="shared" si="331"/>
        <v>17.5</v>
      </c>
      <c r="AN33" s="1003">
        <f t="shared" si="331"/>
        <v>17.5</v>
      </c>
      <c r="AO33" s="1003">
        <f t="shared" si="331"/>
        <v>17.399999999999999</v>
      </c>
      <c r="AP33" s="1003">
        <f t="shared" si="331"/>
        <v>17.5</v>
      </c>
      <c r="AQ33" s="1003">
        <f t="shared" si="331"/>
        <v>17.599999999999998</v>
      </c>
      <c r="AR33" s="1003">
        <f t="shared" si="331"/>
        <v>17.8</v>
      </c>
      <c r="AS33" s="1003">
        <f t="shared" si="331"/>
        <v>17.899999999999999</v>
      </c>
      <c r="AT33" s="1003">
        <f t="shared" si="331"/>
        <v>17.900000000000002</v>
      </c>
      <c r="AU33" s="1003">
        <f t="shared" si="331"/>
        <v>17.900000000000002</v>
      </c>
      <c r="AV33" s="1003">
        <f t="shared" si="331"/>
        <v>18.2</v>
      </c>
      <c r="AW33" s="1003">
        <f t="shared" si="331"/>
        <v>18.3</v>
      </c>
      <c r="AX33" s="1003">
        <f t="shared" si="331"/>
        <v>18.3</v>
      </c>
      <c r="AY33" s="1003">
        <f t="shared" si="331"/>
        <v>18.399999999999999</v>
      </c>
      <c r="AZ33" s="1440">
        <f t="shared" si="331"/>
        <v>18.299999999999997</v>
      </c>
      <c r="BA33" s="1003">
        <f t="shared" si="331"/>
        <v>17.599999999999998</v>
      </c>
      <c r="BB33" s="1003">
        <f t="shared" si="331"/>
        <v>17.7</v>
      </c>
      <c r="BC33" s="1003">
        <f t="shared" si="331"/>
        <v>17.7</v>
      </c>
      <c r="BD33" s="1003">
        <f t="shared" si="331"/>
        <v>17.8</v>
      </c>
      <c r="BE33" s="1003">
        <f t="shared" ref="BE33" si="370">BE84+BE95</f>
        <v>17.899999999999999</v>
      </c>
      <c r="BF33" s="1440">
        <f t="shared" ref="BF33" si="371">BF31+BF32</f>
        <v>18.011999999999997</v>
      </c>
      <c r="BG33" s="1440">
        <f t="shared" ref="BG33" si="372">BG31+BG32</f>
        <v>18.115999999999996</v>
      </c>
      <c r="BH33" s="1440">
        <f t="shared" ref="BH33" si="373">BH31+BH32</f>
        <v>18.219999999999995</v>
      </c>
      <c r="BI33" s="1440">
        <f t="shared" ref="BI33" si="374">BI31+BI32</f>
        <v>18.299999999999994</v>
      </c>
    </row>
    <row r="34" spans="1:61">
      <c r="A34" s="999"/>
      <c r="B34" s="999"/>
      <c r="C34" s="999"/>
      <c r="D34" s="999"/>
      <c r="E34" s="999"/>
      <c r="F34" s="999"/>
      <c r="G34" s="999"/>
      <c r="H34" s="999"/>
      <c r="I34" s="999"/>
      <c r="J34" s="999"/>
      <c r="K34" s="999"/>
      <c r="L34" s="999"/>
      <c r="M34" s="999"/>
      <c r="N34" s="999"/>
      <c r="O34" s="999"/>
      <c r="P34" s="999"/>
      <c r="Q34" s="999"/>
      <c r="R34" s="999"/>
      <c r="S34" s="999"/>
      <c r="T34" s="999"/>
      <c r="U34" s="999"/>
      <c r="V34" s="999"/>
      <c r="W34" s="999"/>
      <c r="X34" s="999"/>
      <c r="Y34" s="999"/>
      <c r="Z34" s="999"/>
      <c r="AA34" s="999"/>
      <c r="AB34" s="999"/>
      <c r="AC34" s="999"/>
      <c r="AD34" s="1000"/>
      <c r="AE34" s="1000"/>
      <c r="AF34" s="1000"/>
      <c r="AG34" s="1000"/>
      <c r="AH34" s="1000"/>
      <c r="AI34" s="1000"/>
      <c r="AJ34" s="1000"/>
      <c r="AK34" s="1000"/>
      <c r="AL34" s="1000"/>
      <c r="AM34" s="1000"/>
      <c r="AN34" s="1000"/>
      <c r="AO34" s="1000"/>
      <c r="AP34" s="1000"/>
      <c r="AQ34" s="1000"/>
      <c r="AR34" s="1000"/>
      <c r="AS34" s="1000"/>
      <c r="AT34" s="1000"/>
      <c r="AU34" s="1000"/>
      <c r="AV34" s="1000"/>
      <c r="AW34" s="1000"/>
      <c r="AX34" s="1000"/>
      <c r="AY34" s="1000"/>
      <c r="AZ34" s="1000"/>
      <c r="BA34" s="1000"/>
      <c r="BB34" s="1000"/>
      <c r="BC34" s="1000"/>
      <c r="BD34" s="1000"/>
      <c r="BE34" s="1000"/>
      <c r="BF34" s="1000"/>
      <c r="BG34" s="1000"/>
      <c r="BH34" s="1000"/>
      <c r="BI34" s="1000"/>
    </row>
    <row r="35" spans="1:61">
      <c r="A35" s="991" t="s">
        <v>738</v>
      </c>
      <c r="B35" s="992" t="str">
        <f t="shared" ref="B35:I35" si="375">B75</f>
        <v>1Q04</v>
      </c>
      <c r="C35" s="992" t="str">
        <f t="shared" si="375"/>
        <v>2Q04</v>
      </c>
      <c r="D35" s="992" t="str">
        <f t="shared" si="375"/>
        <v>3Q04</v>
      </c>
      <c r="E35" s="992" t="str">
        <f t="shared" si="375"/>
        <v>4Q04</v>
      </c>
      <c r="F35" s="992" t="str">
        <f t="shared" si="375"/>
        <v>1Q05</v>
      </c>
      <c r="G35" s="992" t="str">
        <f t="shared" si="375"/>
        <v>2Q05</v>
      </c>
      <c r="H35" s="992" t="str">
        <f t="shared" si="375"/>
        <v>3Q05</v>
      </c>
      <c r="I35" s="992" t="str">
        <f t="shared" si="375"/>
        <v>4Q05</v>
      </c>
      <c r="J35" s="992" t="str">
        <f t="shared" ref="J35" si="376">J75</f>
        <v>1Q06</v>
      </c>
      <c r="K35" s="992" t="str">
        <f t="shared" ref="K35" si="377">K75</f>
        <v>2Q06</v>
      </c>
      <c r="L35" s="992" t="str">
        <f t="shared" ref="L35" si="378">L75</f>
        <v>3Q06</v>
      </c>
      <c r="M35" s="992" t="str">
        <f t="shared" ref="M35" si="379">M75</f>
        <v>4Q06</v>
      </c>
      <c r="N35" s="992" t="str">
        <f t="shared" ref="N35" si="380">N75</f>
        <v>1Q07</v>
      </c>
      <c r="O35" s="992" t="str">
        <f t="shared" ref="O35" si="381">O75</f>
        <v>2Q07</v>
      </c>
      <c r="P35" s="992" t="str">
        <f t="shared" ref="P35" si="382">P75</f>
        <v>3Q07</v>
      </c>
      <c r="Q35" s="992" t="str">
        <f t="shared" ref="Q35" si="383">Q75</f>
        <v>4Q07</v>
      </c>
      <c r="R35" s="992" t="str">
        <f t="shared" ref="R35" si="384">R75</f>
        <v>1Q08</v>
      </c>
      <c r="S35" s="992" t="str">
        <f t="shared" ref="S35" si="385">S75</f>
        <v>2Q08</v>
      </c>
      <c r="T35" s="992" t="str">
        <f t="shared" ref="T35" si="386">T75</f>
        <v>3Q08</v>
      </c>
      <c r="U35" s="992" t="str">
        <f t="shared" ref="U35" si="387">U75</f>
        <v>4Q08</v>
      </c>
      <c r="V35" s="992" t="str">
        <f t="shared" ref="V35" si="388">V75</f>
        <v>1Q09</v>
      </c>
      <c r="W35" s="992" t="str">
        <f t="shared" ref="W35" si="389">W75</f>
        <v>2Q09</v>
      </c>
      <c r="X35" s="992" t="str">
        <f t="shared" ref="X35" si="390">X75</f>
        <v>3Q09</v>
      </c>
      <c r="Y35" s="992" t="str">
        <f t="shared" ref="Y35" si="391">Y75</f>
        <v>4Q09</v>
      </c>
      <c r="Z35" s="992" t="str">
        <f t="shared" ref="Z35:AY35" si="392">Z75</f>
        <v>1Q10</v>
      </c>
      <c r="AA35" s="992" t="str">
        <f t="shared" si="392"/>
        <v>2Q10</v>
      </c>
      <c r="AB35" s="992" t="str">
        <f t="shared" si="392"/>
        <v>3Q10</v>
      </c>
      <c r="AC35" s="992" t="str">
        <f t="shared" si="392"/>
        <v>4Q10</v>
      </c>
      <c r="AD35" s="992" t="str">
        <f t="shared" si="392"/>
        <v>1Q11</v>
      </c>
      <c r="AE35" s="992" t="str">
        <f t="shared" si="392"/>
        <v>2Q11</v>
      </c>
      <c r="AF35" s="992" t="str">
        <f t="shared" si="392"/>
        <v>3Q11</v>
      </c>
      <c r="AG35" s="992" t="str">
        <f t="shared" si="392"/>
        <v>4Q11</v>
      </c>
      <c r="AH35" s="992" t="str">
        <f t="shared" si="392"/>
        <v>1Q12</v>
      </c>
      <c r="AI35" s="992" t="str">
        <f t="shared" si="392"/>
        <v>2Q12</v>
      </c>
      <c r="AJ35" s="992" t="str">
        <f t="shared" si="392"/>
        <v>3Q12</v>
      </c>
      <c r="AK35" s="992" t="str">
        <f t="shared" si="392"/>
        <v>4Q12</v>
      </c>
      <c r="AL35" s="992" t="str">
        <f t="shared" si="392"/>
        <v>1Q13</v>
      </c>
      <c r="AM35" s="992" t="str">
        <f t="shared" si="392"/>
        <v>2Q13</v>
      </c>
      <c r="AN35" s="992" t="str">
        <f t="shared" si="392"/>
        <v>3Q13</v>
      </c>
      <c r="AO35" s="992" t="str">
        <f t="shared" si="392"/>
        <v>4Q13</v>
      </c>
      <c r="AP35" s="992" t="str">
        <f t="shared" si="392"/>
        <v>1Q14</v>
      </c>
      <c r="AQ35" s="992" t="str">
        <f t="shared" si="392"/>
        <v>2Q14</v>
      </c>
      <c r="AR35" s="992" t="str">
        <f t="shared" si="392"/>
        <v>3Q14</v>
      </c>
      <c r="AS35" s="992" t="str">
        <f t="shared" si="392"/>
        <v>4Q14</v>
      </c>
      <c r="AT35" s="992" t="str">
        <f t="shared" si="392"/>
        <v>1Q15</v>
      </c>
      <c r="AU35" s="992" t="str">
        <f t="shared" si="392"/>
        <v>2Q15</v>
      </c>
      <c r="AV35" s="992" t="str">
        <f t="shared" si="392"/>
        <v>3Q15</v>
      </c>
      <c r="AW35" s="992" t="str">
        <f t="shared" si="392"/>
        <v>4Q15</v>
      </c>
      <c r="AX35" s="992" t="str">
        <f t="shared" si="392"/>
        <v>1Q16</v>
      </c>
      <c r="AY35" s="992" t="str">
        <f t="shared" si="392"/>
        <v>2Q16</v>
      </c>
      <c r="AZ35" s="992" t="s">
        <v>704</v>
      </c>
      <c r="BA35" s="992" t="s">
        <v>705</v>
      </c>
      <c r="BB35" s="992" t="s">
        <v>757</v>
      </c>
      <c r="BC35" s="992" t="s">
        <v>789</v>
      </c>
      <c r="BD35" s="992" t="s">
        <v>790</v>
      </c>
      <c r="BE35" s="992" t="str">
        <f>BE30</f>
        <v>4Q17</v>
      </c>
      <c r="BF35" s="992" t="str">
        <f t="shared" ref="BF35:BI35" si="393">BF30</f>
        <v>1Q18</v>
      </c>
      <c r="BG35" s="992" t="str">
        <f t="shared" si="393"/>
        <v>2Q18</v>
      </c>
      <c r="BH35" s="992" t="str">
        <f t="shared" si="393"/>
        <v>3Q18</v>
      </c>
      <c r="BI35" s="992" t="str">
        <f t="shared" si="393"/>
        <v>4Q18</v>
      </c>
    </row>
    <row r="36" spans="1:61">
      <c r="A36" s="993" t="s">
        <v>716</v>
      </c>
      <c r="B36" s="1001">
        <f t="shared" ref="B36:Z36" si="394">B104+B115+B126</f>
        <v>0</v>
      </c>
      <c r="C36" s="1001">
        <f t="shared" si="394"/>
        <v>3.7</v>
      </c>
      <c r="D36" s="1001">
        <f t="shared" si="394"/>
        <v>3.8</v>
      </c>
      <c r="E36" s="1001">
        <f t="shared" si="394"/>
        <v>3.9</v>
      </c>
      <c r="F36" s="1001">
        <f t="shared" si="394"/>
        <v>3.9</v>
      </c>
      <c r="G36" s="1001">
        <f t="shared" si="394"/>
        <v>3.9</v>
      </c>
      <c r="H36" s="1001">
        <f t="shared" si="394"/>
        <v>4</v>
      </c>
      <c r="I36" s="1001">
        <f t="shared" si="394"/>
        <v>4.0999999999999996</v>
      </c>
      <c r="J36" s="1001">
        <f t="shared" si="394"/>
        <v>4.2</v>
      </c>
      <c r="K36" s="1001">
        <f t="shared" si="394"/>
        <v>4.2</v>
      </c>
      <c r="L36" s="1001">
        <f t="shared" si="394"/>
        <v>4.3</v>
      </c>
      <c r="M36" s="1001">
        <f t="shared" si="394"/>
        <v>4.5</v>
      </c>
      <c r="N36" s="1001">
        <f t="shared" si="394"/>
        <v>4.5999999999999996</v>
      </c>
      <c r="O36" s="1001">
        <f t="shared" si="394"/>
        <v>4.5999999999999996</v>
      </c>
      <c r="P36" s="1001">
        <f t="shared" si="394"/>
        <v>4.5999999999999996</v>
      </c>
      <c r="Q36" s="1001">
        <f t="shared" si="394"/>
        <v>4.8</v>
      </c>
      <c r="R36" s="1001">
        <f t="shared" si="394"/>
        <v>4.8</v>
      </c>
      <c r="S36" s="1001">
        <f t="shared" si="394"/>
        <v>4.8999999999999995</v>
      </c>
      <c r="T36" s="1001">
        <f t="shared" si="394"/>
        <v>4.8999999999999995</v>
      </c>
      <c r="U36" s="1001">
        <f t="shared" si="394"/>
        <v>5</v>
      </c>
      <c r="V36" s="1001">
        <f t="shared" si="394"/>
        <v>5.1000000000000005</v>
      </c>
      <c r="W36" s="1001">
        <f t="shared" si="394"/>
        <v>5</v>
      </c>
      <c r="X36" s="1001">
        <f t="shared" si="394"/>
        <v>5.1000000000000005</v>
      </c>
      <c r="Y36" s="1001">
        <f t="shared" si="394"/>
        <v>5.1000000000000005</v>
      </c>
      <c r="Z36" s="1001">
        <f t="shared" si="394"/>
        <v>5.1000000000000005</v>
      </c>
      <c r="AA36" s="1001">
        <f t="shared" ref="AA36:BD38" si="395">AA104+AA115+AA126</f>
        <v>5</v>
      </c>
      <c r="AB36" s="1001">
        <f t="shared" si="395"/>
        <v>5.1000000000000005</v>
      </c>
      <c r="AC36" s="1001">
        <f t="shared" si="395"/>
        <v>5.1000000000000005</v>
      </c>
      <c r="AD36" s="1001">
        <f t="shared" si="395"/>
        <v>5.2</v>
      </c>
      <c r="AE36" s="1001">
        <f t="shared" si="395"/>
        <v>5.2</v>
      </c>
      <c r="AF36" s="1001">
        <f t="shared" si="395"/>
        <v>5.2</v>
      </c>
      <c r="AG36" s="1001">
        <f t="shared" si="395"/>
        <v>5.2</v>
      </c>
      <c r="AH36" s="1001">
        <f t="shared" si="395"/>
        <v>5.2</v>
      </c>
      <c r="AI36" s="1001">
        <f t="shared" si="395"/>
        <v>5.2</v>
      </c>
      <c r="AJ36" s="1001">
        <f t="shared" si="395"/>
        <v>5.2</v>
      </c>
      <c r="AK36" s="1001">
        <f t="shared" si="395"/>
        <v>5.2</v>
      </c>
      <c r="AL36" s="1001">
        <f t="shared" si="395"/>
        <v>5.2</v>
      </c>
      <c r="AM36" s="1001">
        <f t="shared" si="395"/>
        <v>5.2</v>
      </c>
      <c r="AN36" s="1001">
        <f t="shared" si="395"/>
        <v>5.2</v>
      </c>
      <c r="AO36" s="1001">
        <f t="shared" si="395"/>
        <v>5.3</v>
      </c>
      <c r="AP36" s="1001">
        <f t="shared" si="395"/>
        <v>5.3</v>
      </c>
      <c r="AQ36" s="1001">
        <f t="shared" si="395"/>
        <v>5.3</v>
      </c>
      <c r="AR36" s="1001">
        <f t="shared" si="395"/>
        <v>5.3</v>
      </c>
      <c r="AS36" s="1001">
        <f t="shared" si="395"/>
        <v>5.3999999999999995</v>
      </c>
      <c r="AT36" s="1001">
        <f t="shared" si="395"/>
        <v>5.3999999999999995</v>
      </c>
      <c r="AU36" s="1001">
        <f t="shared" si="395"/>
        <v>5.3999999999999995</v>
      </c>
      <c r="AV36" s="1001">
        <f t="shared" si="395"/>
        <v>5.3999999999999995</v>
      </c>
      <c r="AW36" s="1001">
        <f t="shared" si="395"/>
        <v>5.5</v>
      </c>
      <c r="AX36" s="1001">
        <f t="shared" si="395"/>
        <v>5.3999999999999995</v>
      </c>
      <c r="AY36" s="1001">
        <f t="shared" si="395"/>
        <v>5.3999999999999995</v>
      </c>
      <c r="AZ36" s="1001">
        <f t="shared" si="395"/>
        <v>5.3999999999999995</v>
      </c>
      <c r="BA36" s="1441">
        <f t="shared" si="395"/>
        <v>5.3999999999999995</v>
      </c>
      <c r="BB36" s="1441">
        <f t="shared" si="395"/>
        <v>5.2</v>
      </c>
      <c r="BC36" s="1441">
        <f t="shared" si="395"/>
        <v>5.2</v>
      </c>
      <c r="BD36" s="1441">
        <f t="shared" si="395"/>
        <v>5.2</v>
      </c>
      <c r="BE36" s="1441">
        <f t="shared" ref="BE36" si="396">BE104+BE115+BE126</f>
        <v>5.2</v>
      </c>
      <c r="BF36" s="1441">
        <f t="shared" ref="BF36:BI36" si="397">BE38</f>
        <v>5.1000000000000005</v>
      </c>
      <c r="BG36" s="1441">
        <f t="shared" si="397"/>
        <v>5.0440000000000005</v>
      </c>
      <c r="BH36" s="1441">
        <f t="shared" si="397"/>
        <v>4.9720000000000004</v>
      </c>
      <c r="BI36" s="1441">
        <f t="shared" si="397"/>
        <v>4.8360000000000003</v>
      </c>
    </row>
    <row r="37" spans="1:61">
      <c r="A37" s="995" t="s">
        <v>136</v>
      </c>
      <c r="B37" s="1470">
        <f t="shared" ref="B37:I37" si="398">B105+B116+B127</f>
        <v>0</v>
      </c>
      <c r="C37" s="1470">
        <f t="shared" si="398"/>
        <v>9.9999999999999645E-2</v>
      </c>
      <c r="D37" s="1470">
        <f t="shared" si="398"/>
        <v>0.10000000000000009</v>
      </c>
      <c r="E37" s="1470">
        <f t="shared" si="398"/>
        <v>0</v>
      </c>
      <c r="F37" s="1470">
        <f t="shared" si="398"/>
        <v>0</v>
      </c>
      <c r="G37" s="1470">
        <f t="shared" si="398"/>
        <v>0.10000000000000009</v>
      </c>
      <c r="H37" s="1470">
        <f t="shared" si="398"/>
        <v>9.9999999999999645E-2</v>
      </c>
      <c r="I37" s="1470">
        <f t="shared" si="398"/>
        <v>0.10000000000000053</v>
      </c>
      <c r="J37" s="1470">
        <f t="shared" ref="J37" si="399">J105+J116+J127</f>
        <v>0</v>
      </c>
      <c r="K37" s="1470">
        <f t="shared" ref="K37" si="400">K105+K116+K127</f>
        <v>0.1</v>
      </c>
      <c r="L37" s="1470">
        <f t="shared" ref="L37" si="401">L105+L116+L127</f>
        <v>0.20000000000000018</v>
      </c>
      <c r="M37" s="1470">
        <f t="shared" ref="M37" si="402">M105+M116+M127</f>
        <v>9.9999999999999645E-2</v>
      </c>
      <c r="N37" s="1470">
        <f t="shared" ref="N37" si="403">N105+N116+N127</f>
        <v>0</v>
      </c>
      <c r="O37" s="1470">
        <f t="shared" ref="O37" si="404">O105+O116+O127</f>
        <v>0</v>
      </c>
      <c r="P37" s="1470">
        <f t="shared" ref="P37" si="405">P105+P116+P127</f>
        <v>0.20000000000000018</v>
      </c>
      <c r="Q37" s="1470">
        <f t="shared" ref="Q37" si="406">Q105+Q116+Q127</f>
        <v>0</v>
      </c>
      <c r="R37" s="1470">
        <f t="shared" ref="R37" si="407">R105+R116+R127</f>
        <v>9.9999999999999645E-2</v>
      </c>
      <c r="S37" s="1470">
        <f t="shared" ref="S37" si="408">S105+S116+S127</f>
        <v>0</v>
      </c>
      <c r="T37" s="1470">
        <f t="shared" ref="T37" si="409">T105+T116+T127</f>
        <v>0.10000000000000053</v>
      </c>
      <c r="U37" s="1470">
        <f t="shared" ref="U37" si="410">U105+U116+U127</f>
        <v>0.1</v>
      </c>
      <c r="V37" s="1470">
        <f t="shared" ref="V37" si="411">V105+V116+V127</f>
        <v>-0.1</v>
      </c>
      <c r="W37" s="1470">
        <f t="shared" ref="W37" si="412">W105+W116+W127</f>
        <v>0.1</v>
      </c>
      <c r="X37" s="1470">
        <f t="shared" ref="X37" si="413">X105+X116+X127</f>
        <v>0</v>
      </c>
      <c r="Y37" s="1470">
        <f t="shared" ref="Y37" si="414">Y105+Y116+Y127</f>
        <v>0</v>
      </c>
      <c r="Z37" s="1470">
        <f t="shared" ref="Z37:AO38" si="415">Z105+Z116+Z127</f>
        <v>-0.1</v>
      </c>
      <c r="AA37" s="1470">
        <f t="shared" si="415"/>
        <v>0.1</v>
      </c>
      <c r="AB37" s="1470">
        <f t="shared" si="415"/>
        <v>0</v>
      </c>
      <c r="AC37" s="1470">
        <f t="shared" si="415"/>
        <v>0.1</v>
      </c>
      <c r="AD37" s="1470">
        <f t="shared" si="415"/>
        <v>0</v>
      </c>
      <c r="AE37" s="1470">
        <f t="shared" si="415"/>
        <v>0</v>
      </c>
      <c r="AF37" s="1470">
        <f t="shared" si="415"/>
        <v>0</v>
      </c>
      <c r="AG37" s="1470">
        <f t="shared" si="415"/>
        <v>0</v>
      </c>
      <c r="AH37" s="1470">
        <f t="shared" si="415"/>
        <v>0</v>
      </c>
      <c r="AI37" s="1470">
        <f t="shared" si="415"/>
        <v>0</v>
      </c>
      <c r="AJ37" s="1470">
        <f t="shared" si="415"/>
        <v>0</v>
      </c>
      <c r="AK37" s="1470">
        <f t="shared" si="415"/>
        <v>0</v>
      </c>
      <c r="AL37" s="1470">
        <f t="shared" si="415"/>
        <v>0</v>
      </c>
      <c r="AM37" s="1470">
        <f t="shared" si="415"/>
        <v>0</v>
      </c>
      <c r="AN37" s="1470">
        <f t="shared" si="415"/>
        <v>9.9999999999999645E-2</v>
      </c>
      <c r="AO37" s="1470">
        <f t="shared" si="415"/>
        <v>0</v>
      </c>
      <c r="AP37" s="1470">
        <f t="shared" si="395"/>
        <v>0</v>
      </c>
      <c r="AQ37" s="1470">
        <f t="shared" si="395"/>
        <v>0</v>
      </c>
      <c r="AR37" s="1470">
        <f t="shared" si="395"/>
        <v>9.9999999999999645E-2</v>
      </c>
      <c r="AS37" s="1470">
        <f t="shared" si="395"/>
        <v>0</v>
      </c>
      <c r="AT37" s="1470">
        <f t="shared" si="395"/>
        <v>0</v>
      </c>
      <c r="AU37" s="1470">
        <f t="shared" si="395"/>
        <v>0</v>
      </c>
      <c r="AV37" s="1470">
        <f t="shared" si="395"/>
        <v>0.10000000000000053</v>
      </c>
      <c r="AW37" s="1470">
        <f t="shared" si="395"/>
        <v>-0.10000000000000053</v>
      </c>
      <c r="AX37" s="1470">
        <f t="shared" si="395"/>
        <v>0</v>
      </c>
      <c r="AY37" s="1470">
        <f t="shared" si="395"/>
        <v>0</v>
      </c>
      <c r="AZ37" s="1470">
        <f t="shared" si="395"/>
        <v>0</v>
      </c>
      <c r="BA37" s="1470">
        <f t="shared" si="395"/>
        <v>-0.19999999999999965</v>
      </c>
      <c r="BB37" s="1470">
        <f t="shared" si="395"/>
        <v>0</v>
      </c>
      <c r="BC37" s="1470">
        <f t="shared" si="395"/>
        <v>0</v>
      </c>
      <c r="BD37" s="1470">
        <f t="shared" si="395"/>
        <v>0</v>
      </c>
      <c r="BE37" s="1470">
        <f t="shared" ref="BE37" si="416">BE105+BE116+BE127</f>
        <v>-9.9999999999999645E-2</v>
      </c>
      <c r="BF37" s="1470">
        <v>-5.6000000000000001E-2</v>
      </c>
      <c r="BG37" s="1470">
        <v>-7.1999999999999995E-2</v>
      </c>
      <c r="BH37" s="1470">
        <v>-0.13600000000000001</v>
      </c>
      <c r="BI37" s="1470">
        <v>-0.32</v>
      </c>
    </row>
    <row r="38" spans="1:61">
      <c r="A38" s="997" t="s">
        <v>715</v>
      </c>
      <c r="B38" s="1003">
        <f t="shared" ref="B38:I38" si="417">B106+B117+B128</f>
        <v>0</v>
      </c>
      <c r="C38" s="1003">
        <f t="shared" si="417"/>
        <v>3.8</v>
      </c>
      <c r="D38" s="1003">
        <f t="shared" si="417"/>
        <v>3.9</v>
      </c>
      <c r="E38" s="1003">
        <f t="shared" si="417"/>
        <v>3.9</v>
      </c>
      <c r="F38" s="1003">
        <f t="shared" si="417"/>
        <v>3.9</v>
      </c>
      <c r="G38" s="1003">
        <f t="shared" si="417"/>
        <v>4</v>
      </c>
      <c r="H38" s="1003">
        <f t="shared" si="417"/>
        <v>4.0999999999999996</v>
      </c>
      <c r="I38" s="1003">
        <f t="shared" si="417"/>
        <v>4.2</v>
      </c>
      <c r="J38" s="1003">
        <f t="shared" ref="J38" si="418">J106+J117+J128</f>
        <v>4.2</v>
      </c>
      <c r="K38" s="1003">
        <f t="shared" ref="K38" si="419">K106+K117+K128</f>
        <v>4.3</v>
      </c>
      <c r="L38" s="1003">
        <f t="shared" ref="L38" si="420">L106+L117+L128</f>
        <v>4.5</v>
      </c>
      <c r="M38" s="1003">
        <f t="shared" ref="M38" si="421">M106+M117+M128</f>
        <v>4.5999999999999996</v>
      </c>
      <c r="N38" s="1003">
        <f t="shared" ref="N38" si="422">N106+N117+N128</f>
        <v>4.5999999999999996</v>
      </c>
      <c r="O38" s="1003">
        <f t="shared" ref="O38" si="423">O106+O117+O128</f>
        <v>4.5999999999999996</v>
      </c>
      <c r="P38" s="1003">
        <f t="shared" ref="P38" si="424">P106+P117+P128</f>
        <v>4.8</v>
      </c>
      <c r="Q38" s="1003">
        <f t="shared" ref="Q38" si="425">Q106+Q117+Q128</f>
        <v>4.8</v>
      </c>
      <c r="R38" s="1003">
        <f t="shared" ref="R38" si="426">R106+R117+R128</f>
        <v>4.8999999999999995</v>
      </c>
      <c r="S38" s="1003">
        <f t="shared" ref="S38" si="427">S106+S117+S128</f>
        <v>4.8999999999999995</v>
      </c>
      <c r="T38" s="1003">
        <f t="shared" ref="T38" si="428">T106+T117+T128</f>
        <v>5</v>
      </c>
      <c r="U38" s="1003">
        <f t="shared" ref="U38" si="429">U106+U117+U128</f>
        <v>5.1000000000000005</v>
      </c>
      <c r="V38" s="1003">
        <f t="shared" ref="V38" si="430">V106+V117+V128</f>
        <v>5</v>
      </c>
      <c r="W38" s="1003">
        <f t="shared" ref="W38" si="431">W106+W117+W128</f>
        <v>5.1000000000000005</v>
      </c>
      <c r="X38" s="1003">
        <f t="shared" ref="X38" si="432">X106+X117+X128</f>
        <v>5.1000000000000005</v>
      </c>
      <c r="Y38" s="1003">
        <f t="shared" ref="Y38" si="433">Y106+Y117+Y128</f>
        <v>5.1000000000000005</v>
      </c>
      <c r="Z38" s="1003">
        <f t="shared" si="415"/>
        <v>5</v>
      </c>
      <c r="AA38" s="1003">
        <f t="shared" si="395"/>
        <v>5.1000000000000005</v>
      </c>
      <c r="AB38" s="1003">
        <f t="shared" si="395"/>
        <v>5.1000000000000005</v>
      </c>
      <c r="AC38" s="1003">
        <f t="shared" si="395"/>
        <v>5.2</v>
      </c>
      <c r="AD38" s="1003">
        <f t="shared" si="395"/>
        <v>5.2</v>
      </c>
      <c r="AE38" s="1003">
        <f t="shared" si="395"/>
        <v>5.2</v>
      </c>
      <c r="AF38" s="1003">
        <f t="shared" si="395"/>
        <v>5.2</v>
      </c>
      <c r="AG38" s="1003">
        <f t="shared" si="395"/>
        <v>5.2</v>
      </c>
      <c r="AH38" s="1003">
        <f t="shared" si="395"/>
        <v>5.2</v>
      </c>
      <c r="AI38" s="1003">
        <f t="shared" si="395"/>
        <v>5.2</v>
      </c>
      <c r="AJ38" s="1003">
        <f t="shared" si="395"/>
        <v>5.2</v>
      </c>
      <c r="AK38" s="1003">
        <f t="shared" si="395"/>
        <v>5.2</v>
      </c>
      <c r="AL38" s="1003">
        <f t="shared" si="395"/>
        <v>5.2</v>
      </c>
      <c r="AM38" s="1003">
        <f t="shared" si="395"/>
        <v>5.2</v>
      </c>
      <c r="AN38" s="1003">
        <f t="shared" si="395"/>
        <v>5.3</v>
      </c>
      <c r="AO38" s="1003">
        <f t="shared" si="395"/>
        <v>5.3</v>
      </c>
      <c r="AP38" s="1003">
        <f t="shared" si="395"/>
        <v>5.3</v>
      </c>
      <c r="AQ38" s="1003">
        <f t="shared" si="395"/>
        <v>5.3</v>
      </c>
      <c r="AR38" s="1003">
        <f t="shared" si="395"/>
        <v>5.3999999999999995</v>
      </c>
      <c r="AS38" s="1003">
        <f t="shared" si="395"/>
        <v>5.3999999999999995</v>
      </c>
      <c r="AT38" s="1003">
        <f t="shared" si="395"/>
        <v>5.3999999999999995</v>
      </c>
      <c r="AU38" s="1003">
        <f t="shared" si="395"/>
        <v>5.3999999999999995</v>
      </c>
      <c r="AV38" s="1003">
        <f t="shared" si="395"/>
        <v>5.5</v>
      </c>
      <c r="AW38" s="1003">
        <f t="shared" si="395"/>
        <v>5.3999999999999995</v>
      </c>
      <c r="AX38" s="1003">
        <f t="shared" si="395"/>
        <v>5.3999999999999995</v>
      </c>
      <c r="AY38" s="1003">
        <f t="shared" si="395"/>
        <v>5.3999999999999995</v>
      </c>
      <c r="AZ38" s="1440">
        <f t="shared" si="395"/>
        <v>5.3999999999999995</v>
      </c>
      <c r="BA38" s="1003">
        <f t="shared" si="395"/>
        <v>5.2</v>
      </c>
      <c r="BB38" s="1003">
        <f t="shared" si="395"/>
        <v>5.2</v>
      </c>
      <c r="BC38" s="1003">
        <f t="shared" si="395"/>
        <v>5.2</v>
      </c>
      <c r="BD38" s="1003">
        <f t="shared" si="395"/>
        <v>5.2</v>
      </c>
      <c r="BE38" s="1003">
        <f t="shared" ref="BE38" si="434">BE106+BE117+BE128</f>
        <v>5.1000000000000005</v>
      </c>
      <c r="BF38" s="1440">
        <f t="shared" ref="BF38" si="435">BF36+BF37</f>
        <v>5.0440000000000005</v>
      </c>
      <c r="BG38" s="1440">
        <f t="shared" ref="BG38" si="436">BG36+BG37</f>
        <v>4.9720000000000004</v>
      </c>
      <c r="BH38" s="1440">
        <f t="shared" ref="BH38" si="437">BH36+BH37</f>
        <v>4.8360000000000003</v>
      </c>
      <c r="BI38" s="1440">
        <f t="shared" ref="BI38" si="438">BI36+BI37</f>
        <v>4.516</v>
      </c>
    </row>
    <row r="39" spans="1:61">
      <c r="A39" s="999"/>
      <c r="B39" s="999"/>
      <c r="C39" s="999"/>
      <c r="D39" s="999"/>
      <c r="E39" s="999"/>
      <c r="F39" s="999"/>
      <c r="G39" s="999"/>
      <c r="H39" s="999"/>
      <c r="I39" s="999"/>
      <c r="J39" s="999"/>
      <c r="K39" s="999"/>
      <c r="L39" s="999"/>
      <c r="M39" s="999"/>
      <c r="N39" s="999"/>
      <c r="O39" s="999"/>
      <c r="P39" s="999"/>
      <c r="Q39" s="999"/>
      <c r="R39" s="999"/>
      <c r="S39" s="999"/>
      <c r="T39" s="999"/>
      <c r="U39" s="999"/>
      <c r="V39" s="999"/>
      <c r="W39" s="999"/>
      <c r="X39" s="999"/>
      <c r="Y39" s="999"/>
      <c r="Z39" s="999"/>
      <c r="AA39" s="999"/>
      <c r="AB39" s="999"/>
      <c r="AC39" s="999"/>
      <c r="AD39" s="1000"/>
      <c r="AE39" s="1000"/>
      <c r="AF39" s="1000"/>
      <c r="AG39" s="1000"/>
      <c r="AH39" s="1000"/>
      <c r="AI39" s="1000"/>
      <c r="AJ39" s="1000"/>
      <c r="AK39" s="1000"/>
      <c r="AL39" s="1000"/>
      <c r="AM39" s="1000"/>
      <c r="AN39" s="1000"/>
      <c r="AO39" s="1000"/>
      <c r="AP39" s="1000"/>
      <c r="AQ39" s="1000"/>
      <c r="AR39" s="1000"/>
      <c r="AS39" s="1000"/>
      <c r="AT39" s="1000"/>
      <c r="AU39" s="1000"/>
      <c r="AV39" s="1000"/>
      <c r="AW39" s="1000"/>
      <c r="AX39" s="1000"/>
      <c r="AY39" s="1000"/>
      <c r="AZ39" s="1000"/>
      <c r="BA39" s="1000"/>
      <c r="BB39" s="1000"/>
      <c r="BC39" s="1000"/>
      <c r="BD39" s="1000"/>
      <c r="BE39" s="1000"/>
    </row>
    <row r="40" spans="1:61">
      <c r="A40" s="999"/>
      <c r="B40" s="999"/>
      <c r="C40" s="999"/>
      <c r="D40" s="999"/>
      <c r="E40" s="999"/>
      <c r="F40" s="999"/>
      <c r="G40" s="999"/>
      <c r="H40" s="999"/>
      <c r="I40" s="999"/>
      <c r="J40" s="999"/>
      <c r="K40" s="999"/>
      <c r="L40" s="999"/>
      <c r="M40" s="999"/>
      <c r="N40" s="999"/>
      <c r="O40" s="999"/>
      <c r="P40" s="999"/>
      <c r="Q40" s="999"/>
      <c r="R40" s="999"/>
      <c r="S40" s="999"/>
      <c r="T40" s="999"/>
      <c r="U40" s="999"/>
      <c r="V40" s="999"/>
      <c r="W40" s="999"/>
      <c r="X40" s="999"/>
      <c r="Y40" s="999"/>
      <c r="Z40" s="999"/>
      <c r="AA40" s="999"/>
      <c r="AB40" s="999"/>
      <c r="AC40" s="999"/>
      <c r="AD40" s="1000"/>
      <c r="AE40" s="1000"/>
      <c r="AF40" s="1000"/>
      <c r="AG40" s="1000"/>
      <c r="AH40" s="1000"/>
      <c r="AI40" s="1000"/>
      <c r="AJ40" s="1000"/>
      <c r="AK40" s="1000"/>
      <c r="AL40" s="1000"/>
      <c r="AM40" s="1000"/>
      <c r="AN40" s="1000"/>
      <c r="AO40" s="1000"/>
      <c r="AP40" s="1000"/>
      <c r="AQ40" s="1000"/>
      <c r="AR40" s="1000"/>
      <c r="AS40" s="1000"/>
      <c r="AT40" s="1000"/>
      <c r="AU40" s="1000"/>
      <c r="AV40" s="1000"/>
      <c r="AW40" s="1000"/>
      <c r="AX40" s="1000"/>
      <c r="AY40" s="1000"/>
      <c r="AZ40" s="1000"/>
      <c r="BA40" s="1000"/>
      <c r="BB40" s="1000"/>
      <c r="BC40" s="1000"/>
      <c r="BD40" s="1000"/>
      <c r="BE40" s="1000"/>
    </row>
    <row r="41" spans="1:61">
      <c r="A41" s="999"/>
      <c r="B41" s="999"/>
      <c r="C41" s="999"/>
      <c r="D41" s="999"/>
      <c r="E41" s="999"/>
      <c r="F41" s="999"/>
      <c r="G41" s="999"/>
      <c r="H41" s="999"/>
      <c r="I41" s="999"/>
      <c r="J41" s="999"/>
      <c r="K41" s="999"/>
      <c r="L41" s="999"/>
      <c r="M41" s="999"/>
      <c r="N41" s="999"/>
      <c r="O41" s="999"/>
      <c r="P41" s="999"/>
      <c r="Q41" s="999"/>
      <c r="R41" s="999"/>
      <c r="S41" s="999"/>
      <c r="T41" s="999"/>
      <c r="U41" s="999"/>
      <c r="V41" s="999"/>
      <c r="W41" s="999"/>
      <c r="X41" s="999"/>
      <c r="Y41" s="999"/>
      <c r="Z41" s="999"/>
      <c r="AA41" s="999"/>
      <c r="AB41" s="999"/>
      <c r="AC41" s="999"/>
      <c r="AD41" s="1000"/>
      <c r="AE41" s="1000"/>
      <c r="AF41" s="1000"/>
      <c r="AG41" s="1000"/>
      <c r="AH41" s="1000"/>
      <c r="AI41" s="1000"/>
      <c r="AJ41" s="1000"/>
      <c r="AK41" s="1000"/>
      <c r="AL41" s="1000"/>
      <c r="AM41" s="1000"/>
      <c r="AN41" s="1000"/>
      <c r="AO41" s="1000"/>
      <c r="AP41" s="1000"/>
      <c r="AQ41" s="1000"/>
      <c r="AR41" s="1000"/>
      <c r="AS41" s="1000"/>
      <c r="AT41" s="1000"/>
      <c r="AU41" s="1000"/>
      <c r="AV41" s="1000"/>
      <c r="AW41" s="1000"/>
      <c r="AX41" s="1000"/>
      <c r="AY41" s="1000"/>
      <c r="AZ41" s="1000"/>
      <c r="BA41" s="1000"/>
      <c r="BB41" s="1000"/>
      <c r="BC41" s="1000"/>
      <c r="BD41" s="1000"/>
      <c r="BE41" s="1000"/>
    </row>
    <row r="42" spans="1:61">
      <c r="A42" s="991" t="s">
        <v>668</v>
      </c>
      <c r="B42" s="991" t="s">
        <v>429</v>
      </c>
      <c r="C42" s="991" t="s">
        <v>430</v>
      </c>
      <c r="D42" s="991" t="s">
        <v>431</v>
      </c>
      <c r="E42" s="991" t="s">
        <v>432</v>
      </c>
      <c r="F42" s="991" t="s">
        <v>433</v>
      </c>
      <c r="G42" s="991" t="s">
        <v>434</v>
      </c>
      <c r="H42" s="991" t="s">
        <v>435</v>
      </c>
      <c r="I42" s="991" t="s">
        <v>436</v>
      </c>
      <c r="J42" s="991" t="s">
        <v>480</v>
      </c>
      <c r="K42" s="991" t="s">
        <v>479</v>
      </c>
      <c r="L42" s="991" t="s">
        <v>437</v>
      </c>
      <c r="M42" s="991" t="s">
        <v>438</v>
      </c>
      <c r="N42" s="991" t="s">
        <v>538</v>
      </c>
      <c r="O42" s="991" t="s">
        <v>539</v>
      </c>
      <c r="P42" s="991" t="s">
        <v>540</v>
      </c>
      <c r="Q42" s="991" t="s">
        <v>541</v>
      </c>
      <c r="R42" s="991" t="s">
        <v>439</v>
      </c>
      <c r="S42" s="991" t="s">
        <v>440</v>
      </c>
      <c r="T42" s="991" t="s">
        <v>441</v>
      </c>
      <c r="U42" s="991" t="s">
        <v>442</v>
      </c>
      <c r="V42" s="991" t="s">
        <v>443</v>
      </c>
      <c r="W42" s="991" t="s">
        <v>444</v>
      </c>
      <c r="X42" s="991" t="s">
        <v>445</v>
      </c>
      <c r="Y42" s="991" t="s">
        <v>446</v>
      </c>
      <c r="Z42" s="991" t="s">
        <v>447</v>
      </c>
      <c r="AA42" s="991" t="s">
        <v>448</v>
      </c>
      <c r="AB42" s="991" t="s">
        <v>453</v>
      </c>
      <c r="AC42" s="991" t="s">
        <v>454</v>
      </c>
      <c r="AD42" s="991" t="s">
        <v>449</v>
      </c>
      <c r="AE42" s="991" t="s">
        <v>450</v>
      </c>
      <c r="AF42" s="991" t="s">
        <v>451</v>
      </c>
      <c r="AG42" s="991" t="s">
        <v>452</v>
      </c>
      <c r="AH42" s="991" t="s">
        <v>265</v>
      </c>
      <c r="AI42" s="991" t="s">
        <v>125</v>
      </c>
      <c r="AJ42" s="991" t="s">
        <v>266</v>
      </c>
      <c r="AK42" s="991" t="s">
        <v>267</v>
      </c>
      <c r="AL42" s="991" t="s">
        <v>724</v>
      </c>
      <c r="AM42" s="991" t="s">
        <v>723</v>
      </c>
      <c r="AN42" s="991" t="s">
        <v>722</v>
      </c>
      <c r="AO42" s="991" t="s">
        <v>721</v>
      </c>
      <c r="AP42" s="991" t="s">
        <v>671</v>
      </c>
      <c r="AQ42" s="991" t="s">
        <v>477</v>
      </c>
      <c r="AR42" s="991" t="s">
        <v>672</v>
      </c>
      <c r="AS42" s="991" t="s">
        <v>673</v>
      </c>
      <c r="AT42" s="991" t="s">
        <v>720</v>
      </c>
      <c r="AU42" s="991" t="s">
        <v>719</v>
      </c>
      <c r="AV42" s="991" t="s">
        <v>718</v>
      </c>
      <c r="AW42" s="991" t="s">
        <v>717</v>
      </c>
      <c r="AX42" s="991" t="s">
        <v>702</v>
      </c>
      <c r="AY42" s="992" t="s">
        <v>703</v>
      </c>
      <c r="AZ42" s="992" t="s">
        <v>704</v>
      </c>
      <c r="BA42" s="992" t="s">
        <v>705</v>
      </c>
      <c r="BB42" s="992" t="str">
        <f>BB17</f>
        <v>1Q17</v>
      </c>
      <c r="BC42" s="992" t="str">
        <f>BC17</f>
        <v>2Q17</v>
      </c>
      <c r="BD42" s="992" t="str">
        <f>BD17</f>
        <v>3Q17</v>
      </c>
      <c r="BE42" s="992" t="str">
        <f>BE17</f>
        <v>4Q17</v>
      </c>
    </row>
    <row r="43" spans="1:61">
      <c r="A43" s="993" t="s">
        <v>728</v>
      </c>
      <c r="B43" s="993">
        <v>1493</v>
      </c>
      <c r="C43" s="993">
        <f>B46</f>
        <v>1479</v>
      </c>
      <c r="D43" s="993">
        <f t="shared" ref="D43:Y43" si="439">C46</f>
        <v>1455</v>
      </c>
      <c r="E43" s="993">
        <f t="shared" si="439"/>
        <v>1458</v>
      </c>
      <c r="F43" s="993">
        <f t="shared" si="439"/>
        <v>1396</v>
      </c>
      <c r="G43" s="993">
        <f t="shared" si="439"/>
        <v>1390</v>
      </c>
      <c r="H43" s="993">
        <f t="shared" si="439"/>
        <v>1385</v>
      </c>
      <c r="I43" s="993">
        <f t="shared" si="439"/>
        <v>1402</v>
      </c>
      <c r="J43" s="993">
        <f t="shared" si="439"/>
        <v>1335</v>
      </c>
      <c r="K43" s="993">
        <f t="shared" si="439"/>
        <v>1328</v>
      </c>
      <c r="L43" s="993">
        <f t="shared" si="439"/>
        <v>1327</v>
      </c>
      <c r="M43" s="993">
        <f t="shared" si="439"/>
        <v>1338</v>
      </c>
      <c r="N43" s="993">
        <f t="shared" si="439"/>
        <v>1293</v>
      </c>
      <c r="O43" s="993">
        <f t="shared" si="439"/>
        <v>1294</v>
      </c>
      <c r="P43" s="993">
        <f t="shared" si="439"/>
        <v>1281</v>
      </c>
      <c r="Q43" s="993">
        <f t="shared" si="439"/>
        <v>1278</v>
      </c>
      <c r="R43" s="993">
        <f t="shared" si="439"/>
        <v>1249</v>
      </c>
      <c r="S43" s="993">
        <f t="shared" si="439"/>
        <v>1245</v>
      </c>
      <c r="T43" s="993">
        <f t="shared" si="439"/>
        <v>1230</v>
      </c>
      <c r="U43" s="993">
        <f t="shared" si="439"/>
        <v>1227</v>
      </c>
      <c r="V43" s="993">
        <f t="shared" si="439"/>
        <v>1193</v>
      </c>
      <c r="W43" s="993">
        <f t="shared" si="439"/>
        <v>1188</v>
      </c>
      <c r="X43" s="993">
        <f t="shared" si="439"/>
        <v>1179</v>
      </c>
      <c r="Y43" s="993">
        <f t="shared" si="439"/>
        <v>1173</v>
      </c>
      <c r="Z43" s="1001">
        <v>1152</v>
      </c>
      <c r="AA43" s="1001">
        <f t="shared" ref="AA43:BE43" si="440">+Z46</f>
        <v>1143</v>
      </c>
      <c r="AB43" s="1001">
        <f t="shared" si="440"/>
        <v>1132</v>
      </c>
      <c r="AC43" s="1001">
        <f t="shared" si="440"/>
        <v>1127</v>
      </c>
      <c r="AD43" s="1001">
        <f t="shared" si="440"/>
        <v>1111</v>
      </c>
      <c r="AE43" s="1001">
        <f t="shared" si="440"/>
        <v>1104</v>
      </c>
      <c r="AF43" s="1001">
        <f t="shared" si="440"/>
        <v>1091</v>
      </c>
      <c r="AG43" s="1001">
        <f t="shared" si="440"/>
        <v>1086</v>
      </c>
      <c r="AH43" s="1001">
        <f t="shared" si="440"/>
        <v>1043</v>
      </c>
      <c r="AI43" s="1001">
        <f t="shared" si="440"/>
        <v>1022</v>
      </c>
      <c r="AJ43" s="1001">
        <f t="shared" si="440"/>
        <v>1014</v>
      </c>
      <c r="AK43" s="1001">
        <f t="shared" si="440"/>
        <v>1016</v>
      </c>
      <c r="AL43" s="1001">
        <f t="shared" si="440"/>
        <v>990</v>
      </c>
      <c r="AM43" s="1001">
        <f t="shared" si="440"/>
        <v>983</v>
      </c>
      <c r="AN43" s="1001">
        <f t="shared" si="440"/>
        <v>969</v>
      </c>
      <c r="AO43" s="1001">
        <f t="shared" si="440"/>
        <v>978</v>
      </c>
      <c r="AP43" s="1001">
        <f t="shared" si="440"/>
        <v>968</v>
      </c>
      <c r="AQ43" s="1001">
        <f t="shared" si="440"/>
        <v>966</v>
      </c>
      <c r="AR43" s="1001">
        <f t="shared" si="440"/>
        <v>966</v>
      </c>
      <c r="AS43" s="1001">
        <f t="shared" si="440"/>
        <v>977</v>
      </c>
      <c r="AT43" s="1001">
        <f t="shared" si="440"/>
        <v>960</v>
      </c>
      <c r="AU43" s="1001">
        <f t="shared" si="440"/>
        <v>963</v>
      </c>
      <c r="AV43" s="1001">
        <f t="shared" si="440"/>
        <v>943</v>
      </c>
      <c r="AW43" s="1001">
        <f t="shared" si="440"/>
        <v>939</v>
      </c>
      <c r="AX43" s="1001">
        <f t="shared" si="440"/>
        <v>866</v>
      </c>
      <c r="AY43" s="1001">
        <f t="shared" si="440"/>
        <v>862</v>
      </c>
      <c r="AZ43" s="1001">
        <f t="shared" si="440"/>
        <v>856</v>
      </c>
      <c r="BA43" s="1001">
        <f t="shared" si="440"/>
        <v>858</v>
      </c>
      <c r="BB43" s="1001">
        <f t="shared" si="440"/>
        <v>844</v>
      </c>
      <c r="BC43" s="1001">
        <f t="shared" si="440"/>
        <v>835</v>
      </c>
      <c r="BD43" s="1001">
        <f t="shared" si="440"/>
        <v>834</v>
      </c>
      <c r="BE43" s="1001">
        <f t="shared" si="440"/>
        <v>835</v>
      </c>
    </row>
    <row r="44" spans="1:61">
      <c r="A44" s="993" t="s">
        <v>727</v>
      </c>
      <c r="B44" s="993">
        <v>1</v>
      </c>
      <c r="C44" s="993">
        <v>2</v>
      </c>
      <c r="D44" s="993">
        <v>7</v>
      </c>
      <c r="E44" s="993">
        <v>11</v>
      </c>
      <c r="F44" s="993">
        <v>9</v>
      </c>
      <c r="G44" s="993">
        <v>9</v>
      </c>
      <c r="H44" s="993">
        <v>22</v>
      </c>
      <c r="I44" s="993">
        <v>4</v>
      </c>
      <c r="J44" s="993">
        <v>11</v>
      </c>
      <c r="K44" s="993">
        <v>10</v>
      </c>
      <c r="L44" s="993">
        <v>14</v>
      </c>
      <c r="M44" s="993">
        <v>5</v>
      </c>
      <c r="N44" s="993">
        <v>11</v>
      </c>
      <c r="O44" s="993">
        <v>5</v>
      </c>
      <c r="P44" s="993">
        <v>9</v>
      </c>
      <c r="Q44" s="993">
        <v>4</v>
      </c>
      <c r="R44" s="993">
        <v>6</v>
      </c>
      <c r="S44" s="993">
        <v>1</v>
      </c>
      <c r="T44" s="993">
        <v>5</v>
      </c>
      <c r="U44" s="993">
        <v>1</v>
      </c>
      <c r="V44" s="993">
        <v>3</v>
      </c>
      <c r="W44" s="993">
        <v>1</v>
      </c>
      <c r="X44" s="993">
        <v>3</v>
      </c>
      <c r="Y44" s="993">
        <v>4</v>
      </c>
      <c r="Z44" s="1001">
        <v>1</v>
      </c>
      <c r="AA44" s="1001">
        <v>0</v>
      </c>
      <c r="AB44" s="1001">
        <v>6</v>
      </c>
      <c r="AC44" s="1001">
        <v>5</v>
      </c>
      <c r="AD44" s="1001">
        <v>2</v>
      </c>
      <c r="AE44" s="1001">
        <v>6</v>
      </c>
      <c r="AF44" s="1001">
        <v>8</v>
      </c>
      <c r="AG44" s="1001">
        <v>7</v>
      </c>
      <c r="AH44" s="1001">
        <v>5</v>
      </c>
      <c r="AI44" s="1001">
        <v>4</v>
      </c>
      <c r="AJ44" s="1001">
        <v>6</v>
      </c>
      <c r="AK44" s="1001">
        <v>15</v>
      </c>
      <c r="AL44" s="1001">
        <v>8</v>
      </c>
      <c r="AM44" s="1001">
        <v>8</v>
      </c>
      <c r="AN44" s="1001">
        <v>10</v>
      </c>
      <c r="AO44" s="1001">
        <v>12</v>
      </c>
      <c r="AP44" s="1001">
        <v>3</v>
      </c>
      <c r="AQ44" s="1001">
        <v>13</v>
      </c>
      <c r="AR44" s="1001">
        <v>16</v>
      </c>
      <c r="AS44" s="1001">
        <v>6</v>
      </c>
      <c r="AT44" s="1001">
        <v>10</v>
      </c>
      <c r="AU44" s="1001">
        <v>6</v>
      </c>
      <c r="AV44" s="1001">
        <v>9</v>
      </c>
      <c r="AW44" s="1001">
        <v>9</v>
      </c>
      <c r="AX44" s="1001">
        <v>2</v>
      </c>
      <c r="AY44" s="1001">
        <v>3</v>
      </c>
      <c r="AZ44" s="1001">
        <f>11-AY44-AX44</f>
        <v>6</v>
      </c>
      <c r="BA44" s="1001">
        <f>14-AZ44-AY44-AX44</f>
        <v>3</v>
      </c>
      <c r="BB44" s="1001">
        <v>0</v>
      </c>
      <c r="BC44" s="1001">
        <v>3</v>
      </c>
      <c r="BD44" s="1001">
        <v>3</v>
      </c>
      <c r="BE44" s="1001">
        <v>2</v>
      </c>
    </row>
    <row r="45" spans="1:61">
      <c r="A45" s="995" t="s">
        <v>726</v>
      </c>
      <c r="B45" s="995">
        <v>15</v>
      </c>
      <c r="C45" s="995">
        <v>26</v>
      </c>
      <c r="D45" s="995">
        <v>4</v>
      </c>
      <c r="E45" s="995">
        <v>73</v>
      </c>
      <c r="F45" s="995">
        <v>15</v>
      </c>
      <c r="G45" s="995">
        <v>14</v>
      </c>
      <c r="H45" s="995">
        <v>5</v>
      </c>
      <c r="I45" s="995">
        <v>71</v>
      </c>
      <c r="J45" s="995">
        <v>18</v>
      </c>
      <c r="K45" s="995">
        <v>11</v>
      </c>
      <c r="L45" s="995">
        <v>3</v>
      </c>
      <c r="M45" s="995">
        <v>50</v>
      </c>
      <c r="N45" s="995">
        <v>10</v>
      </c>
      <c r="O45" s="995">
        <v>18</v>
      </c>
      <c r="P45" s="995">
        <v>12</v>
      </c>
      <c r="Q45" s="995">
        <v>33</v>
      </c>
      <c r="R45" s="995">
        <v>10</v>
      </c>
      <c r="S45" s="995">
        <v>16</v>
      </c>
      <c r="T45" s="995">
        <v>8</v>
      </c>
      <c r="U45" s="995">
        <v>35</v>
      </c>
      <c r="V45" s="995">
        <v>8</v>
      </c>
      <c r="W45" s="995">
        <v>10</v>
      </c>
      <c r="X45" s="995">
        <v>9</v>
      </c>
      <c r="Y45" s="995">
        <v>25</v>
      </c>
      <c r="Z45" s="1002">
        <v>10</v>
      </c>
      <c r="AA45" s="1002">
        <v>11</v>
      </c>
      <c r="AB45" s="1002">
        <v>11</v>
      </c>
      <c r="AC45" s="1002">
        <v>21</v>
      </c>
      <c r="AD45" s="1002">
        <v>9</v>
      </c>
      <c r="AE45" s="1002">
        <v>19</v>
      </c>
      <c r="AF45" s="1002">
        <v>13</v>
      </c>
      <c r="AG45" s="1002">
        <v>50</v>
      </c>
      <c r="AH45" s="1002">
        <v>26</v>
      </c>
      <c r="AI45" s="1002">
        <v>12</v>
      </c>
      <c r="AJ45" s="1002">
        <v>4</v>
      </c>
      <c r="AK45" s="1002">
        <v>41</v>
      </c>
      <c r="AL45" s="1002">
        <v>15</v>
      </c>
      <c r="AM45" s="1002">
        <v>22</v>
      </c>
      <c r="AN45" s="1002">
        <v>1</v>
      </c>
      <c r="AO45" s="1002">
        <v>22</v>
      </c>
      <c r="AP45" s="1002">
        <v>5</v>
      </c>
      <c r="AQ45" s="1002">
        <v>13</v>
      </c>
      <c r="AR45" s="1002">
        <v>5</v>
      </c>
      <c r="AS45" s="1002">
        <v>23</v>
      </c>
      <c r="AT45" s="1002">
        <v>7</v>
      </c>
      <c r="AU45" s="1002">
        <v>26</v>
      </c>
      <c r="AV45" s="1002">
        <v>13</v>
      </c>
      <c r="AW45" s="1002">
        <v>82</v>
      </c>
      <c r="AX45" s="1002">
        <v>6</v>
      </c>
      <c r="AY45" s="1002">
        <v>9</v>
      </c>
      <c r="AZ45" s="1002">
        <f>19-AY45-AX45</f>
        <v>4</v>
      </c>
      <c r="BA45" s="1002">
        <f>36-AZ45-AY45-AX45</f>
        <v>17</v>
      </c>
      <c r="BB45" s="1002">
        <v>9</v>
      </c>
      <c r="BC45" s="1002">
        <v>4</v>
      </c>
      <c r="BD45" s="1002">
        <v>2</v>
      </c>
      <c r="BE45" s="1002">
        <v>27</v>
      </c>
    </row>
    <row r="46" spans="1:61">
      <c r="A46" s="997" t="s">
        <v>725</v>
      </c>
      <c r="B46" s="997">
        <f>B43+B44-B45</f>
        <v>1479</v>
      </c>
      <c r="C46" s="997">
        <f t="shared" ref="C46:Y46" si="441">C43+C44-C45</f>
        <v>1455</v>
      </c>
      <c r="D46" s="997">
        <f t="shared" si="441"/>
        <v>1458</v>
      </c>
      <c r="E46" s="997">
        <f t="shared" si="441"/>
        <v>1396</v>
      </c>
      <c r="F46" s="997">
        <f t="shared" si="441"/>
        <v>1390</v>
      </c>
      <c r="G46" s="997">
        <f t="shared" si="441"/>
        <v>1385</v>
      </c>
      <c r="H46" s="997">
        <f t="shared" si="441"/>
        <v>1402</v>
      </c>
      <c r="I46" s="997">
        <f t="shared" si="441"/>
        <v>1335</v>
      </c>
      <c r="J46" s="997">
        <f t="shared" si="441"/>
        <v>1328</v>
      </c>
      <c r="K46" s="997">
        <f t="shared" si="441"/>
        <v>1327</v>
      </c>
      <c r="L46" s="997">
        <f t="shared" si="441"/>
        <v>1338</v>
      </c>
      <c r="M46" s="997">
        <f t="shared" si="441"/>
        <v>1293</v>
      </c>
      <c r="N46" s="997">
        <f t="shared" si="441"/>
        <v>1294</v>
      </c>
      <c r="O46" s="997">
        <f t="shared" si="441"/>
        <v>1281</v>
      </c>
      <c r="P46" s="997">
        <f t="shared" si="441"/>
        <v>1278</v>
      </c>
      <c r="Q46" s="997">
        <f t="shared" si="441"/>
        <v>1249</v>
      </c>
      <c r="R46" s="997">
        <f t="shared" si="441"/>
        <v>1245</v>
      </c>
      <c r="S46" s="997">
        <f t="shared" si="441"/>
        <v>1230</v>
      </c>
      <c r="T46" s="997">
        <f t="shared" si="441"/>
        <v>1227</v>
      </c>
      <c r="U46" s="997">
        <f t="shared" si="441"/>
        <v>1193</v>
      </c>
      <c r="V46" s="997">
        <f t="shared" si="441"/>
        <v>1188</v>
      </c>
      <c r="W46" s="997">
        <f t="shared" si="441"/>
        <v>1179</v>
      </c>
      <c r="X46" s="997">
        <f t="shared" si="441"/>
        <v>1173</v>
      </c>
      <c r="Y46" s="997">
        <f t="shared" si="441"/>
        <v>1152</v>
      </c>
      <c r="Z46" s="1003">
        <f t="shared" ref="Z46:AX46" si="442">Z43+Z44-Z45</f>
        <v>1143</v>
      </c>
      <c r="AA46" s="1003">
        <f t="shared" si="442"/>
        <v>1132</v>
      </c>
      <c r="AB46" s="1003">
        <f t="shared" si="442"/>
        <v>1127</v>
      </c>
      <c r="AC46" s="1003">
        <f t="shared" si="442"/>
        <v>1111</v>
      </c>
      <c r="AD46" s="1003">
        <f t="shared" si="442"/>
        <v>1104</v>
      </c>
      <c r="AE46" s="1003">
        <f t="shared" si="442"/>
        <v>1091</v>
      </c>
      <c r="AF46" s="1003">
        <f t="shared" si="442"/>
        <v>1086</v>
      </c>
      <c r="AG46" s="1003">
        <f t="shared" si="442"/>
        <v>1043</v>
      </c>
      <c r="AH46" s="1003">
        <f t="shared" si="442"/>
        <v>1022</v>
      </c>
      <c r="AI46" s="1003">
        <f t="shared" si="442"/>
        <v>1014</v>
      </c>
      <c r="AJ46" s="1003">
        <f t="shared" si="442"/>
        <v>1016</v>
      </c>
      <c r="AK46" s="1003">
        <f t="shared" si="442"/>
        <v>990</v>
      </c>
      <c r="AL46" s="1003">
        <f t="shared" si="442"/>
        <v>983</v>
      </c>
      <c r="AM46" s="1003">
        <f t="shared" si="442"/>
        <v>969</v>
      </c>
      <c r="AN46" s="1003">
        <f t="shared" si="442"/>
        <v>978</v>
      </c>
      <c r="AO46" s="1003">
        <f t="shared" si="442"/>
        <v>968</v>
      </c>
      <c r="AP46" s="1003">
        <f t="shared" si="442"/>
        <v>966</v>
      </c>
      <c r="AQ46" s="1003">
        <f t="shared" si="442"/>
        <v>966</v>
      </c>
      <c r="AR46" s="1003">
        <f t="shared" si="442"/>
        <v>977</v>
      </c>
      <c r="AS46" s="1003">
        <f t="shared" si="442"/>
        <v>960</v>
      </c>
      <c r="AT46" s="1003">
        <f t="shared" si="442"/>
        <v>963</v>
      </c>
      <c r="AU46" s="1003">
        <f t="shared" si="442"/>
        <v>943</v>
      </c>
      <c r="AV46" s="1003">
        <f t="shared" si="442"/>
        <v>939</v>
      </c>
      <c r="AW46" s="1003">
        <f t="shared" si="442"/>
        <v>866</v>
      </c>
      <c r="AX46" s="1003">
        <f t="shared" si="442"/>
        <v>862</v>
      </c>
      <c r="AY46" s="1003">
        <f t="shared" ref="AY46:BA46" si="443">AY43+AY44-AY45</f>
        <v>856</v>
      </c>
      <c r="AZ46" s="1003">
        <f t="shared" si="443"/>
        <v>858</v>
      </c>
      <c r="BA46" s="1003">
        <f t="shared" si="443"/>
        <v>844</v>
      </c>
      <c r="BB46" s="1003">
        <f t="shared" ref="BB46:BC46" si="444">BB43+BB44-BB45</f>
        <v>835</v>
      </c>
      <c r="BC46" s="1003">
        <f t="shared" si="444"/>
        <v>834</v>
      </c>
      <c r="BD46" s="1003">
        <f t="shared" ref="BD46:BE46" si="445">BD43+BD44-BD45</f>
        <v>835</v>
      </c>
      <c r="BE46" s="1003">
        <f t="shared" si="445"/>
        <v>810</v>
      </c>
    </row>
    <row r="48" spans="1:61">
      <c r="A48" s="991" t="s">
        <v>668</v>
      </c>
      <c r="B48" s="991" t="str">
        <f>B42</f>
        <v>1Q04</v>
      </c>
      <c r="C48" s="991" t="str">
        <f t="shared" ref="C48:Y48" si="446">C42</f>
        <v>2Q04</v>
      </c>
      <c r="D48" s="991" t="str">
        <f t="shared" si="446"/>
        <v>3Q04</v>
      </c>
      <c r="E48" s="991" t="str">
        <f t="shared" si="446"/>
        <v>4Q04</v>
      </c>
      <c r="F48" s="991" t="str">
        <f t="shared" si="446"/>
        <v>1Q05</v>
      </c>
      <c r="G48" s="991" t="str">
        <f t="shared" si="446"/>
        <v>2Q05</v>
      </c>
      <c r="H48" s="991" t="str">
        <f t="shared" si="446"/>
        <v>3Q05</v>
      </c>
      <c r="I48" s="991" t="str">
        <f t="shared" si="446"/>
        <v>4Q05</v>
      </c>
      <c r="J48" s="991" t="str">
        <f t="shared" si="446"/>
        <v>1Q06</v>
      </c>
      <c r="K48" s="991" t="str">
        <f t="shared" si="446"/>
        <v>2Q06</v>
      </c>
      <c r="L48" s="991" t="str">
        <f t="shared" si="446"/>
        <v>3Q06</v>
      </c>
      <c r="M48" s="991" t="str">
        <f t="shared" si="446"/>
        <v>4Q06</v>
      </c>
      <c r="N48" s="991" t="str">
        <f t="shared" si="446"/>
        <v>1Q07</v>
      </c>
      <c r="O48" s="991" t="str">
        <f t="shared" si="446"/>
        <v>2Q07</v>
      </c>
      <c r="P48" s="991" t="str">
        <f t="shared" si="446"/>
        <v>3Q07</v>
      </c>
      <c r="Q48" s="991" t="str">
        <f t="shared" si="446"/>
        <v>4Q07</v>
      </c>
      <c r="R48" s="991" t="str">
        <f t="shared" si="446"/>
        <v>1Q08</v>
      </c>
      <c r="S48" s="991" t="str">
        <f t="shared" si="446"/>
        <v>2Q08</v>
      </c>
      <c r="T48" s="991" t="str">
        <f t="shared" si="446"/>
        <v>3Q08</v>
      </c>
      <c r="U48" s="991" t="str">
        <f t="shared" si="446"/>
        <v>4Q08</v>
      </c>
      <c r="V48" s="991" t="str">
        <f t="shared" si="446"/>
        <v>1Q09</v>
      </c>
      <c r="W48" s="991" t="str">
        <f t="shared" si="446"/>
        <v>2Q09</v>
      </c>
      <c r="X48" s="991" t="str">
        <f t="shared" si="446"/>
        <v>3Q09</v>
      </c>
      <c r="Y48" s="991" t="str">
        <f t="shared" si="446"/>
        <v>4Q09</v>
      </c>
      <c r="Z48" s="991" t="s">
        <v>447</v>
      </c>
      <c r="AA48" s="991" t="s">
        <v>448</v>
      </c>
      <c r="AB48" s="991" t="s">
        <v>453</v>
      </c>
      <c r="AC48" s="991" t="s">
        <v>454</v>
      </c>
      <c r="AD48" s="991" t="s">
        <v>449</v>
      </c>
      <c r="AE48" s="991" t="s">
        <v>450</v>
      </c>
      <c r="AF48" s="991" t="s">
        <v>451</v>
      </c>
      <c r="AG48" s="991" t="s">
        <v>452</v>
      </c>
      <c r="AH48" s="991" t="s">
        <v>265</v>
      </c>
      <c r="AI48" s="991" t="s">
        <v>125</v>
      </c>
      <c r="AJ48" s="991" t="s">
        <v>266</v>
      </c>
      <c r="AK48" s="991" t="s">
        <v>267</v>
      </c>
      <c r="AL48" s="991" t="s">
        <v>724</v>
      </c>
      <c r="AM48" s="991" t="s">
        <v>723</v>
      </c>
      <c r="AN48" s="991" t="s">
        <v>722</v>
      </c>
      <c r="AO48" s="991" t="s">
        <v>721</v>
      </c>
      <c r="AP48" s="991" t="s">
        <v>671</v>
      </c>
      <c r="AQ48" s="991" t="s">
        <v>477</v>
      </c>
      <c r="AR48" s="991" t="s">
        <v>672</v>
      </c>
      <c r="AS48" s="991" t="s">
        <v>673</v>
      </c>
      <c r="AT48" s="991" t="s">
        <v>720</v>
      </c>
      <c r="AU48" s="991" t="s">
        <v>719</v>
      </c>
      <c r="AV48" s="991" t="s">
        <v>718</v>
      </c>
      <c r="AW48" s="991" t="s">
        <v>717</v>
      </c>
      <c r="AX48" s="991" t="str">
        <f>$AX$42</f>
        <v>1Q16</v>
      </c>
      <c r="AY48" s="991" t="str">
        <f>$AY$42</f>
        <v>2Q16</v>
      </c>
      <c r="AZ48" s="992" t="s">
        <v>704</v>
      </c>
      <c r="BA48" s="992" t="s">
        <v>705</v>
      </c>
      <c r="BB48" s="992" t="str">
        <f>BB2</f>
        <v>1Q17</v>
      </c>
      <c r="BC48" s="992" t="str">
        <f>BC2</f>
        <v>2Q17</v>
      </c>
      <c r="BD48" s="992" t="str">
        <f>BD2</f>
        <v>3Q17</v>
      </c>
      <c r="BE48" s="992" t="str">
        <f>BE2</f>
        <v>4Q17</v>
      </c>
    </row>
    <row r="49" spans="1:57">
      <c r="A49" s="993" t="s">
        <v>716</v>
      </c>
      <c r="C49" s="993">
        <v>13.6</v>
      </c>
      <c r="D49" s="993">
        <f>C51</f>
        <v>13.4</v>
      </c>
      <c r="E49" s="993">
        <f t="shared" ref="E49:Y49" si="447">D51</f>
        <v>13.4</v>
      </c>
      <c r="F49" s="993">
        <f t="shared" si="447"/>
        <v>13</v>
      </c>
      <c r="G49" s="993">
        <f t="shared" si="447"/>
        <v>13</v>
      </c>
      <c r="H49" s="993">
        <f t="shared" si="447"/>
        <v>12.9</v>
      </c>
      <c r="I49" s="993">
        <f t="shared" si="447"/>
        <v>13.1</v>
      </c>
      <c r="J49" s="993">
        <f t="shared" si="447"/>
        <v>12.6</v>
      </c>
      <c r="K49" s="993">
        <f t="shared" si="447"/>
        <v>12.6</v>
      </c>
      <c r="L49" s="993">
        <f t="shared" si="447"/>
        <v>12.6</v>
      </c>
      <c r="M49" s="993">
        <f t="shared" si="447"/>
        <v>12.7</v>
      </c>
      <c r="N49" s="993">
        <f t="shared" si="447"/>
        <v>12.3</v>
      </c>
      <c r="O49" s="993">
        <f t="shared" si="447"/>
        <v>12.4</v>
      </c>
      <c r="P49" s="993">
        <f t="shared" si="447"/>
        <v>12.4</v>
      </c>
      <c r="Q49" s="993">
        <f t="shared" si="447"/>
        <v>12.4</v>
      </c>
      <c r="R49" s="993">
        <f t="shared" si="447"/>
        <v>12.2</v>
      </c>
      <c r="S49" s="993">
        <f t="shared" si="447"/>
        <v>12.2</v>
      </c>
      <c r="T49" s="993">
        <f t="shared" si="447"/>
        <v>12.1</v>
      </c>
      <c r="U49" s="993">
        <f t="shared" si="447"/>
        <v>12.1</v>
      </c>
      <c r="V49" s="993">
        <f t="shared" si="447"/>
        <v>11.8</v>
      </c>
      <c r="W49" s="993">
        <f t="shared" si="447"/>
        <v>11.8</v>
      </c>
      <c r="X49" s="993">
        <f t="shared" si="447"/>
        <v>11.7</v>
      </c>
      <c r="Y49" s="993">
        <f t="shared" si="447"/>
        <v>11.7</v>
      </c>
      <c r="Z49" s="1001">
        <v>11.5</v>
      </c>
      <c r="AA49" s="1001">
        <f t="shared" ref="AA49:AY49" si="448">+Z51</f>
        <v>11.5</v>
      </c>
      <c r="AB49" s="1001">
        <f t="shared" si="448"/>
        <v>11.4</v>
      </c>
      <c r="AC49" s="1001">
        <f t="shared" si="448"/>
        <v>11.2</v>
      </c>
      <c r="AD49" s="1001">
        <f t="shared" si="448"/>
        <v>11.1</v>
      </c>
      <c r="AE49" s="1001">
        <f t="shared" si="448"/>
        <v>11.1</v>
      </c>
      <c r="AF49" s="1001">
        <f t="shared" si="448"/>
        <v>11.1</v>
      </c>
      <c r="AG49" s="1001">
        <f t="shared" si="448"/>
        <v>11.1</v>
      </c>
      <c r="AH49" s="1001">
        <f t="shared" si="448"/>
        <v>10.7</v>
      </c>
      <c r="AI49" s="1001">
        <f t="shared" si="448"/>
        <v>10.5</v>
      </c>
      <c r="AJ49" s="1001">
        <f t="shared" si="448"/>
        <v>10.4</v>
      </c>
      <c r="AK49" s="1001">
        <f t="shared" si="448"/>
        <v>10.5</v>
      </c>
      <c r="AL49" s="1001">
        <f t="shared" si="448"/>
        <v>10.199999999999999</v>
      </c>
      <c r="AM49" s="1001">
        <f t="shared" si="448"/>
        <v>10.199999999999999</v>
      </c>
      <c r="AN49" s="1001">
        <f t="shared" si="448"/>
        <v>10.1</v>
      </c>
      <c r="AO49" s="1001">
        <f t="shared" si="448"/>
        <v>10.199999999999999</v>
      </c>
      <c r="AP49" s="1001">
        <f t="shared" si="448"/>
        <v>10.1</v>
      </c>
      <c r="AQ49" s="1001">
        <f t="shared" si="448"/>
        <v>10.1</v>
      </c>
      <c r="AR49" s="1001">
        <f t="shared" si="448"/>
        <v>10.1</v>
      </c>
      <c r="AS49" s="1001">
        <f t="shared" si="448"/>
        <v>10.199999999999999</v>
      </c>
      <c r="AT49" s="1001">
        <f t="shared" si="448"/>
        <v>10</v>
      </c>
      <c r="AU49" s="1001">
        <f t="shared" si="448"/>
        <v>10.1</v>
      </c>
      <c r="AV49" s="1001">
        <f t="shared" si="448"/>
        <v>9.9</v>
      </c>
      <c r="AW49" s="1001">
        <f t="shared" si="448"/>
        <v>9.8000000000000007</v>
      </c>
      <c r="AX49" s="1001">
        <f t="shared" si="448"/>
        <v>9.1</v>
      </c>
      <c r="AY49" s="1001">
        <f t="shared" si="448"/>
        <v>9</v>
      </c>
      <c r="AZ49" s="1001">
        <f t="shared" ref="AZ49:BE49" si="449">AY51</f>
        <v>8.9</v>
      </c>
      <c r="BA49" s="1441">
        <f t="shared" si="449"/>
        <v>9</v>
      </c>
      <c r="BB49" s="1441">
        <f t="shared" si="449"/>
        <v>8.8000000000000007</v>
      </c>
      <c r="BC49" s="1441">
        <f t="shared" si="449"/>
        <v>8.6</v>
      </c>
      <c r="BD49" s="1441">
        <f t="shared" si="449"/>
        <v>8.6</v>
      </c>
      <c r="BE49" s="1441">
        <f t="shared" si="449"/>
        <v>8.6</v>
      </c>
    </row>
    <row r="50" spans="1:57">
      <c r="A50" s="995" t="s">
        <v>136</v>
      </c>
      <c r="B50" s="995"/>
      <c r="C50" s="1002">
        <f t="shared" ref="C50:D50" si="450">C51-C49</f>
        <v>-0.19999999999999929</v>
      </c>
      <c r="D50" s="1002">
        <f t="shared" si="450"/>
        <v>0</v>
      </c>
      <c r="E50" s="1002">
        <f t="shared" ref="E50:Y50" si="451">E51-E49</f>
        <v>-0.40000000000000036</v>
      </c>
      <c r="F50" s="1002">
        <f t="shared" si="451"/>
        <v>0</v>
      </c>
      <c r="G50" s="1002">
        <f t="shared" si="451"/>
        <v>-9.9999999999999645E-2</v>
      </c>
      <c r="H50" s="1002">
        <f t="shared" si="451"/>
        <v>0.19999999999999929</v>
      </c>
      <c r="I50" s="1002">
        <f t="shared" si="451"/>
        <v>-0.5</v>
      </c>
      <c r="J50" s="1002">
        <f t="shared" si="451"/>
        <v>0</v>
      </c>
      <c r="K50" s="1002">
        <f t="shared" si="451"/>
        <v>0</v>
      </c>
      <c r="L50" s="1002">
        <f t="shared" si="451"/>
        <v>9.9999999999999645E-2</v>
      </c>
      <c r="M50" s="1002">
        <f t="shared" si="451"/>
        <v>-0.39999999999999858</v>
      </c>
      <c r="N50" s="1002">
        <f t="shared" si="451"/>
        <v>9.9999999999999645E-2</v>
      </c>
      <c r="O50" s="1002">
        <f t="shared" si="451"/>
        <v>0</v>
      </c>
      <c r="P50" s="1002">
        <f t="shared" si="451"/>
        <v>0</v>
      </c>
      <c r="Q50" s="1002">
        <f t="shared" si="451"/>
        <v>-0.20000000000000107</v>
      </c>
      <c r="R50" s="1002">
        <f t="shared" si="451"/>
        <v>0</v>
      </c>
      <c r="S50" s="1002">
        <f t="shared" si="451"/>
        <v>-9.9999999999999645E-2</v>
      </c>
      <c r="T50" s="1002">
        <f t="shared" si="451"/>
        <v>0</v>
      </c>
      <c r="U50" s="1002">
        <f t="shared" si="451"/>
        <v>-0.29999999999999893</v>
      </c>
      <c r="V50" s="1002">
        <f t="shared" si="451"/>
        <v>0</v>
      </c>
      <c r="W50" s="1002">
        <f t="shared" si="451"/>
        <v>-0.10000000000000142</v>
      </c>
      <c r="X50" s="1002">
        <f t="shared" si="451"/>
        <v>0</v>
      </c>
      <c r="Y50" s="1002">
        <f t="shared" si="451"/>
        <v>-0.19999999999999929</v>
      </c>
      <c r="Z50" s="1002">
        <f t="shared" ref="Z50:AX50" si="452">Z51-Z49</f>
        <v>0</v>
      </c>
      <c r="AA50" s="1002">
        <f t="shared" si="452"/>
        <v>-9.9999999999999645E-2</v>
      </c>
      <c r="AB50" s="1002">
        <f t="shared" si="452"/>
        <v>-0.20000000000000107</v>
      </c>
      <c r="AC50" s="1002">
        <f t="shared" si="452"/>
        <v>-9.9999999999999645E-2</v>
      </c>
      <c r="AD50" s="1002">
        <f t="shared" si="452"/>
        <v>0</v>
      </c>
      <c r="AE50" s="1002">
        <f t="shared" si="452"/>
        <v>0</v>
      </c>
      <c r="AF50" s="1002">
        <f t="shared" si="452"/>
        <v>0</v>
      </c>
      <c r="AG50" s="1002">
        <f t="shared" si="452"/>
        <v>-0.40000000000000036</v>
      </c>
      <c r="AH50" s="1002">
        <f t="shared" si="452"/>
        <v>-0.19999999999999929</v>
      </c>
      <c r="AI50" s="1002">
        <f t="shared" si="452"/>
        <v>-9.9999999999999645E-2</v>
      </c>
      <c r="AJ50" s="1002">
        <f t="shared" si="452"/>
        <v>9.9999999999999645E-2</v>
      </c>
      <c r="AK50" s="1002">
        <f t="shared" si="452"/>
        <v>-0.30000000000000071</v>
      </c>
      <c r="AL50" s="1002">
        <f t="shared" si="452"/>
        <v>0</v>
      </c>
      <c r="AM50" s="1002">
        <f t="shared" si="452"/>
        <v>-9.9999999999999645E-2</v>
      </c>
      <c r="AN50" s="1002">
        <f t="shared" si="452"/>
        <v>9.9999999999999645E-2</v>
      </c>
      <c r="AO50" s="1002">
        <f t="shared" si="452"/>
        <v>-9.9999999999999645E-2</v>
      </c>
      <c r="AP50" s="1002">
        <f t="shared" si="452"/>
        <v>0</v>
      </c>
      <c r="AQ50" s="1002">
        <f t="shared" si="452"/>
        <v>0</v>
      </c>
      <c r="AR50" s="1002">
        <f t="shared" si="452"/>
        <v>9.9999999999999645E-2</v>
      </c>
      <c r="AS50" s="1002">
        <f t="shared" si="452"/>
        <v>-0.19999999999999929</v>
      </c>
      <c r="AT50" s="1002">
        <f t="shared" si="452"/>
        <v>9.9999999999999645E-2</v>
      </c>
      <c r="AU50" s="1002">
        <f t="shared" si="452"/>
        <v>-0.19999999999999929</v>
      </c>
      <c r="AV50" s="1002">
        <f t="shared" si="452"/>
        <v>-9.9999999999999645E-2</v>
      </c>
      <c r="AW50" s="1002">
        <f t="shared" si="452"/>
        <v>-0.70000000000000107</v>
      </c>
      <c r="AX50" s="1002">
        <f t="shared" si="452"/>
        <v>-9.9999999999999645E-2</v>
      </c>
      <c r="AY50" s="1002">
        <f t="shared" ref="AY50:AZ50" si="453">AY51-AY49</f>
        <v>-9.9999999999999645E-2</v>
      </c>
      <c r="AZ50" s="1002">
        <f t="shared" si="453"/>
        <v>9.9999999999999645E-2</v>
      </c>
      <c r="BA50" s="1002">
        <f t="shared" ref="BA50:BB50" si="454">BA51-BA49</f>
        <v>-0.19999999999999929</v>
      </c>
      <c r="BB50" s="1002">
        <f t="shared" si="454"/>
        <v>-0.20000000000000107</v>
      </c>
      <c r="BC50" s="1002">
        <f t="shared" ref="BC50:BD50" si="455">BC51-BC49</f>
        <v>0</v>
      </c>
      <c r="BD50" s="1002">
        <f t="shared" si="455"/>
        <v>0</v>
      </c>
      <c r="BE50" s="1002">
        <f t="shared" ref="BE50" si="456">BE51-BE49</f>
        <v>-0.19999999999999929</v>
      </c>
    </row>
    <row r="51" spans="1:57">
      <c r="A51" s="997" t="s">
        <v>715</v>
      </c>
      <c r="B51" s="997"/>
      <c r="C51" s="997">
        <v>13.4</v>
      </c>
      <c r="D51" s="997">
        <v>13.4</v>
      </c>
      <c r="E51" s="997">
        <v>13</v>
      </c>
      <c r="F51" s="997">
        <v>13</v>
      </c>
      <c r="G51" s="997">
        <v>12.9</v>
      </c>
      <c r="H51" s="997">
        <v>13.1</v>
      </c>
      <c r="I51" s="997">
        <v>12.6</v>
      </c>
      <c r="J51" s="997">
        <v>12.6</v>
      </c>
      <c r="K51" s="997">
        <v>12.6</v>
      </c>
      <c r="L51" s="997">
        <v>12.7</v>
      </c>
      <c r="M51" s="997">
        <v>12.3</v>
      </c>
      <c r="N51" s="997">
        <v>12.4</v>
      </c>
      <c r="O51" s="997">
        <v>12.4</v>
      </c>
      <c r="P51" s="997">
        <v>12.4</v>
      </c>
      <c r="Q51" s="997">
        <v>12.2</v>
      </c>
      <c r="R51" s="997">
        <v>12.2</v>
      </c>
      <c r="S51" s="997">
        <v>12.1</v>
      </c>
      <c r="T51" s="997">
        <v>12.1</v>
      </c>
      <c r="U51" s="997">
        <v>11.8</v>
      </c>
      <c r="V51" s="997">
        <v>11.8</v>
      </c>
      <c r="W51" s="997">
        <v>11.7</v>
      </c>
      <c r="X51" s="997">
        <v>11.7</v>
      </c>
      <c r="Y51" s="997">
        <v>11.5</v>
      </c>
      <c r="Z51" s="1003">
        <v>11.5</v>
      </c>
      <c r="AA51" s="1003">
        <v>11.4</v>
      </c>
      <c r="AB51" s="1003">
        <v>11.2</v>
      </c>
      <c r="AC51" s="1003">
        <v>11.1</v>
      </c>
      <c r="AD51" s="1003">
        <v>11.1</v>
      </c>
      <c r="AE51" s="1003">
        <v>11.1</v>
      </c>
      <c r="AF51" s="1003">
        <v>11.1</v>
      </c>
      <c r="AG51" s="1003">
        <v>10.7</v>
      </c>
      <c r="AH51" s="1003">
        <v>10.5</v>
      </c>
      <c r="AI51" s="1003">
        <v>10.4</v>
      </c>
      <c r="AJ51" s="1003">
        <v>10.5</v>
      </c>
      <c r="AK51" s="1003">
        <v>10.199999999999999</v>
      </c>
      <c r="AL51" s="1003">
        <v>10.199999999999999</v>
      </c>
      <c r="AM51" s="1003">
        <v>10.1</v>
      </c>
      <c r="AN51" s="1003">
        <v>10.199999999999999</v>
      </c>
      <c r="AO51" s="1003">
        <v>10.1</v>
      </c>
      <c r="AP51" s="1003">
        <v>10.1</v>
      </c>
      <c r="AQ51" s="1003">
        <v>10.1</v>
      </c>
      <c r="AR51" s="1003">
        <v>10.199999999999999</v>
      </c>
      <c r="AS51" s="1003">
        <v>10</v>
      </c>
      <c r="AT51" s="1003">
        <v>10.1</v>
      </c>
      <c r="AU51" s="1003">
        <v>9.9</v>
      </c>
      <c r="AV51" s="1003">
        <v>9.8000000000000007</v>
      </c>
      <c r="AW51" s="1003">
        <v>9.1</v>
      </c>
      <c r="AX51" s="1003">
        <v>9</v>
      </c>
      <c r="AY51" s="1003">
        <v>8.9</v>
      </c>
      <c r="AZ51" s="1440">
        <v>9</v>
      </c>
      <c r="BA51" s="1003">
        <v>8.8000000000000007</v>
      </c>
      <c r="BB51" s="1003">
        <v>8.6</v>
      </c>
      <c r="BC51" s="1003">
        <v>8.6</v>
      </c>
      <c r="BD51" s="1003">
        <v>8.6</v>
      </c>
      <c r="BE51" s="1003">
        <v>8.4</v>
      </c>
    </row>
    <row r="53" spans="1:57">
      <c r="A53" s="991" t="s">
        <v>416</v>
      </c>
      <c r="B53" s="991" t="str">
        <f>B42</f>
        <v>1Q04</v>
      </c>
      <c r="C53" s="991" t="str">
        <f t="shared" ref="C53:Y53" si="457">C42</f>
        <v>2Q04</v>
      </c>
      <c r="D53" s="991" t="str">
        <f t="shared" si="457"/>
        <v>3Q04</v>
      </c>
      <c r="E53" s="991" t="str">
        <f t="shared" si="457"/>
        <v>4Q04</v>
      </c>
      <c r="F53" s="991" t="str">
        <f t="shared" si="457"/>
        <v>1Q05</v>
      </c>
      <c r="G53" s="991" t="str">
        <f t="shared" si="457"/>
        <v>2Q05</v>
      </c>
      <c r="H53" s="991" t="str">
        <f t="shared" si="457"/>
        <v>3Q05</v>
      </c>
      <c r="I53" s="991" t="str">
        <f t="shared" si="457"/>
        <v>4Q05</v>
      </c>
      <c r="J53" s="991" t="str">
        <f t="shared" si="457"/>
        <v>1Q06</v>
      </c>
      <c r="K53" s="991" t="str">
        <f t="shared" si="457"/>
        <v>2Q06</v>
      </c>
      <c r="L53" s="991" t="str">
        <f t="shared" si="457"/>
        <v>3Q06</v>
      </c>
      <c r="M53" s="991" t="str">
        <f t="shared" si="457"/>
        <v>4Q06</v>
      </c>
      <c r="N53" s="991" t="str">
        <f t="shared" si="457"/>
        <v>1Q07</v>
      </c>
      <c r="O53" s="991" t="str">
        <f t="shared" si="457"/>
        <v>2Q07</v>
      </c>
      <c r="P53" s="991" t="str">
        <f t="shared" si="457"/>
        <v>3Q07</v>
      </c>
      <c r="Q53" s="991" t="str">
        <f t="shared" si="457"/>
        <v>4Q07</v>
      </c>
      <c r="R53" s="991" t="str">
        <f t="shared" si="457"/>
        <v>1Q08</v>
      </c>
      <c r="S53" s="991" t="str">
        <f t="shared" si="457"/>
        <v>2Q08</v>
      </c>
      <c r="T53" s="991" t="str">
        <f t="shared" si="457"/>
        <v>3Q08</v>
      </c>
      <c r="U53" s="991" t="str">
        <f t="shared" si="457"/>
        <v>4Q08</v>
      </c>
      <c r="V53" s="991" t="str">
        <f t="shared" si="457"/>
        <v>1Q09</v>
      </c>
      <c r="W53" s="991" t="str">
        <f t="shared" si="457"/>
        <v>2Q09</v>
      </c>
      <c r="X53" s="991" t="str">
        <f t="shared" si="457"/>
        <v>3Q09</v>
      </c>
      <c r="Y53" s="991" t="str">
        <f t="shared" si="457"/>
        <v>4Q09</v>
      </c>
      <c r="Z53" s="991" t="s">
        <v>447</v>
      </c>
      <c r="AA53" s="991" t="s">
        <v>448</v>
      </c>
      <c r="AB53" s="991" t="s">
        <v>453</v>
      </c>
      <c r="AC53" s="991" t="s">
        <v>454</v>
      </c>
      <c r="AD53" s="991" t="s">
        <v>449</v>
      </c>
      <c r="AE53" s="991" t="s">
        <v>450</v>
      </c>
      <c r="AF53" s="991" t="s">
        <v>451</v>
      </c>
      <c r="AG53" s="991" t="s">
        <v>452</v>
      </c>
      <c r="AH53" s="991" t="s">
        <v>265</v>
      </c>
      <c r="AI53" s="991" t="s">
        <v>125</v>
      </c>
      <c r="AJ53" s="991" t="s">
        <v>266</v>
      </c>
      <c r="AK53" s="991" t="s">
        <v>267</v>
      </c>
      <c r="AL53" s="991" t="s">
        <v>724</v>
      </c>
      <c r="AM53" s="991" t="s">
        <v>723</v>
      </c>
      <c r="AN53" s="991" t="s">
        <v>722</v>
      </c>
      <c r="AO53" s="991" t="s">
        <v>721</v>
      </c>
      <c r="AP53" s="991" t="s">
        <v>671</v>
      </c>
      <c r="AQ53" s="991" t="s">
        <v>477</v>
      </c>
      <c r="AR53" s="991" t="s">
        <v>672</v>
      </c>
      <c r="AS53" s="991" t="s">
        <v>673</v>
      </c>
      <c r="AT53" s="991" t="s">
        <v>720</v>
      </c>
      <c r="AU53" s="991" t="s">
        <v>719</v>
      </c>
      <c r="AV53" s="991" t="s">
        <v>718</v>
      </c>
      <c r="AW53" s="991" t="s">
        <v>717</v>
      </c>
      <c r="AX53" s="991" t="str">
        <f>$AX$42</f>
        <v>1Q16</v>
      </c>
      <c r="AY53" s="991" t="str">
        <f>$AY$42</f>
        <v>2Q16</v>
      </c>
      <c r="AZ53" s="992" t="s">
        <v>704</v>
      </c>
      <c r="BA53" s="992" t="s">
        <v>705</v>
      </c>
      <c r="BB53" s="992" t="str">
        <f>BB2</f>
        <v>1Q17</v>
      </c>
      <c r="BC53" s="992" t="str">
        <f>BC2</f>
        <v>2Q17</v>
      </c>
      <c r="BD53" s="992" t="str">
        <f>BD2</f>
        <v>3Q17</v>
      </c>
      <c r="BE53" s="992" t="str">
        <f>BE2</f>
        <v>4Q17</v>
      </c>
    </row>
    <row r="54" spans="1:57">
      <c r="A54" s="993" t="s">
        <v>728</v>
      </c>
      <c r="B54" s="993">
        <v>185</v>
      </c>
      <c r="C54" s="993">
        <f>B57</f>
        <v>183</v>
      </c>
      <c r="D54" s="993">
        <f t="shared" ref="D54:Y54" si="458">C57</f>
        <v>170</v>
      </c>
      <c r="E54" s="993">
        <f t="shared" si="458"/>
        <v>170</v>
      </c>
      <c r="F54" s="993">
        <f t="shared" si="458"/>
        <v>169</v>
      </c>
      <c r="G54" s="993">
        <f t="shared" si="458"/>
        <v>167</v>
      </c>
      <c r="H54" s="993">
        <f t="shared" si="458"/>
        <v>165</v>
      </c>
      <c r="I54" s="993">
        <f t="shared" si="458"/>
        <v>165</v>
      </c>
      <c r="J54" s="993">
        <f t="shared" si="458"/>
        <v>165</v>
      </c>
      <c r="K54" s="993">
        <f t="shared" si="458"/>
        <v>164</v>
      </c>
      <c r="L54" s="993">
        <f t="shared" si="458"/>
        <v>162</v>
      </c>
      <c r="M54" s="993">
        <f t="shared" si="458"/>
        <v>167</v>
      </c>
      <c r="N54" s="993">
        <f t="shared" si="458"/>
        <v>168</v>
      </c>
      <c r="O54" s="993">
        <f t="shared" si="458"/>
        <v>170</v>
      </c>
      <c r="P54" s="993">
        <f t="shared" si="458"/>
        <v>170</v>
      </c>
      <c r="Q54" s="993">
        <f t="shared" si="458"/>
        <v>172</v>
      </c>
      <c r="R54" s="993">
        <f t="shared" si="458"/>
        <v>173</v>
      </c>
      <c r="S54" s="993">
        <f t="shared" si="458"/>
        <v>175</v>
      </c>
      <c r="T54" s="993">
        <f t="shared" si="458"/>
        <v>169</v>
      </c>
      <c r="U54" s="993">
        <f t="shared" si="458"/>
        <v>173</v>
      </c>
      <c r="V54" s="993">
        <f t="shared" si="458"/>
        <v>173</v>
      </c>
      <c r="W54" s="993">
        <f t="shared" si="458"/>
        <v>175</v>
      </c>
      <c r="X54" s="993">
        <f t="shared" si="458"/>
        <v>179</v>
      </c>
      <c r="Y54" s="993">
        <f t="shared" si="458"/>
        <v>180</v>
      </c>
      <c r="Z54" s="1001">
        <v>178</v>
      </c>
      <c r="AA54" s="1001">
        <f t="shared" ref="AA54:BE54" si="459">+Z57</f>
        <v>179</v>
      </c>
      <c r="AB54" s="1001">
        <f t="shared" si="459"/>
        <v>180</v>
      </c>
      <c r="AC54" s="1001">
        <f t="shared" si="459"/>
        <v>184</v>
      </c>
      <c r="AD54" s="1001">
        <f t="shared" si="459"/>
        <v>184</v>
      </c>
      <c r="AE54" s="1001">
        <f t="shared" si="459"/>
        <v>184</v>
      </c>
      <c r="AF54" s="1001">
        <f t="shared" si="459"/>
        <v>186</v>
      </c>
      <c r="AG54" s="1001">
        <f t="shared" si="459"/>
        <v>191</v>
      </c>
      <c r="AH54" s="1001">
        <f t="shared" si="459"/>
        <v>193</v>
      </c>
      <c r="AI54" s="1001">
        <f t="shared" si="459"/>
        <v>192</v>
      </c>
      <c r="AJ54" s="1001">
        <f t="shared" si="459"/>
        <v>194</v>
      </c>
      <c r="AK54" s="1001">
        <f t="shared" si="459"/>
        <v>196</v>
      </c>
      <c r="AL54" s="1001">
        <f t="shared" si="459"/>
        <v>198</v>
      </c>
      <c r="AM54" s="1001">
        <f t="shared" si="459"/>
        <v>198</v>
      </c>
      <c r="AN54" s="1001">
        <f t="shared" si="459"/>
        <v>196</v>
      </c>
      <c r="AO54" s="1001">
        <f t="shared" si="459"/>
        <v>194</v>
      </c>
      <c r="AP54" s="1001">
        <f t="shared" si="459"/>
        <v>193</v>
      </c>
      <c r="AQ54" s="1001">
        <f t="shared" si="459"/>
        <v>190</v>
      </c>
      <c r="AR54" s="1001">
        <f t="shared" si="459"/>
        <v>190</v>
      </c>
      <c r="AS54" s="1001">
        <f t="shared" si="459"/>
        <v>189</v>
      </c>
      <c r="AT54" s="1001">
        <f t="shared" si="459"/>
        <v>189</v>
      </c>
      <c r="AU54" s="1001">
        <f t="shared" si="459"/>
        <v>188</v>
      </c>
      <c r="AV54" s="1001">
        <f t="shared" si="459"/>
        <v>189</v>
      </c>
      <c r="AW54" s="1001">
        <f t="shared" si="459"/>
        <v>184</v>
      </c>
      <c r="AX54" s="1001">
        <f t="shared" si="459"/>
        <v>175</v>
      </c>
      <c r="AY54" s="1001">
        <f t="shared" si="459"/>
        <v>173</v>
      </c>
      <c r="AZ54" s="1001">
        <f t="shared" si="459"/>
        <v>167</v>
      </c>
      <c r="BA54" s="1001">
        <f t="shared" si="459"/>
        <v>166</v>
      </c>
      <c r="BB54" s="1001">
        <f t="shared" si="459"/>
        <v>164</v>
      </c>
      <c r="BC54" s="1001">
        <f t="shared" si="459"/>
        <v>163</v>
      </c>
      <c r="BD54" s="1001">
        <f t="shared" si="459"/>
        <v>159</v>
      </c>
      <c r="BE54" s="1001">
        <f t="shared" si="459"/>
        <v>157</v>
      </c>
    </row>
    <row r="55" spans="1:57">
      <c r="A55" s="993" t="s">
        <v>727</v>
      </c>
      <c r="B55" s="993">
        <v>0</v>
      </c>
      <c r="C55" s="993">
        <v>0</v>
      </c>
      <c r="D55" s="993">
        <v>0</v>
      </c>
      <c r="E55" s="993">
        <v>0</v>
      </c>
      <c r="F55" s="993">
        <v>0</v>
      </c>
      <c r="G55" s="993">
        <v>0</v>
      </c>
      <c r="H55" s="993">
        <v>0</v>
      </c>
      <c r="I55" s="993">
        <v>0</v>
      </c>
      <c r="J55" s="993">
        <v>0</v>
      </c>
      <c r="K55" s="993">
        <v>1</v>
      </c>
      <c r="L55" s="993">
        <v>5</v>
      </c>
      <c r="M55" s="993">
        <v>2</v>
      </c>
      <c r="N55" s="993">
        <v>3</v>
      </c>
      <c r="O55" s="993">
        <v>0</v>
      </c>
      <c r="P55" s="993">
        <v>5</v>
      </c>
      <c r="Q55" s="993">
        <v>4</v>
      </c>
      <c r="R55" s="993">
        <v>3</v>
      </c>
      <c r="S55" s="993">
        <v>1</v>
      </c>
      <c r="T55" s="993">
        <v>5</v>
      </c>
      <c r="U55" s="993">
        <v>0</v>
      </c>
      <c r="V55" s="993">
        <v>2</v>
      </c>
      <c r="W55" s="993">
        <v>4</v>
      </c>
      <c r="X55" s="993">
        <v>2</v>
      </c>
      <c r="Y55" s="993">
        <v>2</v>
      </c>
      <c r="Z55" s="1001">
        <v>2</v>
      </c>
      <c r="AA55" s="1001">
        <v>5</v>
      </c>
      <c r="AB55" s="1001">
        <v>4</v>
      </c>
      <c r="AC55" s="1001">
        <v>1</v>
      </c>
      <c r="AD55" s="1001">
        <v>3</v>
      </c>
      <c r="AE55" s="1001">
        <v>4</v>
      </c>
      <c r="AF55" s="1001">
        <v>5</v>
      </c>
      <c r="AG55" s="1001">
        <v>2</v>
      </c>
      <c r="AH55" s="1001">
        <v>0</v>
      </c>
      <c r="AI55" s="1001">
        <v>2</v>
      </c>
      <c r="AJ55" s="1001">
        <v>2</v>
      </c>
      <c r="AK55" s="1001">
        <v>2</v>
      </c>
      <c r="AL55" s="1001">
        <v>2</v>
      </c>
      <c r="AM55" s="1001">
        <v>0</v>
      </c>
      <c r="AN55" s="1001">
        <v>1</v>
      </c>
      <c r="AO55" s="1001">
        <v>0</v>
      </c>
      <c r="AP55" s="1001">
        <v>0</v>
      </c>
      <c r="AQ55" s="1001">
        <v>0</v>
      </c>
      <c r="AR55" s="1001">
        <v>0</v>
      </c>
      <c r="AS55" s="1001">
        <v>2</v>
      </c>
      <c r="AT55" s="1001">
        <v>1</v>
      </c>
      <c r="AU55" s="1001">
        <v>3</v>
      </c>
      <c r="AV55" s="1001">
        <v>1</v>
      </c>
      <c r="AW55" s="1001">
        <v>1</v>
      </c>
      <c r="AX55" s="1001">
        <v>1</v>
      </c>
      <c r="AY55" s="1001">
        <v>0</v>
      </c>
      <c r="AZ55" s="1001">
        <f>1-AY55-AX55</f>
        <v>0</v>
      </c>
      <c r="BA55" s="1001">
        <f>2-AZ55-AY55-AX55</f>
        <v>1</v>
      </c>
      <c r="BB55" s="1001">
        <v>0</v>
      </c>
      <c r="BC55" s="1001">
        <v>0</v>
      </c>
      <c r="BD55" s="1001">
        <v>2</v>
      </c>
      <c r="BE55" s="1001">
        <v>1</v>
      </c>
    </row>
    <row r="56" spans="1:57">
      <c r="A56" s="995" t="s">
        <v>726</v>
      </c>
      <c r="B56" s="995">
        <v>2</v>
      </c>
      <c r="C56" s="995">
        <v>13</v>
      </c>
      <c r="D56" s="995">
        <v>0</v>
      </c>
      <c r="E56" s="995">
        <v>1</v>
      </c>
      <c r="F56" s="995">
        <v>2</v>
      </c>
      <c r="G56" s="995">
        <v>2</v>
      </c>
      <c r="H56" s="995">
        <v>0</v>
      </c>
      <c r="I56" s="995">
        <v>0</v>
      </c>
      <c r="J56" s="995">
        <v>1</v>
      </c>
      <c r="K56" s="995">
        <v>3</v>
      </c>
      <c r="L56" s="995">
        <v>0</v>
      </c>
      <c r="M56" s="995">
        <v>1</v>
      </c>
      <c r="N56" s="995">
        <v>1</v>
      </c>
      <c r="O56" s="995">
        <v>0</v>
      </c>
      <c r="P56" s="995">
        <v>3</v>
      </c>
      <c r="Q56" s="995">
        <v>3</v>
      </c>
      <c r="R56" s="995">
        <v>1</v>
      </c>
      <c r="S56" s="995">
        <v>7</v>
      </c>
      <c r="T56" s="995">
        <v>1</v>
      </c>
      <c r="U56" s="995">
        <v>0</v>
      </c>
      <c r="V56" s="995">
        <v>0</v>
      </c>
      <c r="W56" s="995">
        <v>0</v>
      </c>
      <c r="X56" s="995">
        <v>1</v>
      </c>
      <c r="Y56" s="995">
        <v>4</v>
      </c>
      <c r="Z56" s="1002">
        <v>1</v>
      </c>
      <c r="AA56" s="1002">
        <v>4</v>
      </c>
      <c r="AB56" s="1002">
        <v>0</v>
      </c>
      <c r="AC56" s="1002">
        <v>1</v>
      </c>
      <c r="AD56" s="1002">
        <v>3</v>
      </c>
      <c r="AE56" s="1002">
        <v>2</v>
      </c>
      <c r="AF56" s="1002">
        <v>0</v>
      </c>
      <c r="AG56" s="1002">
        <v>0</v>
      </c>
      <c r="AH56" s="1002">
        <v>1</v>
      </c>
      <c r="AI56" s="1002">
        <v>0</v>
      </c>
      <c r="AJ56" s="1002">
        <v>0</v>
      </c>
      <c r="AK56" s="1002">
        <v>0</v>
      </c>
      <c r="AL56" s="1002">
        <v>2</v>
      </c>
      <c r="AM56" s="1002">
        <v>2</v>
      </c>
      <c r="AN56" s="1002">
        <v>3</v>
      </c>
      <c r="AO56" s="1002">
        <v>1</v>
      </c>
      <c r="AP56" s="1002">
        <v>3</v>
      </c>
      <c r="AQ56" s="1002">
        <v>0</v>
      </c>
      <c r="AR56" s="1002">
        <v>1</v>
      </c>
      <c r="AS56" s="1002">
        <v>2</v>
      </c>
      <c r="AT56" s="1002">
        <v>2</v>
      </c>
      <c r="AU56" s="1002">
        <v>2</v>
      </c>
      <c r="AV56" s="1002">
        <v>6</v>
      </c>
      <c r="AW56" s="1002">
        <v>10</v>
      </c>
      <c r="AX56" s="1002">
        <v>3</v>
      </c>
      <c r="AY56" s="1002">
        <v>6</v>
      </c>
      <c r="AZ56" s="1002">
        <f>10-AY56-AX56</f>
        <v>1</v>
      </c>
      <c r="BA56" s="1002">
        <f>13-AZ56-AY56-AX56</f>
        <v>3</v>
      </c>
      <c r="BB56" s="1002">
        <v>1</v>
      </c>
      <c r="BC56" s="1002">
        <v>4</v>
      </c>
      <c r="BD56" s="1002">
        <v>4</v>
      </c>
      <c r="BE56" s="1002">
        <v>3</v>
      </c>
    </row>
    <row r="57" spans="1:57">
      <c r="A57" s="997" t="s">
        <v>725</v>
      </c>
      <c r="B57" s="997">
        <f>B54+B55-B56</f>
        <v>183</v>
      </c>
      <c r="C57" s="997">
        <f>C54+C55-C56</f>
        <v>170</v>
      </c>
      <c r="D57" s="997">
        <f t="shared" ref="D57:Y57" si="460">D54+D55-D56</f>
        <v>170</v>
      </c>
      <c r="E57" s="997">
        <f t="shared" si="460"/>
        <v>169</v>
      </c>
      <c r="F57" s="997">
        <f t="shared" si="460"/>
        <v>167</v>
      </c>
      <c r="G57" s="997">
        <f t="shared" si="460"/>
        <v>165</v>
      </c>
      <c r="H57" s="997">
        <f t="shared" si="460"/>
        <v>165</v>
      </c>
      <c r="I57" s="997">
        <f t="shared" si="460"/>
        <v>165</v>
      </c>
      <c r="J57" s="997">
        <f t="shared" si="460"/>
        <v>164</v>
      </c>
      <c r="K57" s="997">
        <f t="shared" si="460"/>
        <v>162</v>
      </c>
      <c r="L57" s="997">
        <f t="shared" si="460"/>
        <v>167</v>
      </c>
      <c r="M57" s="997">
        <f t="shared" si="460"/>
        <v>168</v>
      </c>
      <c r="N57" s="997">
        <f t="shared" si="460"/>
        <v>170</v>
      </c>
      <c r="O57" s="997">
        <f t="shared" si="460"/>
        <v>170</v>
      </c>
      <c r="P57" s="997">
        <f t="shared" si="460"/>
        <v>172</v>
      </c>
      <c r="Q57" s="997">
        <f t="shared" si="460"/>
        <v>173</v>
      </c>
      <c r="R57" s="997">
        <f t="shared" si="460"/>
        <v>175</v>
      </c>
      <c r="S57" s="997">
        <f t="shared" si="460"/>
        <v>169</v>
      </c>
      <c r="T57" s="997">
        <f t="shared" si="460"/>
        <v>173</v>
      </c>
      <c r="U57" s="997">
        <f t="shared" si="460"/>
        <v>173</v>
      </c>
      <c r="V57" s="997">
        <f t="shared" si="460"/>
        <v>175</v>
      </c>
      <c r="W57" s="997">
        <f t="shared" si="460"/>
        <v>179</v>
      </c>
      <c r="X57" s="997">
        <f t="shared" si="460"/>
        <v>180</v>
      </c>
      <c r="Y57" s="997">
        <f t="shared" si="460"/>
        <v>178</v>
      </c>
      <c r="Z57" s="1003">
        <f t="shared" ref="Z57:AX57" si="461">Z54+Z55-Z56</f>
        <v>179</v>
      </c>
      <c r="AA57" s="1003">
        <f t="shared" si="461"/>
        <v>180</v>
      </c>
      <c r="AB57" s="1003">
        <f t="shared" si="461"/>
        <v>184</v>
      </c>
      <c r="AC57" s="1003">
        <f t="shared" si="461"/>
        <v>184</v>
      </c>
      <c r="AD57" s="1003">
        <f t="shared" si="461"/>
        <v>184</v>
      </c>
      <c r="AE57" s="1003">
        <f t="shared" si="461"/>
        <v>186</v>
      </c>
      <c r="AF57" s="1003">
        <f t="shared" si="461"/>
        <v>191</v>
      </c>
      <c r="AG57" s="1003">
        <f t="shared" si="461"/>
        <v>193</v>
      </c>
      <c r="AH57" s="1003">
        <f t="shared" si="461"/>
        <v>192</v>
      </c>
      <c r="AI57" s="1003">
        <f t="shared" si="461"/>
        <v>194</v>
      </c>
      <c r="AJ57" s="1003">
        <f t="shared" si="461"/>
        <v>196</v>
      </c>
      <c r="AK57" s="1003">
        <f t="shared" si="461"/>
        <v>198</v>
      </c>
      <c r="AL57" s="1003">
        <f t="shared" si="461"/>
        <v>198</v>
      </c>
      <c r="AM57" s="1003">
        <f t="shared" si="461"/>
        <v>196</v>
      </c>
      <c r="AN57" s="1003">
        <f t="shared" si="461"/>
        <v>194</v>
      </c>
      <c r="AO57" s="1003">
        <f t="shared" si="461"/>
        <v>193</v>
      </c>
      <c r="AP57" s="1003">
        <f t="shared" si="461"/>
        <v>190</v>
      </c>
      <c r="AQ57" s="1003">
        <f t="shared" si="461"/>
        <v>190</v>
      </c>
      <c r="AR57" s="1003">
        <f t="shared" si="461"/>
        <v>189</v>
      </c>
      <c r="AS57" s="1003">
        <f t="shared" si="461"/>
        <v>189</v>
      </c>
      <c r="AT57" s="1003">
        <f t="shared" si="461"/>
        <v>188</v>
      </c>
      <c r="AU57" s="1003">
        <f t="shared" si="461"/>
        <v>189</v>
      </c>
      <c r="AV57" s="1003">
        <f t="shared" si="461"/>
        <v>184</v>
      </c>
      <c r="AW57" s="1003">
        <f t="shared" si="461"/>
        <v>175</v>
      </c>
      <c r="AX57" s="1003">
        <f t="shared" si="461"/>
        <v>173</v>
      </c>
      <c r="AY57" s="1003">
        <f t="shared" ref="AY57:BA57" si="462">AY54+AY55-AY56</f>
        <v>167</v>
      </c>
      <c r="AZ57" s="1003">
        <f t="shared" si="462"/>
        <v>166</v>
      </c>
      <c r="BA57" s="1003">
        <f t="shared" si="462"/>
        <v>164</v>
      </c>
      <c r="BB57" s="1003">
        <f t="shared" ref="BB57:BC57" si="463">BB54+BB55-BB56</f>
        <v>163</v>
      </c>
      <c r="BC57" s="1003">
        <f t="shared" si="463"/>
        <v>159</v>
      </c>
      <c r="BD57" s="1003">
        <f t="shared" ref="BD57:BE57" si="464">BD54+BD55-BD56</f>
        <v>157</v>
      </c>
      <c r="BE57" s="1003">
        <f t="shared" si="464"/>
        <v>155</v>
      </c>
    </row>
    <row r="59" spans="1:57">
      <c r="A59" s="991" t="s">
        <v>416</v>
      </c>
      <c r="B59" s="991" t="str">
        <f>B42</f>
        <v>1Q04</v>
      </c>
      <c r="C59" s="991" t="str">
        <f t="shared" ref="C59:Y59" si="465">C42</f>
        <v>2Q04</v>
      </c>
      <c r="D59" s="991" t="str">
        <f t="shared" si="465"/>
        <v>3Q04</v>
      </c>
      <c r="E59" s="991" t="str">
        <f t="shared" si="465"/>
        <v>4Q04</v>
      </c>
      <c r="F59" s="991" t="str">
        <f t="shared" si="465"/>
        <v>1Q05</v>
      </c>
      <c r="G59" s="991" t="str">
        <f t="shared" si="465"/>
        <v>2Q05</v>
      </c>
      <c r="H59" s="991" t="str">
        <f t="shared" si="465"/>
        <v>3Q05</v>
      </c>
      <c r="I59" s="991" t="str">
        <f t="shared" si="465"/>
        <v>4Q05</v>
      </c>
      <c r="J59" s="991" t="str">
        <f t="shared" si="465"/>
        <v>1Q06</v>
      </c>
      <c r="K59" s="991" t="str">
        <f t="shared" si="465"/>
        <v>2Q06</v>
      </c>
      <c r="L59" s="991" t="str">
        <f t="shared" si="465"/>
        <v>3Q06</v>
      </c>
      <c r="M59" s="991" t="str">
        <f t="shared" si="465"/>
        <v>4Q06</v>
      </c>
      <c r="N59" s="991" t="str">
        <f t="shared" si="465"/>
        <v>1Q07</v>
      </c>
      <c r="O59" s="991" t="str">
        <f t="shared" si="465"/>
        <v>2Q07</v>
      </c>
      <c r="P59" s="991" t="str">
        <f t="shared" si="465"/>
        <v>3Q07</v>
      </c>
      <c r="Q59" s="991" t="str">
        <f t="shared" si="465"/>
        <v>4Q07</v>
      </c>
      <c r="R59" s="991" t="str">
        <f t="shared" si="465"/>
        <v>1Q08</v>
      </c>
      <c r="S59" s="991" t="str">
        <f t="shared" si="465"/>
        <v>2Q08</v>
      </c>
      <c r="T59" s="991" t="str">
        <f t="shared" si="465"/>
        <v>3Q08</v>
      </c>
      <c r="U59" s="991" t="str">
        <f t="shared" si="465"/>
        <v>4Q08</v>
      </c>
      <c r="V59" s="991" t="str">
        <f t="shared" si="465"/>
        <v>1Q09</v>
      </c>
      <c r="W59" s="991" t="str">
        <f t="shared" si="465"/>
        <v>2Q09</v>
      </c>
      <c r="X59" s="991" t="str">
        <f t="shared" si="465"/>
        <v>3Q09</v>
      </c>
      <c r="Y59" s="991" t="str">
        <f t="shared" si="465"/>
        <v>4Q09</v>
      </c>
      <c r="Z59" s="991" t="s">
        <v>447</v>
      </c>
      <c r="AA59" s="991" t="s">
        <v>448</v>
      </c>
      <c r="AB59" s="991" t="s">
        <v>453</v>
      </c>
      <c r="AC59" s="991" t="s">
        <v>454</v>
      </c>
      <c r="AD59" s="991" t="s">
        <v>449</v>
      </c>
      <c r="AE59" s="991" t="s">
        <v>450</v>
      </c>
      <c r="AF59" s="991" t="s">
        <v>451</v>
      </c>
      <c r="AG59" s="991" t="s">
        <v>452</v>
      </c>
      <c r="AH59" s="991" t="s">
        <v>265</v>
      </c>
      <c r="AI59" s="991" t="s">
        <v>125</v>
      </c>
      <c r="AJ59" s="991" t="s">
        <v>266</v>
      </c>
      <c r="AK59" s="991" t="s">
        <v>267</v>
      </c>
      <c r="AL59" s="991" t="s">
        <v>724</v>
      </c>
      <c r="AM59" s="991" t="s">
        <v>723</v>
      </c>
      <c r="AN59" s="991" t="s">
        <v>722</v>
      </c>
      <c r="AO59" s="991" t="s">
        <v>721</v>
      </c>
      <c r="AP59" s="991" t="s">
        <v>671</v>
      </c>
      <c r="AQ59" s="991" t="s">
        <v>477</v>
      </c>
      <c r="AR59" s="991" t="s">
        <v>672</v>
      </c>
      <c r="AS59" s="991" t="s">
        <v>673</v>
      </c>
      <c r="AT59" s="991" t="s">
        <v>720</v>
      </c>
      <c r="AU59" s="991" t="s">
        <v>719</v>
      </c>
      <c r="AV59" s="991" t="s">
        <v>718</v>
      </c>
      <c r="AW59" s="991" t="s">
        <v>717</v>
      </c>
      <c r="AX59" s="991" t="str">
        <f>$AX$42</f>
        <v>1Q16</v>
      </c>
      <c r="AY59" s="991" t="str">
        <f>$AY$42</f>
        <v>2Q16</v>
      </c>
      <c r="AZ59" s="992" t="s">
        <v>704</v>
      </c>
      <c r="BA59" s="992" t="s">
        <v>705</v>
      </c>
      <c r="BB59" s="992" t="str">
        <f>BB2</f>
        <v>1Q17</v>
      </c>
      <c r="BC59" s="992" t="str">
        <f>BC2</f>
        <v>2Q17</v>
      </c>
      <c r="BD59" s="992" t="str">
        <f>BD2</f>
        <v>3Q17</v>
      </c>
      <c r="BE59" s="992" t="str">
        <f>BE2</f>
        <v>4Q17</v>
      </c>
    </row>
    <row r="60" spans="1:57">
      <c r="A60" s="993" t="s">
        <v>716</v>
      </c>
      <c r="C60" s="993">
        <v>1.7</v>
      </c>
      <c r="D60" s="993">
        <f>C62</f>
        <v>1.6</v>
      </c>
      <c r="E60" s="993">
        <f t="shared" ref="E60:Y60" si="466">D62</f>
        <v>1.6</v>
      </c>
      <c r="F60" s="993">
        <f t="shared" si="466"/>
        <v>1.6</v>
      </c>
      <c r="G60" s="993">
        <f t="shared" si="466"/>
        <v>1.5</v>
      </c>
      <c r="H60" s="993">
        <f t="shared" si="466"/>
        <v>1.5</v>
      </c>
      <c r="I60" s="993">
        <f t="shared" si="466"/>
        <v>1.5</v>
      </c>
      <c r="J60" s="993">
        <f t="shared" si="466"/>
        <v>1.5</v>
      </c>
      <c r="K60" s="993">
        <f t="shared" si="466"/>
        <v>1.5</v>
      </c>
      <c r="L60" s="993">
        <f t="shared" si="466"/>
        <v>1.5</v>
      </c>
      <c r="M60" s="993">
        <f t="shared" si="466"/>
        <v>1.5</v>
      </c>
      <c r="N60" s="993">
        <f t="shared" si="466"/>
        <v>1.5</v>
      </c>
      <c r="O60" s="993">
        <f t="shared" si="466"/>
        <v>1.5</v>
      </c>
      <c r="P60" s="993">
        <f t="shared" si="466"/>
        <v>1.5</v>
      </c>
      <c r="Q60" s="993">
        <f t="shared" si="466"/>
        <v>1.5</v>
      </c>
      <c r="R60" s="993">
        <f t="shared" si="466"/>
        <v>1.5</v>
      </c>
      <c r="S60" s="993">
        <f t="shared" si="466"/>
        <v>1.5</v>
      </c>
      <c r="T60" s="993">
        <f t="shared" si="466"/>
        <v>1.5</v>
      </c>
      <c r="U60" s="993">
        <f t="shared" si="466"/>
        <v>1.5</v>
      </c>
      <c r="V60" s="993">
        <f t="shared" si="466"/>
        <v>1.5</v>
      </c>
      <c r="W60" s="993">
        <f t="shared" si="466"/>
        <v>1.5</v>
      </c>
      <c r="X60" s="993">
        <f t="shared" si="466"/>
        <v>1.5</v>
      </c>
      <c r="Y60" s="993">
        <f t="shared" si="466"/>
        <v>1.6</v>
      </c>
      <c r="Z60" s="1001">
        <v>1.6</v>
      </c>
      <c r="AA60" s="1001">
        <f t="shared" ref="AA60:BE60" si="467">+Z62</f>
        <v>1.6</v>
      </c>
      <c r="AB60" s="1001">
        <f t="shared" si="467"/>
        <v>1.6</v>
      </c>
      <c r="AC60" s="1001">
        <f t="shared" si="467"/>
        <v>1.6</v>
      </c>
      <c r="AD60" s="1001">
        <f t="shared" si="467"/>
        <v>1.6</v>
      </c>
      <c r="AE60" s="1001">
        <f t="shared" si="467"/>
        <v>1.6</v>
      </c>
      <c r="AF60" s="1001">
        <f t="shared" si="467"/>
        <v>1.6</v>
      </c>
      <c r="AG60" s="1001">
        <f t="shared" si="467"/>
        <v>1.7</v>
      </c>
      <c r="AH60" s="1001">
        <f t="shared" si="467"/>
        <v>1.7</v>
      </c>
      <c r="AI60" s="1001">
        <f t="shared" si="467"/>
        <v>1.7</v>
      </c>
      <c r="AJ60" s="1001">
        <f t="shared" si="467"/>
        <v>1.7</v>
      </c>
      <c r="AK60" s="1001">
        <f t="shared" si="467"/>
        <v>1.7</v>
      </c>
      <c r="AL60" s="1001">
        <f t="shared" si="467"/>
        <v>1.7</v>
      </c>
      <c r="AM60" s="1001">
        <f t="shared" si="467"/>
        <v>1.7</v>
      </c>
      <c r="AN60" s="1001">
        <f t="shared" si="467"/>
        <v>1.7</v>
      </c>
      <c r="AO60" s="1001">
        <f t="shared" si="467"/>
        <v>1.7</v>
      </c>
      <c r="AP60" s="1001">
        <f t="shared" si="467"/>
        <v>1.7</v>
      </c>
      <c r="AQ60" s="1001">
        <f t="shared" si="467"/>
        <v>1.6</v>
      </c>
      <c r="AR60" s="1001">
        <f t="shared" si="467"/>
        <v>1.6</v>
      </c>
      <c r="AS60" s="1001">
        <f t="shared" si="467"/>
        <v>1.6</v>
      </c>
      <c r="AT60" s="1001">
        <f t="shared" si="467"/>
        <v>1.6</v>
      </c>
      <c r="AU60" s="1001">
        <f t="shared" si="467"/>
        <v>1.6</v>
      </c>
      <c r="AV60" s="1001">
        <f t="shared" si="467"/>
        <v>1.6</v>
      </c>
      <c r="AW60" s="1001">
        <f t="shared" si="467"/>
        <v>1.6</v>
      </c>
      <c r="AX60" s="1001">
        <f t="shared" si="467"/>
        <v>1.5</v>
      </c>
      <c r="AY60" s="1001">
        <f t="shared" si="467"/>
        <v>1.4</v>
      </c>
      <c r="AZ60" s="1001">
        <f t="shared" si="467"/>
        <v>1.4</v>
      </c>
      <c r="BA60" s="1001">
        <f t="shared" si="467"/>
        <v>1.4</v>
      </c>
      <c r="BB60" s="1001">
        <f t="shared" si="467"/>
        <v>1.4</v>
      </c>
      <c r="BC60" s="1001">
        <f t="shared" si="467"/>
        <v>1.4</v>
      </c>
      <c r="BD60" s="1001">
        <f t="shared" si="467"/>
        <v>1.4</v>
      </c>
      <c r="BE60" s="1001">
        <f t="shared" si="467"/>
        <v>1.3</v>
      </c>
    </row>
    <row r="61" spans="1:57">
      <c r="A61" s="995" t="s">
        <v>136</v>
      </c>
      <c r="B61" s="995"/>
      <c r="C61" s="1002">
        <f t="shared" ref="C61:D61" si="468">C62-C60</f>
        <v>-9.9999999999999867E-2</v>
      </c>
      <c r="D61" s="1002">
        <f t="shared" si="468"/>
        <v>0</v>
      </c>
      <c r="E61" s="1002">
        <f t="shared" ref="E61:Y61" si="469">E62-E60</f>
        <v>0</v>
      </c>
      <c r="F61" s="1002">
        <f t="shared" si="469"/>
        <v>-0.10000000000000009</v>
      </c>
      <c r="G61" s="1002">
        <f t="shared" si="469"/>
        <v>0</v>
      </c>
      <c r="H61" s="1002">
        <f t="shared" si="469"/>
        <v>0</v>
      </c>
      <c r="I61" s="1002">
        <f t="shared" si="469"/>
        <v>0</v>
      </c>
      <c r="J61" s="1002">
        <f t="shared" si="469"/>
        <v>0</v>
      </c>
      <c r="K61" s="1002">
        <f t="shared" si="469"/>
        <v>0</v>
      </c>
      <c r="L61" s="1002">
        <f t="shared" si="469"/>
        <v>0</v>
      </c>
      <c r="M61" s="1002">
        <f t="shared" si="469"/>
        <v>0</v>
      </c>
      <c r="N61" s="1002">
        <f t="shared" si="469"/>
        <v>0</v>
      </c>
      <c r="O61" s="1002">
        <f t="shared" si="469"/>
        <v>0</v>
      </c>
      <c r="P61" s="1002">
        <f t="shared" si="469"/>
        <v>0</v>
      </c>
      <c r="Q61" s="1002">
        <f t="shared" si="469"/>
        <v>0</v>
      </c>
      <c r="R61" s="1002">
        <f t="shared" si="469"/>
        <v>0</v>
      </c>
      <c r="S61" s="1002">
        <f t="shared" si="469"/>
        <v>0</v>
      </c>
      <c r="T61" s="1002">
        <f t="shared" si="469"/>
        <v>0</v>
      </c>
      <c r="U61" s="1002">
        <f t="shared" si="469"/>
        <v>0</v>
      </c>
      <c r="V61" s="1002">
        <f t="shared" si="469"/>
        <v>0</v>
      </c>
      <c r="W61" s="1002">
        <f t="shared" si="469"/>
        <v>0</v>
      </c>
      <c r="X61" s="1002">
        <f t="shared" si="469"/>
        <v>0.10000000000000009</v>
      </c>
      <c r="Y61" s="1002">
        <f t="shared" si="469"/>
        <v>0</v>
      </c>
      <c r="Z61" s="1002">
        <f t="shared" ref="Z61:AX61" si="470">Z62-Z60</f>
        <v>0</v>
      </c>
      <c r="AA61" s="1002">
        <f t="shared" si="470"/>
        <v>0</v>
      </c>
      <c r="AB61" s="1002">
        <f t="shared" si="470"/>
        <v>0</v>
      </c>
      <c r="AC61" s="1002">
        <f t="shared" si="470"/>
        <v>0</v>
      </c>
      <c r="AD61" s="1002">
        <f t="shared" si="470"/>
        <v>0</v>
      </c>
      <c r="AE61" s="1002">
        <f t="shared" si="470"/>
        <v>0</v>
      </c>
      <c r="AF61" s="1002">
        <f t="shared" si="470"/>
        <v>9.9999999999999867E-2</v>
      </c>
      <c r="AG61" s="1002">
        <f t="shared" si="470"/>
        <v>0</v>
      </c>
      <c r="AH61" s="1002">
        <f t="shared" si="470"/>
        <v>0</v>
      </c>
      <c r="AI61" s="1002">
        <f t="shared" si="470"/>
        <v>0</v>
      </c>
      <c r="AJ61" s="1002">
        <f t="shared" si="470"/>
        <v>0</v>
      </c>
      <c r="AK61" s="1002">
        <f t="shared" si="470"/>
        <v>0</v>
      </c>
      <c r="AL61" s="1002">
        <f t="shared" si="470"/>
        <v>0</v>
      </c>
      <c r="AM61" s="1002">
        <f t="shared" si="470"/>
        <v>0</v>
      </c>
      <c r="AN61" s="1002">
        <f t="shared" si="470"/>
        <v>0</v>
      </c>
      <c r="AO61" s="1002">
        <f t="shared" si="470"/>
        <v>0</v>
      </c>
      <c r="AP61" s="1002">
        <f t="shared" si="470"/>
        <v>-9.9999999999999867E-2</v>
      </c>
      <c r="AQ61" s="1002">
        <f t="shared" si="470"/>
        <v>0</v>
      </c>
      <c r="AR61" s="1002">
        <f t="shared" si="470"/>
        <v>0</v>
      </c>
      <c r="AS61" s="1002">
        <f t="shared" si="470"/>
        <v>0</v>
      </c>
      <c r="AT61" s="1002">
        <f t="shared" si="470"/>
        <v>0</v>
      </c>
      <c r="AU61" s="1002">
        <f t="shared" si="470"/>
        <v>0</v>
      </c>
      <c r="AV61" s="1002">
        <f t="shared" si="470"/>
        <v>0</v>
      </c>
      <c r="AW61" s="1002">
        <f t="shared" si="470"/>
        <v>-0.10000000000000009</v>
      </c>
      <c r="AX61" s="1002">
        <f t="shared" si="470"/>
        <v>-0.10000000000000009</v>
      </c>
      <c r="AY61" s="1002">
        <f t="shared" ref="AY61:AZ61" si="471">AY62-AY60</f>
        <v>0</v>
      </c>
      <c r="AZ61" s="1002">
        <f t="shared" si="471"/>
        <v>0</v>
      </c>
      <c r="BA61" s="1002">
        <f t="shared" ref="BA61:BB61" si="472">BA62-BA60</f>
        <v>0</v>
      </c>
      <c r="BB61" s="1002">
        <f t="shared" si="472"/>
        <v>0</v>
      </c>
      <c r="BC61" s="1002">
        <f t="shared" ref="BC61:BE61" si="473">BC62-BC60</f>
        <v>0</v>
      </c>
      <c r="BD61" s="1002">
        <f t="shared" si="473"/>
        <v>-9.9999999999999867E-2</v>
      </c>
      <c r="BE61" s="1002">
        <f t="shared" si="473"/>
        <v>0</v>
      </c>
    </row>
    <row r="62" spans="1:57">
      <c r="A62" s="997" t="s">
        <v>715</v>
      </c>
      <c r="B62" s="997"/>
      <c r="C62" s="997">
        <v>1.6</v>
      </c>
      <c r="D62" s="997">
        <v>1.6</v>
      </c>
      <c r="E62" s="997">
        <v>1.6</v>
      </c>
      <c r="F62" s="997">
        <v>1.5</v>
      </c>
      <c r="G62" s="997">
        <v>1.5</v>
      </c>
      <c r="H62" s="997">
        <v>1.5</v>
      </c>
      <c r="I62" s="997">
        <v>1.5</v>
      </c>
      <c r="J62" s="997">
        <v>1.5</v>
      </c>
      <c r="K62" s="997">
        <v>1.5</v>
      </c>
      <c r="L62" s="997">
        <v>1.5</v>
      </c>
      <c r="M62" s="997">
        <v>1.5</v>
      </c>
      <c r="N62" s="997">
        <v>1.5</v>
      </c>
      <c r="O62" s="997">
        <v>1.5</v>
      </c>
      <c r="P62" s="997">
        <v>1.5</v>
      </c>
      <c r="Q62" s="997">
        <v>1.5</v>
      </c>
      <c r="R62" s="997">
        <v>1.5</v>
      </c>
      <c r="S62" s="997">
        <v>1.5</v>
      </c>
      <c r="T62" s="997">
        <v>1.5</v>
      </c>
      <c r="U62" s="997">
        <v>1.5</v>
      </c>
      <c r="V62" s="997">
        <v>1.5</v>
      </c>
      <c r="W62" s="997">
        <v>1.5</v>
      </c>
      <c r="X62" s="997">
        <v>1.6</v>
      </c>
      <c r="Y62" s="997">
        <v>1.6</v>
      </c>
      <c r="Z62" s="1003">
        <v>1.6</v>
      </c>
      <c r="AA62" s="1003">
        <v>1.6</v>
      </c>
      <c r="AB62" s="1003">
        <v>1.6</v>
      </c>
      <c r="AC62" s="1003">
        <v>1.6</v>
      </c>
      <c r="AD62" s="1003">
        <v>1.6</v>
      </c>
      <c r="AE62" s="1003">
        <v>1.6</v>
      </c>
      <c r="AF62" s="1003">
        <v>1.7</v>
      </c>
      <c r="AG62" s="1003">
        <v>1.7</v>
      </c>
      <c r="AH62" s="1003">
        <v>1.7</v>
      </c>
      <c r="AI62" s="1003">
        <v>1.7</v>
      </c>
      <c r="AJ62" s="1003">
        <v>1.7</v>
      </c>
      <c r="AK62" s="1003">
        <v>1.7</v>
      </c>
      <c r="AL62" s="1003">
        <v>1.7</v>
      </c>
      <c r="AM62" s="1003">
        <v>1.7</v>
      </c>
      <c r="AN62" s="1003">
        <v>1.7</v>
      </c>
      <c r="AO62" s="1003">
        <v>1.7</v>
      </c>
      <c r="AP62" s="1003">
        <v>1.6</v>
      </c>
      <c r="AQ62" s="1003">
        <v>1.6</v>
      </c>
      <c r="AR62" s="1003">
        <v>1.6</v>
      </c>
      <c r="AS62" s="1003">
        <v>1.6</v>
      </c>
      <c r="AT62" s="1003">
        <v>1.6</v>
      </c>
      <c r="AU62" s="1003">
        <v>1.6</v>
      </c>
      <c r="AV62" s="1003">
        <v>1.6</v>
      </c>
      <c r="AW62" s="1003">
        <v>1.5</v>
      </c>
      <c r="AX62" s="1003">
        <v>1.4</v>
      </c>
      <c r="AY62" s="1003">
        <v>1.4</v>
      </c>
      <c r="AZ62" s="1003">
        <v>1.4</v>
      </c>
      <c r="BA62" s="1003">
        <v>1.4</v>
      </c>
      <c r="BB62" s="1003">
        <v>1.4</v>
      </c>
      <c r="BC62" s="1003">
        <v>1.4</v>
      </c>
      <c r="BD62" s="1003">
        <v>1.3</v>
      </c>
      <c r="BE62" s="1003">
        <v>1.3</v>
      </c>
    </row>
    <row r="64" spans="1:57">
      <c r="A64" s="991" t="s">
        <v>417</v>
      </c>
      <c r="B64" s="991" t="str">
        <f>B42</f>
        <v>1Q04</v>
      </c>
      <c r="C64" s="991" t="str">
        <f t="shared" ref="C64:Y64" si="474">C42</f>
        <v>2Q04</v>
      </c>
      <c r="D64" s="991" t="str">
        <f t="shared" si="474"/>
        <v>3Q04</v>
      </c>
      <c r="E64" s="991" t="str">
        <f t="shared" si="474"/>
        <v>4Q04</v>
      </c>
      <c r="F64" s="991" t="str">
        <f t="shared" si="474"/>
        <v>1Q05</v>
      </c>
      <c r="G64" s="991" t="str">
        <f t="shared" si="474"/>
        <v>2Q05</v>
      </c>
      <c r="H64" s="991" t="str">
        <f t="shared" si="474"/>
        <v>3Q05</v>
      </c>
      <c r="I64" s="991" t="str">
        <f t="shared" si="474"/>
        <v>4Q05</v>
      </c>
      <c r="J64" s="991" t="str">
        <f t="shared" si="474"/>
        <v>1Q06</v>
      </c>
      <c r="K64" s="991" t="str">
        <f t="shared" si="474"/>
        <v>2Q06</v>
      </c>
      <c r="L64" s="991" t="str">
        <f t="shared" si="474"/>
        <v>3Q06</v>
      </c>
      <c r="M64" s="991" t="str">
        <f t="shared" si="474"/>
        <v>4Q06</v>
      </c>
      <c r="N64" s="991" t="str">
        <f t="shared" si="474"/>
        <v>1Q07</v>
      </c>
      <c r="O64" s="991" t="str">
        <f t="shared" si="474"/>
        <v>2Q07</v>
      </c>
      <c r="P64" s="991" t="str">
        <f t="shared" si="474"/>
        <v>3Q07</v>
      </c>
      <c r="Q64" s="991" t="str">
        <f t="shared" si="474"/>
        <v>4Q07</v>
      </c>
      <c r="R64" s="991" t="str">
        <f t="shared" si="474"/>
        <v>1Q08</v>
      </c>
      <c r="S64" s="991" t="str">
        <f t="shared" si="474"/>
        <v>2Q08</v>
      </c>
      <c r="T64" s="991" t="str">
        <f t="shared" si="474"/>
        <v>3Q08</v>
      </c>
      <c r="U64" s="991" t="str">
        <f t="shared" si="474"/>
        <v>4Q08</v>
      </c>
      <c r="V64" s="991" t="str">
        <f t="shared" si="474"/>
        <v>1Q09</v>
      </c>
      <c r="W64" s="991" t="str">
        <f t="shared" si="474"/>
        <v>2Q09</v>
      </c>
      <c r="X64" s="991" t="str">
        <f t="shared" si="474"/>
        <v>3Q09</v>
      </c>
      <c r="Y64" s="991" t="str">
        <f t="shared" si="474"/>
        <v>4Q09</v>
      </c>
      <c r="Z64" s="991" t="s">
        <v>447</v>
      </c>
      <c r="AA64" s="991" t="s">
        <v>448</v>
      </c>
      <c r="AB64" s="991" t="s">
        <v>453</v>
      </c>
      <c r="AC64" s="991" t="s">
        <v>454</v>
      </c>
      <c r="AD64" s="991" t="s">
        <v>449</v>
      </c>
      <c r="AE64" s="991" t="s">
        <v>450</v>
      </c>
      <c r="AF64" s="991" t="s">
        <v>451</v>
      </c>
      <c r="AG64" s="991" t="s">
        <v>452</v>
      </c>
      <c r="AH64" s="991" t="s">
        <v>265</v>
      </c>
      <c r="AI64" s="991" t="s">
        <v>125</v>
      </c>
      <c r="AJ64" s="991" t="s">
        <v>266</v>
      </c>
      <c r="AK64" s="991" t="s">
        <v>267</v>
      </c>
      <c r="AL64" s="991" t="s">
        <v>724</v>
      </c>
      <c r="AM64" s="991" t="s">
        <v>723</v>
      </c>
      <c r="AN64" s="991" t="s">
        <v>722</v>
      </c>
      <c r="AO64" s="991" t="s">
        <v>721</v>
      </c>
      <c r="AP64" s="991" t="s">
        <v>671</v>
      </c>
      <c r="AQ64" s="991" t="s">
        <v>477</v>
      </c>
      <c r="AR64" s="991" t="s">
        <v>672</v>
      </c>
      <c r="AS64" s="991" t="s">
        <v>673</v>
      </c>
      <c r="AT64" s="991" t="s">
        <v>720</v>
      </c>
      <c r="AU64" s="991" t="s">
        <v>719</v>
      </c>
      <c r="AV64" s="991" t="s">
        <v>718</v>
      </c>
      <c r="AW64" s="991" t="s">
        <v>717</v>
      </c>
      <c r="AX64" s="991" t="str">
        <f>$AX$42</f>
        <v>1Q16</v>
      </c>
      <c r="AY64" s="991" t="str">
        <f>$AY$42</f>
        <v>2Q16</v>
      </c>
      <c r="AZ64" s="992" t="s">
        <v>704</v>
      </c>
      <c r="BA64" s="992" t="s">
        <v>705</v>
      </c>
      <c r="BB64" s="992" t="str">
        <f>BB2</f>
        <v>1Q17</v>
      </c>
      <c r="BC64" s="992" t="str">
        <f>BC2</f>
        <v>2Q17</v>
      </c>
      <c r="BD64" s="992" t="str">
        <f>BD2</f>
        <v>3Q17</v>
      </c>
      <c r="BE64" s="992" t="str">
        <f>BE2</f>
        <v>4Q17</v>
      </c>
    </row>
    <row r="65" spans="1:57">
      <c r="A65" s="993" t="s">
        <v>728</v>
      </c>
      <c r="B65" s="993">
        <v>69</v>
      </c>
      <c r="C65" s="993">
        <f>B68</f>
        <v>73</v>
      </c>
      <c r="D65" s="993">
        <f t="shared" ref="D65:Y65" si="475">C68</f>
        <v>74</v>
      </c>
      <c r="E65" s="993">
        <f t="shared" si="475"/>
        <v>77</v>
      </c>
      <c r="F65" s="993">
        <f t="shared" si="475"/>
        <v>78</v>
      </c>
      <c r="G65" s="993">
        <f t="shared" si="475"/>
        <v>84</v>
      </c>
      <c r="H65" s="993">
        <f t="shared" si="475"/>
        <v>85</v>
      </c>
      <c r="I65" s="993">
        <f t="shared" si="475"/>
        <v>88</v>
      </c>
      <c r="J65" s="993">
        <f t="shared" si="475"/>
        <v>91</v>
      </c>
      <c r="K65" s="993">
        <f t="shared" si="475"/>
        <v>98</v>
      </c>
      <c r="L65" s="993">
        <f t="shared" si="475"/>
        <v>98</v>
      </c>
      <c r="M65" s="993">
        <f t="shared" si="475"/>
        <v>102</v>
      </c>
      <c r="N65" s="993">
        <f t="shared" si="475"/>
        <v>105</v>
      </c>
      <c r="O65" s="993">
        <f t="shared" si="475"/>
        <v>106</v>
      </c>
      <c r="P65" s="993">
        <f t="shared" si="475"/>
        <v>107</v>
      </c>
      <c r="Q65" s="993">
        <f t="shared" si="475"/>
        <v>109</v>
      </c>
      <c r="R65" s="993">
        <f t="shared" si="475"/>
        <v>110</v>
      </c>
      <c r="S65" s="993">
        <f t="shared" si="475"/>
        <v>108</v>
      </c>
      <c r="T65" s="993">
        <f t="shared" si="475"/>
        <v>111</v>
      </c>
      <c r="U65" s="993">
        <f t="shared" si="475"/>
        <v>112</v>
      </c>
      <c r="V65" s="993">
        <f t="shared" si="475"/>
        <v>113</v>
      </c>
      <c r="W65" s="993">
        <f t="shared" si="475"/>
        <v>115</v>
      </c>
      <c r="X65" s="993">
        <f t="shared" si="475"/>
        <v>116</v>
      </c>
      <c r="Y65" s="993">
        <f t="shared" si="475"/>
        <v>120</v>
      </c>
      <c r="Z65" s="1001">
        <v>120</v>
      </c>
      <c r="AA65" s="1001">
        <f t="shared" ref="AA65:BE65" si="476">+Z68</f>
        <v>122</v>
      </c>
      <c r="AB65" s="1001">
        <f t="shared" si="476"/>
        <v>123</v>
      </c>
      <c r="AC65" s="1001">
        <f t="shared" si="476"/>
        <v>126</v>
      </c>
      <c r="AD65" s="1001">
        <f t="shared" si="476"/>
        <v>135</v>
      </c>
      <c r="AE65" s="1001">
        <f t="shared" si="476"/>
        <v>138</v>
      </c>
      <c r="AF65" s="1001">
        <f t="shared" si="476"/>
        <v>140</v>
      </c>
      <c r="AG65" s="1001">
        <f t="shared" si="476"/>
        <v>141</v>
      </c>
      <c r="AH65" s="1001">
        <f t="shared" si="476"/>
        <v>152</v>
      </c>
      <c r="AI65" s="1001">
        <f t="shared" si="476"/>
        <v>161</v>
      </c>
      <c r="AJ65" s="1001">
        <f t="shared" si="476"/>
        <v>165</v>
      </c>
      <c r="AK65" s="1001">
        <f t="shared" si="476"/>
        <v>175</v>
      </c>
      <c r="AL65" s="1001">
        <f t="shared" si="476"/>
        <v>191</v>
      </c>
      <c r="AM65" s="1001">
        <f t="shared" si="476"/>
        <v>196</v>
      </c>
      <c r="AN65" s="1001">
        <f t="shared" si="476"/>
        <v>202</v>
      </c>
      <c r="AO65" s="1001">
        <f t="shared" si="476"/>
        <v>220</v>
      </c>
      <c r="AP65" s="1001">
        <f t="shared" si="476"/>
        <v>228</v>
      </c>
      <c r="AQ65" s="1001">
        <f t="shared" si="476"/>
        <v>231</v>
      </c>
      <c r="AR65" s="1001">
        <f t="shared" si="476"/>
        <v>235</v>
      </c>
      <c r="AS65" s="1001">
        <f t="shared" si="476"/>
        <v>249</v>
      </c>
      <c r="AT65" s="1001">
        <f t="shared" si="476"/>
        <v>266</v>
      </c>
      <c r="AU65" s="1001">
        <f t="shared" si="476"/>
        <v>281</v>
      </c>
      <c r="AV65" s="1001">
        <f t="shared" si="476"/>
        <v>286</v>
      </c>
      <c r="AW65" s="1001">
        <f t="shared" si="476"/>
        <v>299</v>
      </c>
      <c r="AX65" s="1001">
        <f t="shared" si="476"/>
        <v>305</v>
      </c>
      <c r="AY65" s="1001">
        <f t="shared" si="476"/>
        <v>312</v>
      </c>
      <c r="AZ65" s="1001">
        <f t="shared" si="476"/>
        <v>314</v>
      </c>
      <c r="BA65" s="1001">
        <f t="shared" si="476"/>
        <v>315</v>
      </c>
      <c r="BB65" s="1001">
        <f t="shared" si="476"/>
        <v>311</v>
      </c>
      <c r="BC65" s="1001">
        <f t="shared" si="476"/>
        <v>307</v>
      </c>
      <c r="BD65" s="1001">
        <f t="shared" si="476"/>
        <v>305</v>
      </c>
      <c r="BE65" s="1001">
        <f t="shared" si="476"/>
        <v>309</v>
      </c>
    </row>
    <row r="66" spans="1:57">
      <c r="A66" s="993" t="s">
        <v>727</v>
      </c>
      <c r="B66" s="993">
        <v>4</v>
      </c>
      <c r="C66" s="993">
        <v>1</v>
      </c>
      <c r="D66" s="993">
        <v>3</v>
      </c>
      <c r="E66" s="993">
        <v>1</v>
      </c>
      <c r="F66" s="993">
        <v>7</v>
      </c>
      <c r="G66" s="993">
        <v>1</v>
      </c>
      <c r="H66" s="993">
        <v>3</v>
      </c>
      <c r="I66" s="993">
        <v>3</v>
      </c>
      <c r="J66" s="993">
        <v>7</v>
      </c>
      <c r="K66" s="993">
        <v>0</v>
      </c>
      <c r="L66" s="993">
        <v>6</v>
      </c>
      <c r="M66" s="993">
        <v>4</v>
      </c>
      <c r="N66" s="993">
        <v>4</v>
      </c>
      <c r="O66" s="993">
        <v>1</v>
      </c>
      <c r="P66" s="993">
        <v>3</v>
      </c>
      <c r="Q66" s="993">
        <v>1</v>
      </c>
      <c r="R66" s="993">
        <v>2</v>
      </c>
      <c r="S66" s="993">
        <v>3</v>
      </c>
      <c r="T66" s="993">
        <v>2</v>
      </c>
      <c r="U66" s="993">
        <v>1</v>
      </c>
      <c r="V66" s="993">
        <v>2</v>
      </c>
      <c r="W66" s="993">
        <v>1</v>
      </c>
      <c r="X66" s="993">
        <v>4</v>
      </c>
      <c r="Y66" s="993">
        <v>1</v>
      </c>
      <c r="Z66" s="1001">
        <v>2</v>
      </c>
      <c r="AA66" s="1001">
        <v>2</v>
      </c>
      <c r="AB66" s="1001">
        <v>4</v>
      </c>
      <c r="AC66" s="1001">
        <v>9</v>
      </c>
      <c r="AD66" s="1001">
        <v>4</v>
      </c>
      <c r="AE66" s="1001">
        <v>2</v>
      </c>
      <c r="AF66" s="1001">
        <v>5</v>
      </c>
      <c r="AG66" s="1001">
        <v>11</v>
      </c>
      <c r="AH66" s="1001">
        <v>11</v>
      </c>
      <c r="AI66" s="1001">
        <v>4</v>
      </c>
      <c r="AJ66" s="1001">
        <v>11</v>
      </c>
      <c r="AK66" s="1001">
        <v>19</v>
      </c>
      <c r="AL66" s="1001">
        <v>6</v>
      </c>
      <c r="AM66" s="1001">
        <v>6</v>
      </c>
      <c r="AN66" s="1001">
        <v>19</v>
      </c>
      <c r="AO66" s="1001">
        <v>9</v>
      </c>
      <c r="AP66" s="1001">
        <v>4</v>
      </c>
      <c r="AQ66" s="1001">
        <v>5</v>
      </c>
      <c r="AR66" s="1001">
        <v>15</v>
      </c>
      <c r="AS66" s="1001">
        <v>18</v>
      </c>
      <c r="AT66" s="1001">
        <v>15</v>
      </c>
      <c r="AU66" s="1001">
        <v>6</v>
      </c>
      <c r="AV66" s="1001">
        <v>13</v>
      </c>
      <c r="AW66" s="1001">
        <v>14</v>
      </c>
      <c r="AX66" s="1001">
        <v>7</v>
      </c>
      <c r="AY66" s="1001">
        <v>4</v>
      </c>
      <c r="AZ66" s="1001">
        <f>18-AY66-AX66</f>
        <v>7</v>
      </c>
      <c r="BA66" s="1001">
        <f>27-AZ66-AY66-AX66</f>
        <v>9</v>
      </c>
      <c r="BB66" s="1001">
        <v>2</v>
      </c>
      <c r="BC66" s="1001">
        <v>1</v>
      </c>
      <c r="BD66" s="1001">
        <v>21</v>
      </c>
      <c r="BE66" s="1001">
        <v>28</v>
      </c>
    </row>
    <row r="67" spans="1:57">
      <c r="A67" s="995" t="s">
        <v>726</v>
      </c>
      <c r="B67" s="995">
        <v>0</v>
      </c>
      <c r="C67" s="995">
        <v>0</v>
      </c>
      <c r="D67" s="995">
        <v>0</v>
      </c>
      <c r="E67" s="995">
        <v>0</v>
      </c>
      <c r="F67" s="995">
        <v>1</v>
      </c>
      <c r="G67" s="995">
        <v>0</v>
      </c>
      <c r="H67" s="995">
        <v>0</v>
      </c>
      <c r="I67" s="995">
        <v>0</v>
      </c>
      <c r="J67" s="995">
        <v>0</v>
      </c>
      <c r="K67" s="995">
        <v>0</v>
      </c>
      <c r="L67" s="995">
        <v>2</v>
      </c>
      <c r="M67" s="995">
        <v>1</v>
      </c>
      <c r="N67" s="995">
        <v>3</v>
      </c>
      <c r="O67" s="995">
        <v>0</v>
      </c>
      <c r="P67" s="995">
        <v>1</v>
      </c>
      <c r="Q67" s="995">
        <v>0</v>
      </c>
      <c r="R67" s="995">
        <v>4</v>
      </c>
      <c r="S67" s="995">
        <v>0</v>
      </c>
      <c r="T67" s="995">
        <v>1</v>
      </c>
      <c r="U67" s="995">
        <v>0</v>
      </c>
      <c r="V67" s="995">
        <v>0</v>
      </c>
      <c r="W67" s="995">
        <v>0</v>
      </c>
      <c r="X67" s="995">
        <v>0</v>
      </c>
      <c r="Y67" s="995">
        <v>1</v>
      </c>
      <c r="Z67" s="1002">
        <v>0</v>
      </c>
      <c r="AA67" s="1002">
        <v>1</v>
      </c>
      <c r="AB67" s="1002">
        <v>1</v>
      </c>
      <c r="AC67" s="1002">
        <v>0</v>
      </c>
      <c r="AD67" s="1002">
        <v>1</v>
      </c>
      <c r="AE67" s="1002">
        <v>0</v>
      </c>
      <c r="AF67" s="1002">
        <v>4</v>
      </c>
      <c r="AG67" s="1002">
        <v>0</v>
      </c>
      <c r="AH67" s="1002">
        <v>2</v>
      </c>
      <c r="AI67" s="1002">
        <v>0</v>
      </c>
      <c r="AJ67" s="1002">
        <v>1</v>
      </c>
      <c r="AK67" s="1002">
        <v>3</v>
      </c>
      <c r="AL67" s="1002">
        <v>1</v>
      </c>
      <c r="AM67" s="1002">
        <v>0</v>
      </c>
      <c r="AN67" s="1002">
        <v>1</v>
      </c>
      <c r="AO67" s="1002">
        <v>1</v>
      </c>
      <c r="AP67" s="1002">
        <v>1</v>
      </c>
      <c r="AQ67" s="1002">
        <v>1</v>
      </c>
      <c r="AR67" s="1002">
        <v>1</v>
      </c>
      <c r="AS67" s="1002">
        <v>1</v>
      </c>
      <c r="AT67" s="1002">
        <v>0</v>
      </c>
      <c r="AU67" s="1002">
        <v>1</v>
      </c>
      <c r="AV67" s="1002">
        <v>0</v>
      </c>
      <c r="AW67" s="1002">
        <v>8</v>
      </c>
      <c r="AX67" s="1002">
        <v>0</v>
      </c>
      <c r="AY67" s="1002">
        <v>2</v>
      </c>
      <c r="AZ67" s="1002">
        <f>8-AY67-AX67</f>
        <v>6</v>
      </c>
      <c r="BA67" s="1002">
        <f>21-AZ67-AY67-AX67</f>
        <v>13</v>
      </c>
      <c r="BB67" s="1002">
        <v>6</v>
      </c>
      <c r="BC67" s="1002">
        <v>3</v>
      </c>
      <c r="BD67" s="1002">
        <v>17</v>
      </c>
      <c r="BE67" s="1002">
        <v>24</v>
      </c>
    </row>
    <row r="68" spans="1:57">
      <c r="A68" s="997" t="s">
        <v>725</v>
      </c>
      <c r="B68" s="997">
        <f>B65+B66-B67</f>
        <v>73</v>
      </c>
      <c r="C68" s="997">
        <f>C65+C66-C67</f>
        <v>74</v>
      </c>
      <c r="D68" s="997">
        <f t="shared" ref="D68:Y68" si="477">D65+D66-D67</f>
        <v>77</v>
      </c>
      <c r="E68" s="997">
        <f t="shared" si="477"/>
        <v>78</v>
      </c>
      <c r="F68" s="997">
        <f t="shared" si="477"/>
        <v>84</v>
      </c>
      <c r="G68" s="997">
        <f t="shared" si="477"/>
        <v>85</v>
      </c>
      <c r="H68" s="997">
        <f t="shared" si="477"/>
        <v>88</v>
      </c>
      <c r="I68" s="997">
        <f t="shared" si="477"/>
        <v>91</v>
      </c>
      <c r="J68" s="997">
        <f t="shared" si="477"/>
        <v>98</v>
      </c>
      <c r="K68" s="997">
        <f t="shared" si="477"/>
        <v>98</v>
      </c>
      <c r="L68" s="997">
        <f t="shared" si="477"/>
        <v>102</v>
      </c>
      <c r="M68" s="997">
        <f t="shared" si="477"/>
        <v>105</v>
      </c>
      <c r="N68" s="997">
        <f t="shared" si="477"/>
        <v>106</v>
      </c>
      <c r="O68" s="997">
        <f t="shared" si="477"/>
        <v>107</v>
      </c>
      <c r="P68" s="997">
        <f t="shared" si="477"/>
        <v>109</v>
      </c>
      <c r="Q68" s="997">
        <f t="shared" si="477"/>
        <v>110</v>
      </c>
      <c r="R68" s="997">
        <f t="shared" si="477"/>
        <v>108</v>
      </c>
      <c r="S68" s="997">
        <f t="shared" si="477"/>
        <v>111</v>
      </c>
      <c r="T68" s="997">
        <f t="shared" si="477"/>
        <v>112</v>
      </c>
      <c r="U68" s="997">
        <f t="shared" si="477"/>
        <v>113</v>
      </c>
      <c r="V68" s="997">
        <f t="shared" si="477"/>
        <v>115</v>
      </c>
      <c r="W68" s="997">
        <f t="shared" si="477"/>
        <v>116</v>
      </c>
      <c r="X68" s="997">
        <f t="shared" si="477"/>
        <v>120</v>
      </c>
      <c r="Y68" s="997">
        <f t="shared" si="477"/>
        <v>120</v>
      </c>
      <c r="Z68" s="1003">
        <f t="shared" ref="Z68:AX68" si="478">Z65+Z66-Z67</f>
        <v>122</v>
      </c>
      <c r="AA68" s="1003">
        <f t="shared" si="478"/>
        <v>123</v>
      </c>
      <c r="AB68" s="1003">
        <f t="shared" si="478"/>
        <v>126</v>
      </c>
      <c r="AC68" s="1003">
        <f t="shared" si="478"/>
        <v>135</v>
      </c>
      <c r="AD68" s="1003">
        <f t="shared" si="478"/>
        <v>138</v>
      </c>
      <c r="AE68" s="1003">
        <f t="shared" si="478"/>
        <v>140</v>
      </c>
      <c r="AF68" s="1003">
        <f t="shared" si="478"/>
        <v>141</v>
      </c>
      <c r="AG68" s="1003">
        <f t="shared" si="478"/>
        <v>152</v>
      </c>
      <c r="AH68" s="1003">
        <f t="shared" si="478"/>
        <v>161</v>
      </c>
      <c r="AI68" s="1003">
        <f t="shared" si="478"/>
        <v>165</v>
      </c>
      <c r="AJ68" s="1003">
        <f t="shared" si="478"/>
        <v>175</v>
      </c>
      <c r="AK68" s="1003">
        <f t="shared" si="478"/>
        <v>191</v>
      </c>
      <c r="AL68" s="1003">
        <f t="shared" si="478"/>
        <v>196</v>
      </c>
      <c r="AM68" s="1003">
        <f t="shared" si="478"/>
        <v>202</v>
      </c>
      <c r="AN68" s="1003">
        <f t="shared" si="478"/>
        <v>220</v>
      </c>
      <c r="AO68" s="1003">
        <f t="shared" si="478"/>
        <v>228</v>
      </c>
      <c r="AP68" s="1003">
        <f t="shared" si="478"/>
        <v>231</v>
      </c>
      <c r="AQ68" s="1003">
        <f t="shared" si="478"/>
        <v>235</v>
      </c>
      <c r="AR68" s="1003">
        <f t="shared" si="478"/>
        <v>249</v>
      </c>
      <c r="AS68" s="1003">
        <f t="shared" si="478"/>
        <v>266</v>
      </c>
      <c r="AT68" s="1003">
        <f t="shared" si="478"/>
        <v>281</v>
      </c>
      <c r="AU68" s="1003">
        <f t="shared" si="478"/>
        <v>286</v>
      </c>
      <c r="AV68" s="1003">
        <f t="shared" si="478"/>
        <v>299</v>
      </c>
      <c r="AW68" s="1003">
        <f t="shared" si="478"/>
        <v>305</v>
      </c>
      <c r="AX68" s="1003">
        <f t="shared" si="478"/>
        <v>312</v>
      </c>
      <c r="AY68" s="1003">
        <f t="shared" ref="AY68:BA68" si="479">AY65+AY66-AY67</f>
        <v>314</v>
      </c>
      <c r="AZ68" s="1003">
        <f t="shared" si="479"/>
        <v>315</v>
      </c>
      <c r="BA68" s="1003">
        <f t="shared" si="479"/>
        <v>311</v>
      </c>
      <c r="BB68" s="1003">
        <f t="shared" ref="BB68:BC68" si="480">BB65+BB66-BB67</f>
        <v>307</v>
      </c>
      <c r="BC68" s="1003">
        <f t="shared" si="480"/>
        <v>305</v>
      </c>
      <c r="BD68" s="1003">
        <f t="shared" ref="BD68:BE68" si="481">BD65+BD66-BD67</f>
        <v>309</v>
      </c>
      <c r="BE68" s="1003">
        <f t="shared" si="481"/>
        <v>313</v>
      </c>
    </row>
    <row r="70" spans="1:57">
      <c r="A70" s="991" t="s">
        <v>417</v>
      </c>
      <c r="B70" s="991" t="str">
        <f>B42</f>
        <v>1Q04</v>
      </c>
      <c r="C70" s="991" t="str">
        <f t="shared" ref="C70:Y70" si="482">C42</f>
        <v>2Q04</v>
      </c>
      <c r="D70" s="991" t="str">
        <f t="shared" si="482"/>
        <v>3Q04</v>
      </c>
      <c r="E70" s="991" t="str">
        <f t="shared" si="482"/>
        <v>4Q04</v>
      </c>
      <c r="F70" s="991" t="str">
        <f t="shared" si="482"/>
        <v>1Q05</v>
      </c>
      <c r="G70" s="991" t="str">
        <f t="shared" si="482"/>
        <v>2Q05</v>
      </c>
      <c r="H70" s="991" t="str">
        <f t="shared" si="482"/>
        <v>3Q05</v>
      </c>
      <c r="I70" s="991" t="str">
        <f t="shared" si="482"/>
        <v>4Q05</v>
      </c>
      <c r="J70" s="991" t="str">
        <f t="shared" si="482"/>
        <v>1Q06</v>
      </c>
      <c r="K70" s="991" t="str">
        <f t="shared" si="482"/>
        <v>2Q06</v>
      </c>
      <c r="L70" s="991" t="str">
        <f t="shared" si="482"/>
        <v>3Q06</v>
      </c>
      <c r="M70" s="991" t="str">
        <f t="shared" si="482"/>
        <v>4Q06</v>
      </c>
      <c r="N70" s="991" t="str">
        <f t="shared" si="482"/>
        <v>1Q07</v>
      </c>
      <c r="O70" s="991" t="str">
        <f t="shared" si="482"/>
        <v>2Q07</v>
      </c>
      <c r="P70" s="991" t="str">
        <f t="shared" si="482"/>
        <v>3Q07</v>
      </c>
      <c r="Q70" s="991" t="str">
        <f t="shared" si="482"/>
        <v>4Q07</v>
      </c>
      <c r="R70" s="991" t="str">
        <f t="shared" si="482"/>
        <v>1Q08</v>
      </c>
      <c r="S70" s="991" t="str">
        <f t="shared" si="482"/>
        <v>2Q08</v>
      </c>
      <c r="T70" s="991" t="str">
        <f t="shared" si="482"/>
        <v>3Q08</v>
      </c>
      <c r="U70" s="991" t="str">
        <f t="shared" si="482"/>
        <v>4Q08</v>
      </c>
      <c r="V70" s="991" t="str">
        <f t="shared" si="482"/>
        <v>1Q09</v>
      </c>
      <c r="W70" s="991" t="str">
        <f t="shared" si="482"/>
        <v>2Q09</v>
      </c>
      <c r="X70" s="991" t="str">
        <f t="shared" si="482"/>
        <v>3Q09</v>
      </c>
      <c r="Y70" s="991" t="str">
        <f t="shared" si="482"/>
        <v>4Q09</v>
      </c>
      <c r="Z70" s="991" t="s">
        <v>447</v>
      </c>
      <c r="AA70" s="991" t="s">
        <v>448</v>
      </c>
      <c r="AB70" s="991" t="s">
        <v>453</v>
      </c>
      <c r="AC70" s="991" t="s">
        <v>454</v>
      </c>
      <c r="AD70" s="991" t="s">
        <v>449</v>
      </c>
      <c r="AE70" s="991" t="s">
        <v>450</v>
      </c>
      <c r="AF70" s="991" t="s">
        <v>451</v>
      </c>
      <c r="AG70" s="991" t="s">
        <v>452</v>
      </c>
      <c r="AH70" s="991" t="s">
        <v>265</v>
      </c>
      <c r="AI70" s="991" t="s">
        <v>125</v>
      </c>
      <c r="AJ70" s="991" t="s">
        <v>266</v>
      </c>
      <c r="AK70" s="991" t="s">
        <v>267</v>
      </c>
      <c r="AL70" s="991" t="s">
        <v>724</v>
      </c>
      <c r="AM70" s="991" t="s">
        <v>723</v>
      </c>
      <c r="AN70" s="991" t="s">
        <v>722</v>
      </c>
      <c r="AO70" s="991" t="s">
        <v>721</v>
      </c>
      <c r="AP70" s="991" t="s">
        <v>671</v>
      </c>
      <c r="AQ70" s="991" t="s">
        <v>477</v>
      </c>
      <c r="AR70" s="991" t="s">
        <v>672</v>
      </c>
      <c r="AS70" s="991" t="s">
        <v>673</v>
      </c>
      <c r="AT70" s="991" t="s">
        <v>720</v>
      </c>
      <c r="AU70" s="991" t="s">
        <v>719</v>
      </c>
      <c r="AV70" s="991" t="s">
        <v>718</v>
      </c>
      <c r="AW70" s="991" t="s">
        <v>717</v>
      </c>
      <c r="AX70" s="991" t="str">
        <f>$AX$42</f>
        <v>1Q16</v>
      </c>
      <c r="AY70" s="991" t="str">
        <f>$AY$42</f>
        <v>2Q16</v>
      </c>
      <c r="AZ70" s="992" t="s">
        <v>704</v>
      </c>
      <c r="BA70" s="992" t="s">
        <v>705</v>
      </c>
      <c r="BB70" s="992" t="str">
        <f>BB2</f>
        <v>1Q17</v>
      </c>
      <c r="BC70" s="992" t="str">
        <f>BC2</f>
        <v>2Q17</v>
      </c>
      <c r="BD70" s="992" t="str">
        <f>BD2</f>
        <v>3Q17</v>
      </c>
      <c r="BE70" s="992" t="str">
        <f>BE2</f>
        <v>4Q17</v>
      </c>
    </row>
    <row r="71" spans="1:57">
      <c r="A71" s="993" t="s">
        <v>716</v>
      </c>
      <c r="C71" s="993">
        <v>0.8</v>
      </c>
      <c r="D71" s="993">
        <f>C73</f>
        <v>0.8</v>
      </c>
      <c r="E71" s="993">
        <f t="shared" ref="E71:Y71" si="483">D73</f>
        <v>0.8</v>
      </c>
      <c r="F71" s="993">
        <f t="shared" si="483"/>
        <v>0.8</v>
      </c>
      <c r="G71" s="993">
        <f t="shared" si="483"/>
        <v>0.9</v>
      </c>
      <c r="H71" s="993">
        <f t="shared" si="483"/>
        <v>0.9</v>
      </c>
      <c r="I71" s="993">
        <f t="shared" si="483"/>
        <v>1</v>
      </c>
      <c r="J71" s="993">
        <f t="shared" si="483"/>
        <v>1</v>
      </c>
      <c r="K71" s="993">
        <f t="shared" si="483"/>
        <v>1</v>
      </c>
      <c r="L71" s="993">
        <f t="shared" si="483"/>
        <v>0.9</v>
      </c>
      <c r="M71" s="993">
        <f t="shared" si="483"/>
        <v>1</v>
      </c>
      <c r="N71" s="993">
        <f t="shared" si="483"/>
        <v>1</v>
      </c>
      <c r="O71" s="993">
        <f t="shared" si="483"/>
        <v>1</v>
      </c>
      <c r="P71" s="993">
        <f t="shared" si="483"/>
        <v>1</v>
      </c>
      <c r="Q71" s="993">
        <f t="shared" si="483"/>
        <v>1</v>
      </c>
      <c r="R71" s="993">
        <f t="shared" si="483"/>
        <v>1.1000000000000001</v>
      </c>
      <c r="S71" s="993">
        <f t="shared" si="483"/>
        <v>1</v>
      </c>
      <c r="T71" s="993">
        <f t="shared" si="483"/>
        <v>1</v>
      </c>
      <c r="U71" s="993">
        <f t="shared" si="483"/>
        <v>1.1000000000000001</v>
      </c>
      <c r="V71" s="993">
        <f t="shared" si="483"/>
        <v>1</v>
      </c>
      <c r="W71" s="993">
        <f t="shared" si="483"/>
        <v>1.1000000000000001</v>
      </c>
      <c r="X71" s="993">
        <f t="shared" si="483"/>
        <v>1.1000000000000001</v>
      </c>
      <c r="Y71" s="993">
        <f t="shared" si="483"/>
        <v>1.1000000000000001</v>
      </c>
      <c r="Z71" s="1001">
        <v>1.1000000000000001</v>
      </c>
      <c r="AA71" s="1001">
        <f t="shared" ref="AA71:BE71" si="484">+Z73</f>
        <v>1.1000000000000001</v>
      </c>
      <c r="AB71" s="1001">
        <f t="shared" si="484"/>
        <v>1.1000000000000001</v>
      </c>
      <c r="AC71" s="1001">
        <f t="shared" si="484"/>
        <v>1.2</v>
      </c>
      <c r="AD71" s="1001">
        <f t="shared" si="484"/>
        <v>1.3</v>
      </c>
      <c r="AE71" s="1001">
        <f t="shared" si="484"/>
        <v>1.3</v>
      </c>
      <c r="AF71" s="1001">
        <f t="shared" si="484"/>
        <v>1.3</v>
      </c>
      <c r="AG71" s="1001">
        <f t="shared" si="484"/>
        <v>1.3</v>
      </c>
      <c r="AH71" s="1001">
        <f t="shared" si="484"/>
        <v>1.5</v>
      </c>
      <c r="AI71" s="1001">
        <f t="shared" si="484"/>
        <v>1.6</v>
      </c>
      <c r="AJ71" s="1001">
        <f t="shared" si="484"/>
        <v>1.6</v>
      </c>
      <c r="AK71" s="1001">
        <f t="shared" si="484"/>
        <v>1.7</v>
      </c>
      <c r="AL71" s="1001">
        <f t="shared" si="484"/>
        <v>1.9</v>
      </c>
      <c r="AM71" s="1001">
        <f t="shared" si="484"/>
        <v>1.9</v>
      </c>
      <c r="AN71" s="1001">
        <f t="shared" si="484"/>
        <v>2</v>
      </c>
      <c r="AO71" s="1001">
        <f t="shared" si="484"/>
        <v>2.2000000000000002</v>
      </c>
      <c r="AP71" s="1001">
        <f t="shared" si="484"/>
        <v>2.2999999999999998</v>
      </c>
      <c r="AQ71" s="1001">
        <f t="shared" si="484"/>
        <v>2.2999999999999998</v>
      </c>
      <c r="AR71" s="1001">
        <f t="shared" si="484"/>
        <v>2.4</v>
      </c>
      <c r="AS71" s="1001">
        <f t="shared" si="484"/>
        <v>2.5</v>
      </c>
      <c r="AT71" s="1001">
        <f t="shared" si="484"/>
        <v>2.7</v>
      </c>
      <c r="AU71" s="1001">
        <f t="shared" si="484"/>
        <v>2.8</v>
      </c>
      <c r="AV71" s="1001">
        <f t="shared" si="484"/>
        <v>2.8</v>
      </c>
      <c r="AW71" s="1001">
        <f t="shared" si="484"/>
        <v>2.9</v>
      </c>
      <c r="AX71" s="1001">
        <f t="shared" si="484"/>
        <v>3</v>
      </c>
      <c r="AY71" s="1001">
        <f t="shared" si="484"/>
        <v>3.1</v>
      </c>
      <c r="AZ71" s="1001">
        <f t="shared" si="484"/>
        <v>3.1</v>
      </c>
      <c r="BA71" s="1441">
        <f t="shared" si="484"/>
        <v>3</v>
      </c>
      <c r="BB71" s="1441">
        <f t="shared" si="484"/>
        <v>3</v>
      </c>
      <c r="BC71" s="1441">
        <f t="shared" si="484"/>
        <v>2.9</v>
      </c>
      <c r="BD71" s="1441">
        <f t="shared" si="484"/>
        <v>2.9</v>
      </c>
      <c r="BE71" s="1441">
        <f t="shared" si="484"/>
        <v>3</v>
      </c>
    </row>
    <row r="72" spans="1:57">
      <c r="A72" s="995" t="s">
        <v>136</v>
      </c>
      <c r="B72" s="995"/>
      <c r="C72" s="1002">
        <f t="shared" ref="C72:D72" si="485">C73-C71</f>
        <v>0</v>
      </c>
      <c r="D72" s="1002">
        <f t="shared" si="485"/>
        <v>0</v>
      </c>
      <c r="E72" s="1002">
        <f t="shared" ref="E72:Y72" si="486">E73-E71</f>
        <v>0</v>
      </c>
      <c r="F72" s="1002">
        <f t="shared" si="486"/>
        <v>9.9999999999999978E-2</v>
      </c>
      <c r="G72" s="1002">
        <f t="shared" si="486"/>
        <v>0</v>
      </c>
      <c r="H72" s="1002">
        <f t="shared" si="486"/>
        <v>9.9999999999999978E-2</v>
      </c>
      <c r="I72" s="1002">
        <f t="shared" si="486"/>
        <v>0</v>
      </c>
      <c r="J72" s="1002">
        <f t="shared" si="486"/>
        <v>0</v>
      </c>
      <c r="K72" s="1002">
        <f t="shared" si="486"/>
        <v>-9.9999999999999978E-2</v>
      </c>
      <c r="L72" s="1002">
        <f t="shared" si="486"/>
        <v>9.9999999999999978E-2</v>
      </c>
      <c r="M72" s="1002">
        <f t="shared" si="486"/>
        <v>0</v>
      </c>
      <c r="N72" s="1002">
        <f t="shared" si="486"/>
        <v>0</v>
      </c>
      <c r="O72" s="1002">
        <f t="shared" si="486"/>
        <v>0</v>
      </c>
      <c r="P72" s="1002">
        <f t="shared" si="486"/>
        <v>0</v>
      </c>
      <c r="Q72" s="1002">
        <f t="shared" si="486"/>
        <v>0.10000000000000009</v>
      </c>
      <c r="R72" s="1002">
        <f t="shared" si="486"/>
        <v>-0.10000000000000009</v>
      </c>
      <c r="S72" s="1002">
        <f t="shared" si="486"/>
        <v>0</v>
      </c>
      <c r="T72" s="1002">
        <f t="shared" si="486"/>
        <v>0.10000000000000009</v>
      </c>
      <c r="U72" s="1002">
        <f t="shared" si="486"/>
        <v>-0.10000000000000009</v>
      </c>
      <c r="V72" s="1002">
        <f t="shared" si="486"/>
        <v>0.10000000000000009</v>
      </c>
      <c r="W72" s="1002">
        <f t="shared" si="486"/>
        <v>0</v>
      </c>
      <c r="X72" s="1002">
        <f t="shared" si="486"/>
        <v>0</v>
      </c>
      <c r="Y72" s="1002">
        <f t="shared" si="486"/>
        <v>0</v>
      </c>
      <c r="Z72" s="1002">
        <f t="shared" ref="Z72:AX72" si="487">Z73-Z71</f>
        <v>0</v>
      </c>
      <c r="AA72" s="1002">
        <f t="shared" si="487"/>
        <v>0</v>
      </c>
      <c r="AB72" s="1002">
        <f t="shared" si="487"/>
        <v>9.9999999999999867E-2</v>
      </c>
      <c r="AC72" s="1002">
        <f t="shared" si="487"/>
        <v>0.10000000000000009</v>
      </c>
      <c r="AD72" s="1002">
        <f t="shared" si="487"/>
        <v>0</v>
      </c>
      <c r="AE72" s="1002">
        <f t="shared" si="487"/>
        <v>0</v>
      </c>
      <c r="AF72" s="1002">
        <f t="shared" si="487"/>
        <v>0</v>
      </c>
      <c r="AG72" s="1002">
        <f t="shared" si="487"/>
        <v>0.19999999999999996</v>
      </c>
      <c r="AH72" s="1002">
        <f t="shared" si="487"/>
        <v>0.10000000000000009</v>
      </c>
      <c r="AI72" s="1002">
        <f t="shared" si="487"/>
        <v>0</v>
      </c>
      <c r="AJ72" s="1002">
        <f t="shared" si="487"/>
        <v>9.9999999999999867E-2</v>
      </c>
      <c r="AK72" s="1002">
        <f t="shared" si="487"/>
        <v>0.19999999999999996</v>
      </c>
      <c r="AL72" s="1002">
        <f t="shared" si="487"/>
        <v>0</v>
      </c>
      <c r="AM72" s="1002">
        <f t="shared" si="487"/>
        <v>0.10000000000000009</v>
      </c>
      <c r="AN72" s="1002">
        <f t="shared" si="487"/>
        <v>0.20000000000000018</v>
      </c>
      <c r="AO72" s="1002">
        <f t="shared" si="487"/>
        <v>9.9999999999999645E-2</v>
      </c>
      <c r="AP72" s="1002">
        <f t="shared" si="487"/>
        <v>0</v>
      </c>
      <c r="AQ72" s="1002">
        <f t="shared" si="487"/>
        <v>0.10000000000000009</v>
      </c>
      <c r="AR72" s="1002">
        <f t="shared" si="487"/>
        <v>0.10000000000000009</v>
      </c>
      <c r="AS72" s="1002">
        <f t="shared" si="487"/>
        <v>0.20000000000000018</v>
      </c>
      <c r="AT72" s="1002">
        <f t="shared" si="487"/>
        <v>9.9999999999999645E-2</v>
      </c>
      <c r="AU72" s="1002">
        <f t="shared" si="487"/>
        <v>0</v>
      </c>
      <c r="AV72" s="1002">
        <f t="shared" si="487"/>
        <v>0.10000000000000009</v>
      </c>
      <c r="AW72" s="1002">
        <f t="shared" si="487"/>
        <v>0.10000000000000009</v>
      </c>
      <c r="AX72" s="1002">
        <f t="shared" si="487"/>
        <v>0.10000000000000009</v>
      </c>
      <c r="AY72" s="1002">
        <f t="shared" ref="AY72:AZ72" si="488">AY73-AY71</f>
        <v>0</v>
      </c>
      <c r="AZ72" s="1002">
        <f t="shared" si="488"/>
        <v>-0.10000000000000009</v>
      </c>
      <c r="BA72" s="1442">
        <f t="shared" ref="BA72:BB72" si="489">BA73-BA71</f>
        <v>0</v>
      </c>
      <c r="BB72" s="1470">
        <f t="shared" si="489"/>
        <v>-0.10000000000000009</v>
      </c>
      <c r="BC72" s="1470">
        <f t="shared" ref="BC72:BD72" si="490">BC73-BC71</f>
        <v>0</v>
      </c>
      <c r="BD72" s="1470">
        <f t="shared" si="490"/>
        <v>0.10000000000000009</v>
      </c>
      <c r="BE72" s="1470">
        <f t="shared" ref="BE72" si="491">BE73-BE71</f>
        <v>0</v>
      </c>
    </row>
    <row r="73" spans="1:57">
      <c r="A73" s="997" t="s">
        <v>715</v>
      </c>
      <c r="B73" s="997"/>
      <c r="C73" s="997">
        <v>0.8</v>
      </c>
      <c r="D73" s="997">
        <v>0.8</v>
      </c>
      <c r="E73" s="997">
        <v>0.8</v>
      </c>
      <c r="F73" s="997">
        <v>0.9</v>
      </c>
      <c r="G73" s="997">
        <v>0.9</v>
      </c>
      <c r="H73" s="997">
        <v>1</v>
      </c>
      <c r="I73" s="997">
        <v>1</v>
      </c>
      <c r="J73" s="997">
        <v>1</v>
      </c>
      <c r="K73" s="997">
        <v>0.9</v>
      </c>
      <c r="L73" s="997">
        <v>1</v>
      </c>
      <c r="M73" s="997">
        <v>1</v>
      </c>
      <c r="N73" s="997">
        <v>1</v>
      </c>
      <c r="O73" s="997">
        <v>1</v>
      </c>
      <c r="P73" s="997">
        <v>1</v>
      </c>
      <c r="Q73" s="997">
        <v>1.1000000000000001</v>
      </c>
      <c r="R73" s="997">
        <v>1</v>
      </c>
      <c r="S73" s="997">
        <v>1</v>
      </c>
      <c r="T73" s="997">
        <v>1.1000000000000001</v>
      </c>
      <c r="U73" s="997">
        <v>1</v>
      </c>
      <c r="V73" s="997">
        <v>1.1000000000000001</v>
      </c>
      <c r="W73" s="997">
        <v>1.1000000000000001</v>
      </c>
      <c r="X73" s="997">
        <v>1.1000000000000001</v>
      </c>
      <c r="Y73" s="997">
        <v>1.1000000000000001</v>
      </c>
      <c r="Z73" s="1003">
        <v>1.1000000000000001</v>
      </c>
      <c r="AA73" s="1003">
        <v>1.1000000000000001</v>
      </c>
      <c r="AB73" s="1003">
        <v>1.2</v>
      </c>
      <c r="AC73" s="1003">
        <v>1.3</v>
      </c>
      <c r="AD73" s="1003">
        <v>1.3</v>
      </c>
      <c r="AE73" s="1003">
        <v>1.3</v>
      </c>
      <c r="AF73" s="1003">
        <v>1.3</v>
      </c>
      <c r="AG73" s="1003">
        <v>1.5</v>
      </c>
      <c r="AH73" s="1003">
        <v>1.6</v>
      </c>
      <c r="AI73" s="1003">
        <v>1.6</v>
      </c>
      <c r="AJ73" s="1003">
        <v>1.7</v>
      </c>
      <c r="AK73" s="1003">
        <v>1.9</v>
      </c>
      <c r="AL73" s="1003">
        <v>1.9</v>
      </c>
      <c r="AM73" s="1003">
        <v>2</v>
      </c>
      <c r="AN73" s="1003">
        <v>2.2000000000000002</v>
      </c>
      <c r="AO73" s="1003">
        <v>2.2999999999999998</v>
      </c>
      <c r="AP73" s="1003">
        <v>2.2999999999999998</v>
      </c>
      <c r="AQ73" s="1003">
        <v>2.4</v>
      </c>
      <c r="AR73" s="1003">
        <v>2.5</v>
      </c>
      <c r="AS73" s="1003">
        <v>2.7</v>
      </c>
      <c r="AT73" s="1003">
        <v>2.8</v>
      </c>
      <c r="AU73" s="1003">
        <v>2.8</v>
      </c>
      <c r="AV73" s="1003">
        <v>2.9</v>
      </c>
      <c r="AW73" s="1003">
        <v>3</v>
      </c>
      <c r="AX73" s="1003">
        <v>3.1</v>
      </c>
      <c r="AY73" s="1003">
        <v>3.1</v>
      </c>
      <c r="AZ73" s="1440">
        <v>3</v>
      </c>
      <c r="BA73" s="1440">
        <v>3</v>
      </c>
      <c r="BB73" s="1440">
        <v>2.9</v>
      </c>
      <c r="BC73" s="1440">
        <v>2.9</v>
      </c>
      <c r="BD73" s="1440">
        <v>3</v>
      </c>
      <c r="BE73" s="1440">
        <v>3</v>
      </c>
    </row>
    <row r="74" spans="1:57">
      <c r="Z74" s="1001"/>
      <c r="AA74" s="1001"/>
      <c r="AB74" s="1001"/>
      <c r="AC74" s="1001"/>
      <c r="AD74" s="1001"/>
      <c r="AE74" s="1001"/>
      <c r="AF74" s="1001"/>
      <c r="AG74" s="1001"/>
      <c r="AH74" s="1001"/>
      <c r="AI74" s="1001"/>
      <c r="AJ74" s="1001"/>
      <c r="AK74" s="1001"/>
      <c r="AL74" s="1001"/>
      <c r="AM74" s="1001"/>
      <c r="AN74" s="1001"/>
      <c r="AO74" s="1001"/>
      <c r="AP74" s="1001"/>
      <c r="AQ74" s="1001"/>
      <c r="AR74" s="1001"/>
      <c r="AS74" s="1001"/>
      <c r="AT74" s="1001"/>
      <c r="AU74" s="1001"/>
      <c r="AV74" s="1001"/>
      <c r="AW74" s="1001"/>
      <c r="AX74" s="1001"/>
      <c r="AY74" s="1001"/>
      <c r="AZ74" s="1001"/>
      <c r="BA74" s="1001"/>
      <c r="BB74" s="1001"/>
      <c r="BC74" s="1001"/>
      <c r="BD74" s="1001"/>
      <c r="BE74" s="1001"/>
    </row>
    <row r="75" spans="1:57">
      <c r="A75" s="991" t="s">
        <v>736</v>
      </c>
      <c r="B75" s="991" t="str">
        <f>B42</f>
        <v>1Q04</v>
      </c>
      <c r="C75" s="991" t="str">
        <f t="shared" ref="C75:Y75" si="492">C42</f>
        <v>2Q04</v>
      </c>
      <c r="D75" s="991" t="str">
        <f t="shared" si="492"/>
        <v>3Q04</v>
      </c>
      <c r="E75" s="991" t="str">
        <f t="shared" si="492"/>
        <v>4Q04</v>
      </c>
      <c r="F75" s="991" t="str">
        <f t="shared" si="492"/>
        <v>1Q05</v>
      </c>
      <c r="G75" s="991" t="str">
        <f t="shared" si="492"/>
        <v>2Q05</v>
      </c>
      <c r="H75" s="991" t="str">
        <f t="shared" si="492"/>
        <v>3Q05</v>
      </c>
      <c r="I75" s="991" t="str">
        <f t="shared" si="492"/>
        <v>4Q05</v>
      </c>
      <c r="J75" s="991" t="str">
        <f t="shared" si="492"/>
        <v>1Q06</v>
      </c>
      <c r="K75" s="991" t="str">
        <f t="shared" si="492"/>
        <v>2Q06</v>
      </c>
      <c r="L75" s="991" t="str">
        <f t="shared" si="492"/>
        <v>3Q06</v>
      </c>
      <c r="M75" s="991" t="str">
        <f t="shared" si="492"/>
        <v>4Q06</v>
      </c>
      <c r="N75" s="991" t="str">
        <f t="shared" si="492"/>
        <v>1Q07</v>
      </c>
      <c r="O75" s="991" t="str">
        <f t="shared" si="492"/>
        <v>2Q07</v>
      </c>
      <c r="P75" s="991" t="str">
        <f t="shared" si="492"/>
        <v>3Q07</v>
      </c>
      <c r="Q75" s="991" t="str">
        <f t="shared" si="492"/>
        <v>4Q07</v>
      </c>
      <c r="R75" s="991" t="str">
        <f t="shared" si="492"/>
        <v>1Q08</v>
      </c>
      <c r="S75" s="991" t="str">
        <f t="shared" si="492"/>
        <v>2Q08</v>
      </c>
      <c r="T75" s="991" t="str">
        <f t="shared" si="492"/>
        <v>3Q08</v>
      </c>
      <c r="U75" s="991" t="str">
        <f t="shared" si="492"/>
        <v>4Q08</v>
      </c>
      <c r="V75" s="991" t="str">
        <f t="shared" si="492"/>
        <v>1Q09</v>
      </c>
      <c r="W75" s="991" t="str">
        <f t="shared" si="492"/>
        <v>2Q09</v>
      </c>
      <c r="X75" s="991" t="str">
        <f t="shared" si="492"/>
        <v>3Q09</v>
      </c>
      <c r="Y75" s="991" t="str">
        <f t="shared" si="492"/>
        <v>4Q09</v>
      </c>
      <c r="Z75" s="991" t="s">
        <v>447</v>
      </c>
      <c r="AA75" s="991" t="s">
        <v>448</v>
      </c>
      <c r="AB75" s="991" t="s">
        <v>453</v>
      </c>
      <c r="AC75" s="991" t="s">
        <v>454</v>
      </c>
      <c r="AD75" s="991" t="s">
        <v>449</v>
      </c>
      <c r="AE75" s="991" t="s">
        <v>450</v>
      </c>
      <c r="AF75" s="991" t="s">
        <v>451</v>
      </c>
      <c r="AG75" s="991" t="s">
        <v>452</v>
      </c>
      <c r="AH75" s="991" t="s">
        <v>265</v>
      </c>
      <c r="AI75" s="991" t="s">
        <v>125</v>
      </c>
      <c r="AJ75" s="991" t="s">
        <v>266</v>
      </c>
      <c r="AK75" s="991" t="s">
        <v>267</v>
      </c>
      <c r="AL75" s="991" t="s">
        <v>724</v>
      </c>
      <c r="AM75" s="991" t="s">
        <v>723</v>
      </c>
      <c r="AN75" s="991" t="s">
        <v>722</v>
      </c>
      <c r="AO75" s="991" t="s">
        <v>721</v>
      </c>
      <c r="AP75" s="991" t="s">
        <v>671</v>
      </c>
      <c r="AQ75" s="991" t="s">
        <v>477</v>
      </c>
      <c r="AR75" s="991" t="s">
        <v>672</v>
      </c>
      <c r="AS75" s="991" t="s">
        <v>673</v>
      </c>
      <c r="AT75" s="991" t="s">
        <v>720</v>
      </c>
      <c r="AU75" s="991" t="s">
        <v>719</v>
      </c>
      <c r="AV75" s="991" t="s">
        <v>718</v>
      </c>
      <c r="AW75" s="991" t="s">
        <v>717</v>
      </c>
      <c r="AX75" s="991" t="str">
        <f>$AX$42</f>
        <v>1Q16</v>
      </c>
      <c r="AY75" s="991" t="str">
        <f>$AY$42</f>
        <v>2Q16</v>
      </c>
      <c r="AZ75" s="992" t="s">
        <v>704</v>
      </c>
      <c r="BA75" s="992" t="s">
        <v>705</v>
      </c>
      <c r="BB75" s="992" t="str">
        <f>BB2</f>
        <v>1Q17</v>
      </c>
      <c r="BC75" s="992" t="str">
        <f>BC2</f>
        <v>2Q17</v>
      </c>
      <c r="BD75" s="992" t="str">
        <f>BD2</f>
        <v>3Q17</v>
      </c>
      <c r="BE75" s="992" t="str">
        <f>BE2</f>
        <v>4Q17</v>
      </c>
    </row>
    <row r="76" spans="1:57">
      <c r="A76" s="993" t="s">
        <v>728</v>
      </c>
      <c r="B76" s="993">
        <v>840</v>
      </c>
      <c r="C76" s="993">
        <f>B79</f>
        <v>843</v>
      </c>
      <c r="D76" s="993">
        <f t="shared" ref="D76:Y76" si="493">C79</f>
        <v>853</v>
      </c>
      <c r="E76" s="993">
        <f t="shared" si="493"/>
        <v>887</v>
      </c>
      <c r="F76" s="993">
        <f t="shared" si="493"/>
        <v>889</v>
      </c>
      <c r="G76" s="993">
        <f t="shared" si="493"/>
        <v>907</v>
      </c>
      <c r="H76" s="993">
        <f t="shared" si="493"/>
        <v>921</v>
      </c>
      <c r="I76" s="993">
        <f t="shared" si="493"/>
        <v>958</v>
      </c>
      <c r="J76" s="993">
        <f t="shared" si="493"/>
        <v>959</v>
      </c>
      <c r="K76" s="993">
        <f t="shared" si="493"/>
        <v>971</v>
      </c>
      <c r="L76" s="993">
        <f t="shared" si="493"/>
        <v>982</v>
      </c>
      <c r="M76" s="993">
        <f t="shared" si="493"/>
        <v>1008</v>
      </c>
      <c r="N76" s="993">
        <f t="shared" si="493"/>
        <v>1012</v>
      </c>
      <c r="O76" s="993">
        <f t="shared" si="493"/>
        <v>1021</v>
      </c>
      <c r="P76" s="993">
        <f t="shared" si="493"/>
        <v>1034</v>
      </c>
      <c r="Q76" s="993">
        <f t="shared" si="493"/>
        <v>1062</v>
      </c>
      <c r="R76" s="993">
        <f t="shared" si="493"/>
        <v>1059</v>
      </c>
      <c r="S76" s="993">
        <f t="shared" si="493"/>
        <v>1065</v>
      </c>
      <c r="T76" s="993">
        <f t="shared" si="493"/>
        <v>1066</v>
      </c>
      <c r="U76" s="993">
        <f t="shared" si="493"/>
        <v>1076</v>
      </c>
      <c r="V76" s="993">
        <f t="shared" si="493"/>
        <v>1067</v>
      </c>
      <c r="W76" s="993">
        <f t="shared" si="493"/>
        <v>1066</v>
      </c>
      <c r="X76" s="993">
        <f t="shared" si="493"/>
        <v>1062</v>
      </c>
      <c r="Y76" s="993">
        <f t="shared" si="493"/>
        <v>1059</v>
      </c>
      <c r="Z76" s="1001">
        <v>1039</v>
      </c>
      <c r="AA76" s="1001">
        <f t="shared" ref="AA76:BE76" si="494">+Z79</f>
        <v>1035</v>
      </c>
      <c r="AB76" s="1001">
        <f t="shared" si="494"/>
        <v>1035</v>
      </c>
      <c r="AC76" s="1001">
        <f t="shared" si="494"/>
        <v>1036</v>
      </c>
      <c r="AD76" s="1001">
        <f t="shared" si="494"/>
        <v>1027</v>
      </c>
      <c r="AE76" s="1001">
        <f t="shared" si="494"/>
        <v>1021</v>
      </c>
      <c r="AF76" s="1001">
        <f t="shared" si="494"/>
        <v>1022</v>
      </c>
      <c r="AG76" s="1001">
        <f t="shared" si="494"/>
        <v>1022</v>
      </c>
      <c r="AH76" s="1001">
        <f t="shared" si="494"/>
        <v>1016</v>
      </c>
      <c r="AI76" s="1001">
        <f t="shared" si="494"/>
        <v>1014</v>
      </c>
      <c r="AJ76" s="1001">
        <f t="shared" si="494"/>
        <v>1010</v>
      </c>
      <c r="AK76" s="1001">
        <f t="shared" si="494"/>
        <v>1013</v>
      </c>
      <c r="AL76" s="1001">
        <f t="shared" si="494"/>
        <v>1010</v>
      </c>
      <c r="AM76" s="1001">
        <f t="shared" si="494"/>
        <v>1005</v>
      </c>
      <c r="AN76" s="1001">
        <f t="shared" si="494"/>
        <v>1003</v>
      </c>
      <c r="AO76" s="1001">
        <f t="shared" si="494"/>
        <v>1007</v>
      </c>
      <c r="AP76" s="1001">
        <f t="shared" si="494"/>
        <v>1004</v>
      </c>
      <c r="AQ76" s="1001">
        <f t="shared" si="494"/>
        <v>1005</v>
      </c>
      <c r="AR76" s="1001">
        <f t="shared" si="494"/>
        <v>1006</v>
      </c>
      <c r="AS76" s="1001">
        <f t="shared" si="494"/>
        <v>1015</v>
      </c>
      <c r="AT76" s="1001">
        <f t="shared" si="494"/>
        <v>1013</v>
      </c>
      <c r="AU76" s="1001">
        <f t="shared" si="494"/>
        <v>1010</v>
      </c>
      <c r="AV76" s="1001">
        <f t="shared" si="494"/>
        <v>1013</v>
      </c>
      <c r="AW76" s="1001">
        <f t="shared" si="494"/>
        <v>1027</v>
      </c>
      <c r="AX76" s="1001">
        <f t="shared" si="494"/>
        <v>1030</v>
      </c>
      <c r="AY76" s="1001">
        <f t="shared" si="494"/>
        <v>1029</v>
      </c>
      <c r="AZ76" s="1001">
        <f t="shared" si="494"/>
        <v>1032</v>
      </c>
      <c r="BA76" s="1001">
        <f t="shared" si="494"/>
        <v>1039</v>
      </c>
      <c r="BB76" s="1001">
        <f t="shared" si="494"/>
        <v>1043</v>
      </c>
      <c r="BC76" s="1001">
        <f t="shared" si="494"/>
        <v>1047</v>
      </c>
      <c r="BD76" s="1001">
        <f t="shared" si="494"/>
        <v>1051</v>
      </c>
      <c r="BE76" s="1001">
        <f t="shared" si="494"/>
        <v>1057</v>
      </c>
    </row>
    <row r="77" spans="1:57">
      <c r="A77" s="993" t="s">
        <v>727</v>
      </c>
      <c r="B77" s="993">
        <v>6</v>
      </c>
      <c r="C77" s="993">
        <v>13</v>
      </c>
      <c r="D77" s="993">
        <v>38</v>
      </c>
      <c r="E77" s="993">
        <v>11</v>
      </c>
      <c r="F77" s="993">
        <v>23</v>
      </c>
      <c r="G77" s="993">
        <v>19</v>
      </c>
      <c r="H77" s="993">
        <v>43</v>
      </c>
      <c r="I77" s="993">
        <v>8</v>
      </c>
      <c r="J77" s="993">
        <v>13</v>
      </c>
      <c r="K77" s="993">
        <v>17</v>
      </c>
      <c r="L77" s="993">
        <v>31</v>
      </c>
      <c r="M77" s="993">
        <v>8</v>
      </c>
      <c r="N77" s="993">
        <v>11</v>
      </c>
      <c r="O77" s="993">
        <v>17</v>
      </c>
      <c r="P77" s="993">
        <v>74</v>
      </c>
      <c r="Q77" s="993">
        <v>11</v>
      </c>
      <c r="R77" s="993">
        <v>11</v>
      </c>
      <c r="S77" s="993">
        <v>4</v>
      </c>
      <c r="T77" s="993">
        <v>16</v>
      </c>
      <c r="U77" s="993">
        <v>3</v>
      </c>
      <c r="V77" s="993">
        <v>1</v>
      </c>
      <c r="W77" s="993">
        <v>1</v>
      </c>
      <c r="X77" s="993">
        <v>0</v>
      </c>
      <c r="Y77" s="993">
        <v>1</v>
      </c>
      <c r="Z77" s="1001">
        <v>3</v>
      </c>
      <c r="AA77" s="1001">
        <v>3</v>
      </c>
      <c r="AB77" s="1001">
        <v>5</v>
      </c>
      <c r="AC77" s="1001">
        <v>7</v>
      </c>
      <c r="AD77" s="1001">
        <v>6</v>
      </c>
      <c r="AE77" s="1001">
        <v>6</v>
      </c>
      <c r="AF77" s="1001">
        <v>9</v>
      </c>
      <c r="AG77" s="1001">
        <v>11</v>
      </c>
      <c r="AH77" s="1001">
        <v>6</v>
      </c>
      <c r="AI77" s="1001">
        <v>2</v>
      </c>
      <c r="AJ77" s="1001">
        <v>9</v>
      </c>
      <c r="AK77" s="1001">
        <v>9</v>
      </c>
      <c r="AL77" s="1001">
        <v>7</v>
      </c>
      <c r="AM77" s="1001">
        <v>5</v>
      </c>
      <c r="AN77" s="1001">
        <v>7</v>
      </c>
      <c r="AO77" s="1001">
        <v>8</v>
      </c>
      <c r="AP77" s="1001">
        <v>7</v>
      </c>
      <c r="AQ77" s="1001">
        <v>6</v>
      </c>
      <c r="AR77" s="1001">
        <v>14</v>
      </c>
      <c r="AS77" s="1001">
        <v>6</v>
      </c>
      <c r="AT77" s="1001">
        <v>4</v>
      </c>
      <c r="AU77" s="1001">
        <v>7</v>
      </c>
      <c r="AV77" s="1001">
        <v>16</v>
      </c>
      <c r="AW77" s="1001">
        <v>9</v>
      </c>
      <c r="AX77" s="1001">
        <v>2</v>
      </c>
      <c r="AY77" s="1001">
        <v>6</v>
      </c>
      <c r="AZ77" s="1001">
        <f>19-AY77-AX77</f>
        <v>11</v>
      </c>
      <c r="BA77" s="1001">
        <f>27-AZ77-AY77-AX77</f>
        <v>8</v>
      </c>
      <c r="BB77" s="1001">
        <v>5</v>
      </c>
      <c r="BC77" s="1001">
        <v>8</v>
      </c>
      <c r="BD77" s="1001">
        <v>7</v>
      </c>
      <c r="BE77" s="1001">
        <v>12</v>
      </c>
    </row>
    <row r="78" spans="1:57">
      <c r="A78" s="995" t="s">
        <v>726</v>
      </c>
      <c r="B78" s="995">
        <v>3</v>
      </c>
      <c r="C78" s="995">
        <v>3</v>
      </c>
      <c r="D78" s="995">
        <v>4</v>
      </c>
      <c r="E78" s="995">
        <v>9</v>
      </c>
      <c r="F78" s="995">
        <v>5</v>
      </c>
      <c r="G78" s="995">
        <v>5</v>
      </c>
      <c r="H78" s="995">
        <v>6</v>
      </c>
      <c r="I78" s="995">
        <v>7</v>
      </c>
      <c r="J78" s="995">
        <v>1</v>
      </c>
      <c r="K78" s="995">
        <v>6</v>
      </c>
      <c r="L78" s="995">
        <v>5</v>
      </c>
      <c r="M78" s="995">
        <v>4</v>
      </c>
      <c r="N78" s="995">
        <v>2</v>
      </c>
      <c r="O78" s="995">
        <v>4</v>
      </c>
      <c r="P78" s="995">
        <v>46</v>
      </c>
      <c r="Q78" s="995">
        <v>14</v>
      </c>
      <c r="R78" s="995">
        <v>5</v>
      </c>
      <c r="S78" s="995">
        <v>3</v>
      </c>
      <c r="T78" s="995">
        <v>6</v>
      </c>
      <c r="U78" s="995">
        <v>12</v>
      </c>
      <c r="V78" s="995">
        <v>2</v>
      </c>
      <c r="W78" s="995">
        <v>5</v>
      </c>
      <c r="X78" s="995">
        <v>3</v>
      </c>
      <c r="Y78" s="995">
        <v>21</v>
      </c>
      <c r="Z78" s="1002">
        <v>7</v>
      </c>
      <c r="AA78" s="1002">
        <v>3</v>
      </c>
      <c r="AB78" s="1002">
        <v>4</v>
      </c>
      <c r="AC78" s="1002">
        <v>16</v>
      </c>
      <c r="AD78" s="1002">
        <v>12</v>
      </c>
      <c r="AE78" s="1002">
        <v>5</v>
      </c>
      <c r="AF78" s="1002">
        <v>9</v>
      </c>
      <c r="AG78" s="1002">
        <v>17</v>
      </c>
      <c r="AH78" s="1002">
        <v>8</v>
      </c>
      <c r="AI78" s="1002">
        <v>6</v>
      </c>
      <c r="AJ78" s="1002">
        <v>6</v>
      </c>
      <c r="AK78" s="1002">
        <v>12</v>
      </c>
      <c r="AL78" s="1002">
        <v>12</v>
      </c>
      <c r="AM78" s="1002">
        <v>7</v>
      </c>
      <c r="AN78" s="1002">
        <v>3</v>
      </c>
      <c r="AO78" s="1002">
        <v>11</v>
      </c>
      <c r="AP78" s="1002">
        <v>6</v>
      </c>
      <c r="AQ78" s="1002">
        <v>5</v>
      </c>
      <c r="AR78" s="1002">
        <v>5</v>
      </c>
      <c r="AS78" s="1002">
        <v>8</v>
      </c>
      <c r="AT78" s="1002">
        <v>7</v>
      </c>
      <c r="AU78" s="1002">
        <v>4</v>
      </c>
      <c r="AV78" s="1002">
        <v>2</v>
      </c>
      <c r="AW78" s="1002">
        <v>6</v>
      </c>
      <c r="AX78" s="1002">
        <v>3</v>
      </c>
      <c r="AY78" s="1002">
        <v>3</v>
      </c>
      <c r="AZ78" s="1002">
        <f>10-AY78-AX78</f>
        <v>4</v>
      </c>
      <c r="BA78" s="1002">
        <f>14-AZ78-AY78-AX78</f>
        <v>4</v>
      </c>
      <c r="BB78" s="1002">
        <v>1</v>
      </c>
      <c r="BC78" s="1002">
        <v>4</v>
      </c>
      <c r="BD78" s="1002">
        <v>1</v>
      </c>
      <c r="BE78" s="1002">
        <v>3</v>
      </c>
    </row>
    <row r="79" spans="1:57">
      <c r="A79" s="997" t="s">
        <v>725</v>
      </c>
      <c r="B79" s="997">
        <f>B76+B77-B78</f>
        <v>843</v>
      </c>
      <c r="C79" s="997">
        <f>C76+C77-C78</f>
        <v>853</v>
      </c>
      <c r="D79" s="997">
        <f t="shared" ref="D79:Y79" si="495">D76+D77-D78</f>
        <v>887</v>
      </c>
      <c r="E79" s="997">
        <f t="shared" si="495"/>
        <v>889</v>
      </c>
      <c r="F79" s="997">
        <f t="shared" si="495"/>
        <v>907</v>
      </c>
      <c r="G79" s="997">
        <f t="shared" si="495"/>
        <v>921</v>
      </c>
      <c r="H79" s="997">
        <f t="shared" si="495"/>
        <v>958</v>
      </c>
      <c r="I79" s="997">
        <f t="shared" si="495"/>
        <v>959</v>
      </c>
      <c r="J79" s="997">
        <f t="shared" si="495"/>
        <v>971</v>
      </c>
      <c r="K79" s="997">
        <f t="shared" si="495"/>
        <v>982</v>
      </c>
      <c r="L79" s="997">
        <f t="shared" si="495"/>
        <v>1008</v>
      </c>
      <c r="M79" s="997">
        <f t="shared" si="495"/>
        <v>1012</v>
      </c>
      <c r="N79" s="997">
        <f t="shared" si="495"/>
        <v>1021</v>
      </c>
      <c r="O79" s="997">
        <f t="shared" si="495"/>
        <v>1034</v>
      </c>
      <c r="P79" s="997">
        <f t="shared" si="495"/>
        <v>1062</v>
      </c>
      <c r="Q79" s="997">
        <f t="shared" si="495"/>
        <v>1059</v>
      </c>
      <c r="R79" s="997">
        <f t="shared" si="495"/>
        <v>1065</v>
      </c>
      <c r="S79" s="997">
        <f t="shared" si="495"/>
        <v>1066</v>
      </c>
      <c r="T79" s="997">
        <f t="shared" si="495"/>
        <v>1076</v>
      </c>
      <c r="U79" s="997">
        <f t="shared" si="495"/>
        <v>1067</v>
      </c>
      <c r="V79" s="997">
        <f t="shared" si="495"/>
        <v>1066</v>
      </c>
      <c r="W79" s="997">
        <f t="shared" si="495"/>
        <v>1062</v>
      </c>
      <c r="X79" s="997">
        <f t="shared" si="495"/>
        <v>1059</v>
      </c>
      <c r="Y79" s="997">
        <f t="shared" si="495"/>
        <v>1039</v>
      </c>
      <c r="Z79" s="1003">
        <f t="shared" ref="Z79:AX79" si="496">Z76+Z77-Z78</f>
        <v>1035</v>
      </c>
      <c r="AA79" s="1003">
        <f t="shared" si="496"/>
        <v>1035</v>
      </c>
      <c r="AB79" s="1003">
        <f t="shared" si="496"/>
        <v>1036</v>
      </c>
      <c r="AC79" s="1003">
        <f t="shared" si="496"/>
        <v>1027</v>
      </c>
      <c r="AD79" s="1003">
        <f t="shared" si="496"/>
        <v>1021</v>
      </c>
      <c r="AE79" s="1003">
        <f t="shared" si="496"/>
        <v>1022</v>
      </c>
      <c r="AF79" s="1003">
        <f t="shared" si="496"/>
        <v>1022</v>
      </c>
      <c r="AG79" s="1003">
        <f t="shared" si="496"/>
        <v>1016</v>
      </c>
      <c r="AH79" s="1003">
        <f t="shared" si="496"/>
        <v>1014</v>
      </c>
      <c r="AI79" s="1003">
        <f t="shared" si="496"/>
        <v>1010</v>
      </c>
      <c r="AJ79" s="1003">
        <f t="shared" si="496"/>
        <v>1013</v>
      </c>
      <c r="AK79" s="1003">
        <f t="shared" si="496"/>
        <v>1010</v>
      </c>
      <c r="AL79" s="1003">
        <f t="shared" si="496"/>
        <v>1005</v>
      </c>
      <c r="AM79" s="1003">
        <f t="shared" si="496"/>
        <v>1003</v>
      </c>
      <c r="AN79" s="1003">
        <f t="shared" si="496"/>
        <v>1007</v>
      </c>
      <c r="AO79" s="1003">
        <f t="shared" si="496"/>
        <v>1004</v>
      </c>
      <c r="AP79" s="1003">
        <f t="shared" si="496"/>
        <v>1005</v>
      </c>
      <c r="AQ79" s="1003">
        <f t="shared" si="496"/>
        <v>1006</v>
      </c>
      <c r="AR79" s="1003">
        <f t="shared" si="496"/>
        <v>1015</v>
      </c>
      <c r="AS79" s="1003">
        <f t="shared" si="496"/>
        <v>1013</v>
      </c>
      <c r="AT79" s="1003">
        <f t="shared" si="496"/>
        <v>1010</v>
      </c>
      <c r="AU79" s="1003">
        <f t="shared" si="496"/>
        <v>1013</v>
      </c>
      <c r="AV79" s="1003">
        <f t="shared" si="496"/>
        <v>1027</v>
      </c>
      <c r="AW79" s="1003">
        <f t="shared" si="496"/>
        <v>1030</v>
      </c>
      <c r="AX79" s="1003">
        <f t="shared" si="496"/>
        <v>1029</v>
      </c>
      <c r="AY79" s="1003">
        <f t="shared" ref="AY79:BA79" si="497">AY76+AY77-AY78</f>
        <v>1032</v>
      </c>
      <c r="AZ79" s="1003">
        <f t="shared" si="497"/>
        <v>1039</v>
      </c>
      <c r="BA79" s="1003">
        <f t="shared" si="497"/>
        <v>1043</v>
      </c>
      <c r="BB79" s="1003">
        <f t="shared" ref="BB79:BC79" si="498">BB76+BB77-BB78</f>
        <v>1047</v>
      </c>
      <c r="BC79" s="1003">
        <f t="shared" si="498"/>
        <v>1051</v>
      </c>
      <c r="BD79" s="1003">
        <f t="shared" ref="BD79:BE79" si="499">BD76+BD77-BD78</f>
        <v>1057</v>
      </c>
      <c r="BE79" s="1003">
        <f t="shared" si="499"/>
        <v>1066</v>
      </c>
    </row>
    <row r="81" spans="1:57">
      <c r="A81" s="991" t="s">
        <v>736</v>
      </c>
      <c r="B81" s="991" t="str">
        <f>B42</f>
        <v>1Q04</v>
      </c>
      <c r="C81" s="991" t="str">
        <f t="shared" ref="C81:Y81" si="500">C42</f>
        <v>2Q04</v>
      </c>
      <c r="D81" s="991" t="str">
        <f t="shared" si="500"/>
        <v>3Q04</v>
      </c>
      <c r="E81" s="991" t="str">
        <f t="shared" si="500"/>
        <v>4Q04</v>
      </c>
      <c r="F81" s="991" t="str">
        <f t="shared" si="500"/>
        <v>1Q05</v>
      </c>
      <c r="G81" s="991" t="str">
        <f t="shared" si="500"/>
        <v>2Q05</v>
      </c>
      <c r="H81" s="991" t="str">
        <f t="shared" si="500"/>
        <v>3Q05</v>
      </c>
      <c r="I81" s="991" t="str">
        <f t="shared" si="500"/>
        <v>4Q05</v>
      </c>
      <c r="J81" s="991" t="str">
        <f t="shared" si="500"/>
        <v>1Q06</v>
      </c>
      <c r="K81" s="991" t="str">
        <f t="shared" si="500"/>
        <v>2Q06</v>
      </c>
      <c r="L81" s="991" t="str">
        <f t="shared" si="500"/>
        <v>3Q06</v>
      </c>
      <c r="M81" s="991" t="str">
        <f t="shared" si="500"/>
        <v>4Q06</v>
      </c>
      <c r="N81" s="991" t="str">
        <f t="shared" si="500"/>
        <v>1Q07</v>
      </c>
      <c r="O81" s="991" t="str">
        <f t="shared" si="500"/>
        <v>2Q07</v>
      </c>
      <c r="P81" s="991" t="str">
        <f t="shared" si="500"/>
        <v>3Q07</v>
      </c>
      <c r="Q81" s="991" t="str">
        <f t="shared" si="500"/>
        <v>4Q07</v>
      </c>
      <c r="R81" s="991" t="str">
        <f t="shared" si="500"/>
        <v>1Q08</v>
      </c>
      <c r="S81" s="991" t="str">
        <f t="shared" si="500"/>
        <v>2Q08</v>
      </c>
      <c r="T81" s="991" t="str">
        <f t="shared" si="500"/>
        <v>3Q08</v>
      </c>
      <c r="U81" s="991" t="str">
        <f t="shared" si="500"/>
        <v>4Q08</v>
      </c>
      <c r="V81" s="991" t="str">
        <f t="shared" si="500"/>
        <v>1Q09</v>
      </c>
      <c r="W81" s="991" t="str">
        <f t="shared" si="500"/>
        <v>2Q09</v>
      </c>
      <c r="X81" s="991" t="str">
        <f t="shared" si="500"/>
        <v>3Q09</v>
      </c>
      <c r="Y81" s="991" t="str">
        <f t="shared" si="500"/>
        <v>4Q09</v>
      </c>
      <c r="Z81" s="991" t="s">
        <v>447</v>
      </c>
      <c r="AA81" s="991" t="s">
        <v>448</v>
      </c>
      <c r="AB81" s="991" t="s">
        <v>453</v>
      </c>
      <c r="AC81" s="991" t="s">
        <v>454</v>
      </c>
      <c r="AD81" s="991" t="s">
        <v>449</v>
      </c>
      <c r="AE81" s="991" t="s">
        <v>450</v>
      </c>
      <c r="AF81" s="991" t="s">
        <v>451</v>
      </c>
      <c r="AG81" s="991" t="s">
        <v>452</v>
      </c>
      <c r="AH81" s="991" t="s">
        <v>265</v>
      </c>
      <c r="AI81" s="991" t="s">
        <v>125</v>
      </c>
      <c r="AJ81" s="991" t="s">
        <v>266</v>
      </c>
      <c r="AK81" s="991" t="s">
        <v>267</v>
      </c>
      <c r="AL81" s="991" t="s">
        <v>724</v>
      </c>
      <c r="AM81" s="991" t="s">
        <v>723</v>
      </c>
      <c r="AN81" s="991" t="s">
        <v>722</v>
      </c>
      <c r="AO81" s="991" t="s">
        <v>721</v>
      </c>
      <c r="AP81" s="991" t="s">
        <v>671</v>
      </c>
      <c r="AQ81" s="991" t="s">
        <v>477</v>
      </c>
      <c r="AR81" s="991" t="s">
        <v>672</v>
      </c>
      <c r="AS81" s="991" t="s">
        <v>673</v>
      </c>
      <c r="AT81" s="991" t="s">
        <v>720</v>
      </c>
      <c r="AU81" s="991" t="s">
        <v>719</v>
      </c>
      <c r="AV81" s="991" t="s">
        <v>718</v>
      </c>
      <c r="AW81" s="991" t="s">
        <v>717</v>
      </c>
      <c r="AX81" s="991" t="str">
        <f>$AX$42</f>
        <v>1Q16</v>
      </c>
      <c r="AY81" s="991" t="str">
        <f>$AY$42</f>
        <v>2Q16</v>
      </c>
      <c r="AZ81" s="992" t="s">
        <v>704</v>
      </c>
      <c r="BA81" s="992" t="s">
        <v>705</v>
      </c>
      <c r="BB81" s="992" t="str">
        <f>BB75</f>
        <v>1Q17</v>
      </c>
      <c r="BC81" s="992" t="str">
        <f>BC75</f>
        <v>2Q17</v>
      </c>
      <c r="BD81" s="992" t="str">
        <f>BD75</f>
        <v>3Q17</v>
      </c>
      <c r="BE81" s="992" t="str">
        <f>BE75</f>
        <v>4Q17</v>
      </c>
    </row>
    <row r="82" spans="1:57">
      <c r="A82" s="993" t="s">
        <v>716</v>
      </c>
      <c r="C82" s="993">
        <v>16.7</v>
      </c>
      <c r="D82" s="993">
        <f>C84</f>
        <v>16.8</v>
      </c>
      <c r="E82" s="993">
        <f t="shared" ref="E82:Y82" si="501">D84</f>
        <v>17.3</v>
      </c>
      <c r="F82" s="993">
        <f t="shared" si="501"/>
        <v>17.3</v>
      </c>
      <c r="G82" s="993">
        <f t="shared" si="501"/>
        <v>17.600000000000001</v>
      </c>
      <c r="H82" s="993">
        <f t="shared" si="501"/>
        <v>17.8</v>
      </c>
      <c r="I82" s="993">
        <f t="shared" si="501"/>
        <v>18.399999999999999</v>
      </c>
      <c r="J82" s="993">
        <f t="shared" si="501"/>
        <v>18.399999999999999</v>
      </c>
      <c r="K82" s="993">
        <f t="shared" si="501"/>
        <v>18.600000000000001</v>
      </c>
      <c r="L82" s="993">
        <f t="shared" si="501"/>
        <v>18.8</v>
      </c>
      <c r="M82" s="993">
        <f t="shared" si="501"/>
        <v>19.2</v>
      </c>
      <c r="N82" s="993">
        <f t="shared" si="501"/>
        <v>19.3</v>
      </c>
      <c r="O82" s="993">
        <f t="shared" si="501"/>
        <v>19.399999999999999</v>
      </c>
      <c r="P82" s="993">
        <f t="shared" si="501"/>
        <v>19.600000000000001</v>
      </c>
      <c r="Q82" s="993">
        <f t="shared" si="501"/>
        <v>20</v>
      </c>
      <c r="R82" s="993">
        <f t="shared" si="501"/>
        <v>20</v>
      </c>
      <c r="S82" s="993">
        <f t="shared" si="501"/>
        <v>20.100000000000001</v>
      </c>
      <c r="T82" s="993">
        <f t="shared" si="501"/>
        <v>20.100000000000001</v>
      </c>
      <c r="U82" s="993">
        <f t="shared" si="501"/>
        <v>20.2</v>
      </c>
      <c r="V82" s="993">
        <f t="shared" si="501"/>
        <v>20.100000000000001</v>
      </c>
      <c r="W82" s="993">
        <f t="shared" si="501"/>
        <v>20</v>
      </c>
      <c r="X82" s="993">
        <f t="shared" si="501"/>
        <v>20</v>
      </c>
      <c r="Y82" s="993">
        <f t="shared" si="501"/>
        <v>19.899999999999999</v>
      </c>
      <c r="Z82" s="1001">
        <v>19.5</v>
      </c>
      <c r="AA82" s="1001">
        <f t="shared" ref="AA82:BE82" si="502">+Z84</f>
        <v>19.5</v>
      </c>
      <c r="AB82" s="1001">
        <f t="shared" si="502"/>
        <v>19.3</v>
      </c>
      <c r="AC82" s="1001">
        <f t="shared" si="502"/>
        <v>19.3</v>
      </c>
      <c r="AD82" s="1001">
        <f t="shared" si="502"/>
        <v>19</v>
      </c>
      <c r="AE82" s="1001">
        <f t="shared" si="502"/>
        <v>18.600000000000001</v>
      </c>
      <c r="AF82" s="1001">
        <f t="shared" si="502"/>
        <v>18.5</v>
      </c>
      <c r="AG82" s="1001">
        <f t="shared" si="502"/>
        <v>18.3</v>
      </c>
      <c r="AH82" s="1001">
        <f t="shared" si="502"/>
        <v>18.100000000000001</v>
      </c>
      <c r="AI82" s="1001">
        <f t="shared" si="502"/>
        <v>17.899999999999999</v>
      </c>
      <c r="AJ82" s="1001">
        <f t="shared" si="502"/>
        <v>17.8</v>
      </c>
      <c r="AK82" s="1001">
        <f t="shared" si="502"/>
        <v>17.7</v>
      </c>
      <c r="AL82" s="1001">
        <f t="shared" si="502"/>
        <v>17.600000000000001</v>
      </c>
      <c r="AM82" s="1001">
        <f t="shared" si="502"/>
        <v>17.5</v>
      </c>
      <c r="AN82" s="1001">
        <f t="shared" si="502"/>
        <v>17.3</v>
      </c>
      <c r="AO82" s="1001">
        <f t="shared" si="502"/>
        <v>17.3</v>
      </c>
      <c r="AP82" s="1001">
        <f t="shared" si="502"/>
        <v>17.2</v>
      </c>
      <c r="AQ82" s="1001">
        <f t="shared" si="502"/>
        <v>17.2</v>
      </c>
      <c r="AR82" s="1001">
        <f t="shared" si="502"/>
        <v>17.2</v>
      </c>
      <c r="AS82" s="1001">
        <f t="shared" si="502"/>
        <v>17.3</v>
      </c>
      <c r="AT82" s="1001">
        <f t="shared" si="502"/>
        <v>17.2</v>
      </c>
      <c r="AU82" s="1001">
        <f t="shared" si="502"/>
        <v>17.100000000000001</v>
      </c>
      <c r="AV82" s="1001">
        <f t="shared" si="502"/>
        <v>17.100000000000001</v>
      </c>
      <c r="AW82" s="1001">
        <f t="shared" si="502"/>
        <v>17.399999999999999</v>
      </c>
      <c r="AX82" s="1001">
        <f t="shared" si="502"/>
        <v>17.3</v>
      </c>
      <c r="AY82" s="1001">
        <f t="shared" si="502"/>
        <v>17.3</v>
      </c>
      <c r="AZ82" s="1001">
        <f t="shared" si="502"/>
        <v>17.399999999999999</v>
      </c>
      <c r="BA82" s="1001">
        <f t="shared" si="502"/>
        <v>17.399999999999999</v>
      </c>
      <c r="BB82" s="1001">
        <f t="shared" si="502"/>
        <v>17.399999999999999</v>
      </c>
      <c r="BC82" s="1001">
        <f t="shared" si="502"/>
        <v>17.5</v>
      </c>
      <c r="BD82" s="1001">
        <f t="shared" si="502"/>
        <v>17.5</v>
      </c>
      <c r="BE82" s="1001">
        <f t="shared" si="502"/>
        <v>17.600000000000001</v>
      </c>
    </row>
    <row r="83" spans="1:57">
      <c r="A83" s="995" t="s">
        <v>136</v>
      </c>
      <c r="B83" s="995"/>
      <c r="C83" s="1002">
        <f t="shared" ref="C83:D83" si="503">C84-C82</f>
        <v>0.10000000000000142</v>
      </c>
      <c r="D83" s="1002">
        <f t="shared" si="503"/>
        <v>0.5</v>
      </c>
      <c r="E83" s="1002">
        <f t="shared" ref="E83:Y83" si="504">E84-E82</f>
        <v>0</v>
      </c>
      <c r="F83" s="1002">
        <f t="shared" si="504"/>
        <v>0.30000000000000071</v>
      </c>
      <c r="G83" s="1002">
        <f t="shared" si="504"/>
        <v>0.19999999999999929</v>
      </c>
      <c r="H83" s="1002">
        <f t="shared" si="504"/>
        <v>0.59999999999999787</v>
      </c>
      <c r="I83" s="1002">
        <f t="shared" si="504"/>
        <v>0</v>
      </c>
      <c r="J83" s="1002">
        <f t="shared" si="504"/>
        <v>0.20000000000000284</v>
      </c>
      <c r="K83" s="1002">
        <f t="shared" si="504"/>
        <v>0.19999999999999929</v>
      </c>
      <c r="L83" s="1002">
        <f t="shared" si="504"/>
        <v>0.39999999999999858</v>
      </c>
      <c r="M83" s="1002">
        <f t="shared" si="504"/>
        <v>0.10000000000000142</v>
      </c>
      <c r="N83" s="1002">
        <f t="shared" si="504"/>
        <v>9.9999999999997868E-2</v>
      </c>
      <c r="O83" s="1002">
        <f t="shared" si="504"/>
        <v>0.20000000000000284</v>
      </c>
      <c r="P83" s="1002">
        <f t="shared" si="504"/>
        <v>0.39999999999999858</v>
      </c>
      <c r="Q83" s="1002">
        <f t="shared" si="504"/>
        <v>0</v>
      </c>
      <c r="R83" s="1002">
        <f t="shared" si="504"/>
        <v>0.10000000000000142</v>
      </c>
      <c r="S83" s="1002">
        <f t="shared" si="504"/>
        <v>0</v>
      </c>
      <c r="T83" s="1002">
        <f t="shared" si="504"/>
        <v>9.9999999999997868E-2</v>
      </c>
      <c r="U83" s="1002">
        <f t="shared" si="504"/>
        <v>-9.9999999999997868E-2</v>
      </c>
      <c r="V83" s="1002">
        <f t="shared" si="504"/>
        <v>-0.10000000000000142</v>
      </c>
      <c r="W83" s="1002">
        <f t="shared" si="504"/>
        <v>0</v>
      </c>
      <c r="X83" s="1002">
        <f t="shared" si="504"/>
        <v>-0.10000000000000142</v>
      </c>
      <c r="Y83" s="1002">
        <f t="shared" si="504"/>
        <v>-0.39999999999999858</v>
      </c>
      <c r="Z83" s="1002">
        <f t="shared" ref="Z83:AX83" si="505">Z84-Z82</f>
        <v>0</v>
      </c>
      <c r="AA83" s="1002">
        <f t="shared" si="505"/>
        <v>-0.19999999999999929</v>
      </c>
      <c r="AB83" s="1002">
        <f t="shared" si="505"/>
        <v>0</v>
      </c>
      <c r="AC83" s="1002">
        <f t="shared" si="505"/>
        <v>-0.30000000000000071</v>
      </c>
      <c r="AD83" s="1002">
        <f t="shared" si="505"/>
        <v>-0.39999999999999858</v>
      </c>
      <c r="AE83" s="1002">
        <f t="shared" si="505"/>
        <v>-0.10000000000000142</v>
      </c>
      <c r="AF83" s="1002">
        <f t="shared" si="505"/>
        <v>-0.19999999999999929</v>
      </c>
      <c r="AG83" s="1002">
        <f t="shared" si="505"/>
        <v>-0.19999999999999929</v>
      </c>
      <c r="AH83" s="1002">
        <f t="shared" si="505"/>
        <v>-0.20000000000000284</v>
      </c>
      <c r="AI83" s="1002">
        <f t="shared" si="505"/>
        <v>-9.9999999999997868E-2</v>
      </c>
      <c r="AJ83" s="1002">
        <f t="shared" si="505"/>
        <v>-0.10000000000000142</v>
      </c>
      <c r="AK83" s="1002">
        <f t="shared" si="505"/>
        <v>-9.9999999999997868E-2</v>
      </c>
      <c r="AL83" s="1002">
        <f t="shared" si="505"/>
        <v>-0.10000000000000142</v>
      </c>
      <c r="AM83" s="1002">
        <f t="shared" si="505"/>
        <v>-0.19999999999999929</v>
      </c>
      <c r="AN83" s="1002">
        <f t="shared" si="505"/>
        <v>0</v>
      </c>
      <c r="AO83" s="1002">
        <f t="shared" si="505"/>
        <v>-0.10000000000000142</v>
      </c>
      <c r="AP83" s="1002">
        <f t="shared" si="505"/>
        <v>0</v>
      </c>
      <c r="AQ83" s="1002">
        <f t="shared" si="505"/>
        <v>0</v>
      </c>
      <c r="AR83" s="1002">
        <f t="shared" si="505"/>
        <v>0.10000000000000142</v>
      </c>
      <c r="AS83" s="1002">
        <f t="shared" si="505"/>
        <v>-0.10000000000000142</v>
      </c>
      <c r="AT83" s="1002">
        <f t="shared" si="505"/>
        <v>-9.9999999999997868E-2</v>
      </c>
      <c r="AU83" s="1002">
        <f t="shared" si="505"/>
        <v>0</v>
      </c>
      <c r="AV83" s="1002">
        <f t="shared" si="505"/>
        <v>0.29999999999999716</v>
      </c>
      <c r="AW83" s="1002">
        <f t="shared" si="505"/>
        <v>-9.9999999999997868E-2</v>
      </c>
      <c r="AX83" s="1002">
        <f t="shared" si="505"/>
        <v>0</v>
      </c>
      <c r="AY83" s="1002">
        <f t="shared" ref="AY83:AZ83" si="506">AY84-AY82</f>
        <v>9.9999999999997868E-2</v>
      </c>
      <c r="AZ83" s="1002">
        <f t="shared" si="506"/>
        <v>0</v>
      </c>
      <c r="BA83" s="1002">
        <f t="shared" ref="BA83:BB83" si="507">BA84-BA82</f>
        <v>0</v>
      </c>
      <c r="BB83" s="1002">
        <f t="shared" si="507"/>
        <v>0.10000000000000142</v>
      </c>
      <c r="BC83" s="1002">
        <f t="shared" ref="BC83:BD83" si="508">BC84-BC82</f>
        <v>0</v>
      </c>
      <c r="BD83" s="1002">
        <f t="shared" si="508"/>
        <v>0.10000000000000142</v>
      </c>
      <c r="BE83" s="1002">
        <f t="shared" ref="BE83" si="509">BE84-BE82</f>
        <v>9.9999999999997868E-2</v>
      </c>
    </row>
    <row r="84" spans="1:57">
      <c r="A84" s="997" t="s">
        <v>715</v>
      </c>
      <c r="B84" s="997"/>
      <c r="C84" s="997">
        <v>16.8</v>
      </c>
      <c r="D84" s="997">
        <v>17.3</v>
      </c>
      <c r="E84" s="997">
        <v>17.3</v>
      </c>
      <c r="F84" s="997">
        <v>17.600000000000001</v>
      </c>
      <c r="G84" s="997">
        <v>17.8</v>
      </c>
      <c r="H84" s="997">
        <v>18.399999999999999</v>
      </c>
      <c r="I84" s="997">
        <v>18.399999999999999</v>
      </c>
      <c r="J84" s="997">
        <v>18.600000000000001</v>
      </c>
      <c r="K84" s="997">
        <v>18.8</v>
      </c>
      <c r="L84" s="997">
        <v>19.2</v>
      </c>
      <c r="M84" s="997">
        <v>19.3</v>
      </c>
      <c r="N84" s="997">
        <v>19.399999999999999</v>
      </c>
      <c r="O84" s="997">
        <v>19.600000000000001</v>
      </c>
      <c r="P84" s="997">
        <v>20</v>
      </c>
      <c r="Q84" s="997">
        <v>20</v>
      </c>
      <c r="R84" s="997">
        <v>20.100000000000001</v>
      </c>
      <c r="S84" s="997">
        <v>20.100000000000001</v>
      </c>
      <c r="T84" s="997">
        <v>20.2</v>
      </c>
      <c r="U84" s="997">
        <v>20.100000000000001</v>
      </c>
      <c r="V84" s="997">
        <v>20</v>
      </c>
      <c r="W84" s="997">
        <v>20</v>
      </c>
      <c r="X84" s="997">
        <v>19.899999999999999</v>
      </c>
      <c r="Y84" s="997">
        <v>19.5</v>
      </c>
      <c r="Z84" s="1003">
        <v>19.5</v>
      </c>
      <c r="AA84" s="1003">
        <v>19.3</v>
      </c>
      <c r="AB84" s="1003">
        <v>19.3</v>
      </c>
      <c r="AC84" s="1003">
        <v>19</v>
      </c>
      <c r="AD84" s="1003">
        <v>18.600000000000001</v>
      </c>
      <c r="AE84" s="1003">
        <v>18.5</v>
      </c>
      <c r="AF84" s="1003">
        <v>18.3</v>
      </c>
      <c r="AG84" s="1003">
        <v>18.100000000000001</v>
      </c>
      <c r="AH84" s="1003">
        <v>17.899999999999999</v>
      </c>
      <c r="AI84" s="1003">
        <v>17.8</v>
      </c>
      <c r="AJ84" s="1003">
        <v>17.7</v>
      </c>
      <c r="AK84" s="1003">
        <v>17.600000000000001</v>
      </c>
      <c r="AL84" s="1003">
        <v>17.5</v>
      </c>
      <c r="AM84" s="1003">
        <v>17.3</v>
      </c>
      <c r="AN84" s="1003">
        <v>17.3</v>
      </c>
      <c r="AO84" s="1003">
        <v>17.2</v>
      </c>
      <c r="AP84" s="1003">
        <v>17.2</v>
      </c>
      <c r="AQ84" s="1003">
        <v>17.2</v>
      </c>
      <c r="AR84" s="1003">
        <v>17.3</v>
      </c>
      <c r="AS84" s="1003">
        <v>17.2</v>
      </c>
      <c r="AT84" s="1003">
        <v>17.100000000000001</v>
      </c>
      <c r="AU84" s="1003">
        <v>17.100000000000001</v>
      </c>
      <c r="AV84" s="1003">
        <v>17.399999999999999</v>
      </c>
      <c r="AW84" s="1003">
        <v>17.3</v>
      </c>
      <c r="AX84" s="1003">
        <v>17.3</v>
      </c>
      <c r="AY84" s="1003">
        <v>17.399999999999999</v>
      </c>
      <c r="AZ84" s="1003">
        <v>17.399999999999999</v>
      </c>
      <c r="BA84" s="1003">
        <v>17.399999999999999</v>
      </c>
      <c r="BB84" s="1003">
        <v>17.5</v>
      </c>
      <c r="BC84" s="1003">
        <v>17.5</v>
      </c>
      <c r="BD84" s="1003">
        <v>17.600000000000001</v>
      </c>
      <c r="BE84" s="1003">
        <v>17.7</v>
      </c>
    </row>
    <row r="85" spans="1:57">
      <c r="Z85" s="1001"/>
      <c r="AA85" s="1001"/>
      <c r="AB85" s="1001"/>
      <c r="AC85" s="1001"/>
      <c r="AD85" s="1001"/>
      <c r="AE85" s="1001"/>
      <c r="AF85" s="1001"/>
      <c r="AG85" s="1001"/>
      <c r="AH85" s="1001"/>
      <c r="AI85" s="1001"/>
      <c r="AJ85" s="1001"/>
      <c r="AK85" s="1001"/>
      <c r="AL85" s="1001"/>
      <c r="AM85" s="1001"/>
      <c r="AN85" s="1001"/>
      <c r="AO85" s="1001"/>
      <c r="AP85" s="1001"/>
      <c r="AQ85" s="1001"/>
      <c r="AR85" s="1001"/>
      <c r="AS85" s="1001"/>
      <c r="AT85" s="1001"/>
      <c r="AU85" s="1001"/>
      <c r="AV85" s="1001"/>
      <c r="AW85" s="1001">
        <f>AW84/Z84-1</f>
        <v>-0.11282051282051275</v>
      </c>
      <c r="AX85" s="1001"/>
      <c r="AY85" s="1001"/>
      <c r="AZ85" s="1001"/>
      <c r="BA85" s="1001"/>
      <c r="BB85" s="1001"/>
      <c r="BC85" s="1001"/>
      <c r="BD85" s="1001"/>
      <c r="BE85" s="1001"/>
    </row>
    <row r="86" spans="1:57">
      <c r="A86" s="991" t="s">
        <v>735</v>
      </c>
      <c r="B86" s="991" t="str">
        <f>B42</f>
        <v>1Q04</v>
      </c>
      <c r="C86" s="991" t="str">
        <f t="shared" ref="C86:Y86" si="510">C42</f>
        <v>2Q04</v>
      </c>
      <c r="D86" s="991" t="str">
        <f t="shared" si="510"/>
        <v>3Q04</v>
      </c>
      <c r="E86" s="991" t="str">
        <f t="shared" si="510"/>
        <v>4Q04</v>
      </c>
      <c r="F86" s="991" t="str">
        <f t="shared" si="510"/>
        <v>1Q05</v>
      </c>
      <c r="G86" s="991" t="str">
        <f t="shared" si="510"/>
        <v>2Q05</v>
      </c>
      <c r="H86" s="991" t="str">
        <f t="shared" si="510"/>
        <v>3Q05</v>
      </c>
      <c r="I86" s="991" t="str">
        <f t="shared" si="510"/>
        <v>4Q05</v>
      </c>
      <c r="J86" s="991" t="str">
        <f t="shared" si="510"/>
        <v>1Q06</v>
      </c>
      <c r="K86" s="991" t="str">
        <f t="shared" si="510"/>
        <v>2Q06</v>
      </c>
      <c r="L86" s="991" t="str">
        <f t="shared" si="510"/>
        <v>3Q06</v>
      </c>
      <c r="M86" s="991" t="str">
        <f t="shared" si="510"/>
        <v>4Q06</v>
      </c>
      <c r="N86" s="991" t="str">
        <f t="shared" si="510"/>
        <v>1Q07</v>
      </c>
      <c r="O86" s="991" t="str">
        <f t="shared" si="510"/>
        <v>2Q07</v>
      </c>
      <c r="P86" s="991" t="str">
        <f t="shared" si="510"/>
        <v>3Q07</v>
      </c>
      <c r="Q86" s="991" t="str">
        <f t="shared" si="510"/>
        <v>4Q07</v>
      </c>
      <c r="R86" s="991" t="str">
        <f t="shared" si="510"/>
        <v>1Q08</v>
      </c>
      <c r="S86" s="991" t="str">
        <f t="shared" si="510"/>
        <v>2Q08</v>
      </c>
      <c r="T86" s="991" t="str">
        <f t="shared" si="510"/>
        <v>3Q08</v>
      </c>
      <c r="U86" s="991" t="str">
        <f t="shared" si="510"/>
        <v>4Q08</v>
      </c>
      <c r="V86" s="991" t="str">
        <f t="shared" si="510"/>
        <v>1Q09</v>
      </c>
      <c r="W86" s="991" t="str">
        <f t="shared" si="510"/>
        <v>2Q09</v>
      </c>
      <c r="X86" s="991" t="str">
        <f t="shared" si="510"/>
        <v>3Q09</v>
      </c>
      <c r="Y86" s="991" t="str">
        <f t="shared" si="510"/>
        <v>4Q09</v>
      </c>
      <c r="Z86" s="991" t="s">
        <v>447</v>
      </c>
      <c r="AA86" s="991" t="s">
        <v>448</v>
      </c>
      <c r="AB86" s="991" t="s">
        <v>453</v>
      </c>
      <c r="AC86" s="991" t="s">
        <v>454</v>
      </c>
      <c r="AD86" s="991" t="s">
        <v>449</v>
      </c>
      <c r="AE86" s="991" t="s">
        <v>450</v>
      </c>
      <c r="AF86" s="991" t="s">
        <v>451</v>
      </c>
      <c r="AG86" s="991" t="s">
        <v>452</v>
      </c>
      <c r="AH86" s="991" t="s">
        <v>265</v>
      </c>
      <c r="AI86" s="991" t="s">
        <v>125</v>
      </c>
      <c r="AJ86" s="991" t="s">
        <v>266</v>
      </c>
      <c r="AK86" s="991" t="s">
        <v>267</v>
      </c>
      <c r="AL86" s="991" t="s">
        <v>724</v>
      </c>
      <c r="AM86" s="991" t="s">
        <v>723</v>
      </c>
      <c r="AN86" s="991" t="s">
        <v>722</v>
      </c>
      <c r="AO86" s="991" t="s">
        <v>721</v>
      </c>
      <c r="AP86" s="991" t="s">
        <v>671</v>
      </c>
      <c r="AQ86" s="991" t="s">
        <v>477</v>
      </c>
      <c r="AR86" s="991" t="s">
        <v>672</v>
      </c>
      <c r="AS86" s="991" t="s">
        <v>673</v>
      </c>
      <c r="AT86" s="991" t="s">
        <v>720</v>
      </c>
      <c r="AU86" s="991" t="s">
        <v>719</v>
      </c>
      <c r="AV86" s="991" t="s">
        <v>718</v>
      </c>
      <c r="AW86" s="991" t="str">
        <f>AW81</f>
        <v>4Q15</v>
      </c>
      <c r="AX86" s="991" t="str">
        <f>$AX$42</f>
        <v>1Q16</v>
      </c>
      <c r="AY86" s="991" t="str">
        <f>$AY$42</f>
        <v>2Q16</v>
      </c>
      <c r="AZ86" s="992" t="s">
        <v>704</v>
      </c>
      <c r="BA86" s="992" t="s">
        <v>705</v>
      </c>
      <c r="BB86" s="992" t="str">
        <f>BB75</f>
        <v>1Q17</v>
      </c>
      <c r="BC86" s="992" t="str">
        <f>BC75</f>
        <v>2Q17</v>
      </c>
      <c r="BD86" s="992" t="str">
        <f>BD75</f>
        <v>3Q17</v>
      </c>
      <c r="BE86" s="992" t="str">
        <f>BE75</f>
        <v>4Q17</v>
      </c>
    </row>
    <row r="87" spans="1:57">
      <c r="A87" s="993" t="s">
        <v>728</v>
      </c>
      <c r="B87" s="993">
        <v>0</v>
      </c>
      <c r="C87" s="993">
        <f>B90</f>
        <v>0</v>
      </c>
      <c r="D87" s="993">
        <f t="shared" ref="D87:Y87" si="511">C90</f>
        <v>0</v>
      </c>
      <c r="E87" s="993">
        <f t="shared" si="511"/>
        <v>0</v>
      </c>
      <c r="F87" s="993">
        <f t="shared" si="511"/>
        <v>0</v>
      </c>
      <c r="G87" s="993">
        <f t="shared" si="511"/>
        <v>0</v>
      </c>
      <c r="H87" s="993">
        <f t="shared" si="511"/>
        <v>0</v>
      </c>
      <c r="I87" s="993">
        <f t="shared" si="511"/>
        <v>0</v>
      </c>
      <c r="J87" s="993">
        <f t="shared" si="511"/>
        <v>0</v>
      </c>
      <c r="K87" s="993">
        <f t="shared" si="511"/>
        <v>0</v>
      </c>
      <c r="L87" s="993">
        <f t="shared" si="511"/>
        <v>0</v>
      </c>
      <c r="M87" s="993">
        <f t="shared" si="511"/>
        <v>0</v>
      </c>
      <c r="N87" s="993">
        <f t="shared" si="511"/>
        <v>0</v>
      </c>
      <c r="O87" s="993">
        <f t="shared" si="511"/>
        <v>0</v>
      </c>
      <c r="P87" s="993">
        <f t="shared" si="511"/>
        <v>0</v>
      </c>
      <c r="Q87" s="993">
        <f t="shared" si="511"/>
        <v>0</v>
      </c>
      <c r="R87" s="993">
        <f t="shared" si="511"/>
        <v>0</v>
      </c>
      <c r="S87" s="993">
        <f t="shared" si="511"/>
        <v>0</v>
      </c>
      <c r="T87" s="993">
        <f t="shared" si="511"/>
        <v>0</v>
      </c>
      <c r="U87" s="993">
        <f t="shared" si="511"/>
        <v>0</v>
      </c>
      <c r="V87" s="993">
        <f t="shared" si="511"/>
        <v>0</v>
      </c>
      <c r="W87" s="993">
        <f t="shared" si="511"/>
        <v>0</v>
      </c>
      <c r="X87" s="993">
        <f t="shared" si="511"/>
        <v>0</v>
      </c>
      <c r="Y87" s="993">
        <f t="shared" si="511"/>
        <v>0</v>
      </c>
      <c r="Z87" s="1001">
        <v>0</v>
      </c>
      <c r="AA87" s="1001">
        <f t="shared" ref="AA87:BE87" si="512">+Z90</f>
        <v>0</v>
      </c>
      <c r="AB87" s="1001">
        <f t="shared" si="512"/>
        <v>0</v>
      </c>
      <c r="AC87" s="1001">
        <f t="shared" si="512"/>
        <v>0</v>
      </c>
      <c r="AD87" s="1001">
        <f t="shared" si="512"/>
        <v>0</v>
      </c>
      <c r="AE87" s="1001">
        <f t="shared" si="512"/>
        <v>0</v>
      </c>
      <c r="AF87" s="1001">
        <f t="shared" si="512"/>
        <v>0</v>
      </c>
      <c r="AG87" s="1001">
        <f t="shared" si="512"/>
        <v>0</v>
      </c>
      <c r="AH87" s="1001">
        <f t="shared" si="512"/>
        <v>0</v>
      </c>
      <c r="AI87" s="1001">
        <f t="shared" si="512"/>
        <v>0</v>
      </c>
      <c r="AJ87" s="1001">
        <f t="shared" si="512"/>
        <v>1</v>
      </c>
      <c r="AK87" s="1001">
        <f t="shared" si="512"/>
        <v>1</v>
      </c>
      <c r="AL87" s="1001">
        <f t="shared" si="512"/>
        <v>1</v>
      </c>
      <c r="AM87" s="1001">
        <f t="shared" si="512"/>
        <v>10</v>
      </c>
      <c r="AN87" s="1001">
        <f t="shared" si="512"/>
        <v>10</v>
      </c>
      <c r="AO87" s="1001">
        <f t="shared" si="512"/>
        <v>14</v>
      </c>
      <c r="AP87" s="1001">
        <f t="shared" si="512"/>
        <v>18</v>
      </c>
      <c r="AQ87" s="1001">
        <f t="shared" si="512"/>
        <v>23</v>
      </c>
      <c r="AR87" s="1001">
        <f t="shared" si="512"/>
        <v>28</v>
      </c>
      <c r="AS87" s="1001">
        <f t="shared" si="512"/>
        <v>36</v>
      </c>
      <c r="AT87" s="1001">
        <f t="shared" si="512"/>
        <v>43</v>
      </c>
      <c r="AU87" s="1001">
        <f t="shared" si="512"/>
        <v>50</v>
      </c>
      <c r="AV87" s="1001">
        <f t="shared" si="512"/>
        <v>51</v>
      </c>
      <c r="AW87" s="1001">
        <f t="shared" si="512"/>
        <v>57</v>
      </c>
      <c r="AX87" s="1001">
        <f t="shared" si="512"/>
        <v>65</v>
      </c>
      <c r="AY87" s="1001">
        <f t="shared" si="512"/>
        <v>69</v>
      </c>
      <c r="AZ87" s="1001">
        <f t="shared" si="512"/>
        <v>69</v>
      </c>
      <c r="BA87" s="1001">
        <f t="shared" si="512"/>
        <v>60</v>
      </c>
      <c r="BB87" s="1001">
        <f t="shared" si="512"/>
        <v>13</v>
      </c>
      <c r="BC87" s="1001">
        <f t="shared" si="512"/>
        <v>13</v>
      </c>
      <c r="BD87" s="1001">
        <f t="shared" si="512"/>
        <v>13</v>
      </c>
      <c r="BE87" s="1001">
        <f t="shared" si="512"/>
        <v>13</v>
      </c>
    </row>
    <row r="88" spans="1:57">
      <c r="A88" s="993" t="s">
        <v>727</v>
      </c>
      <c r="B88" s="993">
        <v>0</v>
      </c>
      <c r="C88" s="993">
        <v>0</v>
      </c>
      <c r="D88" s="993">
        <v>0</v>
      </c>
      <c r="E88" s="993">
        <v>0</v>
      </c>
      <c r="F88" s="993">
        <v>0</v>
      </c>
      <c r="G88" s="993">
        <v>0</v>
      </c>
      <c r="H88" s="993">
        <v>0</v>
      </c>
      <c r="I88" s="993">
        <v>0</v>
      </c>
      <c r="J88" s="993">
        <v>0</v>
      </c>
      <c r="K88" s="993">
        <v>0</v>
      </c>
      <c r="L88" s="993">
        <v>0</v>
      </c>
      <c r="M88" s="993">
        <v>0</v>
      </c>
      <c r="N88" s="993">
        <v>0</v>
      </c>
      <c r="O88" s="993">
        <v>0</v>
      </c>
      <c r="P88" s="993">
        <v>0</v>
      </c>
      <c r="Q88" s="993">
        <v>0</v>
      </c>
      <c r="R88" s="993">
        <v>0</v>
      </c>
      <c r="S88" s="993">
        <v>0</v>
      </c>
      <c r="T88" s="993">
        <v>0</v>
      </c>
      <c r="U88" s="993">
        <v>0</v>
      </c>
      <c r="V88" s="993">
        <v>0</v>
      </c>
      <c r="W88" s="993">
        <v>0</v>
      </c>
      <c r="X88" s="993">
        <v>0</v>
      </c>
      <c r="Y88" s="993">
        <v>0</v>
      </c>
      <c r="Z88" s="1001">
        <v>0</v>
      </c>
      <c r="AA88" s="1001">
        <v>0</v>
      </c>
      <c r="AB88" s="1001">
        <v>0</v>
      </c>
      <c r="AC88" s="1001">
        <v>0</v>
      </c>
      <c r="AD88" s="1001">
        <v>0</v>
      </c>
      <c r="AE88" s="1001">
        <v>0</v>
      </c>
      <c r="AF88" s="1001">
        <v>0</v>
      </c>
      <c r="AG88" s="1001">
        <v>0</v>
      </c>
      <c r="AH88" s="1001">
        <v>0</v>
      </c>
      <c r="AI88" s="1001">
        <v>1</v>
      </c>
      <c r="AJ88" s="1001">
        <v>0</v>
      </c>
      <c r="AK88" s="1001">
        <v>0</v>
      </c>
      <c r="AL88" s="1001">
        <v>9</v>
      </c>
      <c r="AM88" s="1001">
        <v>0</v>
      </c>
      <c r="AN88" s="1001">
        <v>4</v>
      </c>
      <c r="AO88" s="1001">
        <v>4</v>
      </c>
      <c r="AP88" s="1001">
        <v>5</v>
      </c>
      <c r="AQ88" s="1001">
        <v>5</v>
      </c>
      <c r="AR88" s="1001">
        <v>8</v>
      </c>
      <c r="AS88" s="1001">
        <v>7</v>
      </c>
      <c r="AT88" s="1001">
        <v>7</v>
      </c>
      <c r="AU88" s="1001">
        <v>1</v>
      </c>
      <c r="AV88" s="1001">
        <v>6</v>
      </c>
      <c r="AW88" s="1001">
        <v>8</v>
      </c>
      <c r="AX88" s="1001">
        <v>4</v>
      </c>
      <c r="AY88" s="1001">
        <v>0</v>
      </c>
      <c r="AZ88" s="1001">
        <f>5-AY88-AX88</f>
        <v>1</v>
      </c>
      <c r="BA88" s="1001">
        <f>5-AZ88-AY88-AX88</f>
        <v>0</v>
      </c>
      <c r="BB88" s="1001">
        <v>0</v>
      </c>
      <c r="BC88" s="1001">
        <v>0</v>
      </c>
      <c r="BD88" s="1001">
        <v>0</v>
      </c>
      <c r="BE88" s="1001">
        <v>1</v>
      </c>
    </row>
    <row r="89" spans="1:57">
      <c r="A89" s="995" t="s">
        <v>726</v>
      </c>
      <c r="B89" s="995">
        <v>0</v>
      </c>
      <c r="C89" s="995">
        <v>0</v>
      </c>
      <c r="D89" s="995">
        <v>0</v>
      </c>
      <c r="E89" s="995">
        <v>0</v>
      </c>
      <c r="F89" s="995">
        <v>0</v>
      </c>
      <c r="G89" s="995">
        <v>0</v>
      </c>
      <c r="H89" s="995">
        <v>0</v>
      </c>
      <c r="I89" s="995">
        <v>0</v>
      </c>
      <c r="J89" s="995">
        <v>0</v>
      </c>
      <c r="K89" s="995">
        <v>0</v>
      </c>
      <c r="L89" s="995">
        <v>0</v>
      </c>
      <c r="M89" s="995">
        <v>0</v>
      </c>
      <c r="N89" s="995">
        <v>0</v>
      </c>
      <c r="O89" s="995">
        <v>0</v>
      </c>
      <c r="P89" s="995">
        <v>0</v>
      </c>
      <c r="Q89" s="995">
        <v>0</v>
      </c>
      <c r="R89" s="995">
        <v>0</v>
      </c>
      <c r="S89" s="995">
        <v>0</v>
      </c>
      <c r="T89" s="995">
        <v>0</v>
      </c>
      <c r="U89" s="995">
        <v>0</v>
      </c>
      <c r="V89" s="995">
        <v>0</v>
      </c>
      <c r="W89" s="995">
        <v>0</v>
      </c>
      <c r="X89" s="995">
        <v>0</v>
      </c>
      <c r="Y89" s="995">
        <v>0</v>
      </c>
      <c r="Z89" s="1002">
        <v>0</v>
      </c>
      <c r="AA89" s="1002">
        <v>0</v>
      </c>
      <c r="AB89" s="1002">
        <v>0</v>
      </c>
      <c r="AC89" s="1002">
        <v>0</v>
      </c>
      <c r="AD89" s="1002">
        <v>0</v>
      </c>
      <c r="AE89" s="1002">
        <v>0</v>
      </c>
      <c r="AF89" s="1002">
        <v>0</v>
      </c>
      <c r="AG89" s="1002">
        <v>0</v>
      </c>
      <c r="AH89" s="1002">
        <v>0</v>
      </c>
      <c r="AI89" s="1002">
        <v>0</v>
      </c>
      <c r="AJ89" s="1002">
        <v>0</v>
      </c>
      <c r="AK89" s="1002">
        <v>0</v>
      </c>
      <c r="AL89" s="1002">
        <v>0</v>
      </c>
      <c r="AM89" s="1002">
        <v>0</v>
      </c>
      <c r="AN89" s="1002">
        <v>0</v>
      </c>
      <c r="AO89" s="1002">
        <v>0</v>
      </c>
      <c r="AP89" s="1002">
        <v>0</v>
      </c>
      <c r="AQ89" s="1002">
        <v>0</v>
      </c>
      <c r="AR89" s="1002">
        <v>0</v>
      </c>
      <c r="AS89" s="1002">
        <v>0</v>
      </c>
      <c r="AT89" s="1002">
        <v>0</v>
      </c>
      <c r="AU89" s="1002">
        <v>0</v>
      </c>
      <c r="AV89" s="1002">
        <v>0</v>
      </c>
      <c r="AW89" s="1002">
        <v>0</v>
      </c>
      <c r="AX89" s="1002">
        <v>0</v>
      </c>
      <c r="AY89" s="1002">
        <v>0</v>
      </c>
      <c r="AZ89" s="1002">
        <f>10-AY89-AX89</f>
        <v>10</v>
      </c>
      <c r="BA89" s="1002">
        <f>57-AZ89-AY89-AX89</f>
        <v>47</v>
      </c>
      <c r="BB89" s="1002">
        <f>57-BA89-AZ89-AY89</f>
        <v>0</v>
      </c>
      <c r="BC89" s="1002">
        <f>57-BB89-BA89-AZ89</f>
        <v>0</v>
      </c>
      <c r="BD89" s="1002">
        <v>0</v>
      </c>
      <c r="BE89" s="1002">
        <v>0</v>
      </c>
    </row>
    <row r="90" spans="1:57">
      <c r="A90" s="997" t="s">
        <v>725</v>
      </c>
      <c r="B90" s="997">
        <f>B87+B88-B89</f>
        <v>0</v>
      </c>
      <c r="C90" s="997">
        <f>C87+C88-C89</f>
        <v>0</v>
      </c>
      <c r="D90" s="997">
        <f t="shared" ref="D90:Y90" si="513">D87+D88-D89</f>
        <v>0</v>
      </c>
      <c r="E90" s="997">
        <f t="shared" si="513"/>
        <v>0</v>
      </c>
      <c r="F90" s="997">
        <f t="shared" si="513"/>
        <v>0</v>
      </c>
      <c r="G90" s="997">
        <f t="shared" si="513"/>
        <v>0</v>
      </c>
      <c r="H90" s="997">
        <f t="shared" si="513"/>
        <v>0</v>
      </c>
      <c r="I90" s="997">
        <f t="shared" si="513"/>
        <v>0</v>
      </c>
      <c r="J90" s="997">
        <f t="shared" si="513"/>
        <v>0</v>
      </c>
      <c r="K90" s="997">
        <f t="shared" si="513"/>
        <v>0</v>
      </c>
      <c r="L90" s="997">
        <f t="shared" si="513"/>
        <v>0</v>
      </c>
      <c r="M90" s="997">
        <f t="shared" si="513"/>
        <v>0</v>
      </c>
      <c r="N90" s="997">
        <f t="shared" si="513"/>
        <v>0</v>
      </c>
      <c r="O90" s="997">
        <f t="shared" si="513"/>
        <v>0</v>
      </c>
      <c r="P90" s="997">
        <f t="shared" si="513"/>
        <v>0</v>
      </c>
      <c r="Q90" s="997">
        <f t="shared" si="513"/>
        <v>0</v>
      </c>
      <c r="R90" s="997">
        <f t="shared" si="513"/>
        <v>0</v>
      </c>
      <c r="S90" s="997">
        <f t="shared" si="513"/>
        <v>0</v>
      </c>
      <c r="T90" s="997">
        <f t="shared" si="513"/>
        <v>0</v>
      </c>
      <c r="U90" s="997">
        <f t="shared" si="513"/>
        <v>0</v>
      </c>
      <c r="V90" s="997">
        <f t="shared" si="513"/>
        <v>0</v>
      </c>
      <c r="W90" s="997">
        <f t="shared" si="513"/>
        <v>0</v>
      </c>
      <c r="X90" s="997">
        <f t="shared" si="513"/>
        <v>0</v>
      </c>
      <c r="Y90" s="997">
        <f t="shared" si="513"/>
        <v>0</v>
      </c>
      <c r="Z90" s="1003">
        <f t="shared" ref="Z90:AX90" si="514">Z87+Z88-Z89</f>
        <v>0</v>
      </c>
      <c r="AA90" s="1003">
        <f t="shared" si="514"/>
        <v>0</v>
      </c>
      <c r="AB90" s="1003">
        <f t="shared" si="514"/>
        <v>0</v>
      </c>
      <c r="AC90" s="1003">
        <f t="shared" si="514"/>
        <v>0</v>
      </c>
      <c r="AD90" s="1003">
        <f t="shared" si="514"/>
        <v>0</v>
      </c>
      <c r="AE90" s="1003">
        <f t="shared" si="514"/>
        <v>0</v>
      </c>
      <c r="AF90" s="1003">
        <f t="shared" si="514"/>
        <v>0</v>
      </c>
      <c r="AG90" s="1003">
        <f t="shared" si="514"/>
        <v>0</v>
      </c>
      <c r="AH90" s="1003">
        <f t="shared" si="514"/>
        <v>0</v>
      </c>
      <c r="AI90" s="1003">
        <f t="shared" si="514"/>
        <v>1</v>
      </c>
      <c r="AJ90" s="1003">
        <f t="shared" si="514"/>
        <v>1</v>
      </c>
      <c r="AK90" s="1003">
        <f t="shared" si="514"/>
        <v>1</v>
      </c>
      <c r="AL90" s="1003">
        <f t="shared" si="514"/>
        <v>10</v>
      </c>
      <c r="AM90" s="1003">
        <f t="shared" si="514"/>
        <v>10</v>
      </c>
      <c r="AN90" s="1003">
        <f t="shared" si="514"/>
        <v>14</v>
      </c>
      <c r="AO90" s="1003">
        <f t="shared" si="514"/>
        <v>18</v>
      </c>
      <c r="AP90" s="1003">
        <f t="shared" si="514"/>
        <v>23</v>
      </c>
      <c r="AQ90" s="1003">
        <f t="shared" si="514"/>
        <v>28</v>
      </c>
      <c r="AR90" s="1003">
        <f t="shared" si="514"/>
        <v>36</v>
      </c>
      <c r="AS90" s="1003">
        <f t="shared" si="514"/>
        <v>43</v>
      </c>
      <c r="AT90" s="1003">
        <f t="shared" si="514"/>
        <v>50</v>
      </c>
      <c r="AU90" s="1003">
        <f t="shared" si="514"/>
        <v>51</v>
      </c>
      <c r="AV90" s="1003">
        <f t="shared" si="514"/>
        <v>57</v>
      </c>
      <c r="AW90" s="1003">
        <f t="shared" si="514"/>
        <v>65</v>
      </c>
      <c r="AX90" s="1003">
        <f t="shared" si="514"/>
        <v>69</v>
      </c>
      <c r="AY90" s="1003">
        <f t="shared" ref="AY90:BA90" si="515">AY87+AY88-AY89</f>
        <v>69</v>
      </c>
      <c r="AZ90" s="1003">
        <f t="shared" si="515"/>
        <v>60</v>
      </c>
      <c r="BA90" s="1003">
        <f t="shared" si="515"/>
        <v>13</v>
      </c>
      <c r="BB90" s="1003">
        <f t="shared" ref="BB90:BC90" si="516">BB87+BB88-BB89</f>
        <v>13</v>
      </c>
      <c r="BC90" s="1003">
        <f t="shared" si="516"/>
        <v>13</v>
      </c>
      <c r="BD90" s="1003">
        <f t="shared" ref="BD90:BE90" si="517">BD87+BD88-BD89</f>
        <v>13</v>
      </c>
      <c r="BE90" s="1003">
        <f t="shared" si="517"/>
        <v>14</v>
      </c>
    </row>
    <row r="92" spans="1:57">
      <c r="A92" s="991" t="s">
        <v>735</v>
      </c>
      <c r="B92" s="991" t="str">
        <f>B42</f>
        <v>1Q04</v>
      </c>
      <c r="C92" s="991" t="str">
        <f t="shared" ref="C92:Y92" si="518">C42</f>
        <v>2Q04</v>
      </c>
      <c r="D92" s="991" t="str">
        <f t="shared" si="518"/>
        <v>3Q04</v>
      </c>
      <c r="E92" s="991" t="str">
        <f t="shared" si="518"/>
        <v>4Q04</v>
      </c>
      <c r="F92" s="991" t="str">
        <f t="shared" si="518"/>
        <v>1Q05</v>
      </c>
      <c r="G92" s="991" t="str">
        <f t="shared" si="518"/>
        <v>2Q05</v>
      </c>
      <c r="H92" s="991" t="str">
        <f t="shared" si="518"/>
        <v>3Q05</v>
      </c>
      <c r="I92" s="991" t="str">
        <f t="shared" si="518"/>
        <v>4Q05</v>
      </c>
      <c r="J92" s="991" t="str">
        <f t="shared" si="518"/>
        <v>1Q06</v>
      </c>
      <c r="K92" s="991" t="str">
        <f t="shared" si="518"/>
        <v>2Q06</v>
      </c>
      <c r="L92" s="991" t="str">
        <f t="shared" si="518"/>
        <v>3Q06</v>
      </c>
      <c r="M92" s="991" t="str">
        <f t="shared" si="518"/>
        <v>4Q06</v>
      </c>
      <c r="N92" s="991" t="str">
        <f t="shared" si="518"/>
        <v>1Q07</v>
      </c>
      <c r="O92" s="991" t="str">
        <f t="shared" si="518"/>
        <v>2Q07</v>
      </c>
      <c r="P92" s="991" t="str">
        <f t="shared" si="518"/>
        <v>3Q07</v>
      </c>
      <c r="Q92" s="991" t="str">
        <f t="shared" si="518"/>
        <v>4Q07</v>
      </c>
      <c r="R92" s="991" t="str">
        <f t="shared" si="518"/>
        <v>1Q08</v>
      </c>
      <c r="S92" s="991" t="str">
        <f t="shared" si="518"/>
        <v>2Q08</v>
      </c>
      <c r="T92" s="991" t="str">
        <f t="shared" si="518"/>
        <v>3Q08</v>
      </c>
      <c r="U92" s="991" t="str">
        <f t="shared" si="518"/>
        <v>4Q08</v>
      </c>
      <c r="V92" s="991" t="str">
        <f t="shared" si="518"/>
        <v>1Q09</v>
      </c>
      <c r="W92" s="991" t="str">
        <f t="shared" si="518"/>
        <v>2Q09</v>
      </c>
      <c r="X92" s="991" t="str">
        <f t="shared" si="518"/>
        <v>3Q09</v>
      </c>
      <c r="Y92" s="991" t="str">
        <f t="shared" si="518"/>
        <v>4Q09</v>
      </c>
      <c r="Z92" s="991" t="s">
        <v>447</v>
      </c>
      <c r="AA92" s="991" t="s">
        <v>448</v>
      </c>
      <c r="AB92" s="991" t="s">
        <v>453</v>
      </c>
      <c r="AC92" s="991" t="s">
        <v>454</v>
      </c>
      <c r="AD92" s="991" t="s">
        <v>449</v>
      </c>
      <c r="AE92" s="991" t="s">
        <v>450</v>
      </c>
      <c r="AF92" s="991" t="s">
        <v>451</v>
      </c>
      <c r="AG92" s="991" t="s">
        <v>452</v>
      </c>
      <c r="AH92" s="991" t="s">
        <v>265</v>
      </c>
      <c r="AI92" s="991" t="s">
        <v>125</v>
      </c>
      <c r="AJ92" s="991" t="s">
        <v>266</v>
      </c>
      <c r="AK92" s="991" t="s">
        <v>267</v>
      </c>
      <c r="AL92" s="991" t="s">
        <v>724</v>
      </c>
      <c r="AM92" s="991" t="s">
        <v>723</v>
      </c>
      <c r="AN92" s="991" t="s">
        <v>722</v>
      </c>
      <c r="AO92" s="991" t="s">
        <v>721</v>
      </c>
      <c r="AP92" s="991" t="s">
        <v>671</v>
      </c>
      <c r="AQ92" s="991" t="s">
        <v>477</v>
      </c>
      <c r="AR92" s="991" t="s">
        <v>672</v>
      </c>
      <c r="AS92" s="991" t="s">
        <v>673</v>
      </c>
      <c r="AT92" s="991" t="s">
        <v>720</v>
      </c>
      <c r="AU92" s="991" t="s">
        <v>719</v>
      </c>
      <c r="AV92" s="991" t="s">
        <v>718</v>
      </c>
      <c r="AW92" s="991" t="s">
        <v>717</v>
      </c>
      <c r="AX92" s="991" t="str">
        <f>$AX$42</f>
        <v>1Q16</v>
      </c>
      <c r="AY92" s="991" t="str">
        <f>$AY$42</f>
        <v>2Q16</v>
      </c>
      <c r="AZ92" s="992" t="s">
        <v>704</v>
      </c>
      <c r="BA92" s="992" t="s">
        <v>705</v>
      </c>
      <c r="BB92" s="992" t="str">
        <f>BB86</f>
        <v>1Q17</v>
      </c>
      <c r="BC92" s="992" t="str">
        <f>BC86</f>
        <v>2Q17</v>
      </c>
      <c r="BD92" s="992" t="str">
        <f>BD86</f>
        <v>3Q17</v>
      </c>
      <c r="BE92" s="992" t="str">
        <f>BE86</f>
        <v>4Q17</v>
      </c>
    </row>
    <row r="93" spans="1:57">
      <c r="A93" s="993" t="s">
        <v>716</v>
      </c>
      <c r="C93" s="993">
        <v>0</v>
      </c>
      <c r="D93" s="993">
        <f>C95</f>
        <v>0</v>
      </c>
      <c r="E93" s="993">
        <f t="shared" ref="E93:Y93" si="519">D95</f>
        <v>0</v>
      </c>
      <c r="F93" s="993">
        <f t="shared" si="519"/>
        <v>0</v>
      </c>
      <c r="G93" s="993">
        <f t="shared" si="519"/>
        <v>0</v>
      </c>
      <c r="H93" s="993">
        <f t="shared" si="519"/>
        <v>0</v>
      </c>
      <c r="I93" s="993">
        <f t="shared" si="519"/>
        <v>0</v>
      </c>
      <c r="J93" s="993">
        <f t="shared" si="519"/>
        <v>0</v>
      </c>
      <c r="K93" s="993">
        <f t="shared" si="519"/>
        <v>0</v>
      </c>
      <c r="L93" s="993">
        <f t="shared" si="519"/>
        <v>0</v>
      </c>
      <c r="M93" s="993">
        <f t="shared" si="519"/>
        <v>0</v>
      </c>
      <c r="N93" s="993">
        <f t="shared" si="519"/>
        <v>0</v>
      </c>
      <c r="O93" s="993">
        <f t="shared" si="519"/>
        <v>0</v>
      </c>
      <c r="P93" s="993">
        <f t="shared" si="519"/>
        <v>0</v>
      </c>
      <c r="Q93" s="993">
        <f t="shared" si="519"/>
        <v>0</v>
      </c>
      <c r="R93" s="993">
        <f t="shared" si="519"/>
        <v>0</v>
      </c>
      <c r="S93" s="993">
        <f t="shared" si="519"/>
        <v>0</v>
      </c>
      <c r="T93" s="993">
        <f t="shared" si="519"/>
        <v>0</v>
      </c>
      <c r="U93" s="993">
        <f t="shared" si="519"/>
        <v>0</v>
      </c>
      <c r="V93" s="993">
        <f t="shared" si="519"/>
        <v>0</v>
      </c>
      <c r="W93" s="993">
        <f t="shared" si="519"/>
        <v>0</v>
      </c>
      <c r="X93" s="993">
        <f t="shared" si="519"/>
        <v>0</v>
      </c>
      <c r="Y93" s="993">
        <f t="shared" si="519"/>
        <v>0</v>
      </c>
      <c r="Z93" s="1001">
        <v>0</v>
      </c>
      <c r="AA93" s="1001">
        <f t="shared" ref="AA93:BE93" si="520">+Z95</f>
        <v>0</v>
      </c>
      <c r="AB93" s="1001">
        <f t="shared" si="520"/>
        <v>0</v>
      </c>
      <c r="AC93" s="1001">
        <f t="shared" si="520"/>
        <v>0</v>
      </c>
      <c r="AD93" s="1001">
        <f t="shared" si="520"/>
        <v>0</v>
      </c>
      <c r="AE93" s="1001">
        <f t="shared" si="520"/>
        <v>0</v>
      </c>
      <c r="AF93" s="1001">
        <f t="shared" si="520"/>
        <v>0</v>
      </c>
      <c r="AG93" s="1001">
        <f t="shared" si="520"/>
        <v>0</v>
      </c>
      <c r="AH93" s="1001">
        <f t="shared" si="520"/>
        <v>0</v>
      </c>
      <c r="AI93" s="1001">
        <f t="shared" si="520"/>
        <v>0</v>
      </c>
      <c r="AJ93" s="1001">
        <f t="shared" si="520"/>
        <v>0</v>
      </c>
      <c r="AK93" s="1001">
        <f t="shared" si="520"/>
        <v>0</v>
      </c>
      <c r="AL93" s="1001">
        <f t="shared" si="520"/>
        <v>0</v>
      </c>
      <c r="AM93" s="1001">
        <f t="shared" si="520"/>
        <v>0.2</v>
      </c>
      <c r="AN93" s="1001">
        <f t="shared" si="520"/>
        <v>0.2</v>
      </c>
      <c r="AO93" s="1001">
        <f t="shared" si="520"/>
        <v>0.2</v>
      </c>
      <c r="AP93" s="1001">
        <f t="shared" si="520"/>
        <v>0.2</v>
      </c>
      <c r="AQ93" s="1001">
        <f t="shared" si="520"/>
        <v>0.3</v>
      </c>
      <c r="AR93" s="1001">
        <f t="shared" si="520"/>
        <v>0.4</v>
      </c>
      <c r="AS93" s="1001">
        <f t="shared" si="520"/>
        <v>0.5</v>
      </c>
      <c r="AT93" s="1001">
        <f t="shared" si="520"/>
        <v>0.7</v>
      </c>
      <c r="AU93" s="1001">
        <f t="shared" si="520"/>
        <v>0.8</v>
      </c>
      <c r="AV93" s="1001">
        <f t="shared" si="520"/>
        <v>0.8</v>
      </c>
      <c r="AW93" s="1001">
        <f t="shared" si="520"/>
        <v>0.8</v>
      </c>
      <c r="AX93" s="1001">
        <f t="shared" si="520"/>
        <v>1</v>
      </c>
      <c r="AY93" s="1001">
        <f t="shared" si="520"/>
        <v>1</v>
      </c>
      <c r="AZ93" s="1001">
        <f t="shared" si="520"/>
        <v>1</v>
      </c>
      <c r="BA93" s="1001">
        <f t="shared" si="520"/>
        <v>0.9</v>
      </c>
      <c r="BB93" s="1001">
        <f t="shared" si="520"/>
        <v>0.2</v>
      </c>
      <c r="BC93" s="1001">
        <f t="shared" si="520"/>
        <v>0.2</v>
      </c>
      <c r="BD93" s="1001">
        <f t="shared" si="520"/>
        <v>0.2</v>
      </c>
      <c r="BE93" s="1001">
        <f t="shared" si="520"/>
        <v>0.2</v>
      </c>
    </row>
    <row r="94" spans="1:57">
      <c r="A94" s="995" t="s">
        <v>136</v>
      </c>
      <c r="B94" s="995"/>
      <c r="C94" s="1002">
        <f t="shared" ref="C94:D94" si="521">C95-C93</f>
        <v>0</v>
      </c>
      <c r="D94" s="1002">
        <f t="shared" si="521"/>
        <v>0</v>
      </c>
      <c r="E94" s="1002">
        <f t="shared" ref="E94:Y94" si="522">E95-E93</f>
        <v>0</v>
      </c>
      <c r="F94" s="1002">
        <f t="shared" si="522"/>
        <v>0</v>
      </c>
      <c r="G94" s="1002">
        <f t="shared" si="522"/>
        <v>0</v>
      </c>
      <c r="H94" s="1002">
        <f t="shared" si="522"/>
        <v>0</v>
      </c>
      <c r="I94" s="1002">
        <f t="shared" si="522"/>
        <v>0</v>
      </c>
      <c r="J94" s="1002">
        <f t="shared" si="522"/>
        <v>0</v>
      </c>
      <c r="K94" s="1002">
        <f t="shared" si="522"/>
        <v>0</v>
      </c>
      <c r="L94" s="1002">
        <f t="shared" si="522"/>
        <v>0</v>
      </c>
      <c r="M94" s="1002">
        <f t="shared" si="522"/>
        <v>0</v>
      </c>
      <c r="N94" s="1002">
        <f t="shared" si="522"/>
        <v>0</v>
      </c>
      <c r="O94" s="1002">
        <f t="shared" si="522"/>
        <v>0</v>
      </c>
      <c r="P94" s="1002">
        <f t="shared" si="522"/>
        <v>0</v>
      </c>
      <c r="Q94" s="1002">
        <f t="shared" si="522"/>
        <v>0</v>
      </c>
      <c r="R94" s="1002">
        <f t="shared" si="522"/>
        <v>0</v>
      </c>
      <c r="S94" s="1002">
        <f t="shared" si="522"/>
        <v>0</v>
      </c>
      <c r="T94" s="1002">
        <f t="shared" si="522"/>
        <v>0</v>
      </c>
      <c r="U94" s="1002">
        <f t="shared" si="522"/>
        <v>0</v>
      </c>
      <c r="V94" s="1002">
        <f t="shared" si="522"/>
        <v>0</v>
      </c>
      <c r="W94" s="1002">
        <f t="shared" si="522"/>
        <v>0</v>
      </c>
      <c r="X94" s="1002">
        <f t="shared" si="522"/>
        <v>0</v>
      </c>
      <c r="Y94" s="1002">
        <f t="shared" si="522"/>
        <v>0</v>
      </c>
      <c r="Z94" s="1002">
        <f t="shared" ref="Z94:AX94" si="523">Z95-Z93</f>
        <v>0</v>
      </c>
      <c r="AA94" s="1002">
        <f t="shared" si="523"/>
        <v>0</v>
      </c>
      <c r="AB94" s="1002">
        <f t="shared" si="523"/>
        <v>0</v>
      </c>
      <c r="AC94" s="1002">
        <f t="shared" si="523"/>
        <v>0</v>
      </c>
      <c r="AD94" s="1002">
        <f t="shared" si="523"/>
        <v>0</v>
      </c>
      <c r="AE94" s="1002">
        <f t="shared" si="523"/>
        <v>0</v>
      </c>
      <c r="AF94" s="1002">
        <f t="shared" si="523"/>
        <v>0</v>
      </c>
      <c r="AG94" s="1002">
        <f t="shared" si="523"/>
        <v>0</v>
      </c>
      <c r="AH94" s="1002">
        <f t="shared" si="523"/>
        <v>0</v>
      </c>
      <c r="AI94" s="1002">
        <f t="shared" si="523"/>
        <v>0</v>
      </c>
      <c r="AJ94" s="1002">
        <f t="shared" si="523"/>
        <v>0</v>
      </c>
      <c r="AK94" s="1002">
        <f t="shared" si="523"/>
        <v>0</v>
      </c>
      <c r="AL94" s="1002">
        <f t="shared" si="523"/>
        <v>0.2</v>
      </c>
      <c r="AM94" s="1002">
        <f t="shared" si="523"/>
        <v>0</v>
      </c>
      <c r="AN94" s="1002">
        <f t="shared" si="523"/>
        <v>0</v>
      </c>
      <c r="AO94" s="1002">
        <f t="shared" si="523"/>
        <v>0</v>
      </c>
      <c r="AP94" s="1002">
        <f t="shared" si="523"/>
        <v>9.9999999999999978E-2</v>
      </c>
      <c r="AQ94" s="1002">
        <f t="shared" si="523"/>
        <v>0.10000000000000003</v>
      </c>
      <c r="AR94" s="1002">
        <f t="shared" si="523"/>
        <v>9.9999999999999978E-2</v>
      </c>
      <c r="AS94" s="1002">
        <f t="shared" si="523"/>
        <v>0.19999999999999996</v>
      </c>
      <c r="AT94" s="1002">
        <f t="shared" si="523"/>
        <v>0.10000000000000009</v>
      </c>
      <c r="AU94" s="1002">
        <f t="shared" si="523"/>
        <v>0</v>
      </c>
      <c r="AV94" s="1002">
        <f t="shared" si="523"/>
        <v>0</v>
      </c>
      <c r="AW94" s="1002">
        <f t="shared" si="523"/>
        <v>0.19999999999999996</v>
      </c>
      <c r="AX94" s="1002">
        <f t="shared" si="523"/>
        <v>0</v>
      </c>
      <c r="AY94" s="1002">
        <f t="shared" ref="AY94:AZ94" si="524">AY95-AY93</f>
        <v>0</v>
      </c>
      <c r="AZ94" s="1002">
        <f t="shared" si="524"/>
        <v>-9.9999999999999978E-2</v>
      </c>
      <c r="BA94" s="1002">
        <f t="shared" ref="BA94:BB94" si="525">BA95-BA93</f>
        <v>-0.7</v>
      </c>
      <c r="BB94" s="1002">
        <f t="shared" si="525"/>
        <v>0</v>
      </c>
      <c r="BC94" s="1002">
        <f t="shared" ref="BC94:BD94" si="526">BC95-BC93</f>
        <v>0</v>
      </c>
      <c r="BD94" s="1002">
        <f t="shared" si="526"/>
        <v>0</v>
      </c>
      <c r="BE94" s="1002">
        <f t="shared" ref="BE94" si="527">BE95-BE93</f>
        <v>0</v>
      </c>
    </row>
    <row r="95" spans="1:57">
      <c r="A95" s="997" t="s">
        <v>715</v>
      </c>
      <c r="B95" s="997"/>
      <c r="C95" s="997">
        <v>0</v>
      </c>
      <c r="D95" s="997">
        <v>0</v>
      </c>
      <c r="E95" s="997">
        <v>0</v>
      </c>
      <c r="F95" s="997">
        <v>0</v>
      </c>
      <c r="G95" s="997">
        <v>0</v>
      </c>
      <c r="H95" s="997">
        <v>0</v>
      </c>
      <c r="I95" s="997">
        <v>0</v>
      </c>
      <c r="J95" s="997">
        <v>0</v>
      </c>
      <c r="K95" s="997">
        <v>0</v>
      </c>
      <c r="L95" s="997">
        <v>0</v>
      </c>
      <c r="M95" s="997">
        <v>0</v>
      </c>
      <c r="N95" s="997">
        <v>0</v>
      </c>
      <c r="O95" s="997">
        <v>0</v>
      </c>
      <c r="P95" s="997">
        <v>0</v>
      </c>
      <c r="Q95" s="997">
        <v>0</v>
      </c>
      <c r="R95" s="997">
        <v>0</v>
      </c>
      <c r="S95" s="997">
        <v>0</v>
      </c>
      <c r="T95" s="997">
        <v>0</v>
      </c>
      <c r="U95" s="997">
        <v>0</v>
      </c>
      <c r="V95" s="997">
        <v>0</v>
      </c>
      <c r="W95" s="997">
        <v>0</v>
      </c>
      <c r="X95" s="997">
        <v>0</v>
      </c>
      <c r="Y95" s="997">
        <v>0</v>
      </c>
      <c r="Z95" s="1003">
        <v>0</v>
      </c>
      <c r="AA95" s="1003">
        <v>0</v>
      </c>
      <c r="AB95" s="1003">
        <v>0</v>
      </c>
      <c r="AC95" s="1003">
        <v>0</v>
      </c>
      <c r="AD95" s="1003">
        <v>0</v>
      </c>
      <c r="AE95" s="1003">
        <v>0</v>
      </c>
      <c r="AF95" s="1003">
        <v>0</v>
      </c>
      <c r="AG95" s="1003">
        <v>0</v>
      </c>
      <c r="AH95" s="1003">
        <v>0</v>
      </c>
      <c r="AI95" s="1003">
        <v>0</v>
      </c>
      <c r="AJ95" s="1003">
        <v>0</v>
      </c>
      <c r="AK95" s="1003">
        <v>0</v>
      </c>
      <c r="AL95" s="1003">
        <v>0.2</v>
      </c>
      <c r="AM95" s="1003">
        <v>0.2</v>
      </c>
      <c r="AN95" s="1003">
        <v>0.2</v>
      </c>
      <c r="AO95" s="1003">
        <v>0.2</v>
      </c>
      <c r="AP95" s="1003">
        <v>0.3</v>
      </c>
      <c r="AQ95" s="1003">
        <v>0.4</v>
      </c>
      <c r="AR95" s="1003">
        <v>0.5</v>
      </c>
      <c r="AS95" s="1003">
        <v>0.7</v>
      </c>
      <c r="AT95" s="1003">
        <v>0.8</v>
      </c>
      <c r="AU95" s="1003">
        <v>0.8</v>
      </c>
      <c r="AV95" s="1003">
        <v>0.8</v>
      </c>
      <c r="AW95" s="1003">
        <v>1</v>
      </c>
      <c r="AX95" s="1003">
        <v>1</v>
      </c>
      <c r="AY95" s="1003">
        <v>1</v>
      </c>
      <c r="AZ95" s="1003">
        <v>0.9</v>
      </c>
      <c r="BA95" s="1003">
        <v>0.2</v>
      </c>
      <c r="BB95" s="1003">
        <v>0.2</v>
      </c>
      <c r="BC95" s="1003">
        <v>0.2</v>
      </c>
      <c r="BD95" s="1003">
        <v>0.2</v>
      </c>
      <c r="BE95" s="1003">
        <v>0.2</v>
      </c>
    </row>
    <row r="96" spans="1:57">
      <c r="Z96" s="1001"/>
      <c r="AA96" s="1001"/>
      <c r="AB96" s="1001"/>
      <c r="AC96" s="1001"/>
      <c r="AD96" s="1001"/>
      <c r="AE96" s="1001"/>
      <c r="AF96" s="1001"/>
      <c r="AG96" s="1001"/>
      <c r="AH96" s="1001"/>
      <c r="AI96" s="1001"/>
      <c r="AJ96" s="1001"/>
      <c r="AK96" s="1001"/>
      <c r="AL96" s="1001"/>
      <c r="AM96" s="1001"/>
      <c r="AN96" s="1001"/>
      <c r="AO96" s="1001"/>
      <c r="AP96" s="1001"/>
      <c r="AQ96" s="1001"/>
      <c r="AR96" s="1001"/>
      <c r="AS96" s="1001"/>
      <c r="AT96" s="1001"/>
      <c r="AU96" s="1001"/>
      <c r="AV96" s="1001"/>
      <c r="AW96" s="1001"/>
      <c r="AX96" s="1001"/>
      <c r="AY96" s="1001"/>
      <c r="AZ96" s="1001"/>
      <c r="BA96" s="1001"/>
      <c r="BB96" s="1001"/>
      <c r="BC96" s="1001"/>
      <c r="BD96" s="1001"/>
      <c r="BE96" s="1001"/>
    </row>
    <row r="97" spans="1:57">
      <c r="A97" s="991" t="s">
        <v>481</v>
      </c>
      <c r="B97" s="991" t="str">
        <f>B42</f>
        <v>1Q04</v>
      </c>
      <c r="C97" s="991" t="str">
        <f t="shared" ref="C97:Y97" si="528">C42</f>
        <v>2Q04</v>
      </c>
      <c r="D97" s="991" t="str">
        <f t="shared" si="528"/>
        <v>3Q04</v>
      </c>
      <c r="E97" s="991" t="str">
        <f t="shared" si="528"/>
        <v>4Q04</v>
      </c>
      <c r="F97" s="991" t="str">
        <f t="shared" si="528"/>
        <v>1Q05</v>
      </c>
      <c r="G97" s="991" t="str">
        <f t="shared" si="528"/>
        <v>2Q05</v>
      </c>
      <c r="H97" s="991" t="str">
        <f t="shared" si="528"/>
        <v>3Q05</v>
      </c>
      <c r="I97" s="991" t="str">
        <f t="shared" si="528"/>
        <v>4Q05</v>
      </c>
      <c r="J97" s="991" t="str">
        <f t="shared" si="528"/>
        <v>1Q06</v>
      </c>
      <c r="K97" s="991" t="str">
        <f t="shared" si="528"/>
        <v>2Q06</v>
      </c>
      <c r="L97" s="991" t="str">
        <f t="shared" si="528"/>
        <v>3Q06</v>
      </c>
      <c r="M97" s="991" t="str">
        <f t="shared" si="528"/>
        <v>4Q06</v>
      </c>
      <c r="N97" s="991" t="str">
        <f t="shared" si="528"/>
        <v>1Q07</v>
      </c>
      <c r="O97" s="991" t="str">
        <f t="shared" si="528"/>
        <v>2Q07</v>
      </c>
      <c r="P97" s="991" t="str">
        <f t="shared" si="528"/>
        <v>3Q07</v>
      </c>
      <c r="Q97" s="991" t="str">
        <f t="shared" si="528"/>
        <v>4Q07</v>
      </c>
      <c r="R97" s="991" t="str">
        <f t="shared" si="528"/>
        <v>1Q08</v>
      </c>
      <c r="S97" s="991" t="str">
        <f t="shared" si="528"/>
        <v>2Q08</v>
      </c>
      <c r="T97" s="991" t="str">
        <f t="shared" si="528"/>
        <v>3Q08</v>
      </c>
      <c r="U97" s="991" t="str">
        <f t="shared" si="528"/>
        <v>4Q08</v>
      </c>
      <c r="V97" s="991" t="str">
        <f t="shared" si="528"/>
        <v>1Q09</v>
      </c>
      <c r="W97" s="991" t="str">
        <f t="shared" si="528"/>
        <v>2Q09</v>
      </c>
      <c r="X97" s="991" t="str">
        <f t="shared" si="528"/>
        <v>3Q09</v>
      </c>
      <c r="Y97" s="991" t="str">
        <f t="shared" si="528"/>
        <v>4Q09</v>
      </c>
      <c r="Z97" s="991" t="s">
        <v>447</v>
      </c>
      <c r="AA97" s="991" t="s">
        <v>448</v>
      </c>
      <c r="AB97" s="991" t="s">
        <v>453</v>
      </c>
      <c r="AC97" s="991" t="s">
        <v>454</v>
      </c>
      <c r="AD97" s="991" t="s">
        <v>449</v>
      </c>
      <c r="AE97" s="991" t="s">
        <v>450</v>
      </c>
      <c r="AF97" s="991" t="s">
        <v>451</v>
      </c>
      <c r="AG97" s="991" t="s">
        <v>452</v>
      </c>
      <c r="AH97" s="991" t="s">
        <v>265</v>
      </c>
      <c r="AI97" s="991" t="s">
        <v>125</v>
      </c>
      <c r="AJ97" s="991" t="s">
        <v>266</v>
      </c>
      <c r="AK97" s="991" t="s">
        <v>267</v>
      </c>
      <c r="AL97" s="991" t="s">
        <v>724</v>
      </c>
      <c r="AM97" s="991" t="s">
        <v>723</v>
      </c>
      <c r="AN97" s="991" t="s">
        <v>722</v>
      </c>
      <c r="AO97" s="991" t="s">
        <v>721</v>
      </c>
      <c r="AP97" s="991" t="s">
        <v>671</v>
      </c>
      <c r="AQ97" s="991" t="s">
        <v>477</v>
      </c>
      <c r="AR97" s="991" t="s">
        <v>672</v>
      </c>
      <c r="AS97" s="991" t="s">
        <v>673</v>
      </c>
      <c r="AT97" s="991" t="s">
        <v>720</v>
      </c>
      <c r="AU97" s="991" t="s">
        <v>719</v>
      </c>
      <c r="AV97" s="991" t="s">
        <v>718</v>
      </c>
      <c r="AW97" s="991" t="s">
        <v>717</v>
      </c>
      <c r="AX97" s="991" t="str">
        <f>$AX$42</f>
        <v>1Q16</v>
      </c>
      <c r="AY97" s="991" t="str">
        <f>$AY$42</f>
        <v>2Q16</v>
      </c>
      <c r="AZ97" s="992" t="s">
        <v>704</v>
      </c>
      <c r="BA97" s="992" t="s">
        <v>705</v>
      </c>
      <c r="BB97" s="992" t="str">
        <f>BB86</f>
        <v>1Q17</v>
      </c>
      <c r="BC97" s="992" t="str">
        <f>BC86</f>
        <v>2Q17</v>
      </c>
      <c r="BD97" s="992" t="str">
        <f>BD86</f>
        <v>3Q17</v>
      </c>
      <c r="BE97" s="992" t="str">
        <f>BE86</f>
        <v>4Q17</v>
      </c>
    </row>
    <row r="98" spans="1:57">
      <c r="A98" s="993" t="s">
        <v>728</v>
      </c>
      <c r="B98" s="993">
        <v>435</v>
      </c>
      <c r="C98" s="993">
        <f>B101</f>
        <v>438</v>
      </c>
      <c r="D98" s="993">
        <f t="shared" ref="D98:Y98" si="529">C101</f>
        <v>447</v>
      </c>
      <c r="E98" s="993">
        <f t="shared" si="529"/>
        <v>459</v>
      </c>
      <c r="F98" s="993">
        <f t="shared" si="529"/>
        <v>462</v>
      </c>
      <c r="G98" s="993">
        <f t="shared" si="529"/>
        <v>462</v>
      </c>
      <c r="H98" s="993">
        <f t="shared" si="529"/>
        <v>473</v>
      </c>
      <c r="I98" s="993">
        <f t="shared" si="529"/>
        <v>495</v>
      </c>
      <c r="J98" s="993">
        <f t="shared" si="529"/>
        <v>494</v>
      </c>
      <c r="K98" s="993">
        <f t="shared" si="529"/>
        <v>496</v>
      </c>
      <c r="L98" s="993">
        <f t="shared" si="529"/>
        <v>503</v>
      </c>
      <c r="M98" s="993">
        <f t="shared" si="529"/>
        <v>514</v>
      </c>
      <c r="N98" s="993">
        <f t="shared" si="529"/>
        <v>521</v>
      </c>
      <c r="O98" s="993">
        <f t="shared" si="529"/>
        <v>525</v>
      </c>
      <c r="P98" s="993">
        <f t="shared" si="529"/>
        <v>532</v>
      </c>
      <c r="Q98" s="993">
        <f t="shared" si="529"/>
        <v>549</v>
      </c>
      <c r="R98" s="993">
        <f t="shared" si="529"/>
        <v>555</v>
      </c>
      <c r="S98" s="993">
        <f t="shared" si="529"/>
        <v>559</v>
      </c>
      <c r="T98" s="993">
        <f t="shared" si="529"/>
        <v>568</v>
      </c>
      <c r="U98" s="993">
        <f t="shared" si="529"/>
        <v>573</v>
      </c>
      <c r="V98" s="993">
        <f t="shared" si="529"/>
        <v>573</v>
      </c>
      <c r="W98" s="993">
        <f t="shared" si="529"/>
        <v>575</v>
      </c>
      <c r="X98" s="993">
        <f t="shared" si="529"/>
        <v>579</v>
      </c>
      <c r="Y98" s="993">
        <f t="shared" si="529"/>
        <v>582</v>
      </c>
      <c r="Z98" s="1001">
        <v>576</v>
      </c>
      <c r="AA98" s="1001">
        <f t="shared" ref="AA98:BE98" si="530">+Z101</f>
        <v>575</v>
      </c>
      <c r="AB98" s="1001">
        <f t="shared" si="530"/>
        <v>575</v>
      </c>
      <c r="AC98" s="1001">
        <f t="shared" si="530"/>
        <v>577</v>
      </c>
      <c r="AD98" s="1001">
        <f t="shared" si="530"/>
        <v>576</v>
      </c>
      <c r="AE98" s="1001">
        <f t="shared" si="530"/>
        <v>576</v>
      </c>
      <c r="AF98" s="1001">
        <f t="shared" si="530"/>
        <v>578</v>
      </c>
      <c r="AG98" s="1001">
        <f t="shared" si="530"/>
        <v>583</v>
      </c>
      <c r="AH98" s="1001">
        <f t="shared" si="530"/>
        <v>581</v>
      </c>
      <c r="AI98" s="1001">
        <f t="shared" si="530"/>
        <v>584</v>
      </c>
      <c r="AJ98" s="1001">
        <f t="shared" si="530"/>
        <v>586</v>
      </c>
      <c r="AK98" s="1001">
        <f t="shared" si="530"/>
        <v>589</v>
      </c>
      <c r="AL98" s="1001">
        <f t="shared" si="530"/>
        <v>590</v>
      </c>
      <c r="AM98" s="1001">
        <f t="shared" si="530"/>
        <v>589</v>
      </c>
      <c r="AN98" s="1001">
        <f t="shared" si="530"/>
        <v>593</v>
      </c>
      <c r="AO98" s="1001">
        <f t="shared" si="530"/>
        <v>596</v>
      </c>
      <c r="AP98" s="1001">
        <f t="shared" si="530"/>
        <v>596</v>
      </c>
      <c r="AQ98" s="1001">
        <f t="shared" si="530"/>
        <v>598</v>
      </c>
      <c r="AR98" s="1001">
        <f t="shared" si="530"/>
        <v>598</v>
      </c>
      <c r="AS98" s="1001">
        <f t="shared" si="530"/>
        <v>610</v>
      </c>
      <c r="AT98" s="1001">
        <f t="shared" si="530"/>
        <v>610</v>
      </c>
      <c r="AU98" s="1001">
        <f t="shared" si="530"/>
        <v>612</v>
      </c>
      <c r="AV98" s="1001">
        <f t="shared" si="530"/>
        <v>614</v>
      </c>
      <c r="AW98" s="1001">
        <f t="shared" si="530"/>
        <v>618</v>
      </c>
      <c r="AX98" s="1001">
        <f t="shared" si="530"/>
        <v>612</v>
      </c>
      <c r="AY98" s="1001">
        <f t="shared" si="530"/>
        <v>607</v>
      </c>
      <c r="AZ98" s="1001">
        <f t="shared" si="530"/>
        <v>609</v>
      </c>
      <c r="BA98" s="1001">
        <f t="shared" si="530"/>
        <v>612</v>
      </c>
      <c r="BB98" s="1001">
        <f t="shared" si="530"/>
        <v>601</v>
      </c>
      <c r="BC98" s="1001">
        <f t="shared" si="530"/>
        <v>597</v>
      </c>
      <c r="BD98" s="1001">
        <f t="shared" si="530"/>
        <v>596</v>
      </c>
      <c r="BE98" s="1001">
        <f t="shared" si="530"/>
        <v>596</v>
      </c>
    </row>
    <row r="99" spans="1:57">
      <c r="A99" s="993" t="s">
        <v>727</v>
      </c>
      <c r="B99" s="993">
        <v>3</v>
      </c>
      <c r="C99" s="993">
        <v>11</v>
      </c>
      <c r="D99" s="993">
        <v>13</v>
      </c>
      <c r="E99" s="993">
        <v>5</v>
      </c>
      <c r="F99" s="993">
        <v>2</v>
      </c>
      <c r="G99" s="993">
        <v>11</v>
      </c>
      <c r="H99" s="993">
        <v>22</v>
      </c>
      <c r="I99" s="993">
        <v>3</v>
      </c>
      <c r="J99" s="993">
        <v>3</v>
      </c>
      <c r="K99" s="993">
        <v>9</v>
      </c>
      <c r="L99" s="993">
        <v>14</v>
      </c>
      <c r="M99" s="993">
        <v>11</v>
      </c>
      <c r="N99" s="993">
        <v>7</v>
      </c>
      <c r="O99" s="993">
        <v>8</v>
      </c>
      <c r="P99" s="993">
        <v>20</v>
      </c>
      <c r="Q99" s="993">
        <v>8</v>
      </c>
      <c r="R99" s="993">
        <v>7</v>
      </c>
      <c r="S99" s="993">
        <v>12</v>
      </c>
      <c r="T99" s="993">
        <v>6</v>
      </c>
      <c r="U99" s="993">
        <v>3</v>
      </c>
      <c r="V99" s="993">
        <v>3</v>
      </c>
      <c r="W99" s="993">
        <v>5</v>
      </c>
      <c r="X99" s="993">
        <v>4</v>
      </c>
      <c r="Y99" s="993">
        <v>2</v>
      </c>
      <c r="Z99" s="1001">
        <v>0</v>
      </c>
      <c r="AA99" s="1001">
        <v>0</v>
      </c>
      <c r="AB99" s="1001">
        <v>4</v>
      </c>
      <c r="AC99" s="1001">
        <v>2</v>
      </c>
      <c r="AD99" s="1001">
        <v>0</v>
      </c>
      <c r="AE99" s="1001">
        <v>3</v>
      </c>
      <c r="AF99" s="1001">
        <v>8</v>
      </c>
      <c r="AG99" s="1001">
        <v>3</v>
      </c>
      <c r="AH99" s="1001">
        <v>6</v>
      </c>
      <c r="AI99" s="1001">
        <v>4</v>
      </c>
      <c r="AJ99" s="1001">
        <v>5</v>
      </c>
      <c r="AK99" s="1001">
        <v>7</v>
      </c>
      <c r="AL99" s="1001">
        <v>2</v>
      </c>
      <c r="AM99" s="1001">
        <v>5</v>
      </c>
      <c r="AN99" s="1001">
        <v>5</v>
      </c>
      <c r="AO99" s="1001">
        <v>9</v>
      </c>
      <c r="AP99" s="1001">
        <v>3</v>
      </c>
      <c r="AQ99" s="1001">
        <v>7</v>
      </c>
      <c r="AR99" s="1001">
        <v>15</v>
      </c>
      <c r="AS99" s="1001">
        <v>4</v>
      </c>
      <c r="AT99" s="1001">
        <v>6</v>
      </c>
      <c r="AU99" s="1001">
        <v>4</v>
      </c>
      <c r="AV99" s="1001">
        <v>8</v>
      </c>
      <c r="AW99" s="1001">
        <v>6</v>
      </c>
      <c r="AX99" s="1001">
        <v>0</v>
      </c>
      <c r="AY99" s="1001">
        <v>2</v>
      </c>
      <c r="AZ99" s="1001">
        <f>7-AY99-AX99</f>
        <v>5</v>
      </c>
      <c r="BA99" s="1001">
        <f>9-AZ99-AY99-AX99</f>
        <v>2</v>
      </c>
      <c r="BB99" s="1001">
        <f>9-BA99-AZ99-AY99</f>
        <v>0</v>
      </c>
      <c r="BC99" s="1001">
        <v>3</v>
      </c>
      <c r="BD99" s="1001">
        <v>1</v>
      </c>
      <c r="BE99" s="1001">
        <v>1</v>
      </c>
    </row>
    <row r="100" spans="1:57">
      <c r="A100" s="995" t="s">
        <v>726</v>
      </c>
      <c r="B100" s="995">
        <v>0</v>
      </c>
      <c r="C100" s="995">
        <v>2</v>
      </c>
      <c r="D100" s="995">
        <v>1</v>
      </c>
      <c r="E100" s="995">
        <v>2</v>
      </c>
      <c r="F100" s="995">
        <v>2</v>
      </c>
      <c r="G100" s="995">
        <v>0</v>
      </c>
      <c r="H100" s="995">
        <v>0</v>
      </c>
      <c r="I100" s="995">
        <v>4</v>
      </c>
      <c r="J100" s="995">
        <v>1</v>
      </c>
      <c r="K100" s="995">
        <v>2</v>
      </c>
      <c r="L100" s="995">
        <v>3</v>
      </c>
      <c r="M100" s="995">
        <v>4</v>
      </c>
      <c r="N100" s="995">
        <v>3</v>
      </c>
      <c r="O100" s="995">
        <v>1</v>
      </c>
      <c r="P100" s="995">
        <v>3</v>
      </c>
      <c r="Q100" s="995">
        <v>2</v>
      </c>
      <c r="R100" s="995">
        <v>3</v>
      </c>
      <c r="S100" s="995">
        <v>3</v>
      </c>
      <c r="T100" s="995">
        <v>1</v>
      </c>
      <c r="U100" s="995">
        <v>3</v>
      </c>
      <c r="V100" s="995">
        <v>1</v>
      </c>
      <c r="W100" s="995">
        <v>1</v>
      </c>
      <c r="X100" s="995">
        <v>1</v>
      </c>
      <c r="Y100" s="995">
        <v>8</v>
      </c>
      <c r="Z100" s="1002">
        <v>1</v>
      </c>
      <c r="AA100" s="1002">
        <v>0</v>
      </c>
      <c r="AB100" s="1002">
        <v>2</v>
      </c>
      <c r="AC100" s="1002">
        <v>3</v>
      </c>
      <c r="AD100" s="1002">
        <v>0</v>
      </c>
      <c r="AE100" s="1002">
        <v>1</v>
      </c>
      <c r="AF100" s="1002">
        <v>3</v>
      </c>
      <c r="AG100" s="1002">
        <v>5</v>
      </c>
      <c r="AH100" s="1002">
        <v>3</v>
      </c>
      <c r="AI100" s="1002">
        <v>2</v>
      </c>
      <c r="AJ100" s="1002">
        <v>2</v>
      </c>
      <c r="AK100" s="1002">
        <v>6</v>
      </c>
      <c r="AL100" s="1002">
        <v>3</v>
      </c>
      <c r="AM100" s="1002">
        <v>1</v>
      </c>
      <c r="AN100" s="1002">
        <v>2</v>
      </c>
      <c r="AO100" s="1002">
        <v>9</v>
      </c>
      <c r="AP100" s="1002">
        <v>1</v>
      </c>
      <c r="AQ100" s="1002">
        <v>7</v>
      </c>
      <c r="AR100" s="1002">
        <v>3</v>
      </c>
      <c r="AS100" s="1002">
        <v>4</v>
      </c>
      <c r="AT100" s="1002">
        <v>4</v>
      </c>
      <c r="AU100" s="1002">
        <v>2</v>
      </c>
      <c r="AV100" s="1002">
        <v>4</v>
      </c>
      <c r="AW100" s="1002">
        <v>12</v>
      </c>
      <c r="AX100" s="1002">
        <v>5</v>
      </c>
      <c r="AY100" s="1002">
        <v>0</v>
      </c>
      <c r="AZ100" s="1002">
        <f>7-AY100-AX100</f>
        <v>2</v>
      </c>
      <c r="BA100" s="1002">
        <f>20-AZ100-AY100-AX100</f>
        <v>13</v>
      </c>
      <c r="BB100" s="1002">
        <v>4</v>
      </c>
      <c r="BC100" s="1002">
        <v>4</v>
      </c>
      <c r="BD100" s="1002">
        <v>1</v>
      </c>
      <c r="BE100" s="1002">
        <v>21</v>
      </c>
    </row>
    <row r="101" spans="1:57">
      <c r="A101" s="997" t="s">
        <v>725</v>
      </c>
      <c r="B101" s="997">
        <f>B98+B99-B100</f>
        <v>438</v>
      </c>
      <c r="C101" s="997">
        <f>C98+C99-C100</f>
        <v>447</v>
      </c>
      <c r="D101" s="997">
        <f t="shared" ref="D101:Y101" si="531">D98+D99-D100</f>
        <v>459</v>
      </c>
      <c r="E101" s="997">
        <f t="shared" si="531"/>
        <v>462</v>
      </c>
      <c r="F101" s="997">
        <f t="shared" si="531"/>
        <v>462</v>
      </c>
      <c r="G101" s="997">
        <f t="shared" si="531"/>
        <v>473</v>
      </c>
      <c r="H101" s="997">
        <f t="shared" si="531"/>
        <v>495</v>
      </c>
      <c r="I101" s="997">
        <f t="shared" si="531"/>
        <v>494</v>
      </c>
      <c r="J101" s="997">
        <f t="shared" si="531"/>
        <v>496</v>
      </c>
      <c r="K101" s="997">
        <f t="shared" si="531"/>
        <v>503</v>
      </c>
      <c r="L101" s="997">
        <f t="shared" si="531"/>
        <v>514</v>
      </c>
      <c r="M101" s="997">
        <f t="shared" si="531"/>
        <v>521</v>
      </c>
      <c r="N101" s="997">
        <f t="shared" si="531"/>
        <v>525</v>
      </c>
      <c r="O101" s="997">
        <f t="shared" si="531"/>
        <v>532</v>
      </c>
      <c r="P101" s="997">
        <f t="shared" si="531"/>
        <v>549</v>
      </c>
      <c r="Q101" s="997">
        <f t="shared" si="531"/>
        <v>555</v>
      </c>
      <c r="R101" s="997">
        <f t="shared" si="531"/>
        <v>559</v>
      </c>
      <c r="S101" s="997">
        <f t="shared" si="531"/>
        <v>568</v>
      </c>
      <c r="T101" s="997">
        <f t="shared" si="531"/>
        <v>573</v>
      </c>
      <c r="U101" s="997">
        <f t="shared" si="531"/>
        <v>573</v>
      </c>
      <c r="V101" s="997">
        <f t="shared" si="531"/>
        <v>575</v>
      </c>
      <c r="W101" s="997">
        <f t="shared" si="531"/>
        <v>579</v>
      </c>
      <c r="X101" s="997">
        <f t="shared" si="531"/>
        <v>582</v>
      </c>
      <c r="Y101" s="997">
        <f t="shared" si="531"/>
        <v>576</v>
      </c>
      <c r="Z101" s="1003">
        <f t="shared" ref="Z101:AX101" si="532">Z98+Z99-Z100</f>
        <v>575</v>
      </c>
      <c r="AA101" s="1003">
        <f t="shared" si="532"/>
        <v>575</v>
      </c>
      <c r="AB101" s="1003">
        <f t="shared" si="532"/>
        <v>577</v>
      </c>
      <c r="AC101" s="1003">
        <f t="shared" si="532"/>
        <v>576</v>
      </c>
      <c r="AD101" s="1003">
        <f t="shared" si="532"/>
        <v>576</v>
      </c>
      <c r="AE101" s="1003">
        <f t="shared" si="532"/>
        <v>578</v>
      </c>
      <c r="AF101" s="1003">
        <f t="shared" si="532"/>
        <v>583</v>
      </c>
      <c r="AG101" s="1003">
        <f t="shared" si="532"/>
        <v>581</v>
      </c>
      <c r="AH101" s="1003">
        <f t="shared" si="532"/>
        <v>584</v>
      </c>
      <c r="AI101" s="1003">
        <f t="shared" si="532"/>
        <v>586</v>
      </c>
      <c r="AJ101" s="1003">
        <f t="shared" si="532"/>
        <v>589</v>
      </c>
      <c r="AK101" s="1003">
        <f t="shared" si="532"/>
        <v>590</v>
      </c>
      <c r="AL101" s="1003">
        <f t="shared" si="532"/>
        <v>589</v>
      </c>
      <c r="AM101" s="1003">
        <f t="shared" si="532"/>
        <v>593</v>
      </c>
      <c r="AN101" s="1003">
        <f t="shared" si="532"/>
        <v>596</v>
      </c>
      <c r="AO101" s="1003">
        <f t="shared" si="532"/>
        <v>596</v>
      </c>
      <c r="AP101" s="1003">
        <f t="shared" si="532"/>
        <v>598</v>
      </c>
      <c r="AQ101" s="1003">
        <f t="shared" si="532"/>
        <v>598</v>
      </c>
      <c r="AR101" s="1003">
        <f t="shared" si="532"/>
        <v>610</v>
      </c>
      <c r="AS101" s="1003">
        <f t="shared" si="532"/>
        <v>610</v>
      </c>
      <c r="AT101" s="1003">
        <f t="shared" si="532"/>
        <v>612</v>
      </c>
      <c r="AU101" s="1003">
        <f t="shared" si="532"/>
        <v>614</v>
      </c>
      <c r="AV101" s="1003">
        <f t="shared" si="532"/>
        <v>618</v>
      </c>
      <c r="AW101" s="1003">
        <f t="shared" si="532"/>
        <v>612</v>
      </c>
      <c r="AX101" s="1003">
        <f t="shared" si="532"/>
        <v>607</v>
      </c>
      <c r="AY101" s="1003">
        <f t="shared" ref="AY101:BA101" si="533">AY98+AY99-AY100</f>
        <v>609</v>
      </c>
      <c r="AZ101" s="1003">
        <f t="shared" si="533"/>
        <v>612</v>
      </c>
      <c r="BA101" s="1003">
        <f t="shared" si="533"/>
        <v>601</v>
      </c>
      <c r="BB101" s="1003">
        <f t="shared" ref="BB101:BC101" si="534">BB98+BB99-BB100</f>
        <v>597</v>
      </c>
      <c r="BC101" s="1003">
        <f t="shared" si="534"/>
        <v>596</v>
      </c>
      <c r="BD101" s="1003">
        <f t="shared" ref="BD101:BE101" si="535">BD98+BD99-BD100</f>
        <v>596</v>
      </c>
      <c r="BE101" s="1003">
        <f t="shared" si="535"/>
        <v>576</v>
      </c>
    </row>
    <row r="103" spans="1:57">
      <c r="A103" s="991" t="s">
        <v>481</v>
      </c>
      <c r="B103" s="991" t="str">
        <f>B42</f>
        <v>1Q04</v>
      </c>
      <c r="C103" s="991" t="str">
        <f t="shared" ref="C103:Y103" si="536">C42</f>
        <v>2Q04</v>
      </c>
      <c r="D103" s="991" t="str">
        <f t="shared" si="536"/>
        <v>3Q04</v>
      </c>
      <c r="E103" s="991" t="str">
        <f t="shared" si="536"/>
        <v>4Q04</v>
      </c>
      <c r="F103" s="991" t="str">
        <f t="shared" si="536"/>
        <v>1Q05</v>
      </c>
      <c r="G103" s="991" t="str">
        <f t="shared" si="536"/>
        <v>2Q05</v>
      </c>
      <c r="H103" s="991" t="str">
        <f t="shared" si="536"/>
        <v>3Q05</v>
      </c>
      <c r="I103" s="991" t="str">
        <f t="shared" si="536"/>
        <v>4Q05</v>
      </c>
      <c r="J103" s="991" t="str">
        <f t="shared" si="536"/>
        <v>1Q06</v>
      </c>
      <c r="K103" s="991" t="str">
        <f t="shared" si="536"/>
        <v>2Q06</v>
      </c>
      <c r="L103" s="991" t="str">
        <f t="shared" si="536"/>
        <v>3Q06</v>
      </c>
      <c r="M103" s="991" t="str">
        <f t="shared" si="536"/>
        <v>4Q06</v>
      </c>
      <c r="N103" s="991" t="str">
        <f t="shared" si="536"/>
        <v>1Q07</v>
      </c>
      <c r="O103" s="991" t="str">
        <f t="shared" si="536"/>
        <v>2Q07</v>
      </c>
      <c r="P103" s="991" t="str">
        <f t="shared" si="536"/>
        <v>3Q07</v>
      </c>
      <c r="Q103" s="991" t="str">
        <f t="shared" si="536"/>
        <v>4Q07</v>
      </c>
      <c r="R103" s="991" t="str">
        <f t="shared" si="536"/>
        <v>1Q08</v>
      </c>
      <c r="S103" s="991" t="str">
        <f t="shared" si="536"/>
        <v>2Q08</v>
      </c>
      <c r="T103" s="991" t="str">
        <f t="shared" si="536"/>
        <v>3Q08</v>
      </c>
      <c r="U103" s="991" t="str">
        <f t="shared" si="536"/>
        <v>4Q08</v>
      </c>
      <c r="V103" s="991" t="str">
        <f t="shared" si="536"/>
        <v>1Q09</v>
      </c>
      <c r="W103" s="991" t="str">
        <f t="shared" si="536"/>
        <v>2Q09</v>
      </c>
      <c r="X103" s="991" t="str">
        <f t="shared" si="536"/>
        <v>3Q09</v>
      </c>
      <c r="Y103" s="991" t="str">
        <f t="shared" si="536"/>
        <v>4Q09</v>
      </c>
      <c r="Z103" s="991" t="s">
        <v>447</v>
      </c>
      <c r="AA103" s="991" t="s">
        <v>448</v>
      </c>
      <c r="AB103" s="991" t="s">
        <v>453</v>
      </c>
      <c r="AC103" s="991" t="s">
        <v>454</v>
      </c>
      <c r="AD103" s="991" t="s">
        <v>449</v>
      </c>
      <c r="AE103" s="991" t="s">
        <v>450</v>
      </c>
      <c r="AF103" s="991" t="s">
        <v>451</v>
      </c>
      <c r="AG103" s="991" t="s">
        <v>452</v>
      </c>
      <c r="AH103" s="991" t="s">
        <v>265</v>
      </c>
      <c r="AI103" s="991" t="s">
        <v>125</v>
      </c>
      <c r="AJ103" s="991" t="s">
        <v>266</v>
      </c>
      <c r="AK103" s="991" t="s">
        <v>267</v>
      </c>
      <c r="AL103" s="991" t="s">
        <v>724</v>
      </c>
      <c r="AM103" s="991" t="s">
        <v>723</v>
      </c>
      <c r="AN103" s="991" t="s">
        <v>722</v>
      </c>
      <c r="AO103" s="991" t="s">
        <v>721</v>
      </c>
      <c r="AP103" s="991" t="s">
        <v>671</v>
      </c>
      <c r="AQ103" s="991" t="s">
        <v>477</v>
      </c>
      <c r="AR103" s="991" t="s">
        <v>672</v>
      </c>
      <c r="AS103" s="991" t="s">
        <v>673</v>
      </c>
      <c r="AT103" s="991" t="s">
        <v>720</v>
      </c>
      <c r="AU103" s="991" t="s">
        <v>719</v>
      </c>
      <c r="AV103" s="991" t="s">
        <v>718</v>
      </c>
      <c r="AW103" s="991" t="s">
        <v>717</v>
      </c>
      <c r="AX103" s="991" t="str">
        <f>$AX$42</f>
        <v>1Q16</v>
      </c>
      <c r="AY103" s="991" t="str">
        <f>$AY$42</f>
        <v>2Q16</v>
      </c>
      <c r="AZ103" s="992" t="s">
        <v>704</v>
      </c>
      <c r="BA103" s="992" t="s">
        <v>705</v>
      </c>
      <c r="BB103" s="992" t="str">
        <f>BB97</f>
        <v>1Q17</v>
      </c>
      <c r="BC103" s="992" t="str">
        <f>BC97</f>
        <v>2Q17</v>
      </c>
      <c r="BD103" s="992" t="str">
        <f>BD97</f>
        <v>3Q17</v>
      </c>
      <c r="BE103" s="992" t="str">
        <f>BE97</f>
        <v>4Q17</v>
      </c>
    </row>
    <row r="104" spans="1:57">
      <c r="A104" s="993" t="s">
        <v>716</v>
      </c>
      <c r="C104" s="993">
        <v>3.7</v>
      </c>
      <c r="D104" s="993">
        <f>C106</f>
        <v>3.8</v>
      </c>
      <c r="E104" s="993">
        <f t="shared" ref="E104:Y104" si="537">D106</f>
        <v>3.9</v>
      </c>
      <c r="F104" s="993">
        <f t="shared" si="537"/>
        <v>3.9</v>
      </c>
      <c r="G104" s="993">
        <f t="shared" si="537"/>
        <v>3.9</v>
      </c>
      <c r="H104" s="993">
        <f t="shared" si="537"/>
        <v>4</v>
      </c>
      <c r="I104" s="993">
        <f t="shared" si="537"/>
        <v>4.0999999999999996</v>
      </c>
      <c r="J104" s="993">
        <f t="shared" si="537"/>
        <v>4.2</v>
      </c>
      <c r="K104" s="993">
        <f t="shared" si="537"/>
        <v>4.2</v>
      </c>
      <c r="L104" s="993">
        <f t="shared" si="537"/>
        <v>4.2</v>
      </c>
      <c r="M104" s="993">
        <f t="shared" si="537"/>
        <v>4.4000000000000004</v>
      </c>
      <c r="N104" s="993">
        <f t="shared" si="537"/>
        <v>4.5</v>
      </c>
      <c r="O104" s="993">
        <f t="shared" si="537"/>
        <v>4.5</v>
      </c>
      <c r="P104" s="993">
        <f t="shared" si="537"/>
        <v>4.5</v>
      </c>
      <c r="Q104" s="993">
        <f t="shared" si="537"/>
        <v>4.7</v>
      </c>
      <c r="R104" s="993">
        <f t="shared" si="537"/>
        <v>4.7</v>
      </c>
      <c r="S104" s="993">
        <f t="shared" si="537"/>
        <v>4.8</v>
      </c>
      <c r="T104" s="993">
        <f t="shared" si="537"/>
        <v>4.8</v>
      </c>
      <c r="U104" s="993">
        <f t="shared" si="537"/>
        <v>4.9000000000000004</v>
      </c>
      <c r="V104" s="993">
        <f t="shared" si="537"/>
        <v>4.9000000000000004</v>
      </c>
      <c r="W104" s="993">
        <f t="shared" si="537"/>
        <v>4.9000000000000004</v>
      </c>
      <c r="X104" s="993">
        <f t="shared" si="537"/>
        <v>4.9000000000000004</v>
      </c>
      <c r="Y104" s="993">
        <f t="shared" si="537"/>
        <v>4.9000000000000004</v>
      </c>
      <c r="Z104" s="1001">
        <v>4.9000000000000004</v>
      </c>
      <c r="AA104" s="1001">
        <f t="shared" ref="AA104:BE104" si="538">+Z106</f>
        <v>4.9000000000000004</v>
      </c>
      <c r="AB104" s="1001">
        <f t="shared" si="538"/>
        <v>4.9000000000000004</v>
      </c>
      <c r="AC104" s="1001">
        <f t="shared" si="538"/>
        <v>4.9000000000000004</v>
      </c>
      <c r="AD104" s="1001">
        <f t="shared" si="538"/>
        <v>4.9000000000000004</v>
      </c>
      <c r="AE104" s="1001">
        <f t="shared" si="538"/>
        <v>4.9000000000000004</v>
      </c>
      <c r="AF104" s="1001">
        <f t="shared" si="538"/>
        <v>4.9000000000000004</v>
      </c>
      <c r="AG104" s="1001">
        <f t="shared" si="538"/>
        <v>4.9000000000000004</v>
      </c>
      <c r="AH104" s="1001">
        <f t="shared" si="538"/>
        <v>4.9000000000000004</v>
      </c>
      <c r="AI104" s="1001">
        <f t="shared" si="538"/>
        <v>4.9000000000000004</v>
      </c>
      <c r="AJ104" s="1001">
        <f t="shared" si="538"/>
        <v>4.9000000000000004</v>
      </c>
      <c r="AK104" s="1001">
        <f t="shared" si="538"/>
        <v>4.9000000000000004</v>
      </c>
      <c r="AL104" s="1001">
        <f t="shared" si="538"/>
        <v>4.9000000000000004</v>
      </c>
      <c r="AM104" s="1001">
        <f t="shared" si="538"/>
        <v>4.9000000000000004</v>
      </c>
      <c r="AN104" s="1001">
        <f t="shared" si="538"/>
        <v>4.9000000000000004</v>
      </c>
      <c r="AO104" s="1001">
        <f t="shared" si="538"/>
        <v>5</v>
      </c>
      <c r="AP104" s="1001">
        <f t="shared" si="538"/>
        <v>5</v>
      </c>
      <c r="AQ104" s="1001">
        <f t="shared" si="538"/>
        <v>5</v>
      </c>
      <c r="AR104" s="1001">
        <f t="shared" si="538"/>
        <v>5</v>
      </c>
      <c r="AS104" s="1001">
        <f t="shared" si="538"/>
        <v>5.0999999999999996</v>
      </c>
      <c r="AT104" s="1001">
        <f t="shared" si="538"/>
        <v>5.0999999999999996</v>
      </c>
      <c r="AU104" s="1001">
        <f t="shared" si="538"/>
        <v>5.0999999999999996</v>
      </c>
      <c r="AV104" s="1001">
        <f t="shared" si="538"/>
        <v>5.0999999999999996</v>
      </c>
      <c r="AW104" s="1001">
        <f t="shared" si="538"/>
        <v>5.2</v>
      </c>
      <c r="AX104" s="1001">
        <f t="shared" si="538"/>
        <v>5.0999999999999996</v>
      </c>
      <c r="AY104" s="1001">
        <f t="shared" si="538"/>
        <v>5.0999999999999996</v>
      </c>
      <c r="AZ104" s="1001">
        <f t="shared" si="538"/>
        <v>5.0999999999999996</v>
      </c>
      <c r="BA104" s="1001">
        <f t="shared" si="538"/>
        <v>5.0999999999999996</v>
      </c>
      <c r="BB104" s="1441">
        <f t="shared" si="538"/>
        <v>5</v>
      </c>
      <c r="BC104" s="1441">
        <f t="shared" si="538"/>
        <v>5</v>
      </c>
      <c r="BD104" s="1441">
        <f t="shared" si="538"/>
        <v>5</v>
      </c>
      <c r="BE104" s="1441">
        <f t="shared" si="538"/>
        <v>5</v>
      </c>
    </row>
    <row r="105" spans="1:57">
      <c r="A105" s="995" t="s">
        <v>136</v>
      </c>
      <c r="B105" s="995"/>
      <c r="C105" s="1002">
        <f t="shared" ref="C105:D105" si="539">C106-C104</f>
        <v>9.9999999999999645E-2</v>
      </c>
      <c r="D105" s="1002">
        <f t="shared" si="539"/>
        <v>0.10000000000000009</v>
      </c>
      <c r="E105" s="1002">
        <f t="shared" ref="E105:Y105" si="540">E106-E104</f>
        <v>0</v>
      </c>
      <c r="F105" s="1002">
        <f t="shared" si="540"/>
        <v>0</v>
      </c>
      <c r="G105" s="1002">
        <f t="shared" si="540"/>
        <v>0.10000000000000009</v>
      </c>
      <c r="H105" s="1002">
        <f t="shared" si="540"/>
        <v>9.9999999999999645E-2</v>
      </c>
      <c r="I105" s="1002">
        <f t="shared" si="540"/>
        <v>0.10000000000000053</v>
      </c>
      <c r="J105" s="1002">
        <f t="shared" si="540"/>
        <v>0</v>
      </c>
      <c r="K105" s="1002">
        <f t="shared" si="540"/>
        <v>0</v>
      </c>
      <c r="L105" s="1002">
        <f t="shared" si="540"/>
        <v>0.20000000000000018</v>
      </c>
      <c r="M105" s="1002">
        <f t="shared" si="540"/>
        <v>9.9999999999999645E-2</v>
      </c>
      <c r="N105" s="1002">
        <f t="shared" si="540"/>
        <v>0</v>
      </c>
      <c r="O105" s="1002">
        <f t="shared" si="540"/>
        <v>0</v>
      </c>
      <c r="P105" s="1002">
        <f t="shared" si="540"/>
        <v>0.20000000000000018</v>
      </c>
      <c r="Q105" s="1002">
        <f t="shared" si="540"/>
        <v>0</v>
      </c>
      <c r="R105" s="1002">
        <f t="shared" si="540"/>
        <v>9.9999999999999645E-2</v>
      </c>
      <c r="S105" s="1002">
        <f t="shared" si="540"/>
        <v>0</v>
      </c>
      <c r="T105" s="1002">
        <f t="shared" si="540"/>
        <v>0.10000000000000053</v>
      </c>
      <c r="U105" s="1002">
        <f t="shared" si="540"/>
        <v>0</v>
      </c>
      <c r="V105" s="1002">
        <f t="shared" si="540"/>
        <v>0</v>
      </c>
      <c r="W105" s="1002">
        <f t="shared" si="540"/>
        <v>0</v>
      </c>
      <c r="X105" s="1002">
        <f t="shared" si="540"/>
        <v>0</v>
      </c>
      <c r="Y105" s="1002">
        <f t="shared" si="540"/>
        <v>0</v>
      </c>
      <c r="Z105" s="1002">
        <f t="shared" ref="Z105:AX105" si="541">Z106-Z104</f>
        <v>0</v>
      </c>
      <c r="AA105" s="1002">
        <f t="shared" si="541"/>
        <v>0</v>
      </c>
      <c r="AB105" s="1002">
        <f t="shared" si="541"/>
        <v>0</v>
      </c>
      <c r="AC105" s="1002">
        <f t="shared" si="541"/>
        <v>0</v>
      </c>
      <c r="AD105" s="1002">
        <f t="shared" si="541"/>
        <v>0</v>
      </c>
      <c r="AE105" s="1002">
        <f t="shared" si="541"/>
        <v>0</v>
      </c>
      <c r="AF105" s="1002">
        <f t="shared" si="541"/>
        <v>0</v>
      </c>
      <c r="AG105" s="1002">
        <f t="shared" si="541"/>
        <v>0</v>
      </c>
      <c r="AH105" s="1002">
        <f t="shared" si="541"/>
        <v>0</v>
      </c>
      <c r="AI105" s="1002">
        <f t="shared" si="541"/>
        <v>0</v>
      </c>
      <c r="AJ105" s="1002">
        <f t="shared" si="541"/>
        <v>0</v>
      </c>
      <c r="AK105" s="1002">
        <f t="shared" si="541"/>
        <v>0</v>
      </c>
      <c r="AL105" s="1002">
        <f t="shared" si="541"/>
        <v>0</v>
      </c>
      <c r="AM105" s="1002">
        <f t="shared" si="541"/>
        <v>0</v>
      </c>
      <c r="AN105" s="1002">
        <f t="shared" si="541"/>
        <v>9.9999999999999645E-2</v>
      </c>
      <c r="AO105" s="1002">
        <f t="shared" si="541"/>
        <v>0</v>
      </c>
      <c r="AP105" s="1002">
        <f t="shared" si="541"/>
        <v>0</v>
      </c>
      <c r="AQ105" s="1002">
        <f t="shared" si="541"/>
        <v>0</v>
      </c>
      <c r="AR105" s="1002">
        <f t="shared" si="541"/>
        <v>9.9999999999999645E-2</v>
      </c>
      <c r="AS105" s="1002">
        <f t="shared" si="541"/>
        <v>0</v>
      </c>
      <c r="AT105" s="1002">
        <f t="shared" si="541"/>
        <v>0</v>
      </c>
      <c r="AU105" s="1002">
        <f t="shared" si="541"/>
        <v>0</v>
      </c>
      <c r="AV105" s="1002">
        <f t="shared" si="541"/>
        <v>0.10000000000000053</v>
      </c>
      <c r="AW105" s="1002">
        <f t="shared" si="541"/>
        <v>-0.10000000000000053</v>
      </c>
      <c r="AX105" s="1002">
        <f t="shared" si="541"/>
        <v>0</v>
      </c>
      <c r="AY105" s="1002">
        <f t="shared" ref="AY105:AZ105" si="542">AY106-AY104</f>
        <v>0</v>
      </c>
      <c r="AZ105" s="1002">
        <f t="shared" si="542"/>
        <v>0</v>
      </c>
      <c r="BA105" s="1002">
        <f t="shared" ref="BA105:BB105" si="543">BA106-BA104</f>
        <v>-9.9999999999999645E-2</v>
      </c>
      <c r="BB105" s="1442">
        <f t="shared" si="543"/>
        <v>0</v>
      </c>
      <c r="BC105" s="1442">
        <f t="shared" ref="BC105:BD105" si="544">BC106-BC104</f>
        <v>0</v>
      </c>
      <c r="BD105" s="1442">
        <f t="shared" si="544"/>
        <v>0</v>
      </c>
      <c r="BE105" s="1442">
        <f t="shared" ref="BE105" si="545">BE106-BE104</f>
        <v>-9.9999999999999645E-2</v>
      </c>
    </row>
    <row r="106" spans="1:57">
      <c r="A106" s="997" t="s">
        <v>715</v>
      </c>
      <c r="B106" s="997"/>
      <c r="C106" s="997">
        <v>3.8</v>
      </c>
      <c r="D106" s="997">
        <v>3.9</v>
      </c>
      <c r="E106" s="997">
        <v>3.9</v>
      </c>
      <c r="F106" s="997">
        <v>3.9</v>
      </c>
      <c r="G106" s="997">
        <v>4</v>
      </c>
      <c r="H106" s="997">
        <v>4.0999999999999996</v>
      </c>
      <c r="I106" s="997">
        <v>4.2</v>
      </c>
      <c r="J106" s="997">
        <v>4.2</v>
      </c>
      <c r="K106" s="997">
        <v>4.2</v>
      </c>
      <c r="L106" s="997">
        <v>4.4000000000000004</v>
      </c>
      <c r="M106" s="997">
        <v>4.5</v>
      </c>
      <c r="N106" s="997">
        <v>4.5</v>
      </c>
      <c r="O106" s="997">
        <v>4.5</v>
      </c>
      <c r="P106" s="997">
        <v>4.7</v>
      </c>
      <c r="Q106" s="997">
        <v>4.7</v>
      </c>
      <c r="R106" s="997">
        <v>4.8</v>
      </c>
      <c r="S106" s="997">
        <v>4.8</v>
      </c>
      <c r="T106" s="997">
        <v>4.9000000000000004</v>
      </c>
      <c r="U106" s="997">
        <v>4.9000000000000004</v>
      </c>
      <c r="V106" s="997">
        <v>4.9000000000000004</v>
      </c>
      <c r="W106" s="997">
        <v>4.9000000000000004</v>
      </c>
      <c r="X106" s="997">
        <v>4.9000000000000004</v>
      </c>
      <c r="Y106" s="997">
        <v>4.9000000000000004</v>
      </c>
      <c r="Z106" s="1003">
        <v>4.9000000000000004</v>
      </c>
      <c r="AA106" s="1003">
        <v>4.9000000000000004</v>
      </c>
      <c r="AB106" s="1003">
        <v>4.9000000000000004</v>
      </c>
      <c r="AC106" s="1003">
        <v>4.9000000000000004</v>
      </c>
      <c r="AD106" s="1003">
        <v>4.9000000000000004</v>
      </c>
      <c r="AE106" s="1003">
        <v>4.9000000000000004</v>
      </c>
      <c r="AF106" s="1003">
        <v>4.9000000000000004</v>
      </c>
      <c r="AG106" s="1003">
        <v>4.9000000000000004</v>
      </c>
      <c r="AH106" s="1003">
        <v>4.9000000000000004</v>
      </c>
      <c r="AI106" s="1003">
        <v>4.9000000000000004</v>
      </c>
      <c r="AJ106" s="1003">
        <v>4.9000000000000004</v>
      </c>
      <c r="AK106" s="1003">
        <v>4.9000000000000004</v>
      </c>
      <c r="AL106" s="1003">
        <v>4.9000000000000004</v>
      </c>
      <c r="AM106" s="1003">
        <v>4.9000000000000004</v>
      </c>
      <c r="AN106" s="1003">
        <v>5</v>
      </c>
      <c r="AO106" s="1003">
        <v>5</v>
      </c>
      <c r="AP106" s="1003">
        <v>5</v>
      </c>
      <c r="AQ106" s="1003">
        <v>5</v>
      </c>
      <c r="AR106" s="1003">
        <v>5.0999999999999996</v>
      </c>
      <c r="AS106" s="1003">
        <v>5.0999999999999996</v>
      </c>
      <c r="AT106" s="1003">
        <v>5.0999999999999996</v>
      </c>
      <c r="AU106" s="1003">
        <v>5.0999999999999996</v>
      </c>
      <c r="AV106" s="1003">
        <v>5.2</v>
      </c>
      <c r="AW106" s="1003">
        <v>5.0999999999999996</v>
      </c>
      <c r="AX106" s="1003">
        <v>5.0999999999999996</v>
      </c>
      <c r="AY106" s="1003">
        <v>5.0999999999999996</v>
      </c>
      <c r="AZ106" s="1003">
        <v>5.0999999999999996</v>
      </c>
      <c r="BA106" s="1003">
        <v>5</v>
      </c>
      <c r="BB106" s="1440">
        <v>5</v>
      </c>
      <c r="BC106" s="1440">
        <v>5</v>
      </c>
      <c r="BD106" s="1440">
        <v>5</v>
      </c>
      <c r="BE106" s="1440">
        <v>4.9000000000000004</v>
      </c>
    </row>
    <row r="107" spans="1:57">
      <c r="Z107" s="1001"/>
      <c r="AA107" s="1001"/>
      <c r="AB107" s="1001"/>
      <c r="AC107" s="1001"/>
      <c r="AD107" s="1001"/>
      <c r="AE107" s="1001"/>
      <c r="AF107" s="1001"/>
      <c r="AG107" s="1001"/>
      <c r="AH107" s="1001"/>
      <c r="AI107" s="1001"/>
      <c r="AJ107" s="1001"/>
      <c r="AK107" s="1001"/>
      <c r="AL107" s="1001"/>
      <c r="AM107" s="1001"/>
      <c r="AN107" s="1001"/>
      <c r="AO107" s="1001"/>
      <c r="AP107" s="1001"/>
      <c r="AQ107" s="1001"/>
      <c r="AR107" s="1001"/>
      <c r="AS107" s="1001"/>
      <c r="AT107" s="1001"/>
      <c r="AU107" s="1001"/>
      <c r="AV107" s="1001"/>
      <c r="AW107" s="1001"/>
      <c r="AX107" s="1001"/>
      <c r="AY107" s="1001"/>
      <c r="AZ107" s="1001"/>
      <c r="BA107" s="1001"/>
      <c r="BB107" s="1001"/>
      <c r="BC107" s="1001"/>
      <c r="BD107" s="1001"/>
      <c r="BE107" s="1001"/>
    </row>
    <row r="108" spans="1:57">
      <c r="A108" s="991" t="s">
        <v>734</v>
      </c>
      <c r="B108" s="991" t="str">
        <f>B42</f>
        <v>1Q04</v>
      </c>
      <c r="C108" s="991" t="str">
        <f t="shared" ref="C108:Y108" si="546">C42</f>
        <v>2Q04</v>
      </c>
      <c r="D108" s="991" t="str">
        <f t="shared" si="546"/>
        <v>3Q04</v>
      </c>
      <c r="E108" s="991" t="str">
        <f t="shared" si="546"/>
        <v>4Q04</v>
      </c>
      <c r="F108" s="991" t="str">
        <f t="shared" si="546"/>
        <v>1Q05</v>
      </c>
      <c r="G108" s="991" t="str">
        <f t="shared" si="546"/>
        <v>2Q05</v>
      </c>
      <c r="H108" s="991" t="str">
        <f t="shared" si="546"/>
        <v>3Q05</v>
      </c>
      <c r="I108" s="991" t="str">
        <f t="shared" si="546"/>
        <v>4Q05</v>
      </c>
      <c r="J108" s="991" t="str">
        <f t="shared" si="546"/>
        <v>1Q06</v>
      </c>
      <c r="K108" s="991" t="str">
        <f t="shared" si="546"/>
        <v>2Q06</v>
      </c>
      <c r="L108" s="991" t="str">
        <f t="shared" si="546"/>
        <v>3Q06</v>
      </c>
      <c r="M108" s="991" t="str">
        <f t="shared" si="546"/>
        <v>4Q06</v>
      </c>
      <c r="N108" s="991" t="str">
        <f t="shared" si="546"/>
        <v>1Q07</v>
      </c>
      <c r="O108" s="991" t="str">
        <f t="shared" si="546"/>
        <v>2Q07</v>
      </c>
      <c r="P108" s="991" t="str">
        <f t="shared" si="546"/>
        <v>3Q07</v>
      </c>
      <c r="Q108" s="991" t="str">
        <f t="shared" si="546"/>
        <v>4Q07</v>
      </c>
      <c r="R108" s="991" t="str">
        <f t="shared" si="546"/>
        <v>1Q08</v>
      </c>
      <c r="S108" s="991" t="str">
        <f t="shared" si="546"/>
        <v>2Q08</v>
      </c>
      <c r="T108" s="991" t="str">
        <f t="shared" si="546"/>
        <v>3Q08</v>
      </c>
      <c r="U108" s="991" t="str">
        <f t="shared" si="546"/>
        <v>4Q08</v>
      </c>
      <c r="V108" s="991" t="str">
        <f t="shared" si="546"/>
        <v>1Q09</v>
      </c>
      <c r="W108" s="991" t="str">
        <f t="shared" si="546"/>
        <v>2Q09</v>
      </c>
      <c r="X108" s="991" t="str">
        <f t="shared" si="546"/>
        <v>3Q09</v>
      </c>
      <c r="Y108" s="991" t="str">
        <f t="shared" si="546"/>
        <v>4Q09</v>
      </c>
      <c r="Z108" s="991" t="s">
        <v>447</v>
      </c>
      <c r="AA108" s="991" t="s">
        <v>448</v>
      </c>
      <c r="AB108" s="991" t="s">
        <v>453</v>
      </c>
      <c r="AC108" s="991" t="s">
        <v>454</v>
      </c>
      <c r="AD108" s="991" t="s">
        <v>449</v>
      </c>
      <c r="AE108" s="991" t="s">
        <v>450</v>
      </c>
      <c r="AF108" s="991" t="s">
        <v>451</v>
      </c>
      <c r="AG108" s="991" t="s">
        <v>452</v>
      </c>
      <c r="AH108" s="991" t="s">
        <v>265</v>
      </c>
      <c r="AI108" s="991" t="s">
        <v>125</v>
      </c>
      <c r="AJ108" s="991" t="s">
        <v>266</v>
      </c>
      <c r="AK108" s="991" t="s">
        <v>267</v>
      </c>
      <c r="AL108" s="991" t="s">
        <v>724</v>
      </c>
      <c r="AM108" s="991" t="s">
        <v>723</v>
      </c>
      <c r="AN108" s="991" t="s">
        <v>722</v>
      </c>
      <c r="AO108" s="991" t="s">
        <v>721</v>
      </c>
      <c r="AP108" s="991" t="s">
        <v>671</v>
      </c>
      <c r="AQ108" s="991" t="s">
        <v>477</v>
      </c>
      <c r="AR108" s="991" t="s">
        <v>672</v>
      </c>
      <c r="AS108" s="991" t="s">
        <v>673</v>
      </c>
      <c r="AT108" s="991" t="s">
        <v>720</v>
      </c>
      <c r="AU108" s="991" t="s">
        <v>719</v>
      </c>
      <c r="AV108" s="991" t="s">
        <v>718</v>
      </c>
      <c r="AW108" s="991" t="s">
        <v>717</v>
      </c>
      <c r="AX108" s="991" t="str">
        <f>$AX$42</f>
        <v>1Q16</v>
      </c>
      <c r="AY108" s="991" t="str">
        <f>$AY$42</f>
        <v>2Q16</v>
      </c>
      <c r="AZ108" s="992" t="s">
        <v>704</v>
      </c>
      <c r="BA108" s="992" t="s">
        <v>705</v>
      </c>
      <c r="BB108" s="992" t="str">
        <f>BB92</f>
        <v>1Q17</v>
      </c>
      <c r="BC108" s="992" t="str">
        <f>BC92</f>
        <v>2Q17</v>
      </c>
      <c r="BD108" s="992" t="str">
        <f>BD92</f>
        <v>3Q17</v>
      </c>
      <c r="BE108" s="992" t="str">
        <f>BE92</f>
        <v>4Q17</v>
      </c>
    </row>
    <row r="109" spans="1:57">
      <c r="A109" s="993" t="s">
        <v>728</v>
      </c>
      <c r="B109" s="993">
        <v>0</v>
      </c>
      <c r="C109" s="993">
        <f>B112</f>
        <v>0</v>
      </c>
      <c r="D109" s="993">
        <f t="shared" ref="D109:Y109" si="547">C112</f>
        <v>0</v>
      </c>
      <c r="E109" s="993">
        <f t="shared" si="547"/>
        <v>0</v>
      </c>
      <c r="F109" s="993">
        <f t="shared" si="547"/>
        <v>0</v>
      </c>
      <c r="G109" s="993">
        <f t="shared" si="547"/>
        <v>0</v>
      </c>
      <c r="H109" s="993">
        <f t="shared" si="547"/>
        <v>0</v>
      </c>
      <c r="I109" s="993">
        <f t="shared" si="547"/>
        <v>4</v>
      </c>
      <c r="J109" s="993">
        <f t="shared" si="547"/>
        <v>4</v>
      </c>
      <c r="K109" s="993">
        <f t="shared" si="547"/>
        <v>8</v>
      </c>
      <c r="L109" s="993">
        <f t="shared" si="547"/>
        <v>8</v>
      </c>
      <c r="M109" s="993">
        <f t="shared" si="547"/>
        <v>13</v>
      </c>
      <c r="N109" s="993">
        <f t="shared" si="547"/>
        <v>13</v>
      </c>
      <c r="O109" s="993">
        <f t="shared" si="547"/>
        <v>18</v>
      </c>
      <c r="P109" s="993">
        <f t="shared" si="547"/>
        <v>19</v>
      </c>
      <c r="Q109" s="993">
        <f t="shared" si="547"/>
        <v>21</v>
      </c>
      <c r="R109" s="993">
        <f t="shared" si="547"/>
        <v>21</v>
      </c>
      <c r="S109" s="993">
        <f t="shared" si="547"/>
        <v>24</v>
      </c>
      <c r="T109" s="993">
        <f t="shared" si="547"/>
        <v>25</v>
      </c>
      <c r="U109" s="993">
        <f t="shared" si="547"/>
        <v>26</v>
      </c>
      <c r="V109" s="993">
        <f t="shared" si="547"/>
        <v>27</v>
      </c>
      <c r="W109" s="993">
        <f t="shared" si="547"/>
        <v>27</v>
      </c>
      <c r="X109" s="993">
        <f t="shared" si="547"/>
        <v>27</v>
      </c>
      <c r="Y109" s="993">
        <f t="shared" si="547"/>
        <v>27</v>
      </c>
      <c r="Z109" s="1001">
        <v>27</v>
      </c>
      <c r="AA109" s="1001">
        <f t="shared" ref="AA109:BE109" si="548">+Z112</f>
        <v>27</v>
      </c>
      <c r="AB109" s="1001">
        <f t="shared" si="548"/>
        <v>27</v>
      </c>
      <c r="AC109" s="1001">
        <f t="shared" si="548"/>
        <v>28</v>
      </c>
      <c r="AD109" s="1001">
        <f t="shared" si="548"/>
        <v>29</v>
      </c>
      <c r="AE109" s="1001">
        <f t="shared" si="548"/>
        <v>28</v>
      </c>
      <c r="AF109" s="1001">
        <f t="shared" si="548"/>
        <v>28</v>
      </c>
      <c r="AG109" s="1001">
        <f t="shared" si="548"/>
        <v>29</v>
      </c>
      <c r="AH109" s="1001">
        <f t="shared" si="548"/>
        <v>31</v>
      </c>
      <c r="AI109" s="1001">
        <f t="shared" si="548"/>
        <v>32</v>
      </c>
      <c r="AJ109" s="1001">
        <f t="shared" si="548"/>
        <v>33</v>
      </c>
      <c r="AK109" s="1001">
        <f t="shared" si="548"/>
        <v>37</v>
      </c>
      <c r="AL109" s="1001">
        <f t="shared" si="548"/>
        <v>38</v>
      </c>
      <c r="AM109" s="1001">
        <f t="shared" si="548"/>
        <v>41</v>
      </c>
      <c r="AN109" s="1001">
        <f t="shared" si="548"/>
        <v>42</v>
      </c>
      <c r="AO109" s="1001">
        <f t="shared" si="548"/>
        <v>43</v>
      </c>
      <c r="AP109" s="1001">
        <f t="shared" si="548"/>
        <v>43</v>
      </c>
      <c r="AQ109" s="1001">
        <f t="shared" si="548"/>
        <v>46</v>
      </c>
      <c r="AR109" s="1001">
        <f t="shared" si="548"/>
        <v>47</v>
      </c>
      <c r="AS109" s="1001">
        <f t="shared" si="548"/>
        <v>45</v>
      </c>
      <c r="AT109" s="1001">
        <f t="shared" si="548"/>
        <v>44</v>
      </c>
      <c r="AU109" s="1001">
        <f t="shared" si="548"/>
        <v>46</v>
      </c>
      <c r="AV109" s="1001">
        <f t="shared" si="548"/>
        <v>48</v>
      </c>
      <c r="AW109" s="1001">
        <f t="shared" si="548"/>
        <v>50</v>
      </c>
      <c r="AX109" s="1001">
        <f t="shared" si="548"/>
        <v>51</v>
      </c>
      <c r="AY109" s="1001">
        <f t="shared" si="548"/>
        <v>51</v>
      </c>
      <c r="AZ109" s="1001">
        <f t="shared" si="548"/>
        <v>50</v>
      </c>
      <c r="BA109" s="1001">
        <f t="shared" si="548"/>
        <v>49</v>
      </c>
      <c r="BB109" s="1001">
        <f t="shared" si="548"/>
        <v>48</v>
      </c>
      <c r="BC109" s="1001">
        <f t="shared" si="548"/>
        <v>49</v>
      </c>
      <c r="BD109" s="1001">
        <f t="shared" si="548"/>
        <v>48</v>
      </c>
      <c r="BE109" s="1001">
        <f t="shared" si="548"/>
        <v>48</v>
      </c>
    </row>
    <row r="110" spans="1:57">
      <c r="A110" s="993" t="s">
        <v>727</v>
      </c>
      <c r="B110" s="993">
        <v>0</v>
      </c>
      <c r="C110" s="993">
        <v>0</v>
      </c>
      <c r="D110" s="993">
        <v>0</v>
      </c>
      <c r="E110" s="993">
        <v>0</v>
      </c>
      <c r="F110" s="993">
        <v>0</v>
      </c>
      <c r="G110" s="993">
        <v>0</v>
      </c>
      <c r="H110" s="993">
        <v>4</v>
      </c>
      <c r="I110" s="993">
        <v>0</v>
      </c>
      <c r="J110" s="993">
        <v>4</v>
      </c>
      <c r="K110" s="993">
        <v>0</v>
      </c>
      <c r="L110" s="993">
        <v>5</v>
      </c>
      <c r="M110" s="993">
        <v>0</v>
      </c>
      <c r="N110" s="993">
        <v>5</v>
      </c>
      <c r="O110" s="993">
        <v>1</v>
      </c>
      <c r="P110" s="993">
        <v>2</v>
      </c>
      <c r="Q110" s="993">
        <v>0</v>
      </c>
      <c r="R110" s="993">
        <v>3</v>
      </c>
      <c r="S110" s="993">
        <v>1</v>
      </c>
      <c r="T110" s="993">
        <v>1</v>
      </c>
      <c r="U110" s="993">
        <v>1</v>
      </c>
      <c r="V110" s="993">
        <v>0</v>
      </c>
      <c r="W110" s="993">
        <v>0</v>
      </c>
      <c r="X110" s="993">
        <v>0</v>
      </c>
      <c r="Y110" s="993">
        <v>0</v>
      </c>
      <c r="Z110" s="1001">
        <v>0</v>
      </c>
      <c r="AA110" s="1001">
        <v>0</v>
      </c>
      <c r="AB110" s="1001">
        <v>1</v>
      </c>
      <c r="AC110" s="1001">
        <v>1</v>
      </c>
      <c r="AD110" s="1001">
        <v>0</v>
      </c>
      <c r="AE110" s="1001">
        <v>0</v>
      </c>
      <c r="AF110" s="1001">
        <v>1</v>
      </c>
      <c r="AG110" s="1001">
        <v>2</v>
      </c>
      <c r="AH110" s="1001">
        <v>3</v>
      </c>
      <c r="AI110" s="1001">
        <v>1</v>
      </c>
      <c r="AJ110" s="1001">
        <v>4</v>
      </c>
      <c r="AK110" s="1001">
        <v>1</v>
      </c>
      <c r="AL110" s="1001">
        <v>3</v>
      </c>
      <c r="AM110" s="1001">
        <v>1</v>
      </c>
      <c r="AN110" s="1001">
        <v>2</v>
      </c>
      <c r="AO110" s="1001">
        <v>0</v>
      </c>
      <c r="AP110" s="1001">
        <v>3</v>
      </c>
      <c r="AQ110" s="1001">
        <v>1</v>
      </c>
      <c r="AR110" s="1001">
        <v>0</v>
      </c>
      <c r="AS110" s="1001">
        <v>1</v>
      </c>
      <c r="AT110" s="1001">
        <v>2</v>
      </c>
      <c r="AU110" s="1001">
        <v>2</v>
      </c>
      <c r="AV110" s="1001">
        <v>2</v>
      </c>
      <c r="AW110" s="1001">
        <v>1</v>
      </c>
      <c r="AX110" s="1001">
        <v>0</v>
      </c>
      <c r="AY110" s="1001">
        <v>0</v>
      </c>
      <c r="AZ110" s="1001">
        <v>0</v>
      </c>
      <c r="BA110" s="1001">
        <v>0</v>
      </c>
      <c r="BB110" s="1001">
        <v>1</v>
      </c>
      <c r="BC110" s="1001">
        <v>0</v>
      </c>
      <c r="BD110" s="1001">
        <v>0</v>
      </c>
      <c r="BE110" s="1001">
        <v>0</v>
      </c>
    </row>
    <row r="111" spans="1:57">
      <c r="A111" s="995" t="s">
        <v>726</v>
      </c>
      <c r="B111" s="995">
        <v>0</v>
      </c>
      <c r="C111" s="995">
        <v>0</v>
      </c>
      <c r="D111" s="995">
        <v>0</v>
      </c>
      <c r="E111" s="995">
        <v>0</v>
      </c>
      <c r="F111" s="995">
        <v>0</v>
      </c>
      <c r="G111" s="995">
        <v>0</v>
      </c>
      <c r="H111" s="995">
        <v>0</v>
      </c>
      <c r="I111" s="995">
        <v>0</v>
      </c>
      <c r="J111" s="995">
        <v>0</v>
      </c>
      <c r="K111" s="995">
        <v>0</v>
      </c>
      <c r="L111" s="995">
        <v>0</v>
      </c>
      <c r="M111" s="995">
        <v>0</v>
      </c>
      <c r="N111" s="995">
        <v>0</v>
      </c>
      <c r="O111" s="995">
        <v>0</v>
      </c>
      <c r="P111" s="995">
        <v>0</v>
      </c>
      <c r="Q111" s="995">
        <v>0</v>
      </c>
      <c r="R111" s="995">
        <v>0</v>
      </c>
      <c r="S111" s="995">
        <v>0</v>
      </c>
      <c r="T111" s="995">
        <v>0</v>
      </c>
      <c r="U111" s="995">
        <v>0</v>
      </c>
      <c r="V111" s="995">
        <v>0</v>
      </c>
      <c r="W111" s="995">
        <v>0</v>
      </c>
      <c r="X111" s="995">
        <v>0</v>
      </c>
      <c r="Y111" s="995">
        <v>0</v>
      </c>
      <c r="Z111" s="1002">
        <v>0</v>
      </c>
      <c r="AA111" s="1002">
        <v>0</v>
      </c>
      <c r="AB111" s="1002">
        <v>0</v>
      </c>
      <c r="AC111" s="1002">
        <v>0</v>
      </c>
      <c r="AD111" s="1002">
        <v>1</v>
      </c>
      <c r="AE111" s="1002">
        <v>0</v>
      </c>
      <c r="AF111" s="1002">
        <v>0</v>
      </c>
      <c r="AG111" s="1002">
        <v>0</v>
      </c>
      <c r="AH111" s="1002">
        <v>2</v>
      </c>
      <c r="AI111" s="1002">
        <v>0</v>
      </c>
      <c r="AJ111" s="1002">
        <v>0</v>
      </c>
      <c r="AK111" s="1002">
        <v>0</v>
      </c>
      <c r="AL111" s="1002">
        <v>0</v>
      </c>
      <c r="AM111" s="1002">
        <v>0</v>
      </c>
      <c r="AN111" s="1002">
        <v>1</v>
      </c>
      <c r="AO111" s="1002">
        <v>0</v>
      </c>
      <c r="AP111" s="1002">
        <v>0</v>
      </c>
      <c r="AQ111" s="1002">
        <v>0</v>
      </c>
      <c r="AR111" s="1002">
        <v>2</v>
      </c>
      <c r="AS111" s="1002">
        <v>2</v>
      </c>
      <c r="AT111" s="1002">
        <v>0</v>
      </c>
      <c r="AU111" s="1002">
        <v>0</v>
      </c>
      <c r="AV111" s="1002">
        <v>0</v>
      </c>
      <c r="AW111" s="1002">
        <v>0</v>
      </c>
      <c r="AX111" s="1002">
        <v>0</v>
      </c>
      <c r="AY111" s="1002">
        <v>1</v>
      </c>
      <c r="AZ111" s="1002">
        <f>2-AY111-AX111</f>
        <v>1</v>
      </c>
      <c r="BA111" s="1002">
        <f>3-AZ111-AY111-AX111</f>
        <v>1</v>
      </c>
      <c r="BB111" s="1002">
        <f>3-BA111-AZ111-AY111</f>
        <v>0</v>
      </c>
      <c r="BC111" s="1002">
        <f>3-BB111-BA111-AZ111</f>
        <v>1</v>
      </c>
      <c r="BD111" s="1002">
        <v>0</v>
      </c>
      <c r="BE111" s="1002">
        <v>3</v>
      </c>
    </row>
    <row r="112" spans="1:57">
      <c r="A112" s="997" t="s">
        <v>725</v>
      </c>
      <c r="B112" s="997">
        <f>B109+B110-B111</f>
        <v>0</v>
      </c>
      <c r="C112" s="997">
        <f>C109+C110-C111</f>
        <v>0</v>
      </c>
      <c r="D112" s="997">
        <f t="shared" ref="D112:Y112" si="549">D109+D110-D111</f>
        <v>0</v>
      </c>
      <c r="E112" s="997">
        <f t="shared" si="549"/>
        <v>0</v>
      </c>
      <c r="F112" s="997">
        <f t="shared" si="549"/>
        <v>0</v>
      </c>
      <c r="G112" s="997">
        <f t="shared" si="549"/>
        <v>0</v>
      </c>
      <c r="H112" s="997">
        <f t="shared" si="549"/>
        <v>4</v>
      </c>
      <c r="I112" s="997">
        <f t="shared" si="549"/>
        <v>4</v>
      </c>
      <c r="J112" s="997">
        <f t="shared" si="549"/>
        <v>8</v>
      </c>
      <c r="K112" s="997">
        <f t="shared" si="549"/>
        <v>8</v>
      </c>
      <c r="L112" s="997">
        <f t="shared" si="549"/>
        <v>13</v>
      </c>
      <c r="M112" s="997">
        <f t="shared" si="549"/>
        <v>13</v>
      </c>
      <c r="N112" s="997">
        <f t="shared" si="549"/>
        <v>18</v>
      </c>
      <c r="O112" s="997">
        <f t="shared" si="549"/>
        <v>19</v>
      </c>
      <c r="P112" s="997">
        <f t="shared" si="549"/>
        <v>21</v>
      </c>
      <c r="Q112" s="997">
        <f t="shared" si="549"/>
        <v>21</v>
      </c>
      <c r="R112" s="997">
        <f t="shared" si="549"/>
        <v>24</v>
      </c>
      <c r="S112" s="997">
        <f t="shared" si="549"/>
        <v>25</v>
      </c>
      <c r="T112" s="997">
        <f t="shared" si="549"/>
        <v>26</v>
      </c>
      <c r="U112" s="997">
        <f t="shared" si="549"/>
        <v>27</v>
      </c>
      <c r="V112" s="997">
        <f t="shared" si="549"/>
        <v>27</v>
      </c>
      <c r="W112" s="997">
        <f t="shared" si="549"/>
        <v>27</v>
      </c>
      <c r="X112" s="997">
        <f t="shared" si="549"/>
        <v>27</v>
      </c>
      <c r="Y112" s="997">
        <f t="shared" si="549"/>
        <v>27</v>
      </c>
      <c r="Z112" s="1003">
        <f t="shared" ref="Z112:AX112" si="550">Z109+Z110-Z111</f>
        <v>27</v>
      </c>
      <c r="AA112" s="1003">
        <f t="shared" si="550"/>
        <v>27</v>
      </c>
      <c r="AB112" s="1003">
        <f t="shared" si="550"/>
        <v>28</v>
      </c>
      <c r="AC112" s="1003">
        <f t="shared" si="550"/>
        <v>29</v>
      </c>
      <c r="AD112" s="1003">
        <f t="shared" si="550"/>
        <v>28</v>
      </c>
      <c r="AE112" s="1003">
        <f t="shared" si="550"/>
        <v>28</v>
      </c>
      <c r="AF112" s="1003">
        <f t="shared" si="550"/>
        <v>29</v>
      </c>
      <c r="AG112" s="1003">
        <f t="shared" si="550"/>
        <v>31</v>
      </c>
      <c r="AH112" s="1003">
        <f t="shared" si="550"/>
        <v>32</v>
      </c>
      <c r="AI112" s="1003">
        <f t="shared" si="550"/>
        <v>33</v>
      </c>
      <c r="AJ112" s="1003">
        <f t="shared" si="550"/>
        <v>37</v>
      </c>
      <c r="AK112" s="1003">
        <f t="shared" si="550"/>
        <v>38</v>
      </c>
      <c r="AL112" s="1003">
        <f t="shared" si="550"/>
        <v>41</v>
      </c>
      <c r="AM112" s="1003">
        <f t="shared" si="550"/>
        <v>42</v>
      </c>
      <c r="AN112" s="1003">
        <f t="shared" si="550"/>
        <v>43</v>
      </c>
      <c r="AO112" s="1003">
        <f t="shared" si="550"/>
        <v>43</v>
      </c>
      <c r="AP112" s="1003">
        <f t="shared" si="550"/>
        <v>46</v>
      </c>
      <c r="AQ112" s="1003">
        <f t="shared" si="550"/>
        <v>47</v>
      </c>
      <c r="AR112" s="1003">
        <f t="shared" si="550"/>
        <v>45</v>
      </c>
      <c r="AS112" s="1003">
        <f t="shared" si="550"/>
        <v>44</v>
      </c>
      <c r="AT112" s="1003">
        <f t="shared" si="550"/>
        <v>46</v>
      </c>
      <c r="AU112" s="1003">
        <f t="shared" si="550"/>
        <v>48</v>
      </c>
      <c r="AV112" s="1003">
        <f t="shared" si="550"/>
        <v>50</v>
      </c>
      <c r="AW112" s="1003">
        <f t="shared" si="550"/>
        <v>51</v>
      </c>
      <c r="AX112" s="1003">
        <f t="shared" si="550"/>
        <v>51</v>
      </c>
      <c r="AY112" s="1003">
        <f t="shared" ref="AY112:BA112" si="551">AY109+AY110-AY111</f>
        <v>50</v>
      </c>
      <c r="AZ112" s="1003">
        <f t="shared" si="551"/>
        <v>49</v>
      </c>
      <c r="BA112" s="1003">
        <f t="shared" si="551"/>
        <v>48</v>
      </c>
      <c r="BB112" s="1003">
        <f t="shared" ref="BB112:BC112" si="552">BB109+BB110-BB111</f>
        <v>49</v>
      </c>
      <c r="BC112" s="1003">
        <f t="shared" si="552"/>
        <v>48</v>
      </c>
      <c r="BD112" s="1003">
        <f t="shared" ref="BD112:BE112" si="553">BD109+BD110-BD111</f>
        <v>48</v>
      </c>
      <c r="BE112" s="1003">
        <f t="shared" si="553"/>
        <v>45</v>
      </c>
    </row>
    <row r="114" spans="1:57">
      <c r="A114" s="991" t="s">
        <v>734</v>
      </c>
      <c r="B114" s="991" t="str">
        <f>B42</f>
        <v>1Q04</v>
      </c>
      <c r="C114" s="991" t="str">
        <f t="shared" ref="C114:Y114" si="554">C42</f>
        <v>2Q04</v>
      </c>
      <c r="D114" s="991" t="str">
        <f t="shared" si="554"/>
        <v>3Q04</v>
      </c>
      <c r="E114" s="991" t="str">
        <f t="shared" si="554"/>
        <v>4Q04</v>
      </c>
      <c r="F114" s="991" t="str">
        <f t="shared" si="554"/>
        <v>1Q05</v>
      </c>
      <c r="G114" s="991" t="str">
        <f t="shared" si="554"/>
        <v>2Q05</v>
      </c>
      <c r="H114" s="991" t="str">
        <f t="shared" si="554"/>
        <v>3Q05</v>
      </c>
      <c r="I114" s="991" t="str">
        <f t="shared" si="554"/>
        <v>4Q05</v>
      </c>
      <c r="J114" s="991" t="str">
        <f t="shared" si="554"/>
        <v>1Q06</v>
      </c>
      <c r="K114" s="991" t="str">
        <f t="shared" si="554"/>
        <v>2Q06</v>
      </c>
      <c r="L114" s="991" t="str">
        <f t="shared" si="554"/>
        <v>3Q06</v>
      </c>
      <c r="M114" s="991" t="str">
        <f t="shared" si="554"/>
        <v>4Q06</v>
      </c>
      <c r="N114" s="991" t="str">
        <f t="shared" si="554"/>
        <v>1Q07</v>
      </c>
      <c r="O114" s="991" t="str">
        <f t="shared" si="554"/>
        <v>2Q07</v>
      </c>
      <c r="P114" s="991" t="str">
        <f t="shared" si="554"/>
        <v>3Q07</v>
      </c>
      <c r="Q114" s="991" t="str">
        <f t="shared" si="554"/>
        <v>4Q07</v>
      </c>
      <c r="R114" s="991" t="str">
        <f t="shared" si="554"/>
        <v>1Q08</v>
      </c>
      <c r="S114" s="991" t="str">
        <f t="shared" si="554"/>
        <v>2Q08</v>
      </c>
      <c r="T114" s="991" t="str">
        <f t="shared" si="554"/>
        <v>3Q08</v>
      </c>
      <c r="U114" s="991" t="str">
        <f t="shared" si="554"/>
        <v>4Q08</v>
      </c>
      <c r="V114" s="991" t="str">
        <f t="shared" si="554"/>
        <v>1Q09</v>
      </c>
      <c r="W114" s="991" t="str">
        <f t="shared" si="554"/>
        <v>2Q09</v>
      </c>
      <c r="X114" s="991" t="str">
        <f t="shared" si="554"/>
        <v>3Q09</v>
      </c>
      <c r="Y114" s="991" t="str">
        <f t="shared" si="554"/>
        <v>4Q09</v>
      </c>
      <c r="Z114" s="991" t="s">
        <v>447</v>
      </c>
      <c r="AA114" s="991" t="s">
        <v>448</v>
      </c>
      <c r="AB114" s="991" t="s">
        <v>453</v>
      </c>
      <c r="AC114" s="991" t="s">
        <v>454</v>
      </c>
      <c r="AD114" s="991" t="s">
        <v>449</v>
      </c>
      <c r="AE114" s="991" t="s">
        <v>450</v>
      </c>
      <c r="AF114" s="991" t="s">
        <v>451</v>
      </c>
      <c r="AG114" s="991" t="s">
        <v>452</v>
      </c>
      <c r="AH114" s="991" t="s">
        <v>265</v>
      </c>
      <c r="AI114" s="991" t="s">
        <v>125</v>
      </c>
      <c r="AJ114" s="991" t="s">
        <v>266</v>
      </c>
      <c r="AK114" s="991" t="s">
        <v>267</v>
      </c>
      <c r="AL114" s="991" t="s">
        <v>724</v>
      </c>
      <c r="AM114" s="991" t="s">
        <v>723</v>
      </c>
      <c r="AN114" s="991" t="s">
        <v>722</v>
      </c>
      <c r="AO114" s="991" t="s">
        <v>721</v>
      </c>
      <c r="AP114" s="991" t="s">
        <v>671</v>
      </c>
      <c r="AQ114" s="991" t="s">
        <v>477</v>
      </c>
      <c r="AR114" s="991" t="s">
        <v>672</v>
      </c>
      <c r="AS114" s="991" t="s">
        <v>673</v>
      </c>
      <c r="AT114" s="991" t="s">
        <v>720</v>
      </c>
      <c r="AU114" s="991" t="s">
        <v>719</v>
      </c>
      <c r="AV114" s="991" t="s">
        <v>718</v>
      </c>
      <c r="AW114" s="991" t="s">
        <v>717</v>
      </c>
      <c r="AX114" s="991" t="str">
        <f>$AX$42</f>
        <v>1Q16</v>
      </c>
      <c r="AY114" s="991" t="str">
        <f>$AY$42</f>
        <v>2Q16</v>
      </c>
      <c r="AZ114" s="992" t="s">
        <v>704</v>
      </c>
      <c r="BA114" s="992" t="s">
        <v>705</v>
      </c>
      <c r="BB114" s="992" t="str">
        <f>BB108</f>
        <v>1Q17</v>
      </c>
      <c r="BC114" s="992" t="str">
        <f>BC108</f>
        <v>2Q17</v>
      </c>
      <c r="BD114" s="992" t="str">
        <f>BD108</f>
        <v>3Q17</v>
      </c>
      <c r="BE114" s="992" t="str">
        <f>BE108</f>
        <v>4Q17</v>
      </c>
    </row>
    <row r="115" spans="1:57">
      <c r="A115" s="993" t="s">
        <v>716</v>
      </c>
      <c r="B115" s="993">
        <v>0</v>
      </c>
      <c r="C115" s="993">
        <v>0</v>
      </c>
      <c r="D115" s="993">
        <f>C117</f>
        <v>0</v>
      </c>
      <c r="E115" s="993">
        <f t="shared" ref="E115:Y115" si="555">D117</f>
        <v>0</v>
      </c>
      <c r="F115" s="993">
        <f t="shared" si="555"/>
        <v>0</v>
      </c>
      <c r="G115" s="993">
        <f t="shared" si="555"/>
        <v>0</v>
      </c>
      <c r="H115" s="993">
        <f t="shared" si="555"/>
        <v>0</v>
      </c>
      <c r="I115" s="993">
        <f t="shared" si="555"/>
        <v>0</v>
      </c>
      <c r="J115" s="993">
        <f t="shared" si="555"/>
        <v>0</v>
      </c>
      <c r="K115" s="993">
        <f t="shared" si="555"/>
        <v>0</v>
      </c>
      <c r="L115" s="993">
        <f t="shared" si="555"/>
        <v>0.1</v>
      </c>
      <c r="M115" s="993">
        <f t="shared" si="555"/>
        <v>0.1</v>
      </c>
      <c r="N115" s="993">
        <f t="shared" si="555"/>
        <v>0.1</v>
      </c>
      <c r="O115" s="993">
        <f t="shared" si="555"/>
        <v>0.1</v>
      </c>
      <c r="P115" s="993">
        <f t="shared" si="555"/>
        <v>0.1</v>
      </c>
      <c r="Q115" s="993">
        <f t="shared" si="555"/>
        <v>0.1</v>
      </c>
      <c r="R115" s="993">
        <f t="shared" si="555"/>
        <v>0.1</v>
      </c>
      <c r="S115" s="993">
        <f t="shared" si="555"/>
        <v>0.1</v>
      </c>
      <c r="T115" s="993">
        <f t="shared" si="555"/>
        <v>0.1</v>
      </c>
      <c r="U115" s="993">
        <f t="shared" si="555"/>
        <v>0.1</v>
      </c>
      <c r="V115" s="993">
        <f t="shared" si="555"/>
        <v>0.2</v>
      </c>
      <c r="W115" s="993">
        <f t="shared" si="555"/>
        <v>0.1</v>
      </c>
      <c r="X115" s="993">
        <f t="shared" si="555"/>
        <v>0.2</v>
      </c>
      <c r="Y115" s="993">
        <f t="shared" si="555"/>
        <v>0.2</v>
      </c>
      <c r="Z115" s="1001">
        <v>0.2</v>
      </c>
      <c r="AA115" s="1001">
        <f t="shared" ref="AA115:BE115" si="556">+Z117</f>
        <v>0.1</v>
      </c>
      <c r="AB115" s="1001">
        <f t="shared" si="556"/>
        <v>0.2</v>
      </c>
      <c r="AC115" s="1001">
        <f t="shared" si="556"/>
        <v>0.2</v>
      </c>
      <c r="AD115" s="1001">
        <f t="shared" si="556"/>
        <v>0.2</v>
      </c>
      <c r="AE115" s="1001">
        <f t="shared" si="556"/>
        <v>0.2</v>
      </c>
      <c r="AF115" s="1001">
        <f t="shared" si="556"/>
        <v>0.2</v>
      </c>
      <c r="AG115" s="1001">
        <f t="shared" si="556"/>
        <v>0.2</v>
      </c>
      <c r="AH115" s="1001">
        <f t="shared" si="556"/>
        <v>0.2</v>
      </c>
      <c r="AI115" s="1001">
        <f t="shared" si="556"/>
        <v>0.2</v>
      </c>
      <c r="AJ115" s="1001">
        <f t="shared" si="556"/>
        <v>0.2</v>
      </c>
      <c r="AK115" s="1001">
        <f t="shared" si="556"/>
        <v>0.2</v>
      </c>
      <c r="AL115" s="1001">
        <f t="shared" si="556"/>
        <v>0.2</v>
      </c>
      <c r="AM115" s="1001">
        <f t="shared" si="556"/>
        <v>0.2</v>
      </c>
      <c r="AN115" s="1001">
        <f t="shared" si="556"/>
        <v>0.2</v>
      </c>
      <c r="AO115" s="1001">
        <f t="shared" si="556"/>
        <v>0.2</v>
      </c>
      <c r="AP115" s="1001">
        <f t="shared" si="556"/>
        <v>0.2</v>
      </c>
      <c r="AQ115" s="1001">
        <f t="shared" si="556"/>
        <v>0.2</v>
      </c>
      <c r="AR115" s="1001">
        <f t="shared" si="556"/>
        <v>0.2</v>
      </c>
      <c r="AS115" s="1001">
        <f t="shared" si="556"/>
        <v>0.2</v>
      </c>
      <c r="AT115" s="1001">
        <f t="shared" si="556"/>
        <v>0.2</v>
      </c>
      <c r="AU115" s="1001">
        <f t="shared" si="556"/>
        <v>0.2</v>
      </c>
      <c r="AV115" s="1001">
        <f t="shared" si="556"/>
        <v>0.2</v>
      </c>
      <c r="AW115" s="1001">
        <f t="shared" si="556"/>
        <v>0.2</v>
      </c>
      <c r="AX115" s="1001">
        <f t="shared" si="556"/>
        <v>0.2</v>
      </c>
      <c r="AY115" s="1001">
        <f t="shared" si="556"/>
        <v>0.2</v>
      </c>
      <c r="AZ115" s="1001">
        <f t="shared" si="556"/>
        <v>0.2</v>
      </c>
      <c r="BA115" s="1001">
        <f t="shared" si="556"/>
        <v>0.2</v>
      </c>
      <c r="BB115" s="1001">
        <f t="shared" si="556"/>
        <v>0.2</v>
      </c>
      <c r="BC115" s="1001">
        <f t="shared" si="556"/>
        <v>0.2</v>
      </c>
      <c r="BD115" s="1001">
        <f t="shared" si="556"/>
        <v>0.2</v>
      </c>
      <c r="BE115" s="1001">
        <f t="shared" si="556"/>
        <v>0.2</v>
      </c>
    </row>
    <row r="116" spans="1:57">
      <c r="A116" s="995" t="s">
        <v>136</v>
      </c>
      <c r="B116" s="995">
        <v>0</v>
      </c>
      <c r="C116" s="1002">
        <f t="shared" ref="C116:D116" si="557">C117-C115</f>
        <v>0</v>
      </c>
      <c r="D116" s="1002">
        <f t="shared" si="557"/>
        <v>0</v>
      </c>
      <c r="E116" s="1002">
        <f t="shared" ref="E116:Y116" si="558">E117-E115</f>
        <v>0</v>
      </c>
      <c r="F116" s="1002">
        <f t="shared" si="558"/>
        <v>0</v>
      </c>
      <c r="G116" s="1002">
        <f t="shared" si="558"/>
        <v>0</v>
      </c>
      <c r="H116" s="1002">
        <f t="shared" si="558"/>
        <v>0</v>
      </c>
      <c r="I116" s="1002">
        <f t="shared" si="558"/>
        <v>0</v>
      </c>
      <c r="J116" s="1002">
        <f t="shared" si="558"/>
        <v>0</v>
      </c>
      <c r="K116" s="1002">
        <f t="shared" si="558"/>
        <v>0.1</v>
      </c>
      <c r="L116" s="1002">
        <f t="shared" si="558"/>
        <v>0</v>
      </c>
      <c r="M116" s="1002">
        <f t="shared" si="558"/>
        <v>0</v>
      </c>
      <c r="N116" s="1002">
        <f t="shared" si="558"/>
        <v>0</v>
      </c>
      <c r="O116" s="1002">
        <f t="shared" si="558"/>
        <v>0</v>
      </c>
      <c r="P116" s="1002">
        <f t="shared" si="558"/>
        <v>0</v>
      </c>
      <c r="Q116" s="1002">
        <f t="shared" si="558"/>
        <v>0</v>
      </c>
      <c r="R116" s="1002">
        <f t="shared" si="558"/>
        <v>0</v>
      </c>
      <c r="S116" s="1002">
        <f t="shared" si="558"/>
        <v>0</v>
      </c>
      <c r="T116" s="1002">
        <f t="shared" si="558"/>
        <v>0</v>
      </c>
      <c r="U116" s="1002">
        <f t="shared" si="558"/>
        <v>0.1</v>
      </c>
      <c r="V116" s="1002">
        <f t="shared" si="558"/>
        <v>-0.1</v>
      </c>
      <c r="W116" s="1002">
        <f t="shared" si="558"/>
        <v>0.1</v>
      </c>
      <c r="X116" s="1002">
        <f t="shared" si="558"/>
        <v>0</v>
      </c>
      <c r="Y116" s="1002">
        <f t="shared" si="558"/>
        <v>0</v>
      </c>
      <c r="Z116" s="1002">
        <f t="shared" ref="Z116:AX116" si="559">Z117-Z115</f>
        <v>-0.1</v>
      </c>
      <c r="AA116" s="1002">
        <f t="shared" si="559"/>
        <v>0.1</v>
      </c>
      <c r="AB116" s="1002">
        <f t="shared" si="559"/>
        <v>0</v>
      </c>
      <c r="AC116" s="1002">
        <f t="shared" si="559"/>
        <v>0</v>
      </c>
      <c r="AD116" s="1002">
        <f t="shared" si="559"/>
        <v>0</v>
      </c>
      <c r="AE116" s="1002">
        <f t="shared" si="559"/>
        <v>0</v>
      </c>
      <c r="AF116" s="1002">
        <f t="shared" si="559"/>
        <v>0</v>
      </c>
      <c r="AG116" s="1002">
        <f t="shared" si="559"/>
        <v>0</v>
      </c>
      <c r="AH116" s="1002">
        <f t="shared" si="559"/>
        <v>0</v>
      </c>
      <c r="AI116" s="1002">
        <f t="shared" si="559"/>
        <v>0</v>
      </c>
      <c r="AJ116" s="1002">
        <f t="shared" si="559"/>
        <v>0</v>
      </c>
      <c r="AK116" s="1002">
        <f t="shared" si="559"/>
        <v>0</v>
      </c>
      <c r="AL116" s="1002">
        <f t="shared" si="559"/>
        <v>0</v>
      </c>
      <c r="AM116" s="1002">
        <f t="shared" si="559"/>
        <v>0</v>
      </c>
      <c r="AN116" s="1002">
        <f t="shared" si="559"/>
        <v>0</v>
      </c>
      <c r="AO116" s="1002">
        <f t="shared" si="559"/>
        <v>0</v>
      </c>
      <c r="AP116" s="1002">
        <f t="shared" si="559"/>
        <v>0</v>
      </c>
      <c r="AQ116" s="1002">
        <f t="shared" si="559"/>
        <v>0</v>
      </c>
      <c r="AR116" s="1002">
        <f t="shared" si="559"/>
        <v>0</v>
      </c>
      <c r="AS116" s="1002">
        <f t="shared" si="559"/>
        <v>0</v>
      </c>
      <c r="AT116" s="1002">
        <f t="shared" si="559"/>
        <v>0</v>
      </c>
      <c r="AU116" s="1002">
        <f t="shared" si="559"/>
        <v>0</v>
      </c>
      <c r="AV116" s="1002">
        <f t="shared" si="559"/>
        <v>0</v>
      </c>
      <c r="AW116" s="1002">
        <f t="shared" si="559"/>
        <v>0</v>
      </c>
      <c r="AX116" s="1002">
        <f t="shared" si="559"/>
        <v>0</v>
      </c>
      <c r="AY116" s="1002">
        <f t="shared" ref="AY116:AZ116" si="560">AY117-AY115</f>
        <v>0</v>
      </c>
      <c r="AZ116" s="1002">
        <f t="shared" si="560"/>
        <v>0</v>
      </c>
      <c r="BA116" s="1002">
        <f t="shared" ref="BA116:BB116" si="561">BA117-BA115</f>
        <v>0</v>
      </c>
      <c r="BB116" s="1002">
        <f t="shared" si="561"/>
        <v>0</v>
      </c>
      <c r="BC116" s="1002">
        <f t="shared" ref="BC116:BD116" si="562">BC117-BC115</f>
        <v>0</v>
      </c>
      <c r="BD116" s="1002">
        <f t="shared" si="562"/>
        <v>0</v>
      </c>
      <c r="BE116" s="1002">
        <f t="shared" ref="BE116" si="563">BE117-BE115</f>
        <v>0</v>
      </c>
    </row>
    <row r="117" spans="1:57">
      <c r="A117" s="997" t="s">
        <v>715</v>
      </c>
      <c r="B117" s="997"/>
      <c r="C117" s="997">
        <v>0</v>
      </c>
      <c r="D117" s="997">
        <v>0</v>
      </c>
      <c r="E117" s="997">
        <v>0</v>
      </c>
      <c r="F117" s="997">
        <v>0</v>
      </c>
      <c r="G117" s="997">
        <v>0</v>
      </c>
      <c r="H117" s="997">
        <v>0</v>
      </c>
      <c r="I117" s="997">
        <v>0</v>
      </c>
      <c r="J117" s="997">
        <v>0</v>
      </c>
      <c r="K117" s="997">
        <v>0.1</v>
      </c>
      <c r="L117" s="997">
        <v>0.1</v>
      </c>
      <c r="M117" s="997">
        <v>0.1</v>
      </c>
      <c r="N117" s="997">
        <v>0.1</v>
      </c>
      <c r="O117" s="997">
        <v>0.1</v>
      </c>
      <c r="P117" s="997">
        <v>0.1</v>
      </c>
      <c r="Q117" s="997">
        <v>0.1</v>
      </c>
      <c r="R117" s="997">
        <v>0.1</v>
      </c>
      <c r="S117" s="997">
        <v>0.1</v>
      </c>
      <c r="T117" s="997">
        <v>0.1</v>
      </c>
      <c r="U117" s="997">
        <v>0.2</v>
      </c>
      <c r="V117" s="997">
        <v>0.1</v>
      </c>
      <c r="W117" s="997">
        <v>0.2</v>
      </c>
      <c r="X117" s="997">
        <v>0.2</v>
      </c>
      <c r="Y117" s="997">
        <v>0.2</v>
      </c>
      <c r="Z117" s="1003">
        <v>0.1</v>
      </c>
      <c r="AA117" s="1003">
        <v>0.2</v>
      </c>
      <c r="AB117" s="1003">
        <v>0.2</v>
      </c>
      <c r="AC117" s="1003">
        <v>0.2</v>
      </c>
      <c r="AD117" s="1003">
        <v>0.2</v>
      </c>
      <c r="AE117" s="1003">
        <v>0.2</v>
      </c>
      <c r="AF117" s="1003">
        <v>0.2</v>
      </c>
      <c r="AG117" s="1003">
        <v>0.2</v>
      </c>
      <c r="AH117" s="1003">
        <v>0.2</v>
      </c>
      <c r="AI117" s="1003">
        <v>0.2</v>
      </c>
      <c r="AJ117" s="1003">
        <v>0.2</v>
      </c>
      <c r="AK117" s="1003">
        <v>0.2</v>
      </c>
      <c r="AL117" s="1003">
        <v>0.2</v>
      </c>
      <c r="AM117" s="1003">
        <v>0.2</v>
      </c>
      <c r="AN117" s="1003">
        <v>0.2</v>
      </c>
      <c r="AO117" s="1003">
        <v>0.2</v>
      </c>
      <c r="AP117" s="1003">
        <v>0.2</v>
      </c>
      <c r="AQ117" s="1003">
        <v>0.2</v>
      </c>
      <c r="AR117" s="1003">
        <v>0.2</v>
      </c>
      <c r="AS117" s="1003">
        <v>0.2</v>
      </c>
      <c r="AT117" s="1003">
        <v>0.2</v>
      </c>
      <c r="AU117" s="1003">
        <v>0.2</v>
      </c>
      <c r="AV117" s="1003">
        <v>0.2</v>
      </c>
      <c r="AW117" s="1003">
        <v>0.2</v>
      </c>
      <c r="AX117" s="1003">
        <v>0.2</v>
      </c>
      <c r="AY117" s="1003">
        <v>0.2</v>
      </c>
      <c r="AZ117" s="1003">
        <v>0.2</v>
      </c>
      <c r="BA117" s="1003">
        <v>0.2</v>
      </c>
      <c r="BB117" s="1003">
        <v>0.2</v>
      </c>
      <c r="BC117" s="1003">
        <v>0.2</v>
      </c>
      <c r="BD117" s="1003">
        <v>0.2</v>
      </c>
      <c r="BE117" s="1003">
        <v>0.2</v>
      </c>
    </row>
    <row r="118" spans="1:57">
      <c r="Z118" s="1001"/>
      <c r="AA118" s="1001"/>
      <c r="AB118" s="1001"/>
      <c r="AC118" s="1001"/>
      <c r="AD118" s="1001"/>
      <c r="AE118" s="1001"/>
      <c r="AF118" s="1001"/>
      <c r="AG118" s="1001"/>
      <c r="AH118" s="1001"/>
      <c r="AI118" s="1001"/>
      <c r="AJ118" s="1001"/>
      <c r="AK118" s="1001"/>
      <c r="AL118" s="1001"/>
      <c r="AM118" s="1001"/>
      <c r="AN118" s="1001"/>
      <c r="AO118" s="1001"/>
      <c r="AP118" s="1001"/>
      <c r="AQ118" s="1001"/>
      <c r="AR118" s="1001"/>
      <c r="AS118" s="1001"/>
      <c r="AT118" s="1001"/>
      <c r="AU118" s="1001"/>
      <c r="AV118" s="1001"/>
      <c r="AW118" s="1001"/>
      <c r="AX118" s="1001"/>
      <c r="AY118" s="1001"/>
      <c r="AZ118" s="1001"/>
      <c r="BA118" s="1001"/>
      <c r="BB118" s="1001"/>
      <c r="BC118" s="1001"/>
      <c r="BD118" s="1001"/>
      <c r="BE118" s="1001"/>
    </row>
    <row r="119" spans="1:57">
      <c r="A119" s="991" t="s">
        <v>733</v>
      </c>
      <c r="B119" s="991" t="str">
        <f>B42</f>
        <v>1Q04</v>
      </c>
      <c r="C119" s="991" t="str">
        <f t="shared" ref="C119:Y119" si="564">C42</f>
        <v>2Q04</v>
      </c>
      <c r="D119" s="991" t="str">
        <f t="shared" si="564"/>
        <v>3Q04</v>
      </c>
      <c r="E119" s="991" t="str">
        <f t="shared" si="564"/>
        <v>4Q04</v>
      </c>
      <c r="F119" s="991" t="str">
        <f t="shared" si="564"/>
        <v>1Q05</v>
      </c>
      <c r="G119" s="991" t="str">
        <f t="shared" si="564"/>
        <v>2Q05</v>
      </c>
      <c r="H119" s="991" t="str">
        <f t="shared" si="564"/>
        <v>3Q05</v>
      </c>
      <c r="I119" s="991" t="str">
        <f t="shared" si="564"/>
        <v>4Q05</v>
      </c>
      <c r="J119" s="991" t="str">
        <f t="shared" si="564"/>
        <v>1Q06</v>
      </c>
      <c r="K119" s="991" t="str">
        <f t="shared" si="564"/>
        <v>2Q06</v>
      </c>
      <c r="L119" s="991" t="str">
        <f t="shared" si="564"/>
        <v>3Q06</v>
      </c>
      <c r="M119" s="991" t="str">
        <f t="shared" si="564"/>
        <v>4Q06</v>
      </c>
      <c r="N119" s="991" t="str">
        <f t="shared" si="564"/>
        <v>1Q07</v>
      </c>
      <c r="O119" s="991" t="str">
        <f t="shared" si="564"/>
        <v>2Q07</v>
      </c>
      <c r="P119" s="991" t="str">
        <f t="shared" si="564"/>
        <v>3Q07</v>
      </c>
      <c r="Q119" s="991" t="str">
        <f t="shared" si="564"/>
        <v>4Q07</v>
      </c>
      <c r="R119" s="991" t="str">
        <f t="shared" si="564"/>
        <v>1Q08</v>
      </c>
      <c r="S119" s="991" t="str">
        <f t="shared" si="564"/>
        <v>2Q08</v>
      </c>
      <c r="T119" s="991" t="str">
        <f t="shared" si="564"/>
        <v>3Q08</v>
      </c>
      <c r="U119" s="991" t="str">
        <f t="shared" si="564"/>
        <v>4Q08</v>
      </c>
      <c r="V119" s="991" t="str">
        <f t="shared" si="564"/>
        <v>1Q09</v>
      </c>
      <c r="W119" s="991" t="str">
        <f t="shared" si="564"/>
        <v>2Q09</v>
      </c>
      <c r="X119" s="991" t="str">
        <f t="shared" si="564"/>
        <v>3Q09</v>
      </c>
      <c r="Y119" s="991" t="str">
        <f t="shared" si="564"/>
        <v>4Q09</v>
      </c>
      <c r="Z119" s="991" t="s">
        <v>447</v>
      </c>
      <c r="AA119" s="991" t="s">
        <v>448</v>
      </c>
      <c r="AB119" s="991" t="s">
        <v>453</v>
      </c>
      <c r="AC119" s="991" t="s">
        <v>454</v>
      </c>
      <c r="AD119" s="991" t="s">
        <v>449</v>
      </c>
      <c r="AE119" s="991" t="s">
        <v>450</v>
      </c>
      <c r="AF119" s="991" t="s">
        <v>451</v>
      </c>
      <c r="AG119" s="991" t="s">
        <v>452</v>
      </c>
      <c r="AH119" s="991" t="s">
        <v>265</v>
      </c>
      <c r="AI119" s="991" t="s">
        <v>125</v>
      </c>
      <c r="AJ119" s="991" t="s">
        <v>266</v>
      </c>
      <c r="AK119" s="991" t="s">
        <v>267</v>
      </c>
      <c r="AL119" s="991" t="s">
        <v>724</v>
      </c>
      <c r="AM119" s="991" t="s">
        <v>723</v>
      </c>
      <c r="AN119" s="991" t="s">
        <v>722</v>
      </c>
      <c r="AO119" s="991" t="s">
        <v>721</v>
      </c>
      <c r="AP119" s="991" t="s">
        <v>671</v>
      </c>
      <c r="AQ119" s="991" t="s">
        <v>477</v>
      </c>
      <c r="AR119" s="991" t="s">
        <v>672</v>
      </c>
      <c r="AS119" s="991" t="s">
        <v>673</v>
      </c>
      <c r="AT119" s="991" t="s">
        <v>720</v>
      </c>
      <c r="AU119" s="991" t="s">
        <v>719</v>
      </c>
      <c r="AV119" s="991" t="s">
        <v>718</v>
      </c>
      <c r="AW119" s="991" t="s">
        <v>717</v>
      </c>
      <c r="AX119" s="991" t="str">
        <f>$AX$42</f>
        <v>1Q16</v>
      </c>
      <c r="AY119" s="991" t="str">
        <f>$AY$42</f>
        <v>2Q16</v>
      </c>
      <c r="AZ119" s="992" t="s">
        <v>704</v>
      </c>
      <c r="BA119" s="992" t="s">
        <v>705</v>
      </c>
      <c r="BB119" s="992" t="str">
        <f>BB108</f>
        <v>1Q17</v>
      </c>
      <c r="BC119" s="992" t="str">
        <f>BC108</f>
        <v>2Q17</v>
      </c>
      <c r="BD119" s="992" t="str">
        <f>BD108</f>
        <v>3Q17</v>
      </c>
      <c r="BE119" s="992" t="str">
        <f>BE108</f>
        <v>4Q17</v>
      </c>
    </row>
    <row r="120" spans="1:57">
      <c r="A120" s="993" t="s">
        <v>728</v>
      </c>
      <c r="B120" s="993">
        <v>0</v>
      </c>
      <c r="C120" s="993">
        <f>B123</f>
        <v>0</v>
      </c>
      <c r="D120" s="993">
        <f t="shared" ref="D120:Y120" si="565">C123</f>
        <v>0</v>
      </c>
      <c r="E120" s="993">
        <f t="shared" si="565"/>
        <v>0</v>
      </c>
      <c r="F120" s="993">
        <f t="shared" si="565"/>
        <v>0</v>
      </c>
      <c r="G120" s="993">
        <f t="shared" si="565"/>
        <v>0</v>
      </c>
      <c r="H120" s="993">
        <f t="shared" si="565"/>
        <v>0</v>
      </c>
      <c r="I120" s="993">
        <f t="shared" si="565"/>
        <v>0</v>
      </c>
      <c r="J120" s="993">
        <f t="shared" si="565"/>
        <v>0</v>
      </c>
      <c r="K120" s="993">
        <f t="shared" si="565"/>
        <v>0</v>
      </c>
      <c r="L120" s="993">
        <f t="shared" si="565"/>
        <v>0</v>
      </c>
      <c r="M120" s="993">
        <f t="shared" si="565"/>
        <v>0</v>
      </c>
      <c r="N120" s="993">
        <f t="shared" si="565"/>
        <v>0</v>
      </c>
      <c r="O120" s="993">
        <f t="shared" si="565"/>
        <v>0</v>
      </c>
      <c r="P120" s="993">
        <f t="shared" si="565"/>
        <v>0</v>
      </c>
      <c r="Q120" s="993">
        <f t="shared" si="565"/>
        <v>0</v>
      </c>
      <c r="R120" s="993">
        <f t="shared" si="565"/>
        <v>0</v>
      </c>
      <c r="S120" s="993">
        <f t="shared" si="565"/>
        <v>1</v>
      </c>
      <c r="T120" s="993">
        <f t="shared" si="565"/>
        <v>1</v>
      </c>
      <c r="U120" s="993">
        <f t="shared" si="565"/>
        <v>3</v>
      </c>
      <c r="V120" s="993">
        <f t="shared" si="565"/>
        <v>3</v>
      </c>
      <c r="W120" s="993">
        <f t="shared" si="565"/>
        <v>3</v>
      </c>
      <c r="X120" s="993">
        <f t="shared" si="565"/>
        <v>3</v>
      </c>
      <c r="Y120" s="993">
        <f t="shared" si="565"/>
        <v>2</v>
      </c>
      <c r="Z120" s="1001">
        <v>3</v>
      </c>
      <c r="AA120" s="1001">
        <f t="shared" ref="AA120:BE120" si="566">+Z123</f>
        <v>4</v>
      </c>
      <c r="AB120" s="1001">
        <f t="shared" si="566"/>
        <v>4</v>
      </c>
      <c r="AC120" s="1001">
        <f t="shared" si="566"/>
        <v>4</v>
      </c>
      <c r="AD120" s="1001">
        <f t="shared" si="566"/>
        <v>5</v>
      </c>
      <c r="AE120" s="1001">
        <f t="shared" si="566"/>
        <v>7</v>
      </c>
      <c r="AF120" s="1001">
        <f t="shared" si="566"/>
        <v>7</v>
      </c>
      <c r="AG120" s="1001">
        <f t="shared" si="566"/>
        <v>9</v>
      </c>
      <c r="AH120" s="1001">
        <f t="shared" si="566"/>
        <v>10</v>
      </c>
      <c r="AI120" s="1001">
        <f t="shared" si="566"/>
        <v>10</v>
      </c>
      <c r="AJ120" s="1001">
        <f t="shared" si="566"/>
        <v>10</v>
      </c>
      <c r="AK120" s="1001">
        <f t="shared" si="566"/>
        <v>10</v>
      </c>
      <c r="AL120" s="1001">
        <f t="shared" si="566"/>
        <v>10</v>
      </c>
      <c r="AM120" s="1001">
        <f t="shared" si="566"/>
        <v>10</v>
      </c>
      <c r="AN120" s="1001">
        <f t="shared" si="566"/>
        <v>10</v>
      </c>
      <c r="AO120" s="1001">
        <f t="shared" si="566"/>
        <v>11</v>
      </c>
      <c r="AP120" s="1001">
        <f t="shared" si="566"/>
        <v>11</v>
      </c>
      <c r="AQ120" s="1001">
        <f t="shared" si="566"/>
        <v>11</v>
      </c>
      <c r="AR120" s="1001">
        <f t="shared" si="566"/>
        <v>11</v>
      </c>
      <c r="AS120" s="1001">
        <f t="shared" si="566"/>
        <v>11</v>
      </c>
      <c r="AT120" s="1001">
        <f t="shared" si="566"/>
        <v>11</v>
      </c>
      <c r="AU120" s="1001">
        <f t="shared" si="566"/>
        <v>11</v>
      </c>
      <c r="AV120" s="1001">
        <f t="shared" si="566"/>
        <v>11</v>
      </c>
      <c r="AW120" s="1001">
        <f t="shared" si="566"/>
        <v>11</v>
      </c>
      <c r="AX120" s="1001">
        <f t="shared" si="566"/>
        <v>10</v>
      </c>
      <c r="AY120" s="1001">
        <f t="shared" si="566"/>
        <v>10</v>
      </c>
      <c r="AZ120" s="1001">
        <f t="shared" si="566"/>
        <v>10</v>
      </c>
      <c r="BA120" s="1001">
        <f t="shared" si="566"/>
        <v>10</v>
      </c>
      <c r="BB120" s="1001">
        <f t="shared" si="566"/>
        <v>1</v>
      </c>
      <c r="BC120" s="1001">
        <f t="shared" si="566"/>
        <v>0</v>
      </c>
      <c r="BD120" s="1001">
        <f t="shared" si="566"/>
        <v>0</v>
      </c>
      <c r="BE120" s="1001">
        <f t="shared" si="566"/>
        <v>0</v>
      </c>
    </row>
    <row r="121" spans="1:57">
      <c r="A121" s="993" t="s">
        <v>727</v>
      </c>
      <c r="B121" s="993">
        <v>0</v>
      </c>
      <c r="C121" s="993">
        <v>0</v>
      </c>
      <c r="D121" s="993">
        <v>0</v>
      </c>
      <c r="E121" s="993">
        <v>0</v>
      </c>
      <c r="F121" s="993">
        <v>0</v>
      </c>
      <c r="G121" s="993">
        <v>0</v>
      </c>
      <c r="H121" s="993">
        <v>0</v>
      </c>
      <c r="I121" s="993">
        <v>0</v>
      </c>
      <c r="R121" s="993">
        <v>1</v>
      </c>
      <c r="S121" s="993">
        <v>0</v>
      </c>
      <c r="T121" s="993">
        <v>2</v>
      </c>
      <c r="U121" s="993">
        <v>0</v>
      </c>
      <c r="V121" s="993">
        <v>0</v>
      </c>
      <c r="W121" s="993">
        <v>0</v>
      </c>
      <c r="X121" s="993">
        <v>0</v>
      </c>
      <c r="Y121" s="993">
        <v>1</v>
      </c>
      <c r="Z121" s="1001">
        <v>1</v>
      </c>
      <c r="AA121" s="1001">
        <v>0</v>
      </c>
      <c r="AB121" s="1001">
        <v>1</v>
      </c>
      <c r="AC121" s="1001">
        <v>1</v>
      </c>
      <c r="AD121" s="1001">
        <v>2</v>
      </c>
      <c r="AE121" s="1001">
        <v>0</v>
      </c>
      <c r="AF121" s="1001">
        <v>2</v>
      </c>
      <c r="AG121" s="1001">
        <v>1</v>
      </c>
      <c r="AH121" s="1001">
        <v>0</v>
      </c>
      <c r="AI121" s="1001">
        <v>0</v>
      </c>
      <c r="AJ121" s="1001">
        <v>0</v>
      </c>
      <c r="AK121" s="1001">
        <v>0</v>
      </c>
      <c r="AL121" s="1001">
        <v>0</v>
      </c>
      <c r="AM121" s="1001">
        <v>0</v>
      </c>
      <c r="AN121" s="1001">
        <v>1</v>
      </c>
      <c r="AO121" s="1001">
        <v>0</v>
      </c>
      <c r="AP121" s="1001">
        <v>0</v>
      </c>
      <c r="AQ121" s="1001">
        <v>0</v>
      </c>
      <c r="AR121" s="1001">
        <v>0</v>
      </c>
      <c r="AS121" s="1001">
        <v>0</v>
      </c>
      <c r="AT121" s="1001">
        <v>0</v>
      </c>
      <c r="AU121" s="1001">
        <v>0</v>
      </c>
      <c r="AV121" s="1001">
        <v>0</v>
      </c>
      <c r="AW121" s="1001">
        <v>1</v>
      </c>
      <c r="AX121" s="1001">
        <v>0</v>
      </c>
      <c r="AY121" s="1001">
        <v>0</v>
      </c>
      <c r="AZ121" s="1001">
        <v>0</v>
      </c>
      <c r="BA121" s="1001">
        <v>0</v>
      </c>
      <c r="BB121" s="1001">
        <v>0</v>
      </c>
      <c r="BC121" s="1001">
        <v>0</v>
      </c>
      <c r="BD121" s="1001">
        <v>0</v>
      </c>
      <c r="BE121" s="1001">
        <v>0</v>
      </c>
    </row>
    <row r="122" spans="1:57">
      <c r="A122" s="995" t="s">
        <v>726</v>
      </c>
      <c r="B122" s="995">
        <v>0</v>
      </c>
      <c r="C122" s="995">
        <v>0</v>
      </c>
      <c r="D122" s="995">
        <v>0</v>
      </c>
      <c r="E122" s="995">
        <v>0</v>
      </c>
      <c r="F122" s="995">
        <v>0</v>
      </c>
      <c r="G122" s="995">
        <v>0</v>
      </c>
      <c r="H122" s="995">
        <v>0</v>
      </c>
      <c r="I122" s="995">
        <v>0</v>
      </c>
      <c r="J122" s="995"/>
      <c r="K122" s="995"/>
      <c r="L122" s="995"/>
      <c r="M122" s="995"/>
      <c r="N122" s="995"/>
      <c r="O122" s="995"/>
      <c r="P122" s="995"/>
      <c r="Q122" s="995"/>
      <c r="R122" s="995">
        <v>0</v>
      </c>
      <c r="S122" s="995">
        <v>0</v>
      </c>
      <c r="T122" s="995">
        <v>0</v>
      </c>
      <c r="U122" s="995">
        <v>0</v>
      </c>
      <c r="V122" s="995">
        <v>0</v>
      </c>
      <c r="W122" s="995">
        <v>0</v>
      </c>
      <c r="X122" s="995">
        <v>1</v>
      </c>
      <c r="Y122" s="995">
        <v>0</v>
      </c>
      <c r="Z122" s="1002">
        <v>0</v>
      </c>
      <c r="AA122" s="1002">
        <v>0</v>
      </c>
      <c r="AB122" s="1002">
        <v>1</v>
      </c>
      <c r="AC122" s="1002">
        <v>0</v>
      </c>
      <c r="AD122" s="1002">
        <v>0</v>
      </c>
      <c r="AE122" s="1002">
        <v>0</v>
      </c>
      <c r="AF122" s="1002">
        <v>0</v>
      </c>
      <c r="AG122" s="1002">
        <v>0</v>
      </c>
      <c r="AH122" s="1002">
        <v>0</v>
      </c>
      <c r="AI122" s="1002">
        <v>0</v>
      </c>
      <c r="AJ122" s="1002">
        <v>0</v>
      </c>
      <c r="AK122" s="1002">
        <v>0</v>
      </c>
      <c r="AL122" s="1002">
        <v>0</v>
      </c>
      <c r="AM122" s="1002">
        <v>0</v>
      </c>
      <c r="AN122" s="1002">
        <v>0</v>
      </c>
      <c r="AO122" s="1002">
        <v>0</v>
      </c>
      <c r="AP122" s="1002">
        <v>0</v>
      </c>
      <c r="AQ122" s="1002">
        <v>0</v>
      </c>
      <c r="AR122" s="1002">
        <v>0</v>
      </c>
      <c r="AS122" s="1002">
        <v>0</v>
      </c>
      <c r="AT122" s="1002">
        <v>0</v>
      </c>
      <c r="AU122" s="1002">
        <v>0</v>
      </c>
      <c r="AV122" s="1002">
        <v>0</v>
      </c>
      <c r="AW122" s="1002">
        <v>2</v>
      </c>
      <c r="AX122" s="1002">
        <v>0</v>
      </c>
      <c r="AY122" s="1002">
        <v>0</v>
      </c>
      <c r="AZ122" s="1002">
        <v>0</v>
      </c>
      <c r="BA122" s="1002">
        <v>9</v>
      </c>
      <c r="BB122" s="1002">
        <v>1</v>
      </c>
      <c r="BC122" s="1002">
        <v>0</v>
      </c>
      <c r="BD122" s="1002">
        <v>0</v>
      </c>
      <c r="BE122" s="1002">
        <v>0</v>
      </c>
    </row>
    <row r="123" spans="1:57">
      <c r="A123" s="997" t="s">
        <v>725</v>
      </c>
      <c r="B123" s="997">
        <f>B120+B121-B122</f>
        <v>0</v>
      </c>
      <c r="C123" s="997">
        <f>C120+C121-C122</f>
        <v>0</v>
      </c>
      <c r="D123" s="997">
        <f t="shared" ref="D123:Y123" si="567">D120+D121-D122</f>
        <v>0</v>
      </c>
      <c r="E123" s="997">
        <f t="shared" si="567"/>
        <v>0</v>
      </c>
      <c r="F123" s="997">
        <f t="shared" si="567"/>
        <v>0</v>
      </c>
      <c r="G123" s="997">
        <f t="shared" si="567"/>
        <v>0</v>
      </c>
      <c r="H123" s="997">
        <f t="shared" si="567"/>
        <v>0</v>
      </c>
      <c r="I123" s="997">
        <f t="shared" si="567"/>
        <v>0</v>
      </c>
      <c r="J123" s="997">
        <f t="shared" si="567"/>
        <v>0</v>
      </c>
      <c r="K123" s="997">
        <f t="shared" si="567"/>
        <v>0</v>
      </c>
      <c r="L123" s="997">
        <f t="shared" si="567"/>
        <v>0</v>
      </c>
      <c r="M123" s="997">
        <f t="shared" si="567"/>
        <v>0</v>
      </c>
      <c r="N123" s="997">
        <f t="shared" si="567"/>
        <v>0</v>
      </c>
      <c r="O123" s="997">
        <f t="shared" si="567"/>
        <v>0</v>
      </c>
      <c r="P123" s="997">
        <f t="shared" si="567"/>
        <v>0</v>
      </c>
      <c r="Q123" s="997">
        <f t="shared" si="567"/>
        <v>0</v>
      </c>
      <c r="R123" s="997">
        <f t="shared" si="567"/>
        <v>1</v>
      </c>
      <c r="S123" s="997">
        <f t="shared" si="567"/>
        <v>1</v>
      </c>
      <c r="T123" s="997">
        <f t="shared" si="567"/>
        <v>3</v>
      </c>
      <c r="U123" s="997">
        <f t="shared" si="567"/>
        <v>3</v>
      </c>
      <c r="V123" s="997">
        <f t="shared" si="567"/>
        <v>3</v>
      </c>
      <c r="W123" s="997">
        <f t="shared" si="567"/>
        <v>3</v>
      </c>
      <c r="X123" s="997">
        <f t="shared" si="567"/>
        <v>2</v>
      </c>
      <c r="Y123" s="997">
        <f t="shared" si="567"/>
        <v>3</v>
      </c>
      <c r="Z123" s="1003">
        <f t="shared" ref="Z123:AX123" si="568">Z120+Z121-Z122</f>
        <v>4</v>
      </c>
      <c r="AA123" s="1003">
        <f t="shared" si="568"/>
        <v>4</v>
      </c>
      <c r="AB123" s="1003">
        <f t="shared" si="568"/>
        <v>4</v>
      </c>
      <c r="AC123" s="1003">
        <f t="shared" si="568"/>
        <v>5</v>
      </c>
      <c r="AD123" s="1003">
        <f t="shared" si="568"/>
        <v>7</v>
      </c>
      <c r="AE123" s="1003">
        <f t="shared" si="568"/>
        <v>7</v>
      </c>
      <c r="AF123" s="1003">
        <f t="shared" si="568"/>
        <v>9</v>
      </c>
      <c r="AG123" s="1003">
        <f t="shared" si="568"/>
        <v>10</v>
      </c>
      <c r="AH123" s="1003">
        <f t="shared" si="568"/>
        <v>10</v>
      </c>
      <c r="AI123" s="1003">
        <f t="shared" si="568"/>
        <v>10</v>
      </c>
      <c r="AJ123" s="1003">
        <f t="shared" si="568"/>
        <v>10</v>
      </c>
      <c r="AK123" s="1003">
        <f t="shared" si="568"/>
        <v>10</v>
      </c>
      <c r="AL123" s="1003">
        <f t="shared" si="568"/>
        <v>10</v>
      </c>
      <c r="AM123" s="1003">
        <f t="shared" si="568"/>
        <v>10</v>
      </c>
      <c r="AN123" s="1003">
        <f t="shared" si="568"/>
        <v>11</v>
      </c>
      <c r="AO123" s="1003">
        <f t="shared" si="568"/>
        <v>11</v>
      </c>
      <c r="AP123" s="1003">
        <f t="shared" si="568"/>
        <v>11</v>
      </c>
      <c r="AQ123" s="1003">
        <f t="shared" si="568"/>
        <v>11</v>
      </c>
      <c r="AR123" s="1003">
        <f t="shared" si="568"/>
        <v>11</v>
      </c>
      <c r="AS123" s="1003">
        <f t="shared" si="568"/>
        <v>11</v>
      </c>
      <c r="AT123" s="1003">
        <f t="shared" si="568"/>
        <v>11</v>
      </c>
      <c r="AU123" s="1003">
        <f t="shared" si="568"/>
        <v>11</v>
      </c>
      <c r="AV123" s="1003">
        <f t="shared" si="568"/>
        <v>11</v>
      </c>
      <c r="AW123" s="1003">
        <f t="shared" si="568"/>
        <v>10</v>
      </c>
      <c r="AX123" s="1003">
        <f t="shared" si="568"/>
        <v>10</v>
      </c>
      <c r="AY123" s="1003">
        <f t="shared" ref="AY123:BA123" si="569">AY120+AY121-AY122</f>
        <v>10</v>
      </c>
      <c r="AZ123" s="1003">
        <f t="shared" si="569"/>
        <v>10</v>
      </c>
      <c r="BA123" s="1003">
        <f t="shared" si="569"/>
        <v>1</v>
      </c>
      <c r="BB123" s="1003">
        <f t="shared" ref="BB123:BC123" si="570">BB120+BB121-BB122</f>
        <v>0</v>
      </c>
      <c r="BC123" s="1003">
        <f t="shared" si="570"/>
        <v>0</v>
      </c>
      <c r="BD123" s="1003">
        <f t="shared" ref="BD123:BE123" si="571">BD120+BD121-BD122</f>
        <v>0</v>
      </c>
      <c r="BE123" s="1003">
        <f t="shared" si="571"/>
        <v>0</v>
      </c>
    </row>
    <row r="125" spans="1:57">
      <c r="A125" s="991" t="s">
        <v>733</v>
      </c>
      <c r="B125" s="991" t="str">
        <f>B42</f>
        <v>1Q04</v>
      </c>
      <c r="C125" s="991" t="str">
        <f t="shared" ref="C125:Y125" si="572">C42</f>
        <v>2Q04</v>
      </c>
      <c r="D125" s="991" t="str">
        <f t="shared" si="572"/>
        <v>3Q04</v>
      </c>
      <c r="E125" s="991" t="str">
        <f t="shared" si="572"/>
        <v>4Q04</v>
      </c>
      <c r="F125" s="991" t="str">
        <f t="shared" si="572"/>
        <v>1Q05</v>
      </c>
      <c r="G125" s="991" t="str">
        <f t="shared" si="572"/>
        <v>2Q05</v>
      </c>
      <c r="H125" s="991" t="str">
        <f t="shared" si="572"/>
        <v>3Q05</v>
      </c>
      <c r="I125" s="991" t="str">
        <f t="shared" si="572"/>
        <v>4Q05</v>
      </c>
      <c r="J125" s="991" t="str">
        <f t="shared" si="572"/>
        <v>1Q06</v>
      </c>
      <c r="K125" s="991" t="str">
        <f t="shared" si="572"/>
        <v>2Q06</v>
      </c>
      <c r="L125" s="991" t="str">
        <f t="shared" si="572"/>
        <v>3Q06</v>
      </c>
      <c r="M125" s="991" t="str">
        <f t="shared" si="572"/>
        <v>4Q06</v>
      </c>
      <c r="N125" s="991" t="str">
        <f t="shared" si="572"/>
        <v>1Q07</v>
      </c>
      <c r="O125" s="991" t="str">
        <f t="shared" si="572"/>
        <v>2Q07</v>
      </c>
      <c r="P125" s="991" t="str">
        <f t="shared" si="572"/>
        <v>3Q07</v>
      </c>
      <c r="Q125" s="991" t="str">
        <f t="shared" si="572"/>
        <v>4Q07</v>
      </c>
      <c r="R125" s="991" t="str">
        <f t="shared" si="572"/>
        <v>1Q08</v>
      </c>
      <c r="S125" s="991" t="str">
        <f t="shared" si="572"/>
        <v>2Q08</v>
      </c>
      <c r="T125" s="991" t="str">
        <f t="shared" si="572"/>
        <v>3Q08</v>
      </c>
      <c r="U125" s="991" t="str">
        <f t="shared" si="572"/>
        <v>4Q08</v>
      </c>
      <c r="V125" s="991" t="str">
        <f t="shared" si="572"/>
        <v>1Q09</v>
      </c>
      <c r="W125" s="991" t="str">
        <f t="shared" si="572"/>
        <v>2Q09</v>
      </c>
      <c r="X125" s="991" t="str">
        <f t="shared" si="572"/>
        <v>3Q09</v>
      </c>
      <c r="Y125" s="991" t="str">
        <f t="shared" si="572"/>
        <v>4Q09</v>
      </c>
      <c r="Z125" s="991" t="s">
        <v>447</v>
      </c>
      <c r="AA125" s="991" t="s">
        <v>448</v>
      </c>
      <c r="AB125" s="991" t="s">
        <v>453</v>
      </c>
      <c r="AC125" s="991" t="s">
        <v>454</v>
      </c>
      <c r="AD125" s="991" t="s">
        <v>449</v>
      </c>
      <c r="AE125" s="991" t="s">
        <v>450</v>
      </c>
      <c r="AF125" s="991" t="s">
        <v>451</v>
      </c>
      <c r="AG125" s="991" t="s">
        <v>452</v>
      </c>
      <c r="AH125" s="991" t="s">
        <v>265</v>
      </c>
      <c r="AI125" s="991" t="s">
        <v>125</v>
      </c>
      <c r="AJ125" s="991" t="s">
        <v>266</v>
      </c>
      <c r="AK125" s="991" t="s">
        <v>267</v>
      </c>
      <c r="AL125" s="991" t="s">
        <v>724</v>
      </c>
      <c r="AM125" s="991" t="s">
        <v>723</v>
      </c>
      <c r="AN125" s="991" t="s">
        <v>722</v>
      </c>
      <c r="AO125" s="991" t="s">
        <v>721</v>
      </c>
      <c r="AP125" s="991" t="s">
        <v>671</v>
      </c>
      <c r="AQ125" s="991" t="s">
        <v>477</v>
      </c>
      <c r="AR125" s="991" t="s">
        <v>672</v>
      </c>
      <c r="AS125" s="991" t="s">
        <v>673</v>
      </c>
      <c r="AT125" s="991" t="s">
        <v>720</v>
      </c>
      <c r="AU125" s="991" t="s">
        <v>719</v>
      </c>
      <c r="AV125" s="991" t="s">
        <v>718</v>
      </c>
      <c r="AW125" s="991" t="s">
        <v>717</v>
      </c>
      <c r="AX125" s="991" t="str">
        <f>$AX$42</f>
        <v>1Q16</v>
      </c>
      <c r="AY125" s="991" t="str">
        <f>$AY$42</f>
        <v>2Q16</v>
      </c>
      <c r="AZ125" s="992" t="s">
        <v>704</v>
      </c>
      <c r="BA125" s="992" t="s">
        <v>705</v>
      </c>
      <c r="BB125" s="992" t="str">
        <f>BB119</f>
        <v>1Q17</v>
      </c>
      <c r="BC125" s="992" t="str">
        <f>BC119</f>
        <v>2Q17</v>
      </c>
      <c r="BD125" s="992" t="str">
        <f>BD119</f>
        <v>3Q17</v>
      </c>
      <c r="BE125" s="992" t="str">
        <f>BE119</f>
        <v>4Q17</v>
      </c>
    </row>
    <row r="126" spans="1:57">
      <c r="A126" s="993" t="s">
        <v>716</v>
      </c>
      <c r="B126" s="993">
        <v>0</v>
      </c>
      <c r="C126" s="993">
        <v>0</v>
      </c>
      <c r="D126" s="993">
        <f>C128</f>
        <v>0</v>
      </c>
      <c r="E126" s="993">
        <f t="shared" ref="E126:Y126" si="573">D128</f>
        <v>0</v>
      </c>
      <c r="F126" s="993">
        <f t="shared" si="573"/>
        <v>0</v>
      </c>
      <c r="G126" s="993">
        <f t="shared" si="573"/>
        <v>0</v>
      </c>
      <c r="H126" s="993">
        <f t="shared" si="573"/>
        <v>0</v>
      </c>
      <c r="I126" s="993">
        <f t="shared" si="573"/>
        <v>0</v>
      </c>
      <c r="J126" s="993">
        <f t="shared" si="573"/>
        <v>0</v>
      </c>
      <c r="K126" s="993">
        <f t="shared" si="573"/>
        <v>0</v>
      </c>
      <c r="L126" s="993">
        <f t="shared" si="573"/>
        <v>0</v>
      </c>
      <c r="M126" s="993">
        <f t="shared" si="573"/>
        <v>0</v>
      </c>
      <c r="N126" s="993">
        <f t="shared" si="573"/>
        <v>0</v>
      </c>
      <c r="O126" s="993">
        <f t="shared" si="573"/>
        <v>0</v>
      </c>
      <c r="P126" s="993">
        <f t="shared" si="573"/>
        <v>0</v>
      </c>
      <c r="Q126" s="993">
        <f t="shared" si="573"/>
        <v>0</v>
      </c>
      <c r="R126" s="993">
        <f t="shared" si="573"/>
        <v>0</v>
      </c>
      <c r="S126" s="993">
        <f t="shared" si="573"/>
        <v>0</v>
      </c>
      <c r="T126" s="993">
        <f t="shared" si="573"/>
        <v>0</v>
      </c>
      <c r="U126" s="993">
        <f t="shared" si="573"/>
        <v>0</v>
      </c>
      <c r="V126" s="993">
        <f t="shared" si="573"/>
        <v>0</v>
      </c>
      <c r="W126" s="993">
        <f t="shared" si="573"/>
        <v>0</v>
      </c>
      <c r="X126" s="993">
        <f t="shared" si="573"/>
        <v>0</v>
      </c>
      <c r="Y126" s="993">
        <f t="shared" si="573"/>
        <v>0</v>
      </c>
      <c r="Z126" s="1001">
        <v>0</v>
      </c>
      <c r="AA126" s="1001">
        <f t="shared" ref="AA126:BE126" si="574">+Z128</f>
        <v>0</v>
      </c>
      <c r="AB126" s="1001">
        <f t="shared" si="574"/>
        <v>0</v>
      </c>
      <c r="AC126" s="1001">
        <f t="shared" si="574"/>
        <v>0</v>
      </c>
      <c r="AD126" s="1001">
        <f t="shared" si="574"/>
        <v>0.1</v>
      </c>
      <c r="AE126" s="1001">
        <f t="shared" si="574"/>
        <v>0.1</v>
      </c>
      <c r="AF126" s="1001">
        <f t="shared" si="574"/>
        <v>0.1</v>
      </c>
      <c r="AG126" s="1001">
        <f t="shared" si="574"/>
        <v>0.1</v>
      </c>
      <c r="AH126" s="1001">
        <f t="shared" si="574"/>
        <v>0.1</v>
      </c>
      <c r="AI126" s="1001">
        <f t="shared" si="574"/>
        <v>0.1</v>
      </c>
      <c r="AJ126" s="1001">
        <f t="shared" si="574"/>
        <v>0.1</v>
      </c>
      <c r="AK126" s="1001">
        <f t="shared" si="574"/>
        <v>0.1</v>
      </c>
      <c r="AL126" s="1001">
        <f t="shared" si="574"/>
        <v>0.1</v>
      </c>
      <c r="AM126" s="1001">
        <f t="shared" si="574"/>
        <v>0.1</v>
      </c>
      <c r="AN126" s="1001">
        <f t="shared" si="574"/>
        <v>0.1</v>
      </c>
      <c r="AO126" s="1001">
        <f t="shared" si="574"/>
        <v>0.1</v>
      </c>
      <c r="AP126" s="1001">
        <f t="shared" si="574"/>
        <v>0.1</v>
      </c>
      <c r="AQ126" s="1001">
        <f t="shared" si="574"/>
        <v>0.1</v>
      </c>
      <c r="AR126" s="1001">
        <f t="shared" si="574"/>
        <v>0.1</v>
      </c>
      <c r="AS126" s="1001">
        <f t="shared" si="574"/>
        <v>0.1</v>
      </c>
      <c r="AT126" s="1001">
        <f t="shared" si="574"/>
        <v>0.1</v>
      </c>
      <c r="AU126" s="1001">
        <f t="shared" si="574"/>
        <v>0.1</v>
      </c>
      <c r="AV126" s="1001">
        <f t="shared" si="574"/>
        <v>0.1</v>
      </c>
      <c r="AW126" s="1001">
        <f t="shared" si="574"/>
        <v>0.1</v>
      </c>
      <c r="AX126" s="1001">
        <f t="shared" si="574"/>
        <v>0.1</v>
      </c>
      <c r="AY126" s="1001">
        <f t="shared" si="574"/>
        <v>0.1</v>
      </c>
      <c r="AZ126" s="1001">
        <f t="shared" si="574"/>
        <v>0.1</v>
      </c>
      <c r="BA126" s="1001">
        <f t="shared" si="574"/>
        <v>0.1</v>
      </c>
      <c r="BB126" s="1001">
        <f t="shared" si="574"/>
        <v>0</v>
      </c>
      <c r="BC126" s="1001">
        <f t="shared" si="574"/>
        <v>0</v>
      </c>
      <c r="BD126" s="1001">
        <f t="shared" si="574"/>
        <v>0</v>
      </c>
      <c r="BE126" s="1001">
        <f t="shared" si="574"/>
        <v>0</v>
      </c>
    </row>
    <row r="127" spans="1:57">
      <c r="A127" s="995" t="s">
        <v>136</v>
      </c>
      <c r="B127" s="995">
        <v>0</v>
      </c>
      <c r="C127" s="1002">
        <f t="shared" ref="C127:D127" si="575">C128-C126</f>
        <v>0</v>
      </c>
      <c r="D127" s="1002">
        <f t="shared" si="575"/>
        <v>0</v>
      </c>
      <c r="E127" s="1002">
        <f t="shared" ref="E127:Y127" si="576">E128-E126</f>
        <v>0</v>
      </c>
      <c r="F127" s="1002">
        <f t="shared" si="576"/>
        <v>0</v>
      </c>
      <c r="G127" s="1002">
        <f t="shared" si="576"/>
        <v>0</v>
      </c>
      <c r="H127" s="1002">
        <f t="shared" si="576"/>
        <v>0</v>
      </c>
      <c r="I127" s="1002">
        <f t="shared" si="576"/>
        <v>0</v>
      </c>
      <c r="J127" s="1002">
        <f t="shared" si="576"/>
        <v>0</v>
      </c>
      <c r="K127" s="1002">
        <f t="shared" si="576"/>
        <v>0</v>
      </c>
      <c r="L127" s="1002">
        <f t="shared" si="576"/>
        <v>0</v>
      </c>
      <c r="M127" s="1002">
        <f t="shared" si="576"/>
        <v>0</v>
      </c>
      <c r="N127" s="1002">
        <f t="shared" si="576"/>
        <v>0</v>
      </c>
      <c r="O127" s="1002">
        <f t="shared" si="576"/>
        <v>0</v>
      </c>
      <c r="P127" s="1002">
        <f t="shared" si="576"/>
        <v>0</v>
      </c>
      <c r="Q127" s="1002">
        <f t="shared" si="576"/>
        <v>0</v>
      </c>
      <c r="R127" s="1002">
        <f t="shared" si="576"/>
        <v>0</v>
      </c>
      <c r="S127" s="1002">
        <f t="shared" si="576"/>
        <v>0</v>
      </c>
      <c r="T127" s="1002">
        <f t="shared" si="576"/>
        <v>0</v>
      </c>
      <c r="U127" s="1002">
        <f t="shared" si="576"/>
        <v>0</v>
      </c>
      <c r="V127" s="1002">
        <f t="shared" si="576"/>
        <v>0</v>
      </c>
      <c r="W127" s="1002">
        <f t="shared" si="576"/>
        <v>0</v>
      </c>
      <c r="X127" s="1002">
        <f t="shared" si="576"/>
        <v>0</v>
      </c>
      <c r="Y127" s="1002">
        <f t="shared" si="576"/>
        <v>0</v>
      </c>
      <c r="Z127" s="1002">
        <f t="shared" ref="Z127:AX127" si="577">Z128-Z126</f>
        <v>0</v>
      </c>
      <c r="AA127" s="1002">
        <f t="shared" si="577"/>
        <v>0</v>
      </c>
      <c r="AB127" s="1002">
        <f t="shared" si="577"/>
        <v>0</v>
      </c>
      <c r="AC127" s="1002">
        <f t="shared" si="577"/>
        <v>0.1</v>
      </c>
      <c r="AD127" s="1002">
        <f t="shared" si="577"/>
        <v>0</v>
      </c>
      <c r="AE127" s="1002">
        <f t="shared" si="577"/>
        <v>0</v>
      </c>
      <c r="AF127" s="1002">
        <f t="shared" si="577"/>
        <v>0</v>
      </c>
      <c r="AG127" s="1002">
        <f t="shared" si="577"/>
        <v>0</v>
      </c>
      <c r="AH127" s="1002">
        <f t="shared" si="577"/>
        <v>0</v>
      </c>
      <c r="AI127" s="1002">
        <f t="shared" si="577"/>
        <v>0</v>
      </c>
      <c r="AJ127" s="1002">
        <f t="shared" si="577"/>
        <v>0</v>
      </c>
      <c r="AK127" s="1002">
        <f t="shared" si="577"/>
        <v>0</v>
      </c>
      <c r="AL127" s="1002">
        <f t="shared" si="577"/>
        <v>0</v>
      </c>
      <c r="AM127" s="1002">
        <f t="shared" si="577"/>
        <v>0</v>
      </c>
      <c r="AN127" s="1002">
        <f t="shared" si="577"/>
        <v>0</v>
      </c>
      <c r="AO127" s="1002">
        <f t="shared" si="577"/>
        <v>0</v>
      </c>
      <c r="AP127" s="1002">
        <f t="shared" si="577"/>
        <v>0</v>
      </c>
      <c r="AQ127" s="1002">
        <f t="shared" si="577"/>
        <v>0</v>
      </c>
      <c r="AR127" s="1002">
        <f t="shared" si="577"/>
        <v>0</v>
      </c>
      <c r="AS127" s="1002">
        <f t="shared" si="577"/>
        <v>0</v>
      </c>
      <c r="AT127" s="1002">
        <f t="shared" si="577"/>
        <v>0</v>
      </c>
      <c r="AU127" s="1002">
        <f t="shared" si="577"/>
        <v>0</v>
      </c>
      <c r="AV127" s="1002">
        <f t="shared" si="577"/>
        <v>0</v>
      </c>
      <c r="AW127" s="1002">
        <f t="shared" si="577"/>
        <v>0</v>
      </c>
      <c r="AX127" s="1002">
        <f t="shared" si="577"/>
        <v>0</v>
      </c>
      <c r="AY127" s="1002">
        <f t="shared" ref="AY127:AZ127" si="578">AY128-AY126</f>
        <v>0</v>
      </c>
      <c r="AZ127" s="1002">
        <f t="shared" si="578"/>
        <v>0</v>
      </c>
      <c r="BA127" s="1002">
        <f t="shared" ref="BA127:BB127" si="579">BA128-BA126</f>
        <v>-0.1</v>
      </c>
      <c r="BB127" s="1002">
        <f t="shared" si="579"/>
        <v>0</v>
      </c>
      <c r="BC127" s="1002">
        <f t="shared" ref="BC127:BD127" si="580">BC128-BC126</f>
        <v>0</v>
      </c>
      <c r="BD127" s="1002">
        <f t="shared" si="580"/>
        <v>0</v>
      </c>
      <c r="BE127" s="1002">
        <f t="shared" ref="BE127" si="581">BE128-BE126</f>
        <v>0</v>
      </c>
    </row>
    <row r="128" spans="1:57">
      <c r="A128" s="997" t="s">
        <v>715</v>
      </c>
      <c r="B128" s="997"/>
      <c r="C128" s="997">
        <v>0</v>
      </c>
      <c r="D128" s="997">
        <v>0</v>
      </c>
      <c r="E128" s="997">
        <v>0</v>
      </c>
      <c r="F128" s="997">
        <v>0</v>
      </c>
      <c r="G128" s="997">
        <v>0</v>
      </c>
      <c r="H128" s="997">
        <v>0</v>
      </c>
      <c r="I128" s="997">
        <v>0</v>
      </c>
      <c r="J128" s="997"/>
      <c r="K128" s="997"/>
      <c r="L128" s="997"/>
      <c r="M128" s="997"/>
      <c r="N128" s="997"/>
      <c r="O128" s="997"/>
      <c r="P128" s="997"/>
      <c r="Q128" s="997"/>
      <c r="R128" s="997">
        <v>0</v>
      </c>
      <c r="S128" s="997">
        <v>0</v>
      </c>
      <c r="T128" s="997">
        <v>0</v>
      </c>
      <c r="U128" s="997">
        <v>0</v>
      </c>
      <c r="V128" s="997">
        <v>0</v>
      </c>
      <c r="W128" s="997">
        <v>0</v>
      </c>
      <c r="X128" s="997">
        <v>0</v>
      </c>
      <c r="Y128" s="997">
        <v>0</v>
      </c>
      <c r="Z128" s="1003">
        <v>0</v>
      </c>
      <c r="AA128" s="1003">
        <v>0</v>
      </c>
      <c r="AB128" s="1003">
        <v>0</v>
      </c>
      <c r="AC128" s="1003">
        <v>0.1</v>
      </c>
      <c r="AD128" s="1003">
        <v>0.1</v>
      </c>
      <c r="AE128" s="1003">
        <v>0.1</v>
      </c>
      <c r="AF128" s="1003">
        <v>0.1</v>
      </c>
      <c r="AG128" s="1003">
        <v>0.1</v>
      </c>
      <c r="AH128" s="1003">
        <v>0.1</v>
      </c>
      <c r="AI128" s="1003">
        <v>0.1</v>
      </c>
      <c r="AJ128" s="1003">
        <v>0.1</v>
      </c>
      <c r="AK128" s="1003">
        <v>0.1</v>
      </c>
      <c r="AL128" s="1003">
        <v>0.1</v>
      </c>
      <c r="AM128" s="1003">
        <v>0.1</v>
      </c>
      <c r="AN128" s="1003">
        <v>0.1</v>
      </c>
      <c r="AO128" s="1003">
        <v>0.1</v>
      </c>
      <c r="AP128" s="1003">
        <v>0.1</v>
      </c>
      <c r="AQ128" s="1003">
        <v>0.1</v>
      </c>
      <c r="AR128" s="1003">
        <v>0.1</v>
      </c>
      <c r="AS128" s="1003">
        <v>0.1</v>
      </c>
      <c r="AT128" s="1003">
        <v>0.1</v>
      </c>
      <c r="AU128" s="1003">
        <v>0.1</v>
      </c>
      <c r="AV128" s="1003">
        <v>0.1</v>
      </c>
      <c r="AW128" s="1003">
        <v>0.1</v>
      </c>
      <c r="AX128" s="1003">
        <v>0.1</v>
      </c>
      <c r="AY128" s="1003">
        <v>0.1</v>
      </c>
      <c r="AZ128" s="1003">
        <v>0.1</v>
      </c>
      <c r="BA128" s="1003">
        <v>0</v>
      </c>
      <c r="BB128" s="1003">
        <v>0</v>
      </c>
      <c r="BC128" s="1003">
        <v>0</v>
      </c>
      <c r="BD128" s="1003">
        <v>0</v>
      </c>
      <c r="BE128" s="1003">
        <v>0</v>
      </c>
    </row>
    <row r="129" spans="1:61">
      <c r="Z129" s="1001"/>
      <c r="AA129" s="1001"/>
      <c r="AB129" s="1001"/>
      <c r="AC129" s="1001"/>
      <c r="AD129" s="1001"/>
      <c r="AE129" s="1001"/>
      <c r="AF129" s="1001"/>
      <c r="AG129" s="1001"/>
      <c r="AH129" s="1001"/>
      <c r="AI129" s="1001"/>
      <c r="AJ129" s="1001"/>
      <c r="AK129" s="1001"/>
      <c r="AL129" s="1001"/>
      <c r="AM129" s="1001"/>
      <c r="AN129" s="1001"/>
      <c r="AO129" s="1001"/>
      <c r="AP129" s="1001"/>
      <c r="AQ129" s="1001"/>
      <c r="AR129" s="1001"/>
      <c r="AS129" s="1001"/>
      <c r="AT129" s="1001"/>
      <c r="AU129" s="1001"/>
      <c r="AV129" s="1001"/>
      <c r="AW129" s="1001"/>
      <c r="AX129" s="1001"/>
      <c r="AY129" s="1001"/>
      <c r="AZ129" s="1001"/>
      <c r="BA129" s="1001"/>
      <c r="BB129" s="1001"/>
      <c r="BC129" s="1001"/>
      <c r="BD129" s="1001"/>
      <c r="BE129" s="1001"/>
    </row>
    <row r="130" spans="1:61">
      <c r="A130" s="991" t="s">
        <v>732</v>
      </c>
      <c r="B130" s="991" t="str">
        <f>B42</f>
        <v>1Q04</v>
      </c>
      <c r="C130" s="991" t="str">
        <f t="shared" ref="C130:Y130" si="582">C42</f>
        <v>2Q04</v>
      </c>
      <c r="D130" s="991" t="str">
        <f t="shared" si="582"/>
        <v>3Q04</v>
      </c>
      <c r="E130" s="991" t="str">
        <f t="shared" si="582"/>
        <v>4Q04</v>
      </c>
      <c r="F130" s="991" t="str">
        <f t="shared" si="582"/>
        <v>1Q05</v>
      </c>
      <c r="G130" s="991" t="str">
        <f t="shared" si="582"/>
        <v>2Q05</v>
      </c>
      <c r="H130" s="991" t="str">
        <f t="shared" si="582"/>
        <v>3Q05</v>
      </c>
      <c r="I130" s="991" t="str">
        <f t="shared" si="582"/>
        <v>4Q05</v>
      </c>
      <c r="J130" s="991" t="str">
        <f t="shared" si="582"/>
        <v>1Q06</v>
      </c>
      <c r="K130" s="991" t="str">
        <f t="shared" si="582"/>
        <v>2Q06</v>
      </c>
      <c r="L130" s="991" t="str">
        <f t="shared" si="582"/>
        <v>3Q06</v>
      </c>
      <c r="M130" s="991" t="str">
        <f t="shared" si="582"/>
        <v>4Q06</v>
      </c>
      <c r="N130" s="991" t="str">
        <f t="shared" si="582"/>
        <v>1Q07</v>
      </c>
      <c r="O130" s="991" t="str">
        <f t="shared" si="582"/>
        <v>2Q07</v>
      </c>
      <c r="P130" s="991" t="str">
        <f t="shared" si="582"/>
        <v>3Q07</v>
      </c>
      <c r="Q130" s="991" t="str">
        <f t="shared" si="582"/>
        <v>4Q07</v>
      </c>
      <c r="R130" s="991" t="str">
        <f t="shared" si="582"/>
        <v>1Q08</v>
      </c>
      <c r="S130" s="991" t="str">
        <f t="shared" si="582"/>
        <v>2Q08</v>
      </c>
      <c r="T130" s="991" t="str">
        <f t="shared" si="582"/>
        <v>3Q08</v>
      </c>
      <c r="U130" s="991" t="str">
        <f t="shared" si="582"/>
        <v>4Q08</v>
      </c>
      <c r="V130" s="991" t="str">
        <f t="shared" si="582"/>
        <v>1Q09</v>
      </c>
      <c r="W130" s="991" t="str">
        <f t="shared" si="582"/>
        <v>2Q09</v>
      </c>
      <c r="X130" s="991" t="str">
        <f t="shared" si="582"/>
        <v>3Q09</v>
      </c>
      <c r="Y130" s="991" t="str">
        <f t="shared" si="582"/>
        <v>4Q09</v>
      </c>
      <c r="Z130" s="991" t="s">
        <v>447</v>
      </c>
      <c r="AA130" s="991" t="s">
        <v>448</v>
      </c>
      <c r="AB130" s="991" t="s">
        <v>453</v>
      </c>
      <c r="AC130" s="991" t="s">
        <v>454</v>
      </c>
      <c r="AD130" s="991" t="s">
        <v>449</v>
      </c>
      <c r="AE130" s="991" t="s">
        <v>450</v>
      </c>
      <c r="AF130" s="991" t="s">
        <v>451</v>
      </c>
      <c r="AG130" s="991" t="s">
        <v>452</v>
      </c>
      <c r="AH130" s="991" t="s">
        <v>265</v>
      </c>
      <c r="AI130" s="991" t="s">
        <v>125</v>
      </c>
      <c r="AJ130" s="991" t="s">
        <v>266</v>
      </c>
      <c r="AK130" s="991" t="s">
        <v>267</v>
      </c>
      <c r="AL130" s="991" t="s">
        <v>724</v>
      </c>
      <c r="AM130" s="991" t="s">
        <v>723</v>
      </c>
      <c r="AN130" s="991" t="s">
        <v>722</v>
      </c>
      <c r="AO130" s="991" t="s">
        <v>721</v>
      </c>
      <c r="AP130" s="991" t="s">
        <v>671</v>
      </c>
      <c r="AQ130" s="991" t="s">
        <v>477</v>
      </c>
      <c r="AR130" s="991" t="s">
        <v>672</v>
      </c>
      <c r="AS130" s="991" t="s">
        <v>673</v>
      </c>
      <c r="AT130" s="991" t="s">
        <v>720</v>
      </c>
      <c r="AU130" s="991" t="s">
        <v>719</v>
      </c>
      <c r="AV130" s="991" t="s">
        <v>718</v>
      </c>
      <c r="AW130" s="991" t="s">
        <v>717</v>
      </c>
      <c r="AX130" s="991" t="str">
        <f>$AX$42</f>
        <v>1Q16</v>
      </c>
      <c r="AY130" s="991" t="str">
        <f>$AY$42</f>
        <v>2Q16</v>
      </c>
      <c r="AZ130" s="992" t="s">
        <v>704</v>
      </c>
      <c r="BA130" s="992" t="s">
        <v>705</v>
      </c>
      <c r="BB130" s="992" t="str">
        <f>BB119</f>
        <v>1Q17</v>
      </c>
      <c r="BC130" s="992" t="str">
        <f>BC119</f>
        <v>2Q17</v>
      </c>
      <c r="BD130" s="992" t="str">
        <f>BD119</f>
        <v>3Q17</v>
      </c>
      <c r="BE130" s="992" t="str">
        <f>BE2</f>
        <v>4Q17</v>
      </c>
      <c r="BF130" s="992" t="str">
        <f t="shared" ref="BF130:BI130" si="583">BF2</f>
        <v>1Q18</v>
      </c>
      <c r="BG130" s="992" t="str">
        <f t="shared" si="583"/>
        <v>2Q18</v>
      </c>
      <c r="BH130" s="992" t="str">
        <f t="shared" si="583"/>
        <v>3Q18</v>
      </c>
      <c r="BI130" s="992" t="str">
        <f t="shared" si="583"/>
        <v>4Q18</v>
      </c>
    </row>
    <row r="131" spans="1:61">
      <c r="A131" s="993" t="s">
        <v>728</v>
      </c>
      <c r="B131" s="993">
        <v>0</v>
      </c>
      <c r="C131" s="993">
        <f>B134</f>
        <v>0</v>
      </c>
      <c r="D131" s="993">
        <f t="shared" ref="D131:Y131" si="584">C134</f>
        <v>0</v>
      </c>
      <c r="E131" s="993">
        <f t="shared" si="584"/>
        <v>0</v>
      </c>
      <c r="F131" s="993">
        <f t="shared" si="584"/>
        <v>0</v>
      </c>
      <c r="G131" s="993">
        <f t="shared" si="584"/>
        <v>0</v>
      </c>
      <c r="H131" s="993">
        <f t="shared" si="584"/>
        <v>0</v>
      </c>
      <c r="I131" s="993">
        <f t="shared" si="584"/>
        <v>0</v>
      </c>
      <c r="J131" s="993">
        <f t="shared" si="584"/>
        <v>0</v>
      </c>
      <c r="K131" s="993">
        <f t="shared" si="584"/>
        <v>0</v>
      </c>
      <c r="L131" s="993">
        <f t="shared" si="584"/>
        <v>0</v>
      </c>
      <c r="M131" s="993">
        <f t="shared" si="584"/>
        <v>0</v>
      </c>
      <c r="N131" s="993">
        <f t="shared" si="584"/>
        <v>0</v>
      </c>
      <c r="O131" s="993">
        <f t="shared" si="584"/>
        <v>0</v>
      </c>
      <c r="P131" s="993">
        <f t="shared" si="584"/>
        <v>0</v>
      </c>
      <c r="Q131" s="993">
        <f t="shared" si="584"/>
        <v>0</v>
      </c>
      <c r="R131" s="993">
        <f t="shared" si="584"/>
        <v>0</v>
      </c>
      <c r="S131" s="993">
        <f t="shared" si="584"/>
        <v>0</v>
      </c>
      <c r="T131" s="993">
        <f t="shared" si="584"/>
        <v>0</v>
      </c>
      <c r="U131" s="993">
        <f t="shared" si="584"/>
        <v>0</v>
      </c>
      <c r="V131" s="993">
        <f t="shared" si="584"/>
        <v>0</v>
      </c>
      <c r="W131" s="993">
        <f t="shared" si="584"/>
        <v>0</v>
      </c>
      <c r="X131" s="993">
        <f t="shared" si="584"/>
        <v>0</v>
      </c>
      <c r="Y131" s="993">
        <f t="shared" si="584"/>
        <v>0</v>
      </c>
      <c r="Z131" s="1001">
        <v>0</v>
      </c>
      <c r="AA131" s="1001">
        <f t="shared" ref="AA131:BD131" si="585">+Z134</f>
        <v>0</v>
      </c>
      <c r="AB131" s="1001">
        <f t="shared" si="585"/>
        <v>0</v>
      </c>
      <c r="AC131" s="1001">
        <f t="shared" si="585"/>
        <v>0</v>
      </c>
      <c r="AD131" s="1001">
        <f t="shared" si="585"/>
        <v>1</v>
      </c>
      <c r="AE131" s="1001">
        <f t="shared" si="585"/>
        <v>1</v>
      </c>
      <c r="AF131" s="1001">
        <f t="shared" si="585"/>
        <v>1</v>
      </c>
      <c r="AG131" s="1001">
        <f t="shared" si="585"/>
        <v>4</v>
      </c>
      <c r="AH131" s="1001">
        <f t="shared" si="585"/>
        <v>10</v>
      </c>
      <c r="AI131" s="1001">
        <f t="shared" si="585"/>
        <v>11</v>
      </c>
      <c r="AJ131" s="1001">
        <f t="shared" si="585"/>
        <v>22</v>
      </c>
      <c r="AK131" s="1001">
        <f t="shared" si="585"/>
        <v>30</v>
      </c>
      <c r="AL131" s="1001">
        <f t="shared" si="585"/>
        <v>35</v>
      </c>
      <c r="AM131" s="1001">
        <f t="shared" si="585"/>
        <v>40</v>
      </c>
      <c r="AN131" s="1001">
        <f t="shared" si="585"/>
        <v>46</v>
      </c>
      <c r="AO131" s="1001">
        <f t="shared" si="585"/>
        <v>61</v>
      </c>
      <c r="AP131" s="1001">
        <f t="shared" si="585"/>
        <v>65</v>
      </c>
      <c r="AQ131" s="1001">
        <f t="shared" si="585"/>
        <v>71</v>
      </c>
      <c r="AR131" s="1001">
        <f t="shared" si="585"/>
        <v>79</v>
      </c>
      <c r="AS131" s="1001">
        <f t="shared" si="585"/>
        <v>92</v>
      </c>
      <c r="AT131" s="1001">
        <f t="shared" si="585"/>
        <v>101</v>
      </c>
      <c r="AU131" s="1001">
        <f t="shared" si="585"/>
        <v>105</v>
      </c>
      <c r="AV131" s="1001">
        <f t="shared" si="585"/>
        <v>111</v>
      </c>
      <c r="AW131" s="1001">
        <f t="shared" si="585"/>
        <v>118</v>
      </c>
      <c r="AX131" s="1001">
        <f t="shared" si="585"/>
        <v>120</v>
      </c>
      <c r="AY131" s="1001">
        <f t="shared" si="585"/>
        <v>122</v>
      </c>
      <c r="AZ131" s="1001">
        <f t="shared" si="585"/>
        <v>126</v>
      </c>
      <c r="BA131" s="1001">
        <f t="shared" si="585"/>
        <v>130</v>
      </c>
      <c r="BB131" s="1001">
        <f t="shared" si="585"/>
        <v>132</v>
      </c>
      <c r="BC131" s="1001">
        <f t="shared" si="585"/>
        <v>133</v>
      </c>
      <c r="BD131" s="1001">
        <f t="shared" si="585"/>
        <v>133</v>
      </c>
      <c r="BE131" s="1001">
        <f t="shared" ref="BE131" si="586">+BD134</f>
        <v>140</v>
      </c>
      <c r="BF131" s="1001">
        <f t="shared" ref="BF131" si="587">+BE134</f>
        <v>148</v>
      </c>
      <c r="BG131" s="1001">
        <f t="shared" ref="BG131" si="588">+BF134</f>
        <v>153</v>
      </c>
      <c r="BH131" s="1001">
        <f t="shared" ref="BH131" si="589">+BG134</f>
        <v>158</v>
      </c>
      <c r="BI131" s="1001">
        <f t="shared" ref="BI131" si="590">+BH134</f>
        <v>163</v>
      </c>
    </row>
    <row r="132" spans="1:61">
      <c r="A132" s="993" t="s">
        <v>727</v>
      </c>
      <c r="B132" s="993">
        <v>0</v>
      </c>
      <c r="C132" s="993">
        <v>0</v>
      </c>
      <c r="D132" s="993">
        <v>0</v>
      </c>
      <c r="E132" s="993">
        <v>0</v>
      </c>
      <c r="F132" s="993">
        <v>0</v>
      </c>
      <c r="G132" s="993">
        <v>0</v>
      </c>
      <c r="H132" s="993">
        <v>0</v>
      </c>
      <c r="I132" s="993">
        <v>0</v>
      </c>
      <c r="J132" s="993">
        <v>0</v>
      </c>
      <c r="K132" s="993">
        <v>0</v>
      </c>
      <c r="L132" s="993">
        <v>0</v>
      </c>
      <c r="M132" s="993">
        <v>0</v>
      </c>
      <c r="N132" s="993">
        <v>0</v>
      </c>
      <c r="O132" s="993">
        <v>0</v>
      </c>
      <c r="P132" s="993">
        <v>0</v>
      </c>
      <c r="Q132" s="993">
        <v>0</v>
      </c>
      <c r="R132" s="993">
        <v>0</v>
      </c>
      <c r="S132" s="993">
        <v>0</v>
      </c>
      <c r="T132" s="993">
        <v>0</v>
      </c>
      <c r="U132" s="993">
        <v>0</v>
      </c>
      <c r="V132" s="993">
        <v>0</v>
      </c>
      <c r="W132" s="993">
        <v>0</v>
      </c>
      <c r="X132" s="993">
        <v>0</v>
      </c>
      <c r="Y132" s="993">
        <v>0</v>
      </c>
      <c r="Z132" s="1001">
        <v>0</v>
      </c>
      <c r="AA132" s="1001">
        <v>0</v>
      </c>
      <c r="AB132" s="1001">
        <v>0</v>
      </c>
      <c r="AC132" s="1001">
        <v>1</v>
      </c>
      <c r="AD132" s="1001">
        <v>0</v>
      </c>
      <c r="AE132" s="1001">
        <v>0</v>
      </c>
      <c r="AF132" s="1001">
        <v>3</v>
      </c>
      <c r="AG132" s="1001">
        <v>6</v>
      </c>
      <c r="AH132" s="1001">
        <v>1</v>
      </c>
      <c r="AI132" s="1001">
        <v>11</v>
      </c>
      <c r="AJ132" s="1001">
        <v>8</v>
      </c>
      <c r="AK132" s="1001">
        <v>5</v>
      </c>
      <c r="AL132" s="1001">
        <v>5</v>
      </c>
      <c r="AM132" s="1001">
        <v>6</v>
      </c>
      <c r="AN132" s="1001">
        <v>15</v>
      </c>
      <c r="AO132" s="1001">
        <v>4</v>
      </c>
      <c r="AP132" s="1001">
        <v>6</v>
      </c>
      <c r="AQ132" s="1001">
        <v>8</v>
      </c>
      <c r="AR132" s="1001">
        <v>14</v>
      </c>
      <c r="AS132" s="1001">
        <v>9</v>
      </c>
      <c r="AT132" s="1001">
        <v>4</v>
      </c>
      <c r="AU132" s="1001">
        <v>6</v>
      </c>
      <c r="AV132" s="1001">
        <v>7</v>
      </c>
      <c r="AW132" s="1001">
        <v>2</v>
      </c>
      <c r="AX132" s="1001">
        <v>2</v>
      </c>
      <c r="AY132" s="1001">
        <v>4</v>
      </c>
      <c r="AZ132" s="1001">
        <f>10-AY132-AX132</f>
        <v>4</v>
      </c>
      <c r="BA132" s="1001">
        <f>12-AZ132-AY132-AX132</f>
        <v>2</v>
      </c>
      <c r="BB132" s="1001">
        <v>1</v>
      </c>
      <c r="BC132" s="1001">
        <v>0</v>
      </c>
      <c r="BD132" s="1001">
        <v>7</v>
      </c>
      <c r="BE132" s="1001">
        <v>8</v>
      </c>
      <c r="BF132" s="1001">
        <v>5</v>
      </c>
      <c r="BG132" s="1001">
        <v>5</v>
      </c>
      <c r="BH132" s="1001">
        <v>5</v>
      </c>
      <c r="BI132" s="1001">
        <v>5</v>
      </c>
    </row>
    <row r="133" spans="1:61">
      <c r="A133" s="995" t="s">
        <v>726</v>
      </c>
      <c r="B133" s="995">
        <v>0</v>
      </c>
      <c r="C133" s="995">
        <v>0</v>
      </c>
      <c r="D133" s="995">
        <v>0</v>
      </c>
      <c r="E133" s="995">
        <v>0</v>
      </c>
      <c r="F133" s="995">
        <v>0</v>
      </c>
      <c r="G133" s="995">
        <v>0</v>
      </c>
      <c r="H133" s="995">
        <v>0</v>
      </c>
      <c r="I133" s="995">
        <v>0</v>
      </c>
      <c r="J133" s="995">
        <v>0</v>
      </c>
      <c r="K133" s="995">
        <v>0</v>
      </c>
      <c r="L133" s="995">
        <v>0</v>
      </c>
      <c r="M133" s="995">
        <v>0</v>
      </c>
      <c r="N133" s="995">
        <v>0</v>
      </c>
      <c r="O133" s="995">
        <v>0</v>
      </c>
      <c r="P133" s="995">
        <v>0</v>
      </c>
      <c r="Q133" s="995">
        <v>0</v>
      </c>
      <c r="R133" s="995">
        <v>0</v>
      </c>
      <c r="S133" s="995">
        <v>0</v>
      </c>
      <c r="T133" s="995">
        <v>0</v>
      </c>
      <c r="U133" s="995">
        <v>0</v>
      </c>
      <c r="V133" s="995">
        <v>0</v>
      </c>
      <c r="W133" s="995">
        <v>0</v>
      </c>
      <c r="X133" s="995">
        <v>0</v>
      </c>
      <c r="Y133" s="995">
        <v>0</v>
      </c>
      <c r="Z133" s="1002">
        <v>0</v>
      </c>
      <c r="AA133" s="1002">
        <v>0</v>
      </c>
      <c r="AB133" s="1002">
        <v>0</v>
      </c>
      <c r="AC133" s="1002">
        <v>0</v>
      </c>
      <c r="AD133" s="1002">
        <v>0</v>
      </c>
      <c r="AE133" s="1002">
        <v>0</v>
      </c>
      <c r="AF133" s="1002">
        <v>0</v>
      </c>
      <c r="AG133" s="1002">
        <v>0</v>
      </c>
      <c r="AH133" s="1002">
        <v>0</v>
      </c>
      <c r="AI133" s="1002">
        <v>0</v>
      </c>
      <c r="AJ133" s="1002">
        <v>0</v>
      </c>
      <c r="AK133" s="1002">
        <v>0</v>
      </c>
      <c r="AL133" s="1002">
        <v>0</v>
      </c>
      <c r="AM133" s="1002">
        <v>0</v>
      </c>
      <c r="AN133" s="1002">
        <v>0</v>
      </c>
      <c r="AO133" s="1002">
        <v>0</v>
      </c>
      <c r="AP133" s="1002">
        <v>0</v>
      </c>
      <c r="AQ133" s="1002">
        <v>0</v>
      </c>
      <c r="AR133" s="1002">
        <v>1</v>
      </c>
      <c r="AS133" s="1002">
        <v>0</v>
      </c>
      <c r="AT133" s="1002">
        <v>0</v>
      </c>
      <c r="AU133" s="1002">
        <v>0</v>
      </c>
      <c r="AV133" s="1002">
        <v>0</v>
      </c>
      <c r="AW133" s="1002">
        <v>0</v>
      </c>
      <c r="AX133" s="1002">
        <v>0</v>
      </c>
      <c r="AY133" s="1002">
        <v>0</v>
      </c>
      <c r="AZ133" s="1002">
        <v>0</v>
      </c>
      <c r="BA133" s="1002">
        <v>0</v>
      </c>
      <c r="BB133" s="1002">
        <v>0</v>
      </c>
      <c r="BC133" s="1002">
        <v>0</v>
      </c>
      <c r="BD133" s="1002">
        <v>0</v>
      </c>
      <c r="BE133" s="1002">
        <v>0</v>
      </c>
      <c r="BF133" s="1002">
        <v>0</v>
      </c>
      <c r="BG133" s="1002">
        <v>0</v>
      </c>
      <c r="BH133" s="1002">
        <v>0</v>
      </c>
      <c r="BI133" s="1002">
        <v>0</v>
      </c>
    </row>
    <row r="134" spans="1:61">
      <c r="A134" s="997" t="s">
        <v>725</v>
      </c>
      <c r="B134" s="997">
        <f>B131+B132-B133</f>
        <v>0</v>
      </c>
      <c r="C134" s="997">
        <f>C131+C132-C133</f>
        <v>0</v>
      </c>
      <c r="D134" s="997">
        <f t="shared" ref="D134:Y134" si="591">D131+D132-D133</f>
        <v>0</v>
      </c>
      <c r="E134" s="997">
        <f t="shared" si="591"/>
        <v>0</v>
      </c>
      <c r="F134" s="997">
        <f t="shared" si="591"/>
        <v>0</v>
      </c>
      <c r="G134" s="997">
        <f t="shared" si="591"/>
        <v>0</v>
      </c>
      <c r="H134" s="997">
        <f t="shared" si="591"/>
        <v>0</v>
      </c>
      <c r="I134" s="997">
        <f t="shared" si="591"/>
        <v>0</v>
      </c>
      <c r="J134" s="997">
        <f t="shared" si="591"/>
        <v>0</v>
      </c>
      <c r="K134" s="997">
        <f t="shared" si="591"/>
        <v>0</v>
      </c>
      <c r="L134" s="997">
        <f t="shared" si="591"/>
        <v>0</v>
      </c>
      <c r="M134" s="997">
        <f t="shared" si="591"/>
        <v>0</v>
      </c>
      <c r="N134" s="997">
        <f t="shared" si="591"/>
        <v>0</v>
      </c>
      <c r="O134" s="997">
        <f t="shared" si="591"/>
        <v>0</v>
      </c>
      <c r="P134" s="997">
        <f t="shared" si="591"/>
        <v>0</v>
      </c>
      <c r="Q134" s="997">
        <f t="shared" si="591"/>
        <v>0</v>
      </c>
      <c r="R134" s="997">
        <f t="shared" si="591"/>
        <v>0</v>
      </c>
      <c r="S134" s="997">
        <f t="shared" si="591"/>
        <v>0</v>
      </c>
      <c r="T134" s="997">
        <f t="shared" si="591"/>
        <v>0</v>
      </c>
      <c r="U134" s="997">
        <f t="shared" si="591"/>
        <v>0</v>
      </c>
      <c r="V134" s="997">
        <f t="shared" si="591"/>
        <v>0</v>
      </c>
      <c r="W134" s="997">
        <f t="shared" si="591"/>
        <v>0</v>
      </c>
      <c r="X134" s="997">
        <f t="shared" si="591"/>
        <v>0</v>
      </c>
      <c r="Y134" s="997">
        <f t="shared" si="591"/>
        <v>0</v>
      </c>
      <c r="Z134" s="1003">
        <f t="shared" ref="Z134:AX134" si="592">Z131+Z132-Z133</f>
        <v>0</v>
      </c>
      <c r="AA134" s="1003">
        <f t="shared" si="592"/>
        <v>0</v>
      </c>
      <c r="AB134" s="1003">
        <f t="shared" si="592"/>
        <v>0</v>
      </c>
      <c r="AC134" s="1003">
        <f t="shared" si="592"/>
        <v>1</v>
      </c>
      <c r="AD134" s="1003">
        <f t="shared" si="592"/>
        <v>1</v>
      </c>
      <c r="AE134" s="1003">
        <f t="shared" si="592"/>
        <v>1</v>
      </c>
      <c r="AF134" s="1003">
        <f t="shared" si="592"/>
        <v>4</v>
      </c>
      <c r="AG134" s="1003">
        <f t="shared" si="592"/>
        <v>10</v>
      </c>
      <c r="AH134" s="1003">
        <f t="shared" si="592"/>
        <v>11</v>
      </c>
      <c r="AI134" s="1003">
        <f t="shared" si="592"/>
        <v>22</v>
      </c>
      <c r="AJ134" s="1003">
        <f t="shared" si="592"/>
        <v>30</v>
      </c>
      <c r="AK134" s="1003">
        <f t="shared" si="592"/>
        <v>35</v>
      </c>
      <c r="AL134" s="1003">
        <f t="shared" si="592"/>
        <v>40</v>
      </c>
      <c r="AM134" s="1003">
        <f t="shared" si="592"/>
        <v>46</v>
      </c>
      <c r="AN134" s="1003">
        <f t="shared" si="592"/>
        <v>61</v>
      </c>
      <c r="AO134" s="1003">
        <f t="shared" si="592"/>
        <v>65</v>
      </c>
      <c r="AP134" s="1003">
        <f t="shared" si="592"/>
        <v>71</v>
      </c>
      <c r="AQ134" s="1003">
        <f t="shared" si="592"/>
        <v>79</v>
      </c>
      <c r="AR134" s="1003">
        <f t="shared" si="592"/>
        <v>92</v>
      </c>
      <c r="AS134" s="1003">
        <f t="shared" si="592"/>
        <v>101</v>
      </c>
      <c r="AT134" s="1003">
        <f t="shared" si="592"/>
        <v>105</v>
      </c>
      <c r="AU134" s="1003">
        <f t="shared" si="592"/>
        <v>111</v>
      </c>
      <c r="AV134" s="1003">
        <f t="shared" si="592"/>
        <v>118</v>
      </c>
      <c r="AW134" s="1003">
        <f t="shared" si="592"/>
        <v>120</v>
      </c>
      <c r="AX134" s="1003">
        <f t="shared" si="592"/>
        <v>122</v>
      </c>
      <c r="AY134" s="1003">
        <f t="shared" ref="AY134:BA134" si="593">AY131+AY132-AY133</f>
        <v>126</v>
      </c>
      <c r="AZ134" s="1003">
        <f t="shared" si="593"/>
        <v>130</v>
      </c>
      <c r="BA134" s="1003">
        <f t="shared" si="593"/>
        <v>132</v>
      </c>
      <c r="BB134" s="1003">
        <f t="shared" ref="BB134:BC134" si="594">BB131+BB132-BB133</f>
        <v>133</v>
      </c>
      <c r="BC134" s="1003">
        <f t="shared" si="594"/>
        <v>133</v>
      </c>
      <c r="BD134" s="1003">
        <f t="shared" ref="BD134:BI134" si="595">BD131+BD132-BD133</f>
        <v>140</v>
      </c>
      <c r="BE134" s="1003">
        <f t="shared" si="595"/>
        <v>148</v>
      </c>
      <c r="BF134" s="1003">
        <f t="shared" si="595"/>
        <v>153</v>
      </c>
      <c r="BG134" s="1003">
        <f t="shared" si="595"/>
        <v>158</v>
      </c>
      <c r="BH134" s="1003">
        <f t="shared" si="595"/>
        <v>163</v>
      </c>
      <c r="BI134" s="1003">
        <f t="shared" si="595"/>
        <v>168</v>
      </c>
    </row>
    <row r="136" spans="1:61">
      <c r="A136" s="991" t="s">
        <v>732</v>
      </c>
      <c r="B136" s="991" t="str">
        <f>B42</f>
        <v>1Q04</v>
      </c>
      <c r="C136" s="991" t="str">
        <f t="shared" ref="C136:Y136" si="596">C42</f>
        <v>2Q04</v>
      </c>
      <c r="D136" s="991" t="str">
        <f t="shared" si="596"/>
        <v>3Q04</v>
      </c>
      <c r="E136" s="991" t="str">
        <f t="shared" si="596"/>
        <v>4Q04</v>
      </c>
      <c r="F136" s="991" t="str">
        <f t="shared" si="596"/>
        <v>1Q05</v>
      </c>
      <c r="G136" s="991" t="str">
        <f t="shared" si="596"/>
        <v>2Q05</v>
      </c>
      <c r="H136" s="991" t="str">
        <f t="shared" si="596"/>
        <v>3Q05</v>
      </c>
      <c r="I136" s="991" t="str">
        <f t="shared" si="596"/>
        <v>4Q05</v>
      </c>
      <c r="J136" s="991" t="str">
        <f t="shared" si="596"/>
        <v>1Q06</v>
      </c>
      <c r="K136" s="991" t="str">
        <f t="shared" si="596"/>
        <v>2Q06</v>
      </c>
      <c r="L136" s="991" t="str">
        <f t="shared" si="596"/>
        <v>3Q06</v>
      </c>
      <c r="M136" s="991" t="str">
        <f t="shared" si="596"/>
        <v>4Q06</v>
      </c>
      <c r="N136" s="991" t="str">
        <f t="shared" si="596"/>
        <v>1Q07</v>
      </c>
      <c r="O136" s="991" t="str">
        <f t="shared" si="596"/>
        <v>2Q07</v>
      </c>
      <c r="P136" s="991" t="str">
        <f t="shared" si="596"/>
        <v>3Q07</v>
      </c>
      <c r="Q136" s="991" t="str">
        <f t="shared" si="596"/>
        <v>4Q07</v>
      </c>
      <c r="R136" s="991" t="str">
        <f t="shared" si="596"/>
        <v>1Q08</v>
      </c>
      <c r="S136" s="991" t="str">
        <f t="shared" si="596"/>
        <v>2Q08</v>
      </c>
      <c r="T136" s="991" t="str">
        <f t="shared" si="596"/>
        <v>3Q08</v>
      </c>
      <c r="U136" s="991" t="str">
        <f t="shared" si="596"/>
        <v>4Q08</v>
      </c>
      <c r="V136" s="991" t="str">
        <f t="shared" si="596"/>
        <v>1Q09</v>
      </c>
      <c r="W136" s="991" t="str">
        <f t="shared" si="596"/>
        <v>2Q09</v>
      </c>
      <c r="X136" s="991" t="str">
        <f t="shared" si="596"/>
        <v>3Q09</v>
      </c>
      <c r="Y136" s="991" t="str">
        <f t="shared" si="596"/>
        <v>4Q09</v>
      </c>
      <c r="Z136" s="991" t="s">
        <v>447</v>
      </c>
      <c r="AA136" s="991" t="s">
        <v>448</v>
      </c>
      <c r="AB136" s="991" t="s">
        <v>453</v>
      </c>
      <c r="AC136" s="991" t="s">
        <v>454</v>
      </c>
      <c r="AD136" s="991" t="s">
        <v>449</v>
      </c>
      <c r="AE136" s="991" t="s">
        <v>450</v>
      </c>
      <c r="AF136" s="991" t="s">
        <v>451</v>
      </c>
      <c r="AG136" s="991" t="s">
        <v>452</v>
      </c>
      <c r="AH136" s="991" t="s">
        <v>265</v>
      </c>
      <c r="AI136" s="991" t="s">
        <v>125</v>
      </c>
      <c r="AJ136" s="991" t="s">
        <v>266</v>
      </c>
      <c r="AK136" s="991" t="s">
        <v>267</v>
      </c>
      <c r="AL136" s="991" t="s">
        <v>724</v>
      </c>
      <c r="AM136" s="991" t="s">
        <v>723</v>
      </c>
      <c r="AN136" s="991" t="s">
        <v>722</v>
      </c>
      <c r="AO136" s="991" t="s">
        <v>721</v>
      </c>
      <c r="AP136" s="991" t="s">
        <v>671</v>
      </c>
      <c r="AQ136" s="991" t="s">
        <v>477</v>
      </c>
      <c r="AR136" s="991" t="s">
        <v>672</v>
      </c>
      <c r="AS136" s="991" t="s">
        <v>673</v>
      </c>
      <c r="AT136" s="991" t="s">
        <v>720</v>
      </c>
      <c r="AU136" s="991" t="s">
        <v>719</v>
      </c>
      <c r="AV136" s="991" t="s">
        <v>718</v>
      </c>
      <c r="AW136" s="991" t="s">
        <v>717</v>
      </c>
      <c r="AX136" s="991" t="str">
        <f>$AX$42</f>
        <v>1Q16</v>
      </c>
      <c r="AY136" s="991" t="str">
        <f>$AY$42</f>
        <v>2Q16</v>
      </c>
      <c r="AZ136" s="992" t="s">
        <v>704</v>
      </c>
      <c r="BA136" s="992" t="s">
        <v>705</v>
      </c>
      <c r="BB136" s="992" t="str">
        <f>BB119</f>
        <v>1Q17</v>
      </c>
      <c r="BC136" s="992" t="str">
        <f>BC119</f>
        <v>2Q17</v>
      </c>
      <c r="BD136" s="992" t="str">
        <f>BD119</f>
        <v>3Q17</v>
      </c>
      <c r="BE136" s="992" t="str">
        <f>BE2</f>
        <v>4Q17</v>
      </c>
      <c r="BF136" s="992" t="str">
        <f t="shared" ref="BF136:BI136" si="597">BF2</f>
        <v>1Q18</v>
      </c>
      <c r="BG136" s="992" t="str">
        <f t="shared" si="597"/>
        <v>2Q18</v>
      </c>
      <c r="BH136" s="992" t="str">
        <f t="shared" si="597"/>
        <v>3Q18</v>
      </c>
      <c r="BI136" s="992" t="str">
        <f t="shared" si="597"/>
        <v>4Q18</v>
      </c>
    </row>
    <row r="137" spans="1:61">
      <c r="A137" s="993" t="s">
        <v>716</v>
      </c>
      <c r="B137" s="993">
        <v>0</v>
      </c>
      <c r="C137" s="993">
        <v>0</v>
      </c>
      <c r="D137" s="993">
        <f>C139</f>
        <v>0</v>
      </c>
      <c r="E137" s="993">
        <f t="shared" ref="E137:Y137" si="598">D139</f>
        <v>0</v>
      </c>
      <c r="F137" s="993">
        <f t="shared" si="598"/>
        <v>0</v>
      </c>
      <c r="G137" s="993">
        <f t="shared" si="598"/>
        <v>0</v>
      </c>
      <c r="H137" s="993">
        <f t="shared" si="598"/>
        <v>0</v>
      </c>
      <c r="I137" s="993">
        <f t="shared" si="598"/>
        <v>0</v>
      </c>
      <c r="J137" s="993">
        <f t="shared" si="598"/>
        <v>0</v>
      </c>
      <c r="K137" s="993">
        <f t="shared" si="598"/>
        <v>0</v>
      </c>
      <c r="L137" s="993">
        <f t="shared" si="598"/>
        <v>0</v>
      </c>
      <c r="M137" s="993">
        <f t="shared" si="598"/>
        <v>0</v>
      </c>
      <c r="N137" s="993">
        <f t="shared" si="598"/>
        <v>0</v>
      </c>
      <c r="O137" s="993">
        <f t="shared" si="598"/>
        <v>0</v>
      </c>
      <c r="P137" s="993">
        <f t="shared" si="598"/>
        <v>0</v>
      </c>
      <c r="Q137" s="993">
        <f t="shared" si="598"/>
        <v>0</v>
      </c>
      <c r="R137" s="993">
        <f t="shared" si="598"/>
        <v>0</v>
      </c>
      <c r="S137" s="993">
        <f t="shared" si="598"/>
        <v>0</v>
      </c>
      <c r="T137" s="993">
        <f t="shared" si="598"/>
        <v>0</v>
      </c>
      <c r="U137" s="993">
        <f t="shared" si="598"/>
        <v>0</v>
      </c>
      <c r="V137" s="993">
        <f t="shared" si="598"/>
        <v>0</v>
      </c>
      <c r="W137" s="993">
        <f t="shared" si="598"/>
        <v>0</v>
      </c>
      <c r="X137" s="993">
        <f t="shared" si="598"/>
        <v>0</v>
      </c>
      <c r="Y137" s="993">
        <f t="shared" si="598"/>
        <v>0</v>
      </c>
      <c r="Z137" s="1001">
        <v>0</v>
      </c>
      <c r="AA137" s="1001">
        <f t="shared" ref="AA137:BD137" si="599">+Z139</f>
        <v>0</v>
      </c>
      <c r="AB137" s="1001">
        <f t="shared" si="599"/>
        <v>0</v>
      </c>
      <c r="AC137" s="1001">
        <f t="shared" si="599"/>
        <v>0</v>
      </c>
      <c r="AD137" s="1001">
        <f t="shared" si="599"/>
        <v>0</v>
      </c>
      <c r="AE137" s="1001">
        <f t="shared" si="599"/>
        <v>0</v>
      </c>
      <c r="AF137" s="1001">
        <f t="shared" si="599"/>
        <v>0</v>
      </c>
      <c r="AG137" s="1001">
        <f t="shared" si="599"/>
        <v>0</v>
      </c>
      <c r="AH137" s="1001">
        <f t="shared" si="599"/>
        <v>0</v>
      </c>
      <c r="AI137" s="1001">
        <f t="shared" si="599"/>
        <v>0</v>
      </c>
      <c r="AJ137" s="1001">
        <f t="shared" si="599"/>
        <v>0.1</v>
      </c>
      <c r="AK137" s="1001">
        <f t="shared" si="599"/>
        <v>0.1</v>
      </c>
      <c r="AL137" s="1001">
        <f t="shared" si="599"/>
        <v>0.2</v>
      </c>
      <c r="AM137" s="1001">
        <f t="shared" si="599"/>
        <v>0.2</v>
      </c>
      <c r="AN137" s="1001">
        <f t="shared" si="599"/>
        <v>0.2</v>
      </c>
      <c r="AO137" s="1001">
        <f t="shared" si="599"/>
        <v>0.2</v>
      </c>
      <c r="AP137" s="1001">
        <f t="shared" si="599"/>
        <v>0.3</v>
      </c>
      <c r="AQ137" s="1001">
        <f t="shared" si="599"/>
        <v>0.3</v>
      </c>
      <c r="AR137" s="1001">
        <f t="shared" si="599"/>
        <v>0.3</v>
      </c>
      <c r="AS137" s="1001">
        <f t="shared" si="599"/>
        <v>0.4</v>
      </c>
      <c r="AT137" s="1001">
        <f t="shared" si="599"/>
        <v>0.4</v>
      </c>
      <c r="AU137" s="1001">
        <f t="shared" si="599"/>
        <v>0.4</v>
      </c>
      <c r="AV137" s="1001">
        <f t="shared" si="599"/>
        <v>0.5</v>
      </c>
      <c r="AW137" s="1001">
        <f t="shared" si="599"/>
        <v>0.5</v>
      </c>
      <c r="AX137" s="1001">
        <f t="shared" si="599"/>
        <v>0.5</v>
      </c>
      <c r="AY137" s="1001">
        <f t="shared" si="599"/>
        <v>0.5</v>
      </c>
      <c r="AZ137" s="1001">
        <f t="shared" si="599"/>
        <v>0.5</v>
      </c>
      <c r="BA137" s="1001">
        <f t="shared" si="599"/>
        <v>0.5</v>
      </c>
      <c r="BB137" s="1001">
        <f t="shared" si="599"/>
        <v>0.6</v>
      </c>
      <c r="BC137" s="1001">
        <f t="shared" si="599"/>
        <v>0.6</v>
      </c>
      <c r="BD137" s="1001">
        <f t="shared" si="599"/>
        <v>0.6</v>
      </c>
      <c r="BE137" s="1001">
        <f t="shared" ref="BE137" si="600">+BD139</f>
        <v>0.6</v>
      </c>
      <c r="BF137" s="1001">
        <f t="shared" ref="BF137" si="601">+BE139</f>
        <v>0.6</v>
      </c>
      <c r="BG137" s="1001">
        <f t="shared" ref="BG137" si="602">+BF139</f>
        <v>0.6</v>
      </c>
      <c r="BH137" s="1001">
        <f t="shared" ref="BH137" si="603">+BG139</f>
        <v>0.6</v>
      </c>
      <c r="BI137" s="1001">
        <f t="shared" ref="BI137" si="604">+BH139</f>
        <v>0.6</v>
      </c>
    </row>
    <row r="138" spans="1:61">
      <c r="A138" s="995" t="s">
        <v>136</v>
      </c>
      <c r="B138" s="995">
        <v>0</v>
      </c>
      <c r="C138" s="1002">
        <f t="shared" ref="C138:D138" si="605">C139-C137</f>
        <v>0</v>
      </c>
      <c r="D138" s="1002">
        <f t="shared" si="605"/>
        <v>0</v>
      </c>
      <c r="E138" s="1002">
        <f t="shared" ref="E138:Y138" si="606">E139-E137</f>
        <v>0</v>
      </c>
      <c r="F138" s="1002">
        <f t="shared" si="606"/>
        <v>0</v>
      </c>
      <c r="G138" s="1002">
        <f t="shared" si="606"/>
        <v>0</v>
      </c>
      <c r="H138" s="1002">
        <f t="shared" si="606"/>
        <v>0</v>
      </c>
      <c r="I138" s="1002">
        <f t="shared" si="606"/>
        <v>0</v>
      </c>
      <c r="J138" s="1002">
        <f t="shared" si="606"/>
        <v>0</v>
      </c>
      <c r="K138" s="1002">
        <f t="shared" si="606"/>
        <v>0</v>
      </c>
      <c r="L138" s="1002">
        <f t="shared" si="606"/>
        <v>0</v>
      </c>
      <c r="M138" s="1002">
        <f t="shared" si="606"/>
        <v>0</v>
      </c>
      <c r="N138" s="1002">
        <f t="shared" si="606"/>
        <v>0</v>
      </c>
      <c r="O138" s="1002">
        <f t="shared" si="606"/>
        <v>0</v>
      </c>
      <c r="P138" s="1002">
        <f t="shared" si="606"/>
        <v>0</v>
      </c>
      <c r="Q138" s="1002">
        <f t="shared" si="606"/>
        <v>0</v>
      </c>
      <c r="R138" s="1002">
        <f t="shared" si="606"/>
        <v>0</v>
      </c>
      <c r="S138" s="1002">
        <f t="shared" si="606"/>
        <v>0</v>
      </c>
      <c r="T138" s="1002">
        <f t="shared" si="606"/>
        <v>0</v>
      </c>
      <c r="U138" s="1002">
        <f t="shared" si="606"/>
        <v>0</v>
      </c>
      <c r="V138" s="1002">
        <f t="shared" si="606"/>
        <v>0</v>
      </c>
      <c r="W138" s="1002">
        <f t="shared" si="606"/>
        <v>0</v>
      </c>
      <c r="X138" s="1002">
        <f t="shared" si="606"/>
        <v>0</v>
      </c>
      <c r="Y138" s="1002">
        <f t="shared" si="606"/>
        <v>0</v>
      </c>
      <c r="Z138" s="1002">
        <f t="shared" ref="Z138:AX138" si="607">Z139-Z137</f>
        <v>0</v>
      </c>
      <c r="AA138" s="1002">
        <f t="shared" si="607"/>
        <v>0</v>
      </c>
      <c r="AB138" s="1002">
        <f t="shared" si="607"/>
        <v>0</v>
      </c>
      <c r="AC138" s="1002">
        <f t="shared" si="607"/>
        <v>0</v>
      </c>
      <c r="AD138" s="1002">
        <f t="shared" si="607"/>
        <v>0</v>
      </c>
      <c r="AE138" s="1002">
        <f t="shared" si="607"/>
        <v>0</v>
      </c>
      <c r="AF138" s="1002">
        <f t="shared" si="607"/>
        <v>0</v>
      </c>
      <c r="AG138" s="1002">
        <f t="shared" si="607"/>
        <v>0</v>
      </c>
      <c r="AH138" s="1002">
        <f t="shared" si="607"/>
        <v>0</v>
      </c>
      <c r="AI138" s="1002">
        <f t="shared" si="607"/>
        <v>0.1</v>
      </c>
      <c r="AJ138" s="1002">
        <f t="shared" si="607"/>
        <v>0</v>
      </c>
      <c r="AK138" s="1002">
        <f t="shared" si="607"/>
        <v>0.1</v>
      </c>
      <c r="AL138" s="1002">
        <f t="shared" si="607"/>
        <v>0</v>
      </c>
      <c r="AM138" s="1002">
        <f t="shared" si="607"/>
        <v>0</v>
      </c>
      <c r="AN138" s="1002">
        <f t="shared" si="607"/>
        <v>0</v>
      </c>
      <c r="AO138" s="1002">
        <f t="shared" si="607"/>
        <v>9.9999999999999978E-2</v>
      </c>
      <c r="AP138" s="1002">
        <f t="shared" si="607"/>
        <v>0</v>
      </c>
      <c r="AQ138" s="1002">
        <f t="shared" si="607"/>
        <v>0</v>
      </c>
      <c r="AR138" s="1002">
        <f t="shared" si="607"/>
        <v>0.10000000000000003</v>
      </c>
      <c r="AS138" s="1002">
        <f t="shared" si="607"/>
        <v>0</v>
      </c>
      <c r="AT138" s="1002">
        <f t="shared" si="607"/>
        <v>0</v>
      </c>
      <c r="AU138" s="1002">
        <f t="shared" si="607"/>
        <v>9.9999999999999978E-2</v>
      </c>
      <c r="AV138" s="1002">
        <f t="shared" si="607"/>
        <v>0</v>
      </c>
      <c r="AW138" s="1002">
        <f t="shared" si="607"/>
        <v>0</v>
      </c>
      <c r="AX138" s="1002">
        <f t="shared" si="607"/>
        <v>0</v>
      </c>
      <c r="AY138" s="1002">
        <f t="shared" ref="AY138:AZ138" si="608">AY139-AY137</f>
        <v>0</v>
      </c>
      <c r="AZ138" s="1002">
        <f t="shared" si="608"/>
        <v>0</v>
      </c>
      <c r="BA138" s="1002">
        <f t="shared" ref="BA138:BB138" si="609">BA139-BA137</f>
        <v>9.9999999999999978E-2</v>
      </c>
      <c r="BB138" s="1002">
        <f t="shared" si="609"/>
        <v>0</v>
      </c>
      <c r="BC138" s="1002">
        <f t="shared" ref="BC138:BD138" si="610">BC139-BC137</f>
        <v>0</v>
      </c>
      <c r="BD138" s="1002">
        <f t="shared" si="610"/>
        <v>0</v>
      </c>
      <c r="BE138" s="1002">
        <f t="shared" ref="BE138:BI138" si="611">BE139-BE137</f>
        <v>0</v>
      </c>
      <c r="BF138" s="1002">
        <f t="shared" si="611"/>
        <v>0</v>
      </c>
      <c r="BG138" s="1002">
        <f t="shared" si="611"/>
        <v>0</v>
      </c>
      <c r="BH138" s="1002">
        <f t="shared" si="611"/>
        <v>0</v>
      </c>
      <c r="BI138" s="1002">
        <f t="shared" si="611"/>
        <v>0</v>
      </c>
    </row>
    <row r="139" spans="1:61">
      <c r="A139" s="997" t="s">
        <v>715</v>
      </c>
      <c r="B139" s="997"/>
      <c r="C139" s="997">
        <v>0</v>
      </c>
      <c r="D139" s="997">
        <v>0</v>
      </c>
      <c r="E139" s="997">
        <v>0</v>
      </c>
      <c r="F139" s="997">
        <v>0</v>
      </c>
      <c r="G139" s="997">
        <v>0</v>
      </c>
      <c r="H139" s="997">
        <v>0</v>
      </c>
      <c r="I139" s="997">
        <v>0</v>
      </c>
      <c r="J139" s="997">
        <v>0</v>
      </c>
      <c r="K139" s="997">
        <v>0</v>
      </c>
      <c r="L139" s="997">
        <v>0</v>
      </c>
      <c r="M139" s="997">
        <v>0</v>
      </c>
      <c r="N139" s="997">
        <v>0</v>
      </c>
      <c r="O139" s="997">
        <v>0</v>
      </c>
      <c r="P139" s="997">
        <v>0</v>
      </c>
      <c r="Q139" s="997">
        <v>0</v>
      </c>
      <c r="R139" s="997">
        <v>0</v>
      </c>
      <c r="S139" s="997">
        <v>0</v>
      </c>
      <c r="T139" s="997">
        <v>0</v>
      </c>
      <c r="U139" s="997">
        <v>0</v>
      </c>
      <c r="V139" s="997">
        <v>0</v>
      </c>
      <c r="W139" s="997">
        <v>0</v>
      </c>
      <c r="X139" s="997">
        <v>0</v>
      </c>
      <c r="Y139" s="997">
        <v>0</v>
      </c>
      <c r="Z139" s="1003">
        <v>0</v>
      </c>
      <c r="AA139" s="1003">
        <v>0</v>
      </c>
      <c r="AB139" s="1003">
        <v>0</v>
      </c>
      <c r="AC139" s="1003">
        <v>0</v>
      </c>
      <c r="AD139" s="1003">
        <v>0</v>
      </c>
      <c r="AE139" s="1003">
        <v>0</v>
      </c>
      <c r="AF139" s="1003">
        <v>0</v>
      </c>
      <c r="AG139" s="1003">
        <v>0</v>
      </c>
      <c r="AH139" s="1003">
        <v>0</v>
      </c>
      <c r="AI139" s="1003">
        <v>0.1</v>
      </c>
      <c r="AJ139" s="1003">
        <v>0.1</v>
      </c>
      <c r="AK139" s="1003">
        <v>0.2</v>
      </c>
      <c r="AL139" s="1003">
        <v>0.2</v>
      </c>
      <c r="AM139" s="1003">
        <v>0.2</v>
      </c>
      <c r="AN139" s="1003">
        <v>0.2</v>
      </c>
      <c r="AO139" s="1003">
        <v>0.3</v>
      </c>
      <c r="AP139" s="1003">
        <v>0.3</v>
      </c>
      <c r="AQ139" s="1003">
        <v>0.3</v>
      </c>
      <c r="AR139" s="1003">
        <v>0.4</v>
      </c>
      <c r="AS139" s="1003">
        <v>0.4</v>
      </c>
      <c r="AT139" s="1003">
        <v>0.4</v>
      </c>
      <c r="AU139" s="1003">
        <v>0.5</v>
      </c>
      <c r="AV139" s="1003">
        <v>0.5</v>
      </c>
      <c r="AW139" s="1003">
        <v>0.5</v>
      </c>
      <c r="AX139" s="1003">
        <v>0.5</v>
      </c>
      <c r="AY139" s="1003">
        <v>0.5</v>
      </c>
      <c r="AZ139" s="1003">
        <v>0.5</v>
      </c>
      <c r="BA139" s="1003">
        <v>0.6</v>
      </c>
      <c r="BB139" s="1003">
        <v>0.6</v>
      </c>
      <c r="BC139" s="1003">
        <v>0.6</v>
      </c>
      <c r="BD139" s="1003">
        <v>0.6</v>
      </c>
      <c r="BE139" s="1003">
        <v>0.6</v>
      </c>
      <c r="BF139" s="1003">
        <v>0.6</v>
      </c>
      <c r="BG139" s="1003">
        <v>0.6</v>
      </c>
      <c r="BH139" s="1003">
        <v>0.6</v>
      </c>
      <c r="BI139" s="1003">
        <v>0.6</v>
      </c>
    </row>
    <row r="140" spans="1:61">
      <c r="Z140" s="1001"/>
      <c r="AA140" s="1001"/>
      <c r="AB140" s="1001"/>
      <c r="AC140" s="1001"/>
      <c r="AD140" s="1001"/>
      <c r="AE140" s="1001"/>
      <c r="AF140" s="1001"/>
      <c r="AG140" s="1001"/>
      <c r="AH140" s="1001"/>
      <c r="AI140" s="1001"/>
      <c r="AJ140" s="1001"/>
      <c r="AK140" s="1001"/>
      <c r="AL140" s="1001"/>
      <c r="AM140" s="1001"/>
      <c r="AN140" s="1001"/>
      <c r="AO140" s="1001"/>
      <c r="AP140" s="1001"/>
      <c r="AQ140" s="1001"/>
      <c r="AR140" s="1001"/>
      <c r="AS140" s="1001"/>
      <c r="AT140" s="1001"/>
      <c r="AU140" s="1001"/>
      <c r="AV140" s="1001"/>
      <c r="AW140" s="1001"/>
      <c r="AX140" s="1001"/>
      <c r="AY140" s="1001"/>
      <c r="AZ140" s="1001"/>
      <c r="BA140" s="1001"/>
      <c r="BB140" s="1001"/>
      <c r="BC140" s="1001"/>
      <c r="BD140" s="1001"/>
      <c r="BE140" s="1001"/>
    </row>
    <row r="141" spans="1:61">
      <c r="A141" s="991" t="s">
        <v>731</v>
      </c>
      <c r="B141" s="991" t="str">
        <f>B42</f>
        <v>1Q04</v>
      </c>
      <c r="C141" s="991" t="str">
        <f t="shared" ref="C141:Y141" si="612">C42</f>
        <v>2Q04</v>
      </c>
      <c r="D141" s="991" t="str">
        <f t="shared" si="612"/>
        <v>3Q04</v>
      </c>
      <c r="E141" s="991" t="str">
        <f t="shared" si="612"/>
        <v>4Q04</v>
      </c>
      <c r="F141" s="991" t="str">
        <f t="shared" si="612"/>
        <v>1Q05</v>
      </c>
      <c r="G141" s="991" t="str">
        <f t="shared" si="612"/>
        <v>2Q05</v>
      </c>
      <c r="H141" s="991" t="str">
        <f t="shared" si="612"/>
        <v>3Q05</v>
      </c>
      <c r="I141" s="991" t="str">
        <f t="shared" si="612"/>
        <v>4Q05</v>
      </c>
      <c r="J141" s="991" t="str">
        <f t="shared" si="612"/>
        <v>1Q06</v>
      </c>
      <c r="K141" s="991" t="str">
        <f t="shared" si="612"/>
        <v>2Q06</v>
      </c>
      <c r="L141" s="991" t="str">
        <f t="shared" si="612"/>
        <v>3Q06</v>
      </c>
      <c r="M141" s="991" t="str">
        <f t="shared" si="612"/>
        <v>4Q06</v>
      </c>
      <c r="N141" s="991" t="str">
        <f t="shared" si="612"/>
        <v>1Q07</v>
      </c>
      <c r="O141" s="991" t="str">
        <f t="shared" si="612"/>
        <v>2Q07</v>
      </c>
      <c r="P141" s="991" t="str">
        <f t="shared" si="612"/>
        <v>3Q07</v>
      </c>
      <c r="Q141" s="991" t="str">
        <f t="shared" si="612"/>
        <v>4Q07</v>
      </c>
      <c r="R141" s="991" t="str">
        <f t="shared" si="612"/>
        <v>1Q08</v>
      </c>
      <c r="S141" s="991" t="str">
        <f t="shared" si="612"/>
        <v>2Q08</v>
      </c>
      <c r="T141" s="991" t="str">
        <f t="shared" si="612"/>
        <v>3Q08</v>
      </c>
      <c r="U141" s="991" t="str">
        <f t="shared" si="612"/>
        <v>4Q08</v>
      </c>
      <c r="V141" s="991" t="str">
        <f t="shared" si="612"/>
        <v>1Q09</v>
      </c>
      <c r="W141" s="991" t="str">
        <f t="shared" si="612"/>
        <v>2Q09</v>
      </c>
      <c r="X141" s="991" t="str">
        <f t="shared" si="612"/>
        <v>3Q09</v>
      </c>
      <c r="Y141" s="991" t="str">
        <f t="shared" si="612"/>
        <v>4Q09</v>
      </c>
      <c r="Z141" s="991" t="s">
        <v>447</v>
      </c>
      <c r="AA141" s="991" t="s">
        <v>448</v>
      </c>
      <c r="AB141" s="991" t="s">
        <v>453</v>
      </c>
      <c r="AC141" s="991" t="s">
        <v>454</v>
      </c>
      <c r="AD141" s="991" t="s">
        <v>449</v>
      </c>
      <c r="AE141" s="991" t="s">
        <v>450</v>
      </c>
      <c r="AF141" s="991" t="s">
        <v>451</v>
      </c>
      <c r="AG141" s="991" t="s">
        <v>452</v>
      </c>
      <c r="AH141" s="991" t="s">
        <v>265</v>
      </c>
      <c r="AI141" s="991" t="s">
        <v>125</v>
      </c>
      <c r="AJ141" s="991" t="s">
        <v>266</v>
      </c>
      <c r="AK141" s="991" t="s">
        <v>267</v>
      </c>
      <c r="AL141" s="991" t="s">
        <v>724</v>
      </c>
      <c r="AM141" s="991" t="s">
        <v>723</v>
      </c>
      <c r="AN141" s="991" t="s">
        <v>722</v>
      </c>
      <c r="AO141" s="991" t="s">
        <v>721</v>
      </c>
      <c r="AP141" s="991" t="s">
        <v>671</v>
      </c>
      <c r="AQ141" s="991" t="s">
        <v>477</v>
      </c>
      <c r="AR141" s="991" t="s">
        <v>672</v>
      </c>
      <c r="AS141" s="991" t="s">
        <v>673</v>
      </c>
      <c r="AT141" s="991" t="s">
        <v>720</v>
      </c>
      <c r="AU141" s="991" t="s">
        <v>719</v>
      </c>
      <c r="AV141" s="991" t="s">
        <v>718</v>
      </c>
      <c r="AW141" s="991" t="s">
        <v>717</v>
      </c>
      <c r="AX141" s="991" t="str">
        <f>$AX$42</f>
        <v>1Q16</v>
      </c>
      <c r="AY141" s="991" t="str">
        <f>$AY$42</f>
        <v>2Q16</v>
      </c>
      <c r="AZ141" s="992" t="s">
        <v>704</v>
      </c>
      <c r="BA141" s="992" t="s">
        <v>705</v>
      </c>
      <c r="BB141" s="992" t="str">
        <f>BB119</f>
        <v>1Q17</v>
      </c>
      <c r="BC141" s="992" t="str">
        <f>BC119</f>
        <v>2Q17</v>
      </c>
      <c r="BD141" s="992" t="str">
        <f>BD119</f>
        <v>3Q17</v>
      </c>
      <c r="BE141" s="992" t="str">
        <f>BE119</f>
        <v>4Q17</v>
      </c>
    </row>
    <row r="142" spans="1:61">
      <c r="A142" s="993" t="s">
        <v>728</v>
      </c>
      <c r="B142" s="993">
        <v>0</v>
      </c>
      <c r="C142" s="993">
        <f>B145</f>
        <v>0</v>
      </c>
      <c r="D142" s="993">
        <f t="shared" ref="D142:Y142" si="613">C145</f>
        <v>0</v>
      </c>
      <c r="E142" s="993">
        <f t="shared" si="613"/>
        <v>0</v>
      </c>
      <c r="F142" s="993">
        <f t="shared" si="613"/>
        <v>0</v>
      </c>
      <c r="G142" s="993">
        <f t="shared" si="613"/>
        <v>0</v>
      </c>
      <c r="H142" s="993">
        <f t="shared" si="613"/>
        <v>0</v>
      </c>
      <c r="I142" s="993">
        <f t="shared" si="613"/>
        <v>0</v>
      </c>
      <c r="J142" s="993">
        <f t="shared" si="613"/>
        <v>0</v>
      </c>
      <c r="K142" s="993">
        <f t="shared" si="613"/>
        <v>0</v>
      </c>
      <c r="L142" s="993">
        <f t="shared" si="613"/>
        <v>0</v>
      </c>
      <c r="M142" s="993">
        <f t="shared" si="613"/>
        <v>0</v>
      </c>
      <c r="N142" s="993">
        <f t="shared" si="613"/>
        <v>0</v>
      </c>
      <c r="O142" s="993">
        <f t="shared" si="613"/>
        <v>0</v>
      </c>
      <c r="P142" s="993">
        <f t="shared" si="613"/>
        <v>0</v>
      </c>
      <c r="Q142" s="993">
        <f t="shared" si="613"/>
        <v>0</v>
      </c>
      <c r="R142" s="993">
        <f t="shared" si="613"/>
        <v>0</v>
      </c>
      <c r="S142" s="993">
        <f t="shared" si="613"/>
        <v>0</v>
      </c>
      <c r="T142" s="993">
        <f t="shared" si="613"/>
        <v>0</v>
      </c>
      <c r="U142" s="993">
        <f t="shared" si="613"/>
        <v>0</v>
      </c>
      <c r="V142" s="993">
        <f t="shared" si="613"/>
        <v>0</v>
      </c>
      <c r="W142" s="993">
        <f t="shared" si="613"/>
        <v>0</v>
      </c>
      <c r="X142" s="993">
        <f t="shared" si="613"/>
        <v>0</v>
      </c>
      <c r="Y142" s="993">
        <f t="shared" si="613"/>
        <v>0</v>
      </c>
      <c r="Z142" s="1001">
        <v>0</v>
      </c>
      <c r="AA142" s="1001">
        <f t="shared" ref="AA142:BE142" si="614">+Z145</f>
        <v>0</v>
      </c>
      <c r="AB142" s="1001">
        <f t="shared" si="614"/>
        <v>0</v>
      </c>
      <c r="AC142" s="1001">
        <f t="shared" si="614"/>
        <v>0</v>
      </c>
      <c r="AD142" s="1001">
        <f t="shared" si="614"/>
        <v>0</v>
      </c>
      <c r="AE142" s="1001">
        <f t="shared" si="614"/>
        <v>0</v>
      </c>
      <c r="AF142" s="1001">
        <f t="shared" si="614"/>
        <v>0</v>
      </c>
      <c r="AG142" s="1001">
        <f t="shared" si="614"/>
        <v>0</v>
      </c>
      <c r="AH142" s="1001">
        <f t="shared" si="614"/>
        <v>0</v>
      </c>
      <c r="AI142" s="1001">
        <f t="shared" si="614"/>
        <v>0</v>
      </c>
      <c r="AJ142" s="1001">
        <f t="shared" si="614"/>
        <v>0</v>
      </c>
      <c r="AK142" s="1001">
        <f t="shared" si="614"/>
        <v>1</v>
      </c>
      <c r="AL142" s="1001">
        <f t="shared" si="614"/>
        <v>1</v>
      </c>
      <c r="AM142" s="1001">
        <f t="shared" si="614"/>
        <v>1</v>
      </c>
      <c r="AN142" s="1001">
        <f t="shared" si="614"/>
        <v>1</v>
      </c>
      <c r="AO142" s="1001">
        <f t="shared" si="614"/>
        <v>1</v>
      </c>
      <c r="AP142" s="1001">
        <f t="shared" si="614"/>
        <v>1</v>
      </c>
      <c r="AQ142" s="1001">
        <f t="shared" si="614"/>
        <v>1</v>
      </c>
      <c r="AR142" s="1001">
        <f t="shared" si="614"/>
        <v>1</v>
      </c>
      <c r="AS142" s="1001">
        <f t="shared" si="614"/>
        <v>1</v>
      </c>
      <c r="AT142" s="1001">
        <f t="shared" si="614"/>
        <v>1</v>
      </c>
      <c r="AU142" s="1001">
        <f t="shared" si="614"/>
        <v>0</v>
      </c>
      <c r="AV142" s="1001">
        <f t="shared" si="614"/>
        <v>0</v>
      </c>
      <c r="AW142" s="1001">
        <f t="shared" si="614"/>
        <v>0</v>
      </c>
      <c r="AX142" s="1001">
        <f t="shared" si="614"/>
        <v>0</v>
      </c>
      <c r="AY142" s="1001">
        <f t="shared" si="614"/>
        <v>0</v>
      </c>
      <c r="AZ142" s="1001">
        <f t="shared" si="614"/>
        <v>0</v>
      </c>
      <c r="BA142" s="1001">
        <f t="shared" si="614"/>
        <v>0</v>
      </c>
      <c r="BB142" s="1001">
        <f t="shared" si="614"/>
        <v>0</v>
      </c>
      <c r="BC142" s="1001">
        <f t="shared" si="614"/>
        <v>0</v>
      </c>
      <c r="BD142" s="1001">
        <f t="shared" si="614"/>
        <v>0</v>
      </c>
      <c r="BE142" s="1001">
        <f t="shared" si="614"/>
        <v>0</v>
      </c>
    </row>
    <row r="143" spans="1:61">
      <c r="A143" s="993" t="s">
        <v>727</v>
      </c>
      <c r="B143" s="993">
        <v>0</v>
      </c>
      <c r="C143" s="993">
        <v>0</v>
      </c>
      <c r="D143" s="993">
        <v>0</v>
      </c>
      <c r="E143" s="993">
        <v>0</v>
      </c>
      <c r="F143" s="993">
        <v>0</v>
      </c>
      <c r="G143" s="993">
        <v>0</v>
      </c>
      <c r="H143" s="993">
        <v>0</v>
      </c>
      <c r="I143" s="993">
        <v>0</v>
      </c>
      <c r="J143" s="993">
        <v>0</v>
      </c>
      <c r="K143" s="993">
        <v>0</v>
      </c>
      <c r="L143" s="993">
        <v>0</v>
      </c>
      <c r="M143" s="993">
        <v>0</v>
      </c>
      <c r="N143" s="993">
        <v>0</v>
      </c>
      <c r="O143" s="993">
        <v>0</v>
      </c>
      <c r="P143" s="993">
        <v>0</v>
      </c>
      <c r="Q143" s="993">
        <v>0</v>
      </c>
      <c r="R143" s="993">
        <v>0</v>
      </c>
      <c r="S143" s="993">
        <v>0</v>
      </c>
      <c r="T143" s="993">
        <v>0</v>
      </c>
      <c r="U143" s="993">
        <v>0</v>
      </c>
      <c r="V143" s="993">
        <v>0</v>
      </c>
      <c r="W143" s="993">
        <v>0</v>
      </c>
      <c r="X143" s="993">
        <v>0</v>
      </c>
      <c r="Y143" s="993">
        <v>0</v>
      </c>
      <c r="Z143" s="1001">
        <v>0</v>
      </c>
      <c r="AA143" s="1001">
        <v>0</v>
      </c>
      <c r="AB143" s="1001">
        <v>0</v>
      </c>
      <c r="AC143" s="1001">
        <v>0</v>
      </c>
      <c r="AD143" s="1001">
        <v>0</v>
      </c>
      <c r="AE143" s="1001">
        <v>0</v>
      </c>
      <c r="AF143" s="1001">
        <v>0</v>
      </c>
      <c r="AG143" s="1001">
        <v>0</v>
      </c>
      <c r="AH143" s="1001">
        <v>0</v>
      </c>
      <c r="AI143" s="1001">
        <v>0</v>
      </c>
      <c r="AJ143" s="1001">
        <v>1</v>
      </c>
      <c r="AK143" s="1001">
        <v>0</v>
      </c>
      <c r="AL143" s="1001">
        <v>0</v>
      </c>
      <c r="AM143" s="1001">
        <v>0</v>
      </c>
      <c r="AN143" s="1001">
        <v>0</v>
      </c>
      <c r="AO143" s="1001">
        <v>0</v>
      </c>
      <c r="AP143" s="1001">
        <v>0</v>
      </c>
      <c r="AQ143" s="1001">
        <v>0</v>
      </c>
      <c r="AR143" s="1001">
        <v>0</v>
      </c>
      <c r="AS143" s="1001">
        <v>0</v>
      </c>
      <c r="AT143" s="1001">
        <v>0</v>
      </c>
      <c r="AU143" s="1001">
        <v>0</v>
      </c>
      <c r="AV143" s="1001">
        <v>0</v>
      </c>
      <c r="AW143" s="1001">
        <v>0</v>
      </c>
      <c r="AX143" s="1001">
        <v>0</v>
      </c>
      <c r="AY143" s="1001">
        <v>0</v>
      </c>
      <c r="AZ143" s="1001">
        <v>0</v>
      </c>
      <c r="BA143" s="1001">
        <v>0</v>
      </c>
      <c r="BB143" s="1001">
        <v>0</v>
      </c>
      <c r="BC143" s="1001">
        <v>0</v>
      </c>
      <c r="BD143" s="1001">
        <v>0</v>
      </c>
      <c r="BE143" s="1001">
        <v>0</v>
      </c>
    </row>
    <row r="144" spans="1:61">
      <c r="A144" s="995" t="s">
        <v>726</v>
      </c>
      <c r="B144" s="995">
        <v>0</v>
      </c>
      <c r="C144" s="995">
        <v>0</v>
      </c>
      <c r="D144" s="995">
        <v>0</v>
      </c>
      <c r="E144" s="995">
        <v>0</v>
      </c>
      <c r="F144" s="995">
        <v>0</v>
      </c>
      <c r="G144" s="995">
        <v>0</v>
      </c>
      <c r="H144" s="995">
        <v>0</v>
      </c>
      <c r="I144" s="995">
        <v>0</v>
      </c>
      <c r="J144" s="995">
        <v>0</v>
      </c>
      <c r="K144" s="995">
        <v>0</v>
      </c>
      <c r="L144" s="995">
        <v>0</v>
      </c>
      <c r="M144" s="995">
        <v>0</v>
      </c>
      <c r="N144" s="995">
        <v>0</v>
      </c>
      <c r="O144" s="995">
        <v>0</v>
      </c>
      <c r="P144" s="995">
        <v>0</v>
      </c>
      <c r="Q144" s="995">
        <v>0</v>
      </c>
      <c r="R144" s="995">
        <v>0</v>
      </c>
      <c r="S144" s="995">
        <v>0</v>
      </c>
      <c r="T144" s="995">
        <v>0</v>
      </c>
      <c r="U144" s="995">
        <v>0</v>
      </c>
      <c r="V144" s="995">
        <v>0</v>
      </c>
      <c r="W144" s="995">
        <v>0</v>
      </c>
      <c r="X144" s="995">
        <v>0</v>
      </c>
      <c r="Y144" s="995">
        <v>0</v>
      </c>
      <c r="Z144" s="1002">
        <v>0</v>
      </c>
      <c r="AA144" s="1002">
        <v>0</v>
      </c>
      <c r="AB144" s="1002">
        <v>0</v>
      </c>
      <c r="AC144" s="1002">
        <v>0</v>
      </c>
      <c r="AD144" s="1002">
        <v>0</v>
      </c>
      <c r="AE144" s="1002">
        <v>0</v>
      </c>
      <c r="AF144" s="1002">
        <v>0</v>
      </c>
      <c r="AG144" s="1002">
        <v>0</v>
      </c>
      <c r="AH144" s="1002">
        <v>0</v>
      </c>
      <c r="AI144" s="1002">
        <v>0</v>
      </c>
      <c r="AJ144" s="1002">
        <v>0</v>
      </c>
      <c r="AK144" s="1002">
        <v>0</v>
      </c>
      <c r="AL144" s="1002">
        <v>0</v>
      </c>
      <c r="AM144" s="1002">
        <v>0</v>
      </c>
      <c r="AN144" s="1002">
        <v>0</v>
      </c>
      <c r="AO144" s="1002">
        <v>0</v>
      </c>
      <c r="AP144" s="1002">
        <v>0</v>
      </c>
      <c r="AQ144" s="1002">
        <v>0</v>
      </c>
      <c r="AR144" s="1002">
        <v>0</v>
      </c>
      <c r="AS144" s="1002">
        <v>0</v>
      </c>
      <c r="AT144" s="1002">
        <v>1</v>
      </c>
      <c r="AU144" s="1002">
        <v>0</v>
      </c>
      <c r="AV144" s="1002">
        <v>0</v>
      </c>
      <c r="AW144" s="1002">
        <v>0</v>
      </c>
      <c r="AX144" s="1002">
        <v>0</v>
      </c>
      <c r="AY144" s="1002">
        <v>0</v>
      </c>
      <c r="AZ144" s="1002">
        <v>0</v>
      </c>
      <c r="BA144" s="1002">
        <v>0</v>
      </c>
      <c r="BB144" s="1002">
        <v>0</v>
      </c>
      <c r="BC144" s="1002">
        <v>0</v>
      </c>
      <c r="BD144" s="1002">
        <v>0</v>
      </c>
      <c r="BE144" s="1002">
        <v>0</v>
      </c>
    </row>
    <row r="145" spans="1:61">
      <c r="A145" s="997" t="s">
        <v>725</v>
      </c>
      <c r="B145" s="997">
        <f>B142+B143-B144</f>
        <v>0</v>
      </c>
      <c r="C145" s="997">
        <f>C142+C143-C144</f>
        <v>0</v>
      </c>
      <c r="D145" s="997">
        <f t="shared" ref="D145:Y145" si="615">D142+D143-D144</f>
        <v>0</v>
      </c>
      <c r="E145" s="997">
        <f t="shared" si="615"/>
        <v>0</v>
      </c>
      <c r="F145" s="997">
        <f t="shared" si="615"/>
        <v>0</v>
      </c>
      <c r="G145" s="997">
        <f t="shared" si="615"/>
        <v>0</v>
      </c>
      <c r="H145" s="997">
        <f t="shared" si="615"/>
        <v>0</v>
      </c>
      <c r="I145" s="997">
        <f t="shared" si="615"/>
        <v>0</v>
      </c>
      <c r="J145" s="997">
        <f t="shared" si="615"/>
        <v>0</v>
      </c>
      <c r="K145" s="997">
        <f t="shared" si="615"/>
        <v>0</v>
      </c>
      <c r="L145" s="997">
        <f t="shared" si="615"/>
        <v>0</v>
      </c>
      <c r="M145" s="997">
        <f t="shared" si="615"/>
        <v>0</v>
      </c>
      <c r="N145" s="997">
        <f t="shared" si="615"/>
        <v>0</v>
      </c>
      <c r="O145" s="997">
        <f t="shared" si="615"/>
        <v>0</v>
      </c>
      <c r="P145" s="997">
        <f t="shared" si="615"/>
        <v>0</v>
      </c>
      <c r="Q145" s="997">
        <f t="shared" si="615"/>
        <v>0</v>
      </c>
      <c r="R145" s="997">
        <f t="shared" si="615"/>
        <v>0</v>
      </c>
      <c r="S145" s="997">
        <f t="shared" si="615"/>
        <v>0</v>
      </c>
      <c r="T145" s="997">
        <f t="shared" si="615"/>
        <v>0</v>
      </c>
      <c r="U145" s="997">
        <f t="shared" si="615"/>
        <v>0</v>
      </c>
      <c r="V145" s="997">
        <f t="shared" si="615"/>
        <v>0</v>
      </c>
      <c r="W145" s="997">
        <f t="shared" si="615"/>
        <v>0</v>
      </c>
      <c r="X145" s="997">
        <f t="shared" si="615"/>
        <v>0</v>
      </c>
      <c r="Y145" s="997">
        <f t="shared" si="615"/>
        <v>0</v>
      </c>
      <c r="Z145" s="1003">
        <f t="shared" ref="Z145:AX145" si="616">Z142+Z143-Z144</f>
        <v>0</v>
      </c>
      <c r="AA145" s="1003">
        <f t="shared" si="616"/>
        <v>0</v>
      </c>
      <c r="AB145" s="1003">
        <f t="shared" si="616"/>
        <v>0</v>
      </c>
      <c r="AC145" s="1003">
        <f t="shared" si="616"/>
        <v>0</v>
      </c>
      <c r="AD145" s="1003">
        <f t="shared" si="616"/>
        <v>0</v>
      </c>
      <c r="AE145" s="1003">
        <f t="shared" si="616"/>
        <v>0</v>
      </c>
      <c r="AF145" s="1003">
        <f t="shared" si="616"/>
        <v>0</v>
      </c>
      <c r="AG145" s="1003">
        <f t="shared" si="616"/>
        <v>0</v>
      </c>
      <c r="AH145" s="1003">
        <f t="shared" si="616"/>
        <v>0</v>
      </c>
      <c r="AI145" s="1003">
        <f t="shared" si="616"/>
        <v>0</v>
      </c>
      <c r="AJ145" s="1003">
        <f t="shared" si="616"/>
        <v>1</v>
      </c>
      <c r="AK145" s="1003">
        <f t="shared" si="616"/>
        <v>1</v>
      </c>
      <c r="AL145" s="1003">
        <f t="shared" si="616"/>
        <v>1</v>
      </c>
      <c r="AM145" s="1003">
        <f t="shared" si="616"/>
        <v>1</v>
      </c>
      <c r="AN145" s="1003">
        <f t="shared" si="616"/>
        <v>1</v>
      </c>
      <c r="AO145" s="1003">
        <f t="shared" si="616"/>
        <v>1</v>
      </c>
      <c r="AP145" s="1003">
        <f t="shared" si="616"/>
        <v>1</v>
      </c>
      <c r="AQ145" s="1003">
        <f t="shared" si="616"/>
        <v>1</v>
      </c>
      <c r="AR145" s="1003">
        <f t="shared" si="616"/>
        <v>1</v>
      </c>
      <c r="AS145" s="1003">
        <f t="shared" si="616"/>
        <v>1</v>
      </c>
      <c r="AT145" s="1003">
        <f t="shared" si="616"/>
        <v>0</v>
      </c>
      <c r="AU145" s="1003">
        <f t="shared" si="616"/>
        <v>0</v>
      </c>
      <c r="AV145" s="1003">
        <f t="shared" si="616"/>
        <v>0</v>
      </c>
      <c r="AW145" s="1003">
        <f t="shared" si="616"/>
        <v>0</v>
      </c>
      <c r="AX145" s="1003">
        <f t="shared" si="616"/>
        <v>0</v>
      </c>
      <c r="AY145" s="1003">
        <f t="shared" ref="AY145:AZ145" si="617">AY142+AY143-AY144</f>
        <v>0</v>
      </c>
      <c r="AZ145" s="1003">
        <f t="shared" si="617"/>
        <v>0</v>
      </c>
      <c r="BA145" s="1003">
        <f t="shared" ref="BA145:BB145" si="618">BA142+BA143-BA144</f>
        <v>0</v>
      </c>
      <c r="BB145" s="1003">
        <f t="shared" si="618"/>
        <v>0</v>
      </c>
      <c r="BC145" s="1003">
        <f t="shared" ref="BC145:BD145" si="619">BC142+BC143-BC144</f>
        <v>0</v>
      </c>
      <c r="BD145" s="1003">
        <f t="shared" si="619"/>
        <v>0</v>
      </c>
      <c r="BE145" s="1003">
        <f t="shared" ref="BE145" si="620">BE142+BE143-BE144</f>
        <v>0</v>
      </c>
    </row>
    <row r="147" spans="1:61">
      <c r="A147" s="991" t="s">
        <v>731</v>
      </c>
      <c r="B147" s="991" t="str">
        <f>B42</f>
        <v>1Q04</v>
      </c>
      <c r="C147" s="991" t="str">
        <f t="shared" ref="C147:Y147" si="621">C42</f>
        <v>2Q04</v>
      </c>
      <c r="D147" s="991" t="str">
        <f t="shared" si="621"/>
        <v>3Q04</v>
      </c>
      <c r="E147" s="991" t="str">
        <f t="shared" si="621"/>
        <v>4Q04</v>
      </c>
      <c r="F147" s="991" t="str">
        <f t="shared" si="621"/>
        <v>1Q05</v>
      </c>
      <c r="G147" s="991" t="str">
        <f t="shared" si="621"/>
        <v>2Q05</v>
      </c>
      <c r="H147" s="991" t="str">
        <f t="shared" si="621"/>
        <v>3Q05</v>
      </c>
      <c r="I147" s="991" t="str">
        <f t="shared" si="621"/>
        <v>4Q05</v>
      </c>
      <c r="J147" s="991" t="str">
        <f t="shared" si="621"/>
        <v>1Q06</v>
      </c>
      <c r="K147" s="991" t="str">
        <f t="shared" si="621"/>
        <v>2Q06</v>
      </c>
      <c r="L147" s="991" t="str">
        <f t="shared" si="621"/>
        <v>3Q06</v>
      </c>
      <c r="M147" s="991" t="str">
        <f t="shared" si="621"/>
        <v>4Q06</v>
      </c>
      <c r="N147" s="991" t="str">
        <f t="shared" si="621"/>
        <v>1Q07</v>
      </c>
      <c r="O147" s="991" t="str">
        <f t="shared" si="621"/>
        <v>2Q07</v>
      </c>
      <c r="P147" s="991" t="str">
        <f t="shared" si="621"/>
        <v>3Q07</v>
      </c>
      <c r="Q147" s="991" t="str">
        <f t="shared" si="621"/>
        <v>4Q07</v>
      </c>
      <c r="R147" s="991" t="str">
        <f t="shared" si="621"/>
        <v>1Q08</v>
      </c>
      <c r="S147" s="991" t="str">
        <f t="shared" si="621"/>
        <v>2Q08</v>
      </c>
      <c r="T147" s="991" t="str">
        <f t="shared" si="621"/>
        <v>3Q08</v>
      </c>
      <c r="U147" s="991" t="str">
        <f t="shared" si="621"/>
        <v>4Q08</v>
      </c>
      <c r="V147" s="991" t="str">
        <f t="shared" si="621"/>
        <v>1Q09</v>
      </c>
      <c r="W147" s="991" t="str">
        <f t="shared" si="621"/>
        <v>2Q09</v>
      </c>
      <c r="X147" s="991" t="str">
        <f t="shared" si="621"/>
        <v>3Q09</v>
      </c>
      <c r="Y147" s="991" t="str">
        <f t="shared" si="621"/>
        <v>4Q09</v>
      </c>
      <c r="Z147" s="991" t="s">
        <v>447</v>
      </c>
      <c r="AA147" s="991" t="s">
        <v>448</v>
      </c>
      <c r="AB147" s="991" t="s">
        <v>453</v>
      </c>
      <c r="AC147" s="991" t="s">
        <v>454</v>
      </c>
      <c r="AD147" s="991" t="s">
        <v>449</v>
      </c>
      <c r="AE147" s="991" t="s">
        <v>450</v>
      </c>
      <c r="AF147" s="991" t="s">
        <v>451</v>
      </c>
      <c r="AG147" s="991" t="s">
        <v>452</v>
      </c>
      <c r="AH147" s="991" t="s">
        <v>265</v>
      </c>
      <c r="AI147" s="991" t="s">
        <v>125</v>
      </c>
      <c r="AJ147" s="991" t="s">
        <v>266</v>
      </c>
      <c r="AK147" s="991" t="s">
        <v>267</v>
      </c>
      <c r="AL147" s="991" t="s">
        <v>724</v>
      </c>
      <c r="AM147" s="991" t="s">
        <v>723</v>
      </c>
      <c r="AN147" s="991" t="s">
        <v>722</v>
      </c>
      <c r="AO147" s="991" t="s">
        <v>721</v>
      </c>
      <c r="AP147" s="991" t="s">
        <v>671</v>
      </c>
      <c r="AQ147" s="991" t="s">
        <v>477</v>
      </c>
      <c r="AR147" s="991" t="s">
        <v>672</v>
      </c>
      <c r="AS147" s="991" t="s">
        <v>673</v>
      </c>
      <c r="AT147" s="991" t="s">
        <v>720</v>
      </c>
      <c r="AU147" s="991" t="s">
        <v>719</v>
      </c>
      <c r="AV147" s="991" t="s">
        <v>718</v>
      </c>
      <c r="AW147" s="991" t="s">
        <v>717</v>
      </c>
      <c r="AX147" s="991" t="str">
        <f>$AX$42</f>
        <v>1Q16</v>
      </c>
      <c r="AY147" s="991" t="str">
        <f>$AY$42</f>
        <v>2Q16</v>
      </c>
      <c r="AZ147" s="992" t="s">
        <v>704</v>
      </c>
      <c r="BA147" s="992" t="s">
        <v>705</v>
      </c>
      <c r="BB147" s="992" t="str">
        <f>BB119</f>
        <v>1Q17</v>
      </c>
      <c r="BC147" s="992" t="str">
        <f>BC119</f>
        <v>2Q17</v>
      </c>
      <c r="BD147" s="992" t="str">
        <f>BD119</f>
        <v>3Q17</v>
      </c>
      <c r="BE147" s="992" t="str">
        <f>BE119</f>
        <v>4Q17</v>
      </c>
    </row>
    <row r="148" spans="1:61">
      <c r="A148" s="993" t="s">
        <v>716</v>
      </c>
      <c r="C148" s="993">
        <v>0</v>
      </c>
      <c r="D148" s="993">
        <f>C150</f>
        <v>0</v>
      </c>
      <c r="E148" s="993">
        <f t="shared" ref="E148:Y148" si="622">D150</f>
        <v>0</v>
      </c>
      <c r="F148" s="993">
        <f t="shared" si="622"/>
        <v>0</v>
      </c>
      <c r="G148" s="993">
        <f t="shared" si="622"/>
        <v>0</v>
      </c>
      <c r="H148" s="993">
        <f t="shared" si="622"/>
        <v>0</v>
      </c>
      <c r="I148" s="993">
        <f t="shared" si="622"/>
        <v>0</v>
      </c>
      <c r="J148" s="993">
        <f t="shared" si="622"/>
        <v>0</v>
      </c>
      <c r="K148" s="993">
        <f t="shared" si="622"/>
        <v>0</v>
      </c>
      <c r="L148" s="993">
        <f t="shared" si="622"/>
        <v>0</v>
      </c>
      <c r="M148" s="993">
        <f t="shared" si="622"/>
        <v>0</v>
      </c>
      <c r="N148" s="993">
        <f t="shared" si="622"/>
        <v>0</v>
      </c>
      <c r="O148" s="993">
        <f t="shared" si="622"/>
        <v>0</v>
      </c>
      <c r="P148" s="993">
        <f t="shared" si="622"/>
        <v>0</v>
      </c>
      <c r="Q148" s="993">
        <f t="shared" si="622"/>
        <v>0</v>
      </c>
      <c r="R148" s="993">
        <f t="shared" si="622"/>
        <v>0</v>
      </c>
      <c r="S148" s="993">
        <f t="shared" si="622"/>
        <v>0</v>
      </c>
      <c r="T148" s="993">
        <f t="shared" si="622"/>
        <v>0</v>
      </c>
      <c r="U148" s="993">
        <f t="shared" si="622"/>
        <v>0</v>
      </c>
      <c r="V148" s="993">
        <f t="shared" si="622"/>
        <v>0</v>
      </c>
      <c r="W148" s="993">
        <f t="shared" si="622"/>
        <v>0</v>
      </c>
      <c r="X148" s="993">
        <f t="shared" si="622"/>
        <v>0</v>
      </c>
      <c r="Y148" s="993">
        <f t="shared" si="622"/>
        <v>0</v>
      </c>
      <c r="Z148" s="1001">
        <v>0</v>
      </c>
      <c r="AA148" s="1001">
        <f t="shared" ref="AA148:BE148" si="623">+Z150</f>
        <v>0</v>
      </c>
      <c r="AB148" s="1001">
        <f t="shared" si="623"/>
        <v>0</v>
      </c>
      <c r="AC148" s="1001">
        <f t="shared" si="623"/>
        <v>0</v>
      </c>
      <c r="AD148" s="1001">
        <f t="shared" si="623"/>
        <v>0</v>
      </c>
      <c r="AE148" s="1001">
        <f t="shared" si="623"/>
        <v>0</v>
      </c>
      <c r="AF148" s="1001">
        <f t="shared" si="623"/>
        <v>0</v>
      </c>
      <c r="AG148" s="1001">
        <f t="shared" si="623"/>
        <v>0</v>
      </c>
      <c r="AH148" s="1001">
        <f t="shared" si="623"/>
        <v>0</v>
      </c>
      <c r="AI148" s="1001">
        <f t="shared" si="623"/>
        <v>0</v>
      </c>
      <c r="AJ148" s="1001">
        <f t="shared" si="623"/>
        <v>0</v>
      </c>
      <c r="AK148" s="1001">
        <f t="shared" si="623"/>
        <v>0</v>
      </c>
      <c r="AL148" s="1001">
        <f t="shared" si="623"/>
        <v>0</v>
      </c>
      <c r="AM148" s="1001">
        <f t="shared" si="623"/>
        <v>0</v>
      </c>
      <c r="AN148" s="1001">
        <f t="shared" si="623"/>
        <v>0</v>
      </c>
      <c r="AO148" s="1001">
        <f t="shared" si="623"/>
        <v>0</v>
      </c>
      <c r="AP148" s="1001">
        <f t="shared" si="623"/>
        <v>0</v>
      </c>
      <c r="AQ148" s="1001">
        <f t="shared" si="623"/>
        <v>0</v>
      </c>
      <c r="AR148" s="1001">
        <f t="shared" si="623"/>
        <v>0</v>
      </c>
      <c r="AS148" s="1001">
        <f t="shared" si="623"/>
        <v>0</v>
      </c>
      <c r="AT148" s="1001">
        <f t="shared" si="623"/>
        <v>0</v>
      </c>
      <c r="AU148" s="1001">
        <f t="shared" si="623"/>
        <v>0</v>
      </c>
      <c r="AV148" s="1001">
        <f t="shared" si="623"/>
        <v>0</v>
      </c>
      <c r="AW148" s="1001">
        <f t="shared" si="623"/>
        <v>0</v>
      </c>
      <c r="AX148" s="1001">
        <f t="shared" si="623"/>
        <v>0</v>
      </c>
      <c r="AY148" s="1001">
        <f t="shared" si="623"/>
        <v>0</v>
      </c>
      <c r="AZ148" s="1001">
        <f t="shared" si="623"/>
        <v>0</v>
      </c>
      <c r="BA148" s="1001">
        <f t="shared" si="623"/>
        <v>0</v>
      </c>
      <c r="BB148" s="1001">
        <f t="shared" si="623"/>
        <v>0</v>
      </c>
      <c r="BC148" s="1001">
        <f t="shared" si="623"/>
        <v>0</v>
      </c>
      <c r="BD148" s="1001">
        <f t="shared" si="623"/>
        <v>0</v>
      </c>
      <c r="BE148" s="1001">
        <f t="shared" si="623"/>
        <v>0</v>
      </c>
    </row>
    <row r="149" spans="1:61">
      <c r="A149" s="995" t="s">
        <v>136</v>
      </c>
      <c r="B149" s="995"/>
      <c r="C149" s="1002">
        <f t="shared" ref="C149:D149" si="624">C150-C148</f>
        <v>0</v>
      </c>
      <c r="D149" s="1002">
        <f t="shared" si="624"/>
        <v>0</v>
      </c>
      <c r="E149" s="1002">
        <f t="shared" ref="E149:Y149" si="625">E150-E148</f>
        <v>0</v>
      </c>
      <c r="F149" s="1002">
        <f t="shared" si="625"/>
        <v>0</v>
      </c>
      <c r="G149" s="1002">
        <f t="shared" si="625"/>
        <v>0</v>
      </c>
      <c r="H149" s="1002">
        <f t="shared" si="625"/>
        <v>0</v>
      </c>
      <c r="I149" s="1002">
        <f t="shared" si="625"/>
        <v>0</v>
      </c>
      <c r="J149" s="1002">
        <f t="shared" si="625"/>
        <v>0</v>
      </c>
      <c r="K149" s="1002">
        <f t="shared" si="625"/>
        <v>0</v>
      </c>
      <c r="L149" s="1002">
        <f t="shared" si="625"/>
        <v>0</v>
      </c>
      <c r="M149" s="1002">
        <f t="shared" si="625"/>
        <v>0</v>
      </c>
      <c r="N149" s="1002">
        <f t="shared" si="625"/>
        <v>0</v>
      </c>
      <c r="O149" s="1002">
        <f t="shared" si="625"/>
        <v>0</v>
      </c>
      <c r="P149" s="1002">
        <f t="shared" si="625"/>
        <v>0</v>
      </c>
      <c r="Q149" s="1002">
        <f t="shared" si="625"/>
        <v>0</v>
      </c>
      <c r="R149" s="1002">
        <f t="shared" si="625"/>
        <v>0</v>
      </c>
      <c r="S149" s="1002">
        <f t="shared" si="625"/>
        <v>0</v>
      </c>
      <c r="T149" s="1002">
        <f t="shared" si="625"/>
        <v>0</v>
      </c>
      <c r="U149" s="1002">
        <f t="shared" si="625"/>
        <v>0</v>
      </c>
      <c r="V149" s="1002">
        <f t="shared" si="625"/>
        <v>0</v>
      </c>
      <c r="W149" s="1002">
        <f t="shared" si="625"/>
        <v>0</v>
      </c>
      <c r="X149" s="1002">
        <f t="shared" si="625"/>
        <v>0</v>
      </c>
      <c r="Y149" s="1002">
        <f t="shared" si="625"/>
        <v>0</v>
      </c>
      <c r="Z149" s="1002">
        <f t="shared" ref="Z149:AY149" si="626">Z150-Z148</f>
        <v>0</v>
      </c>
      <c r="AA149" s="1002">
        <f t="shared" si="626"/>
        <v>0</v>
      </c>
      <c r="AB149" s="1002">
        <f t="shared" si="626"/>
        <v>0</v>
      </c>
      <c r="AC149" s="1002">
        <f t="shared" si="626"/>
        <v>0</v>
      </c>
      <c r="AD149" s="1002">
        <f t="shared" si="626"/>
        <v>0</v>
      </c>
      <c r="AE149" s="1002">
        <f t="shared" si="626"/>
        <v>0</v>
      </c>
      <c r="AF149" s="1002">
        <f t="shared" si="626"/>
        <v>0</v>
      </c>
      <c r="AG149" s="1002">
        <f t="shared" si="626"/>
        <v>0</v>
      </c>
      <c r="AH149" s="1002">
        <f t="shared" si="626"/>
        <v>0</v>
      </c>
      <c r="AI149" s="1002">
        <f t="shared" si="626"/>
        <v>0</v>
      </c>
      <c r="AJ149" s="1002">
        <f t="shared" si="626"/>
        <v>0</v>
      </c>
      <c r="AK149" s="1002">
        <f t="shared" si="626"/>
        <v>0</v>
      </c>
      <c r="AL149" s="1002">
        <f t="shared" si="626"/>
        <v>0</v>
      </c>
      <c r="AM149" s="1002">
        <f t="shared" si="626"/>
        <v>0</v>
      </c>
      <c r="AN149" s="1002">
        <f t="shared" si="626"/>
        <v>0</v>
      </c>
      <c r="AO149" s="1002">
        <f t="shared" si="626"/>
        <v>0</v>
      </c>
      <c r="AP149" s="1002">
        <f t="shared" si="626"/>
        <v>0</v>
      </c>
      <c r="AQ149" s="1002">
        <f t="shared" si="626"/>
        <v>0</v>
      </c>
      <c r="AR149" s="1002">
        <f t="shared" si="626"/>
        <v>0</v>
      </c>
      <c r="AS149" s="1002">
        <f t="shared" si="626"/>
        <v>0</v>
      </c>
      <c r="AT149" s="1002">
        <f t="shared" si="626"/>
        <v>0</v>
      </c>
      <c r="AU149" s="1002">
        <f t="shared" si="626"/>
        <v>0</v>
      </c>
      <c r="AV149" s="1002">
        <f t="shared" si="626"/>
        <v>0</v>
      </c>
      <c r="AW149" s="1002">
        <f t="shared" si="626"/>
        <v>0</v>
      </c>
      <c r="AX149" s="1002">
        <f t="shared" si="626"/>
        <v>0</v>
      </c>
      <c r="AY149" s="1002">
        <f t="shared" si="626"/>
        <v>0</v>
      </c>
      <c r="AZ149" s="1002">
        <f t="shared" ref="AZ149:BA149" si="627">AZ150-AZ148</f>
        <v>0</v>
      </c>
      <c r="BA149" s="1002">
        <f t="shared" si="627"/>
        <v>0</v>
      </c>
      <c r="BB149" s="1002">
        <f t="shared" ref="BB149:BC149" si="628">BB150-BB148</f>
        <v>0</v>
      </c>
      <c r="BC149" s="1002">
        <f t="shared" si="628"/>
        <v>0</v>
      </c>
      <c r="BD149" s="1002">
        <f t="shared" ref="BD149:BE149" si="629">BD150-BD148</f>
        <v>0</v>
      </c>
      <c r="BE149" s="1002">
        <f t="shared" si="629"/>
        <v>0</v>
      </c>
    </row>
    <row r="150" spans="1:61">
      <c r="A150" s="997" t="s">
        <v>715</v>
      </c>
      <c r="B150" s="997"/>
      <c r="C150" s="997">
        <v>0</v>
      </c>
      <c r="D150" s="997">
        <v>0</v>
      </c>
      <c r="E150" s="997">
        <v>0</v>
      </c>
      <c r="F150" s="997">
        <v>0</v>
      </c>
      <c r="G150" s="997">
        <v>0</v>
      </c>
      <c r="H150" s="997">
        <v>0</v>
      </c>
      <c r="I150" s="997">
        <v>0</v>
      </c>
      <c r="J150" s="997">
        <v>0</v>
      </c>
      <c r="K150" s="997">
        <v>0</v>
      </c>
      <c r="L150" s="997">
        <v>0</v>
      </c>
      <c r="M150" s="997">
        <v>0</v>
      </c>
      <c r="N150" s="997">
        <v>0</v>
      </c>
      <c r="O150" s="997">
        <v>0</v>
      </c>
      <c r="P150" s="997">
        <v>0</v>
      </c>
      <c r="Q150" s="997">
        <v>0</v>
      </c>
      <c r="R150" s="997">
        <v>0</v>
      </c>
      <c r="S150" s="997">
        <v>0</v>
      </c>
      <c r="T150" s="997">
        <v>0</v>
      </c>
      <c r="U150" s="997">
        <v>0</v>
      </c>
      <c r="V150" s="997">
        <v>0</v>
      </c>
      <c r="W150" s="997">
        <v>0</v>
      </c>
      <c r="X150" s="997">
        <v>0</v>
      </c>
      <c r="Y150" s="997">
        <v>0</v>
      </c>
      <c r="Z150" s="1003">
        <v>0</v>
      </c>
      <c r="AA150" s="1003">
        <v>0</v>
      </c>
      <c r="AB150" s="1003">
        <v>0</v>
      </c>
      <c r="AC150" s="1003">
        <v>0</v>
      </c>
      <c r="AD150" s="1003">
        <v>0</v>
      </c>
      <c r="AE150" s="1003">
        <v>0</v>
      </c>
      <c r="AF150" s="1003">
        <v>0</v>
      </c>
      <c r="AG150" s="1003">
        <v>0</v>
      </c>
      <c r="AH150" s="1003">
        <v>0</v>
      </c>
      <c r="AI150" s="1003">
        <v>0</v>
      </c>
      <c r="AJ150" s="1003">
        <v>0</v>
      </c>
      <c r="AK150" s="1003">
        <v>0</v>
      </c>
      <c r="AL150" s="1003">
        <v>0</v>
      </c>
      <c r="AM150" s="1003">
        <v>0</v>
      </c>
      <c r="AN150" s="1003">
        <v>0</v>
      </c>
      <c r="AO150" s="1003">
        <v>0</v>
      </c>
      <c r="AP150" s="1003">
        <v>0</v>
      </c>
      <c r="AQ150" s="1003">
        <v>0</v>
      </c>
      <c r="AR150" s="1003">
        <v>0</v>
      </c>
      <c r="AS150" s="1003">
        <v>0</v>
      </c>
      <c r="AT150" s="1003">
        <v>0</v>
      </c>
      <c r="AU150" s="1003">
        <v>0</v>
      </c>
      <c r="AV150" s="1003">
        <v>0</v>
      </c>
      <c r="AW150" s="1003">
        <v>0</v>
      </c>
      <c r="AX150" s="1003">
        <v>0</v>
      </c>
      <c r="AY150" s="1003">
        <v>0</v>
      </c>
      <c r="AZ150" s="1003">
        <v>0</v>
      </c>
      <c r="BA150" s="1003">
        <v>0</v>
      </c>
      <c r="BB150" s="1003">
        <v>0</v>
      </c>
      <c r="BC150" s="1003">
        <v>0</v>
      </c>
      <c r="BD150" s="1003">
        <v>0</v>
      </c>
      <c r="BE150" s="1003">
        <v>0</v>
      </c>
    </row>
    <row r="151" spans="1:61">
      <c r="Z151" s="1001"/>
      <c r="AA151" s="1001"/>
      <c r="AB151" s="1001"/>
      <c r="AC151" s="1001"/>
      <c r="AD151" s="1001"/>
      <c r="AE151" s="1001"/>
      <c r="AF151" s="1001"/>
      <c r="AG151" s="1001"/>
      <c r="AH151" s="1001"/>
      <c r="AI151" s="1001"/>
      <c r="AJ151" s="1001"/>
      <c r="AK151" s="1001"/>
      <c r="AL151" s="1001"/>
      <c r="AM151" s="1001"/>
      <c r="AN151" s="1001"/>
      <c r="AO151" s="1001"/>
      <c r="AP151" s="1001"/>
      <c r="AQ151" s="1001"/>
      <c r="AR151" s="1001"/>
      <c r="AS151" s="1001"/>
      <c r="AT151" s="1001"/>
      <c r="AU151" s="1001"/>
      <c r="AV151" s="1001"/>
      <c r="AW151" s="1001"/>
      <c r="AX151" s="1001"/>
      <c r="AY151" s="1001"/>
      <c r="AZ151" s="1001"/>
      <c r="BA151" s="1001"/>
      <c r="BB151" s="1001"/>
      <c r="BC151" s="1001"/>
      <c r="BD151" s="1001"/>
      <c r="BE151" s="1001"/>
    </row>
    <row r="152" spans="1:61">
      <c r="A152" s="991" t="s">
        <v>730</v>
      </c>
      <c r="B152" s="991" t="str">
        <f>B42</f>
        <v>1Q04</v>
      </c>
      <c r="C152" s="991" t="str">
        <f t="shared" ref="C152:Y152" si="630">C42</f>
        <v>2Q04</v>
      </c>
      <c r="D152" s="991" t="str">
        <f t="shared" si="630"/>
        <v>3Q04</v>
      </c>
      <c r="E152" s="991" t="str">
        <f t="shared" si="630"/>
        <v>4Q04</v>
      </c>
      <c r="F152" s="991" t="str">
        <f t="shared" si="630"/>
        <v>1Q05</v>
      </c>
      <c r="G152" s="991" t="str">
        <f t="shared" si="630"/>
        <v>2Q05</v>
      </c>
      <c r="H152" s="991" t="str">
        <f t="shared" si="630"/>
        <v>3Q05</v>
      </c>
      <c r="I152" s="991" t="str">
        <f t="shared" si="630"/>
        <v>4Q05</v>
      </c>
      <c r="J152" s="991" t="str">
        <f t="shared" si="630"/>
        <v>1Q06</v>
      </c>
      <c r="K152" s="991" t="str">
        <f t="shared" si="630"/>
        <v>2Q06</v>
      </c>
      <c r="L152" s="991" t="str">
        <f t="shared" si="630"/>
        <v>3Q06</v>
      </c>
      <c r="M152" s="991" t="str">
        <f t="shared" si="630"/>
        <v>4Q06</v>
      </c>
      <c r="N152" s="991" t="str">
        <f t="shared" si="630"/>
        <v>1Q07</v>
      </c>
      <c r="O152" s="991" t="str">
        <f t="shared" si="630"/>
        <v>2Q07</v>
      </c>
      <c r="P152" s="991" t="str">
        <f t="shared" si="630"/>
        <v>3Q07</v>
      </c>
      <c r="Q152" s="991" t="str">
        <f t="shared" si="630"/>
        <v>4Q07</v>
      </c>
      <c r="R152" s="991" t="str">
        <f t="shared" si="630"/>
        <v>1Q08</v>
      </c>
      <c r="S152" s="991" t="str">
        <f t="shared" si="630"/>
        <v>2Q08</v>
      </c>
      <c r="T152" s="991" t="str">
        <f t="shared" si="630"/>
        <v>3Q08</v>
      </c>
      <c r="U152" s="991" t="str">
        <f t="shared" si="630"/>
        <v>4Q08</v>
      </c>
      <c r="V152" s="991" t="str">
        <f t="shared" si="630"/>
        <v>1Q09</v>
      </c>
      <c r="W152" s="991" t="str">
        <f t="shared" si="630"/>
        <v>2Q09</v>
      </c>
      <c r="X152" s="991" t="str">
        <f t="shared" si="630"/>
        <v>3Q09</v>
      </c>
      <c r="Y152" s="991" t="str">
        <f t="shared" si="630"/>
        <v>4Q09</v>
      </c>
      <c r="Z152" s="991" t="s">
        <v>447</v>
      </c>
      <c r="AA152" s="991" t="s">
        <v>448</v>
      </c>
      <c r="AB152" s="991" t="s">
        <v>453</v>
      </c>
      <c r="AC152" s="991" t="s">
        <v>454</v>
      </c>
      <c r="AD152" s="991" t="s">
        <v>449</v>
      </c>
      <c r="AE152" s="991" t="s">
        <v>450</v>
      </c>
      <c r="AF152" s="991" t="s">
        <v>451</v>
      </c>
      <c r="AG152" s="991" t="s">
        <v>452</v>
      </c>
      <c r="AH152" s="991" t="s">
        <v>265</v>
      </c>
      <c r="AI152" s="991" t="s">
        <v>125</v>
      </c>
      <c r="AJ152" s="991" t="s">
        <v>266</v>
      </c>
      <c r="AK152" s="991" t="s">
        <v>267</v>
      </c>
      <c r="AL152" s="991" t="s">
        <v>724</v>
      </c>
      <c r="AM152" s="991" t="s">
        <v>723</v>
      </c>
      <c r="AN152" s="991" t="s">
        <v>722</v>
      </c>
      <c r="AO152" s="991" t="s">
        <v>721</v>
      </c>
      <c r="AP152" s="991" t="s">
        <v>671</v>
      </c>
      <c r="AQ152" s="991" t="s">
        <v>477</v>
      </c>
      <c r="AR152" s="991" t="s">
        <v>672</v>
      </c>
      <c r="AS152" s="991" t="s">
        <v>673</v>
      </c>
      <c r="AT152" s="991" t="s">
        <v>720</v>
      </c>
      <c r="AU152" s="991" t="s">
        <v>719</v>
      </c>
      <c r="AV152" s="991" t="s">
        <v>718</v>
      </c>
      <c r="AW152" s="991" t="s">
        <v>717</v>
      </c>
      <c r="AX152" s="991" t="str">
        <f>$AX$42</f>
        <v>1Q16</v>
      </c>
      <c r="AY152" s="991" t="str">
        <f>$AY$42</f>
        <v>2Q16</v>
      </c>
      <c r="AZ152" s="992" t="s">
        <v>704</v>
      </c>
      <c r="BA152" s="992" t="s">
        <v>705</v>
      </c>
      <c r="BB152" s="992" t="str">
        <f>BB147</f>
        <v>1Q17</v>
      </c>
      <c r="BC152" s="992" t="str">
        <f>BC147</f>
        <v>2Q17</v>
      </c>
      <c r="BD152" s="992" t="str">
        <f>BD147</f>
        <v>3Q17</v>
      </c>
      <c r="BE152" s="992" t="str">
        <f>BE130</f>
        <v>4Q17</v>
      </c>
      <c r="BF152" s="992" t="str">
        <f t="shared" ref="BF152:BI152" si="631">BF130</f>
        <v>1Q18</v>
      </c>
      <c r="BG152" s="992" t="str">
        <f t="shared" si="631"/>
        <v>2Q18</v>
      </c>
      <c r="BH152" s="992" t="str">
        <f t="shared" si="631"/>
        <v>3Q18</v>
      </c>
      <c r="BI152" s="992" t="str">
        <f t="shared" si="631"/>
        <v>4Q18</v>
      </c>
    </row>
    <row r="153" spans="1:61">
      <c r="A153" s="993" t="s">
        <v>728</v>
      </c>
      <c r="B153" s="993">
        <v>0</v>
      </c>
      <c r="C153" s="993">
        <f>B156</f>
        <v>0</v>
      </c>
      <c r="D153" s="993">
        <f t="shared" ref="D153:Y153" si="632">C156</f>
        <v>0</v>
      </c>
      <c r="E153" s="993">
        <f t="shared" si="632"/>
        <v>0</v>
      </c>
      <c r="F153" s="993">
        <f t="shared" si="632"/>
        <v>0</v>
      </c>
      <c r="G153" s="993">
        <f t="shared" si="632"/>
        <v>0</v>
      </c>
      <c r="H153" s="993">
        <f t="shared" si="632"/>
        <v>0</v>
      </c>
      <c r="I153" s="993">
        <f t="shared" si="632"/>
        <v>0</v>
      </c>
      <c r="J153" s="993">
        <f t="shared" si="632"/>
        <v>0</v>
      </c>
      <c r="K153" s="993">
        <f t="shared" si="632"/>
        <v>0</v>
      </c>
      <c r="L153" s="993">
        <f t="shared" si="632"/>
        <v>0</v>
      </c>
      <c r="M153" s="993">
        <f t="shared" si="632"/>
        <v>0</v>
      </c>
      <c r="N153" s="993">
        <f t="shared" si="632"/>
        <v>0</v>
      </c>
      <c r="O153" s="993">
        <f t="shared" si="632"/>
        <v>0</v>
      </c>
      <c r="P153" s="993">
        <f t="shared" si="632"/>
        <v>0</v>
      </c>
      <c r="Q153" s="993">
        <f t="shared" si="632"/>
        <v>0</v>
      </c>
      <c r="R153" s="993">
        <f t="shared" si="632"/>
        <v>0</v>
      </c>
      <c r="S153" s="993">
        <f t="shared" si="632"/>
        <v>0</v>
      </c>
      <c r="T153" s="993">
        <f t="shared" si="632"/>
        <v>0</v>
      </c>
      <c r="U153" s="993">
        <f t="shared" si="632"/>
        <v>0</v>
      </c>
      <c r="V153" s="993">
        <f t="shared" si="632"/>
        <v>0</v>
      </c>
      <c r="W153" s="993">
        <f t="shared" si="632"/>
        <v>0</v>
      </c>
      <c r="X153" s="993">
        <f t="shared" si="632"/>
        <v>0</v>
      </c>
      <c r="Y153" s="993">
        <f t="shared" si="632"/>
        <v>0</v>
      </c>
      <c r="Z153" s="1001">
        <v>0</v>
      </c>
      <c r="AA153" s="1001">
        <f t="shared" ref="AA153:BD153" si="633">+Z156</f>
        <v>0</v>
      </c>
      <c r="AB153" s="1001">
        <f t="shared" si="633"/>
        <v>0</v>
      </c>
      <c r="AC153" s="1001">
        <f t="shared" si="633"/>
        <v>0</v>
      </c>
      <c r="AD153" s="1001">
        <f t="shared" si="633"/>
        <v>0</v>
      </c>
      <c r="AE153" s="1001">
        <f t="shared" si="633"/>
        <v>0</v>
      </c>
      <c r="AF153" s="1001">
        <f t="shared" si="633"/>
        <v>0</v>
      </c>
      <c r="AG153" s="1001">
        <f t="shared" si="633"/>
        <v>0</v>
      </c>
      <c r="AH153" s="1001">
        <f t="shared" si="633"/>
        <v>0</v>
      </c>
      <c r="AI153" s="1001">
        <f t="shared" si="633"/>
        <v>0</v>
      </c>
      <c r="AJ153" s="1001">
        <f t="shared" si="633"/>
        <v>0</v>
      </c>
      <c r="AK153" s="1001">
        <f t="shared" si="633"/>
        <v>0</v>
      </c>
      <c r="AL153" s="1001">
        <f t="shared" si="633"/>
        <v>31</v>
      </c>
      <c r="AM153" s="1001">
        <f t="shared" si="633"/>
        <v>32</v>
      </c>
      <c r="AN153" s="1001">
        <f t="shared" si="633"/>
        <v>34</v>
      </c>
      <c r="AO153" s="1001">
        <f t="shared" si="633"/>
        <v>35</v>
      </c>
      <c r="AP153" s="1001">
        <f t="shared" si="633"/>
        <v>37</v>
      </c>
      <c r="AQ153" s="1001">
        <f t="shared" si="633"/>
        <v>37</v>
      </c>
      <c r="AR153" s="1001">
        <f t="shared" si="633"/>
        <v>39</v>
      </c>
      <c r="AS153" s="1001">
        <f t="shared" si="633"/>
        <v>41</v>
      </c>
      <c r="AT153" s="1001">
        <f t="shared" si="633"/>
        <v>42</v>
      </c>
      <c r="AU153" s="1001">
        <f t="shared" si="633"/>
        <v>43</v>
      </c>
      <c r="AV153" s="1001">
        <f t="shared" si="633"/>
        <v>43</v>
      </c>
      <c r="AW153" s="1001">
        <f t="shared" si="633"/>
        <v>43</v>
      </c>
      <c r="AX153" s="1001">
        <f t="shared" si="633"/>
        <v>41</v>
      </c>
      <c r="AY153" s="1001">
        <f t="shared" si="633"/>
        <v>41</v>
      </c>
      <c r="AZ153" s="1001">
        <f t="shared" si="633"/>
        <v>40</v>
      </c>
      <c r="BA153" s="1001">
        <f t="shared" si="633"/>
        <v>42</v>
      </c>
      <c r="BB153" s="1001">
        <f t="shared" si="633"/>
        <v>43</v>
      </c>
      <c r="BC153" s="1001">
        <f t="shared" si="633"/>
        <v>42</v>
      </c>
      <c r="BD153" s="1001">
        <f t="shared" si="633"/>
        <v>40</v>
      </c>
      <c r="BE153" s="1001">
        <f t="shared" ref="BE153" si="634">+BD156</f>
        <v>38</v>
      </c>
      <c r="BF153" s="1001">
        <f t="shared" ref="BF153" si="635">+BE156</f>
        <v>38</v>
      </c>
      <c r="BG153" s="1001">
        <f t="shared" ref="BG153" si="636">+BF156</f>
        <v>37</v>
      </c>
      <c r="BH153" s="1001">
        <f t="shared" ref="BH153" si="637">+BG156</f>
        <v>36</v>
      </c>
      <c r="BI153" s="1001">
        <f t="shared" ref="BI153" si="638">+BH156</f>
        <v>35</v>
      </c>
    </row>
    <row r="154" spans="1:61">
      <c r="A154" s="993" t="s">
        <v>727</v>
      </c>
      <c r="B154" s="993">
        <v>0</v>
      </c>
      <c r="C154" s="993">
        <v>0</v>
      </c>
      <c r="D154" s="993">
        <v>0</v>
      </c>
      <c r="E154" s="993">
        <v>0</v>
      </c>
      <c r="F154" s="993">
        <v>0</v>
      </c>
      <c r="G154" s="993">
        <v>0</v>
      </c>
      <c r="H154" s="993">
        <v>0</v>
      </c>
      <c r="I154" s="993">
        <v>0</v>
      </c>
      <c r="J154" s="993">
        <v>0</v>
      </c>
      <c r="K154" s="993">
        <v>0</v>
      </c>
      <c r="L154" s="993">
        <v>0</v>
      </c>
      <c r="M154" s="993">
        <v>0</v>
      </c>
      <c r="N154" s="993">
        <v>0</v>
      </c>
      <c r="O154" s="993">
        <v>0</v>
      </c>
      <c r="P154" s="993">
        <v>0</v>
      </c>
      <c r="Q154" s="993">
        <v>0</v>
      </c>
      <c r="R154" s="993">
        <v>0</v>
      </c>
      <c r="S154" s="993">
        <v>0</v>
      </c>
      <c r="T154" s="993">
        <v>0</v>
      </c>
      <c r="U154" s="993">
        <v>0</v>
      </c>
      <c r="V154" s="993">
        <v>0</v>
      </c>
      <c r="W154" s="993">
        <v>0</v>
      </c>
      <c r="X154" s="993">
        <v>0</v>
      </c>
      <c r="Y154" s="993">
        <v>0</v>
      </c>
      <c r="Z154" s="1001">
        <v>0</v>
      </c>
      <c r="AA154" s="1001">
        <v>0</v>
      </c>
      <c r="AB154" s="1001">
        <v>0</v>
      </c>
      <c r="AC154" s="1001">
        <v>0</v>
      </c>
      <c r="AD154" s="1001">
        <v>0</v>
      </c>
      <c r="AE154" s="1001">
        <v>0</v>
      </c>
      <c r="AF154" s="1001">
        <v>0</v>
      </c>
      <c r="AG154" s="1001">
        <v>0</v>
      </c>
      <c r="AH154" s="1001">
        <v>0</v>
      </c>
      <c r="AI154" s="1001">
        <v>0</v>
      </c>
      <c r="AJ154" s="1001">
        <v>0</v>
      </c>
      <c r="AK154" s="1001">
        <v>31</v>
      </c>
      <c r="AL154" s="1001">
        <v>1</v>
      </c>
      <c r="AM154" s="1001">
        <v>3</v>
      </c>
      <c r="AN154" s="1001">
        <v>1</v>
      </c>
      <c r="AO154" s="1001">
        <v>2</v>
      </c>
      <c r="AP154" s="1001">
        <v>0</v>
      </c>
      <c r="AQ154" s="1001">
        <v>2</v>
      </c>
      <c r="AR154" s="1001">
        <v>2</v>
      </c>
      <c r="AS154" s="1001">
        <v>1</v>
      </c>
      <c r="AT154" s="1001">
        <v>1</v>
      </c>
      <c r="AU154" s="1001">
        <v>0</v>
      </c>
      <c r="AV154" s="1001">
        <v>1</v>
      </c>
      <c r="AW154" s="1001">
        <v>0</v>
      </c>
      <c r="AX154" s="1001">
        <v>0</v>
      </c>
      <c r="AY154" s="1001">
        <v>0</v>
      </c>
      <c r="AZ154" s="1001">
        <f>2-AY154-AX154</f>
        <v>2</v>
      </c>
      <c r="BA154" s="1001">
        <f>3-AZ154-AY154-AX154</f>
        <v>1</v>
      </c>
      <c r="BB154" s="1001">
        <f>3-BA154-AZ154-AY154</f>
        <v>0</v>
      </c>
      <c r="BC154" s="1001">
        <v>0</v>
      </c>
      <c r="BD154" s="1001">
        <v>0</v>
      </c>
      <c r="BE154" s="1001">
        <v>0</v>
      </c>
      <c r="BF154" s="1001">
        <v>0</v>
      </c>
      <c r="BG154" s="1001">
        <v>0</v>
      </c>
      <c r="BH154" s="1001">
        <v>0</v>
      </c>
      <c r="BI154" s="1001">
        <v>0</v>
      </c>
    </row>
    <row r="155" spans="1:61">
      <c r="A155" s="995" t="s">
        <v>726</v>
      </c>
      <c r="B155" s="995">
        <v>0</v>
      </c>
      <c r="C155" s="995">
        <v>0</v>
      </c>
      <c r="D155" s="995">
        <v>0</v>
      </c>
      <c r="E155" s="995">
        <v>0</v>
      </c>
      <c r="F155" s="995">
        <v>0</v>
      </c>
      <c r="G155" s="995">
        <v>0</v>
      </c>
      <c r="H155" s="995">
        <v>0</v>
      </c>
      <c r="I155" s="995">
        <v>0</v>
      </c>
      <c r="J155" s="995">
        <v>0</v>
      </c>
      <c r="K155" s="995">
        <v>0</v>
      </c>
      <c r="L155" s="995">
        <v>0</v>
      </c>
      <c r="M155" s="995">
        <v>0</v>
      </c>
      <c r="N155" s="995">
        <v>0</v>
      </c>
      <c r="O155" s="995">
        <v>0</v>
      </c>
      <c r="P155" s="995">
        <v>0</v>
      </c>
      <c r="Q155" s="995">
        <v>0</v>
      </c>
      <c r="R155" s="995">
        <v>0</v>
      </c>
      <c r="S155" s="995">
        <v>0</v>
      </c>
      <c r="T155" s="995">
        <v>0</v>
      </c>
      <c r="U155" s="995">
        <v>0</v>
      </c>
      <c r="V155" s="995">
        <v>0</v>
      </c>
      <c r="W155" s="995">
        <v>0</v>
      </c>
      <c r="X155" s="995">
        <v>0</v>
      </c>
      <c r="Y155" s="995">
        <v>0</v>
      </c>
      <c r="Z155" s="1002">
        <v>0</v>
      </c>
      <c r="AA155" s="1002">
        <v>0</v>
      </c>
      <c r="AB155" s="1002">
        <v>0</v>
      </c>
      <c r="AC155" s="1002">
        <v>0</v>
      </c>
      <c r="AD155" s="1002">
        <v>0</v>
      </c>
      <c r="AE155" s="1002">
        <v>0</v>
      </c>
      <c r="AF155" s="1002">
        <v>0</v>
      </c>
      <c r="AG155" s="1002">
        <v>0</v>
      </c>
      <c r="AH155" s="1002">
        <v>0</v>
      </c>
      <c r="AI155" s="1002">
        <v>0</v>
      </c>
      <c r="AJ155" s="1002">
        <v>0</v>
      </c>
      <c r="AK155" s="1002">
        <v>0</v>
      </c>
      <c r="AL155" s="1002">
        <v>0</v>
      </c>
      <c r="AM155" s="1002">
        <v>1</v>
      </c>
      <c r="AN155" s="1002">
        <v>0</v>
      </c>
      <c r="AO155" s="1002">
        <v>0</v>
      </c>
      <c r="AP155" s="1002">
        <v>0</v>
      </c>
      <c r="AQ155" s="1002">
        <v>0</v>
      </c>
      <c r="AR155" s="1002">
        <v>0</v>
      </c>
      <c r="AS155" s="1002">
        <v>0</v>
      </c>
      <c r="AT155" s="1002">
        <v>0</v>
      </c>
      <c r="AU155" s="1002">
        <v>0</v>
      </c>
      <c r="AV155" s="1002">
        <v>1</v>
      </c>
      <c r="AW155" s="1002">
        <v>2</v>
      </c>
      <c r="AX155" s="1002">
        <v>0</v>
      </c>
      <c r="AY155" s="1002">
        <v>1</v>
      </c>
      <c r="AZ155" s="1002">
        <f>1-AY155-AX155</f>
        <v>0</v>
      </c>
      <c r="BA155" s="1002">
        <f>1-AZ155-AY155-AX155</f>
        <v>0</v>
      </c>
      <c r="BB155" s="1002">
        <v>1</v>
      </c>
      <c r="BC155" s="1002">
        <v>2</v>
      </c>
      <c r="BD155" s="1002">
        <v>2</v>
      </c>
      <c r="BE155" s="1002">
        <v>0</v>
      </c>
      <c r="BF155" s="1002">
        <v>1</v>
      </c>
      <c r="BG155" s="1002">
        <v>1</v>
      </c>
      <c r="BH155" s="1002">
        <v>1</v>
      </c>
      <c r="BI155" s="1002">
        <v>1</v>
      </c>
    </row>
    <row r="156" spans="1:61">
      <c r="A156" s="997" t="s">
        <v>725</v>
      </c>
      <c r="B156" s="997">
        <f>B153+B154-B155</f>
        <v>0</v>
      </c>
      <c r="C156" s="997">
        <f>C153+C154-C155</f>
        <v>0</v>
      </c>
      <c r="D156" s="997">
        <f t="shared" ref="D156:Y156" si="639">D153+D154-D155</f>
        <v>0</v>
      </c>
      <c r="E156" s="997">
        <f t="shared" si="639"/>
        <v>0</v>
      </c>
      <c r="F156" s="997">
        <f t="shared" si="639"/>
        <v>0</v>
      </c>
      <c r="G156" s="997">
        <f t="shared" si="639"/>
        <v>0</v>
      </c>
      <c r="H156" s="997">
        <f t="shared" si="639"/>
        <v>0</v>
      </c>
      <c r="I156" s="997">
        <f t="shared" si="639"/>
        <v>0</v>
      </c>
      <c r="J156" s="997">
        <f t="shared" si="639"/>
        <v>0</v>
      </c>
      <c r="K156" s="997">
        <f t="shared" si="639"/>
        <v>0</v>
      </c>
      <c r="L156" s="997">
        <f t="shared" si="639"/>
        <v>0</v>
      </c>
      <c r="M156" s="997">
        <f t="shared" si="639"/>
        <v>0</v>
      </c>
      <c r="N156" s="997">
        <f t="shared" si="639"/>
        <v>0</v>
      </c>
      <c r="O156" s="997">
        <f t="shared" si="639"/>
        <v>0</v>
      </c>
      <c r="P156" s="997">
        <f t="shared" si="639"/>
        <v>0</v>
      </c>
      <c r="Q156" s="997">
        <f t="shared" si="639"/>
        <v>0</v>
      </c>
      <c r="R156" s="997">
        <f t="shared" si="639"/>
        <v>0</v>
      </c>
      <c r="S156" s="997">
        <f t="shared" si="639"/>
        <v>0</v>
      </c>
      <c r="T156" s="997">
        <f t="shared" si="639"/>
        <v>0</v>
      </c>
      <c r="U156" s="997">
        <f t="shared" si="639"/>
        <v>0</v>
      </c>
      <c r="V156" s="997">
        <f t="shared" si="639"/>
        <v>0</v>
      </c>
      <c r="W156" s="997">
        <f t="shared" si="639"/>
        <v>0</v>
      </c>
      <c r="X156" s="997">
        <f t="shared" si="639"/>
        <v>0</v>
      </c>
      <c r="Y156" s="997">
        <f t="shared" si="639"/>
        <v>0</v>
      </c>
      <c r="Z156" s="1003">
        <f t="shared" ref="Z156:BA156" si="640">Z153+Z154-Z155</f>
        <v>0</v>
      </c>
      <c r="AA156" s="1003">
        <f t="shared" si="640"/>
        <v>0</v>
      </c>
      <c r="AB156" s="1003">
        <f t="shared" si="640"/>
        <v>0</v>
      </c>
      <c r="AC156" s="1003">
        <f t="shared" si="640"/>
        <v>0</v>
      </c>
      <c r="AD156" s="1003">
        <f t="shared" si="640"/>
        <v>0</v>
      </c>
      <c r="AE156" s="1003">
        <f t="shared" si="640"/>
        <v>0</v>
      </c>
      <c r="AF156" s="1003">
        <f t="shared" si="640"/>
        <v>0</v>
      </c>
      <c r="AG156" s="1003">
        <f t="shared" si="640"/>
        <v>0</v>
      </c>
      <c r="AH156" s="1003">
        <f t="shared" si="640"/>
        <v>0</v>
      </c>
      <c r="AI156" s="1003">
        <f t="shared" si="640"/>
        <v>0</v>
      </c>
      <c r="AJ156" s="1003">
        <f t="shared" si="640"/>
        <v>0</v>
      </c>
      <c r="AK156" s="1003">
        <f t="shared" si="640"/>
        <v>31</v>
      </c>
      <c r="AL156" s="1003">
        <f t="shared" si="640"/>
        <v>32</v>
      </c>
      <c r="AM156" s="1003">
        <f t="shared" si="640"/>
        <v>34</v>
      </c>
      <c r="AN156" s="1003">
        <f t="shared" si="640"/>
        <v>35</v>
      </c>
      <c r="AO156" s="1003">
        <f t="shared" si="640"/>
        <v>37</v>
      </c>
      <c r="AP156" s="1003">
        <f t="shared" si="640"/>
        <v>37</v>
      </c>
      <c r="AQ156" s="1003">
        <f t="shared" si="640"/>
        <v>39</v>
      </c>
      <c r="AR156" s="1003">
        <f t="shared" si="640"/>
        <v>41</v>
      </c>
      <c r="AS156" s="1003">
        <f t="shared" si="640"/>
        <v>42</v>
      </c>
      <c r="AT156" s="1003">
        <f t="shared" si="640"/>
        <v>43</v>
      </c>
      <c r="AU156" s="1003">
        <f t="shared" si="640"/>
        <v>43</v>
      </c>
      <c r="AV156" s="1003">
        <f t="shared" si="640"/>
        <v>43</v>
      </c>
      <c r="AW156" s="1003">
        <f t="shared" si="640"/>
        <v>41</v>
      </c>
      <c r="AX156" s="1003">
        <f t="shared" si="640"/>
        <v>41</v>
      </c>
      <c r="AY156" s="1003">
        <f t="shared" si="640"/>
        <v>40</v>
      </c>
      <c r="AZ156" s="1003">
        <f t="shared" si="640"/>
        <v>42</v>
      </c>
      <c r="BA156" s="1003">
        <f t="shared" si="640"/>
        <v>43</v>
      </c>
      <c r="BB156" s="1003">
        <f t="shared" ref="BB156:BC156" si="641">BB153+BB154-BB155</f>
        <v>42</v>
      </c>
      <c r="BC156" s="1003">
        <f t="shared" si="641"/>
        <v>40</v>
      </c>
      <c r="BD156" s="1003">
        <f t="shared" ref="BD156:BI156" si="642">BD153+BD154-BD155</f>
        <v>38</v>
      </c>
      <c r="BE156" s="1003">
        <f t="shared" si="642"/>
        <v>38</v>
      </c>
      <c r="BF156" s="1003">
        <f t="shared" si="642"/>
        <v>37</v>
      </c>
      <c r="BG156" s="1003">
        <f t="shared" si="642"/>
        <v>36</v>
      </c>
      <c r="BH156" s="1003">
        <f t="shared" si="642"/>
        <v>35</v>
      </c>
      <c r="BI156" s="1003">
        <f t="shared" si="642"/>
        <v>34</v>
      </c>
    </row>
    <row r="158" spans="1:61">
      <c r="A158" s="991" t="s">
        <v>730</v>
      </c>
      <c r="B158" s="991" t="str">
        <f>B42</f>
        <v>1Q04</v>
      </c>
      <c r="C158" s="991" t="str">
        <f t="shared" ref="C158:Y158" si="643">C42</f>
        <v>2Q04</v>
      </c>
      <c r="D158" s="991" t="str">
        <f t="shared" si="643"/>
        <v>3Q04</v>
      </c>
      <c r="E158" s="991" t="str">
        <f t="shared" si="643"/>
        <v>4Q04</v>
      </c>
      <c r="F158" s="991" t="str">
        <f t="shared" si="643"/>
        <v>1Q05</v>
      </c>
      <c r="G158" s="991" t="str">
        <f t="shared" si="643"/>
        <v>2Q05</v>
      </c>
      <c r="H158" s="991" t="str">
        <f t="shared" si="643"/>
        <v>3Q05</v>
      </c>
      <c r="I158" s="991" t="str">
        <f t="shared" si="643"/>
        <v>4Q05</v>
      </c>
      <c r="J158" s="991" t="str">
        <f t="shared" si="643"/>
        <v>1Q06</v>
      </c>
      <c r="K158" s="991" t="str">
        <f t="shared" si="643"/>
        <v>2Q06</v>
      </c>
      <c r="L158" s="991" t="str">
        <f t="shared" si="643"/>
        <v>3Q06</v>
      </c>
      <c r="M158" s="991" t="str">
        <f t="shared" si="643"/>
        <v>4Q06</v>
      </c>
      <c r="N158" s="991" t="str">
        <f t="shared" si="643"/>
        <v>1Q07</v>
      </c>
      <c r="O158" s="991" t="str">
        <f t="shared" si="643"/>
        <v>2Q07</v>
      </c>
      <c r="P158" s="991" t="str">
        <f t="shared" si="643"/>
        <v>3Q07</v>
      </c>
      <c r="Q158" s="991" t="str">
        <f t="shared" si="643"/>
        <v>4Q07</v>
      </c>
      <c r="R158" s="991" t="str">
        <f t="shared" si="643"/>
        <v>1Q08</v>
      </c>
      <c r="S158" s="991" t="str">
        <f t="shared" si="643"/>
        <v>2Q08</v>
      </c>
      <c r="T158" s="991" t="str">
        <f t="shared" si="643"/>
        <v>3Q08</v>
      </c>
      <c r="U158" s="991" t="str">
        <f t="shared" si="643"/>
        <v>4Q08</v>
      </c>
      <c r="V158" s="991" t="str">
        <f t="shared" si="643"/>
        <v>1Q09</v>
      </c>
      <c r="W158" s="991" t="str">
        <f t="shared" si="643"/>
        <v>2Q09</v>
      </c>
      <c r="X158" s="991" t="str">
        <f t="shared" si="643"/>
        <v>3Q09</v>
      </c>
      <c r="Y158" s="991" t="str">
        <f t="shared" si="643"/>
        <v>4Q09</v>
      </c>
      <c r="Z158" s="991" t="s">
        <v>447</v>
      </c>
      <c r="AA158" s="991" t="s">
        <v>448</v>
      </c>
      <c r="AB158" s="991" t="s">
        <v>453</v>
      </c>
      <c r="AC158" s="991" t="s">
        <v>454</v>
      </c>
      <c r="AD158" s="991" t="s">
        <v>449</v>
      </c>
      <c r="AE158" s="991" t="s">
        <v>450</v>
      </c>
      <c r="AF158" s="991" t="s">
        <v>451</v>
      </c>
      <c r="AG158" s="991" t="s">
        <v>452</v>
      </c>
      <c r="AH158" s="991" t="s">
        <v>265</v>
      </c>
      <c r="AI158" s="991" t="s">
        <v>125</v>
      </c>
      <c r="AJ158" s="991" t="s">
        <v>266</v>
      </c>
      <c r="AK158" s="991" t="s">
        <v>267</v>
      </c>
      <c r="AL158" s="991" t="s">
        <v>724</v>
      </c>
      <c r="AM158" s="991" t="s">
        <v>723</v>
      </c>
      <c r="AN158" s="991" t="s">
        <v>722</v>
      </c>
      <c r="AO158" s="991" t="s">
        <v>721</v>
      </c>
      <c r="AP158" s="991" t="s">
        <v>671</v>
      </c>
      <c r="AQ158" s="991" t="s">
        <v>477</v>
      </c>
      <c r="AR158" s="991" t="s">
        <v>672</v>
      </c>
      <c r="AS158" s="991" t="s">
        <v>673</v>
      </c>
      <c r="AT158" s="991" t="s">
        <v>720</v>
      </c>
      <c r="AU158" s="991" t="s">
        <v>719</v>
      </c>
      <c r="AV158" s="991" t="s">
        <v>718</v>
      </c>
      <c r="AW158" s="991" t="s">
        <v>717</v>
      </c>
      <c r="AX158" s="991" t="str">
        <f>$AX$42</f>
        <v>1Q16</v>
      </c>
      <c r="AY158" s="991" t="str">
        <f>$AY$42</f>
        <v>2Q16</v>
      </c>
      <c r="AZ158" s="992" t="s">
        <v>704</v>
      </c>
      <c r="BA158" s="992" t="s">
        <v>705</v>
      </c>
      <c r="BB158" s="992" t="str">
        <f>BB152</f>
        <v>1Q17</v>
      </c>
      <c r="BC158" s="992" t="str">
        <f>BC152</f>
        <v>2Q17</v>
      </c>
      <c r="BD158" s="992" t="str">
        <f>BD152</f>
        <v>3Q17</v>
      </c>
      <c r="BE158" s="992" t="str">
        <f>BE130</f>
        <v>4Q17</v>
      </c>
      <c r="BF158" s="992" t="str">
        <f t="shared" ref="BF158:BI158" si="644">BF152</f>
        <v>1Q18</v>
      </c>
      <c r="BG158" s="992" t="str">
        <f t="shared" si="644"/>
        <v>2Q18</v>
      </c>
      <c r="BH158" s="992" t="str">
        <f t="shared" si="644"/>
        <v>3Q18</v>
      </c>
      <c r="BI158" s="992" t="str">
        <f t="shared" si="644"/>
        <v>4Q18</v>
      </c>
    </row>
    <row r="159" spans="1:61">
      <c r="A159" s="993" t="s">
        <v>716</v>
      </c>
      <c r="C159" s="993">
        <v>0</v>
      </c>
      <c r="D159" s="993">
        <f>C161</f>
        <v>0</v>
      </c>
      <c r="E159" s="993">
        <f t="shared" ref="E159:Y159" si="645">D161</f>
        <v>0</v>
      </c>
      <c r="F159" s="993">
        <f t="shared" si="645"/>
        <v>0</v>
      </c>
      <c r="G159" s="993">
        <f t="shared" si="645"/>
        <v>0</v>
      </c>
      <c r="H159" s="993">
        <f t="shared" si="645"/>
        <v>0</v>
      </c>
      <c r="I159" s="993">
        <f t="shared" si="645"/>
        <v>0</v>
      </c>
      <c r="J159" s="993">
        <f t="shared" si="645"/>
        <v>0</v>
      </c>
      <c r="K159" s="993">
        <f t="shared" si="645"/>
        <v>0</v>
      </c>
      <c r="L159" s="993">
        <f t="shared" si="645"/>
        <v>0</v>
      </c>
      <c r="M159" s="993">
        <f t="shared" si="645"/>
        <v>0</v>
      </c>
      <c r="N159" s="993">
        <f t="shared" si="645"/>
        <v>0</v>
      </c>
      <c r="O159" s="993">
        <f t="shared" si="645"/>
        <v>0</v>
      </c>
      <c r="P159" s="993">
        <f t="shared" si="645"/>
        <v>0</v>
      </c>
      <c r="Q159" s="993">
        <f t="shared" si="645"/>
        <v>0</v>
      </c>
      <c r="R159" s="993">
        <f t="shared" si="645"/>
        <v>0</v>
      </c>
      <c r="S159" s="993">
        <f t="shared" si="645"/>
        <v>0</v>
      </c>
      <c r="T159" s="993">
        <f t="shared" si="645"/>
        <v>0</v>
      </c>
      <c r="U159" s="993">
        <f t="shared" si="645"/>
        <v>0</v>
      </c>
      <c r="V159" s="993">
        <f t="shared" si="645"/>
        <v>0</v>
      </c>
      <c r="W159" s="993">
        <f t="shared" si="645"/>
        <v>0</v>
      </c>
      <c r="X159" s="993">
        <f t="shared" si="645"/>
        <v>0</v>
      </c>
      <c r="Y159" s="993">
        <f t="shared" si="645"/>
        <v>0</v>
      </c>
      <c r="Z159" s="1001">
        <v>0</v>
      </c>
      <c r="AA159" s="1001">
        <f t="shared" ref="AA159:BD159" si="646">+Z161</f>
        <v>0</v>
      </c>
      <c r="AB159" s="1001">
        <f t="shared" si="646"/>
        <v>0</v>
      </c>
      <c r="AC159" s="1001">
        <f t="shared" si="646"/>
        <v>0</v>
      </c>
      <c r="AD159" s="1001">
        <f t="shared" si="646"/>
        <v>0</v>
      </c>
      <c r="AE159" s="1001">
        <f t="shared" si="646"/>
        <v>0</v>
      </c>
      <c r="AF159" s="1001">
        <f t="shared" si="646"/>
        <v>0</v>
      </c>
      <c r="AG159" s="1001">
        <f t="shared" si="646"/>
        <v>0</v>
      </c>
      <c r="AH159" s="1001">
        <f t="shared" si="646"/>
        <v>0</v>
      </c>
      <c r="AI159" s="1001">
        <f t="shared" si="646"/>
        <v>0</v>
      </c>
      <c r="AJ159" s="1001">
        <f t="shared" si="646"/>
        <v>0</v>
      </c>
      <c r="AK159" s="1001">
        <f t="shared" si="646"/>
        <v>0</v>
      </c>
      <c r="AL159" s="1001">
        <f t="shared" si="646"/>
        <v>0.1</v>
      </c>
      <c r="AM159" s="1001">
        <f t="shared" si="646"/>
        <v>0.1</v>
      </c>
      <c r="AN159" s="1001">
        <f t="shared" si="646"/>
        <v>0.1</v>
      </c>
      <c r="AO159" s="1001">
        <f t="shared" si="646"/>
        <v>0.1</v>
      </c>
      <c r="AP159" s="1001">
        <f t="shared" si="646"/>
        <v>0.1</v>
      </c>
      <c r="AQ159" s="1001">
        <f t="shared" si="646"/>
        <v>0.1</v>
      </c>
      <c r="AR159" s="1001">
        <f t="shared" si="646"/>
        <v>0.1</v>
      </c>
      <c r="AS159" s="1001">
        <f t="shared" si="646"/>
        <v>0.1</v>
      </c>
      <c r="AT159" s="1001">
        <f t="shared" si="646"/>
        <v>0.1</v>
      </c>
      <c r="AU159" s="1001">
        <f t="shared" si="646"/>
        <v>0.1</v>
      </c>
      <c r="AV159" s="1001">
        <f t="shared" si="646"/>
        <v>0.1</v>
      </c>
      <c r="AW159" s="1001">
        <f t="shared" si="646"/>
        <v>0.1</v>
      </c>
      <c r="AX159" s="1001">
        <f t="shared" si="646"/>
        <v>0.1</v>
      </c>
      <c r="AY159" s="1001">
        <f t="shared" si="646"/>
        <v>0.1</v>
      </c>
      <c r="AZ159" s="1001">
        <f t="shared" si="646"/>
        <v>0.1</v>
      </c>
      <c r="BA159" s="1001">
        <f t="shared" si="646"/>
        <v>0.1</v>
      </c>
      <c r="BB159" s="1001">
        <f t="shared" si="646"/>
        <v>0.1</v>
      </c>
      <c r="BC159" s="1001">
        <f t="shared" si="646"/>
        <v>0.1</v>
      </c>
      <c r="BD159" s="1001">
        <f t="shared" si="646"/>
        <v>0.1</v>
      </c>
      <c r="BE159" s="1001">
        <f t="shared" ref="BE159" si="647">+BD161</f>
        <v>0.1</v>
      </c>
      <c r="BF159" s="1001">
        <f t="shared" ref="BF159" si="648">+BE161</f>
        <v>0.1</v>
      </c>
      <c r="BG159" s="1001">
        <f t="shared" ref="BG159" si="649">+BF161</f>
        <v>0.1</v>
      </c>
      <c r="BH159" s="1001">
        <f t="shared" ref="BH159" si="650">+BG161</f>
        <v>0.1</v>
      </c>
      <c r="BI159" s="1001">
        <f t="shared" ref="BI159" si="651">+BH161</f>
        <v>0.1</v>
      </c>
    </row>
    <row r="160" spans="1:61">
      <c r="A160" s="995" t="s">
        <v>136</v>
      </c>
      <c r="B160" s="995"/>
      <c r="C160" s="1002">
        <f t="shared" ref="C160:D160" si="652">C161-C159</f>
        <v>0</v>
      </c>
      <c r="D160" s="1002">
        <f t="shared" si="652"/>
        <v>0</v>
      </c>
      <c r="E160" s="1002">
        <f t="shared" ref="E160:Y160" si="653">E161-E159</f>
        <v>0</v>
      </c>
      <c r="F160" s="1002">
        <f t="shared" si="653"/>
        <v>0</v>
      </c>
      <c r="G160" s="1002">
        <f t="shared" si="653"/>
        <v>0</v>
      </c>
      <c r="H160" s="1002">
        <f t="shared" si="653"/>
        <v>0</v>
      </c>
      <c r="I160" s="1002">
        <f t="shared" si="653"/>
        <v>0</v>
      </c>
      <c r="J160" s="1002">
        <f t="shared" si="653"/>
        <v>0</v>
      </c>
      <c r="K160" s="1002">
        <f t="shared" si="653"/>
        <v>0</v>
      </c>
      <c r="L160" s="1002">
        <f t="shared" si="653"/>
        <v>0</v>
      </c>
      <c r="M160" s="1002">
        <f t="shared" si="653"/>
        <v>0</v>
      </c>
      <c r="N160" s="1002">
        <f t="shared" si="653"/>
        <v>0</v>
      </c>
      <c r="O160" s="1002">
        <f t="shared" si="653"/>
        <v>0</v>
      </c>
      <c r="P160" s="1002">
        <f t="shared" si="653"/>
        <v>0</v>
      </c>
      <c r="Q160" s="1002">
        <f t="shared" si="653"/>
        <v>0</v>
      </c>
      <c r="R160" s="1002">
        <f t="shared" si="653"/>
        <v>0</v>
      </c>
      <c r="S160" s="1002">
        <f t="shared" si="653"/>
        <v>0</v>
      </c>
      <c r="T160" s="1002">
        <f t="shared" si="653"/>
        <v>0</v>
      </c>
      <c r="U160" s="1002">
        <f t="shared" si="653"/>
        <v>0</v>
      </c>
      <c r="V160" s="1002">
        <f t="shared" si="653"/>
        <v>0</v>
      </c>
      <c r="W160" s="1002">
        <f t="shared" si="653"/>
        <v>0</v>
      </c>
      <c r="X160" s="1002">
        <f t="shared" si="653"/>
        <v>0</v>
      </c>
      <c r="Y160" s="1002">
        <f t="shared" si="653"/>
        <v>0</v>
      </c>
      <c r="Z160" s="1002">
        <f t="shared" ref="Z160:AX160" si="654">Z161-Z159</f>
        <v>0</v>
      </c>
      <c r="AA160" s="1002">
        <f t="shared" si="654"/>
        <v>0</v>
      </c>
      <c r="AB160" s="1002">
        <f t="shared" si="654"/>
        <v>0</v>
      </c>
      <c r="AC160" s="1002">
        <f t="shared" si="654"/>
        <v>0</v>
      </c>
      <c r="AD160" s="1002">
        <f t="shared" si="654"/>
        <v>0</v>
      </c>
      <c r="AE160" s="1002">
        <f t="shared" si="654"/>
        <v>0</v>
      </c>
      <c r="AF160" s="1002">
        <f t="shared" si="654"/>
        <v>0</v>
      </c>
      <c r="AG160" s="1002">
        <f t="shared" si="654"/>
        <v>0</v>
      </c>
      <c r="AH160" s="1002">
        <f t="shared" si="654"/>
        <v>0</v>
      </c>
      <c r="AI160" s="1002">
        <f t="shared" si="654"/>
        <v>0</v>
      </c>
      <c r="AJ160" s="1002">
        <f t="shared" si="654"/>
        <v>0</v>
      </c>
      <c r="AK160" s="1002">
        <f t="shared" si="654"/>
        <v>0.1</v>
      </c>
      <c r="AL160" s="1002">
        <f t="shared" si="654"/>
        <v>0</v>
      </c>
      <c r="AM160" s="1002">
        <f t="shared" si="654"/>
        <v>0</v>
      </c>
      <c r="AN160" s="1002">
        <f t="shared" si="654"/>
        <v>0</v>
      </c>
      <c r="AO160" s="1002">
        <f t="shared" si="654"/>
        <v>0</v>
      </c>
      <c r="AP160" s="1002">
        <f t="shared" si="654"/>
        <v>0</v>
      </c>
      <c r="AQ160" s="1002">
        <f t="shared" si="654"/>
        <v>0</v>
      </c>
      <c r="AR160" s="1002">
        <f t="shared" si="654"/>
        <v>0</v>
      </c>
      <c r="AS160" s="1002">
        <f t="shared" si="654"/>
        <v>0</v>
      </c>
      <c r="AT160" s="1002">
        <f t="shared" si="654"/>
        <v>0</v>
      </c>
      <c r="AU160" s="1002">
        <f t="shared" si="654"/>
        <v>0</v>
      </c>
      <c r="AV160" s="1002">
        <f t="shared" si="654"/>
        <v>0</v>
      </c>
      <c r="AW160" s="1002">
        <f t="shared" si="654"/>
        <v>0</v>
      </c>
      <c r="AX160" s="1002">
        <f t="shared" si="654"/>
        <v>0</v>
      </c>
      <c r="AY160" s="1002">
        <f t="shared" ref="AY160:AZ160" si="655">AY161-AY159</f>
        <v>0</v>
      </c>
      <c r="AZ160" s="1002">
        <f t="shared" si="655"/>
        <v>0</v>
      </c>
      <c r="BA160" s="1002">
        <f t="shared" ref="BA160:BB160" si="656">BA161-BA159</f>
        <v>0</v>
      </c>
      <c r="BB160" s="1002">
        <f t="shared" si="656"/>
        <v>0</v>
      </c>
      <c r="BC160" s="1002">
        <f t="shared" ref="BC160:BD160" si="657">BC161-BC159</f>
        <v>0</v>
      </c>
      <c r="BD160" s="1002">
        <f t="shared" si="657"/>
        <v>0</v>
      </c>
      <c r="BE160" s="1002">
        <f t="shared" ref="BE160:BI160" si="658">BE161-BE159</f>
        <v>0</v>
      </c>
      <c r="BF160" s="1002">
        <f t="shared" si="658"/>
        <v>0</v>
      </c>
      <c r="BG160" s="1002">
        <f t="shared" si="658"/>
        <v>0</v>
      </c>
      <c r="BH160" s="1002">
        <f t="shared" si="658"/>
        <v>0</v>
      </c>
      <c r="BI160" s="1002">
        <f t="shared" si="658"/>
        <v>0</v>
      </c>
    </row>
    <row r="161" spans="1:61">
      <c r="A161" s="997" t="s">
        <v>715</v>
      </c>
      <c r="B161" s="997"/>
      <c r="C161" s="997">
        <v>0</v>
      </c>
      <c r="D161" s="997">
        <v>0</v>
      </c>
      <c r="E161" s="997">
        <v>0</v>
      </c>
      <c r="F161" s="997">
        <v>0</v>
      </c>
      <c r="G161" s="997">
        <v>0</v>
      </c>
      <c r="H161" s="997">
        <v>0</v>
      </c>
      <c r="I161" s="997">
        <v>0</v>
      </c>
      <c r="J161" s="997">
        <v>0</v>
      </c>
      <c r="K161" s="997">
        <v>0</v>
      </c>
      <c r="L161" s="997">
        <v>0</v>
      </c>
      <c r="M161" s="997">
        <v>0</v>
      </c>
      <c r="N161" s="997">
        <v>0</v>
      </c>
      <c r="O161" s="997">
        <v>0</v>
      </c>
      <c r="P161" s="997">
        <v>0</v>
      </c>
      <c r="Q161" s="997">
        <v>0</v>
      </c>
      <c r="R161" s="997">
        <v>0</v>
      </c>
      <c r="S161" s="997">
        <v>0</v>
      </c>
      <c r="T161" s="997">
        <v>0</v>
      </c>
      <c r="U161" s="997">
        <v>0</v>
      </c>
      <c r="V161" s="997">
        <v>0</v>
      </c>
      <c r="W161" s="997">
        <v>0</v>
      </c>
      <c r="X161" s="997">
        <v>0</v>
      </c>
      <c r="Y161" s="997">
        <v>0</v>
      </c>
      <c r="Z161" s="1003">
        <v>0</v>
      </c>
      <c r="AA161" s="1003">
        <v>0</v>
      </c>
      <c r="AB161" s="1003">
        <v>0</v>
      </c>
      <c r="AC161" s="1003">
        <v>0</v>
      </c>
      <c r="AD161" s="1003">
        <v>0</v>
      </c>
      <c r="AE161" s="1003">
        <v>0</v>
      </c>
      <c r="AF161" s="1003">
        <v>0</v>
      </c>
      <c r="AG161" s="1003">
        <v>0</v>
      </c>
      <c r="AH161" s="1003">
        <v>0</v>
      </c>
      <c r="AI161" s="1003">
        <v>0</v>
      </c>
      <c r="AJ161" s="1003">
        <v>0</v>
      </c>
      <c r="AK161" s="1003">
        <v>0.1</v>
      </c>
      <c r="AL161" s="1003">
        <v>0.1</v>
      </c>
      <c r="AM161" s="1003">
        <v>0.1</v>
      </c>
      <c r="AN161" s="1003">
        <v>0.1</v>
      </c>
      <c r="AO161" s="1003">
        <v>0.1</v>
      </c>
      <c r="AP161" s="1003">
        <v>0.1</v>
      </c>
      <c r="AQ161" s="1003">
        <v>0.1</v>
      </c>
      <c r="AR161" s="1003">
        <v>0.1</v>
      </c>
      <c r="AS161" s="1003">
        <v>0.1</v>
      </c>
      <c r="AT161" s="1003">
        <v>0.1</v>
      </c>
      <c r="AU161" s="1003">
        <v>0.1</v>
      </c>
      <c r="AV161" s="1003">
        <v>0.1</v>
      </c>
      <c r="AW161" s="1003">
        <v>0.1</v>
      </c>
      <c r="AX161" s="1003">
        <v>0.1</v>
      </c>
      <c r="AY161" s="1003">
        <v>0.1</v>
      </c>
      <c r="AZ161" s="1003">
        <v>0.1</v>
      </c>
      <c r="BA161" s="1003">
        <v>0.1</v>
      </c>
      <c r="BB161" s="1003">
        <v>0.1</v>
      </c>
      <c r="BC161" s="1003">
        <v>0.1</v>
      </c>
      <c r="BD161" s="1003">
        <v>0.1</v>
      </c>
      <c r="BE161" s="1003">
        <v>0.1</v>
      </c>
      <c r="BF161" s="1003">
        <v>0.1</v>
      </c>
      <c r="BG161" s="1003">
        <v>0.1</v>
      </c>
      <c r="BH161" s="1003">
        <v>0.1</v>
      </c>
      <c r="BI161" s="1003">
        <v>0.1</v>
      </c>
    </row>
    <row r="162" spans="1:61">
      <c r="Z162" s="1001"/>
      <c r="AA162" s="1001"/>
      <c r="AB162" s="1001"/>
      <c r="AC162" s="1001"/>
      <c r="AD162" s="1001"/>
      <c r="AE162" s="1001"/>
      <c r="AF162" s="1001"/>
      <c r="AG162" s="1001"/>
      <c r="AH162" s="1001"/>
      <c r="AI162" s="1001"/>
      <c r="AJ162" s="1001"/>
      <c r="AK162" s="1001"/>
      <c r="AL162" s="1001"/>
      <c r="AM162" s="1001"/>
      <c r="AN162" s="1001"/>
      <c r="AO162" s="1001"/>
      <c r="AP162" s="1001"/>
      <c r="AQ162" s="1001"/>
      <c r="AR162" s="1001"/>
      <c r="AS162" s="1001"/>
      <c r="AT162" s="1001"/>
      <c r="AU162" s="1001"/>
      <c r="AV162" s="1001"/>
      <c r="AW162" s="1001"/>
      <c r="AX162" s="1001"/>
      <c r="AY162" s="1001"/>
      <c r="AZ162" s="1001"/>
      <c r="BA162" s="1001"/>
      <c r="BB162" s="1001"/>
      <c r="BC162" s="1001"/>
      <c r="BD162" s="1001"/>
      <c r="BE162" s="1001"/>
    </row>
    <row r="163" spans="1:61">
      <c r="A163" s="991" t="s">
        <v>729</v>
      </c>
      <c r="B163" s="991" t="str">
        <f>B42</f>
        <v>1Q04</v>
      </c>
      <c r="C163" s="991" t="str">
        <f t="shared" ref="C163:Y163" si="659">C42</f>
        <v>2Q04</v>
      </c>
      <c r="D163" s="991" t="str">
        <f t="shared" si="659"/>
        <v>3Q04</v>
      </c>
      <c r="E163" s="991" t="str">
        <f t="shared" si="659"/>
        <v>4Q04</v>
      </c>
      <c r="F163" s="991" t="str">
        <f t="shared" si="659"/>
        <v>1Q05</v>
      </c>
      <c r="G163" s="991" t="str">
        <f t="shared" si="659"/>
        <v>2Q05</v>
      </c>
      <c r="H163" s="991" t="str">
        <f t="shared" si="659"/>
        <v>3Q05</v>
      </c>
      <c r="I163" s="991" t="str">
        <f t="shared" si="659"/>
        <v>4Q05</v>
      </c>
      <c r="J163" s="991" t="str">
        <f t="shared" si="659"/>
        <v>1Q06</v>
      </c>
      <c r="K163" s="991" t="str">
        <f t="shared" si="659"/>
        <v>2Q06</v>
      </c>
      <c r="L163" s="991" t="str">
        <f t="shared" si="659"/>
        <v>3Q06</v>
      </c>
      <c r="M163" s="991" t="str">
        <f t="shared" si="659"/>
        <v>4Q06</v>
      </c>
      <c r="N163" s="991" t="str">
        <f t="shared" si="659"/>
        <v>1Q07</v>
      </c>
      <c r="O163" s="991" t="str">
        <f t="shared" si="659"/>
        <v>2Q07</v>
      </c>
      <c r="P163" s="991" t="str">
        <f t="shared" si="659"/>
        <v>3Q07</v>
      </c>
      <c r="Q163" s="991" t="str">
        <f t="shared" si="659"/>
        <v>4Q07</v>
      </c>
      <c r="R163" s="991" t="str">
        <f t="shared" si="659"/>
        <v>1Q08</v>
      </c>
      <c r="S163" s="991" t="str">
        <f t="shared" si="659"/>
        <v>2Q08</v>
      </c>
      <c r="T163" s="991" t="str">
        <f t="shared" si="659"/>
        <v>3Q08</v>
      </c>
      <c r="U163" s="991" t="str">
        <f t="shared" si="659"/>
        <v>4Q08</v>
      </c>
      <c r="V163" s="991" t="str">
        <f t="shared" si="659"/>
        <v>1Q09</v>
      </c>
      <c r="W163" s="991" t="str">
        <f t="shared" si="659"/>
        <v>2Q09</v>
      </c>
      <c r="X163" s="991" t="str">
        <f t="shared" si="659"/>
        <v>3Q09</v>
      </c>
      <c r="Y163" s="991" t="str">
        <f t="shared" si="659"/>
        <v>4Q09</v>
      </c>
      <c r="Z163" s="991" t="s">
        <v>447</v>
      </c>
      <c r="AA163" s="991" t="s">
        <v>448</v>
      </c>
      <c r="AB163" s="991" t="s">
        <v>453</v>
      </c>
      <c r="AC163" s="991" t="s">
        <v>454</v>
      </c>
      <c r="AD163" s="991" t="s">
        <v>449</v>
      </c>
      <c r="AE163" s="991" t="s">
        <v>450</v>
      </c>
      <c r="AF163" s="991" t="s">
        <v>451</v>
      </c>
      <c r="AG163" s="991" t="s">
        <v>452</v>
      </c>
      <c r="AH163" s="991" t="s">
        <v>265</v>
      </c>
      <c r="AI163" s="991" t="s">
        <v>125</v>
      </c>
      <c r="AJ163" s="991" t="s">
        <v>266</v>
      </c>
      <c r="AK163" s="991" t="s">
        <v>267</v>
      </c>
      <c r="AL163" s="991" t="s">
        <v>724</v>
      </c>
      <c r="AM163" s="991" t="s">
        <v>723</v>
      </c>
      <c r="AN163" s="991" t="s">
        <v>722</v>
      </c>
      <c r="AO163" s="991" t="s">
        <v>721</v>
      </c>
      <c r="AP163" s="991" t="s">
        <v>671</v>
      </c>
      <c r="AQ163" s="991" t="s">
        <v>477</v>
      </c>
      <c r="AR163" s="991" t="s">
        <v>672</v>
      </c>
      <c r="AS163" s="991" t="s">
        <v>673</v>
      </c>
      <c r="AT163" s="991" t="s">
        <v>720</v>
      </c>
      <c r="AU163" s="991" t="s">
        <v>719</v>
      </c>
      <c r="AV163" s="991" t="s">
        <v>718</v>
      </c>
      <c r="AW163" s="991" t="s">
        <v>717</v>
      </c>
      <c r="AX163" s="991" t="str">
        <f>$AX$42</f>
        <v>1Q16</v>
      </c>
      <c r="AY163" s="991" t="str">
        <f>$AY$42</f>
        <v>2Q16</v>
      </c>
      <c r="AZ163" s="992" t="s">
        <v>704</v>
      </c>
      <c r="BA163" s="992" t="s">
        <v>705</v>
      </c>
      <c r="BB163" s="992" t="str">
        <f>BB158</f>
        <v>1Q17</v>
      </c>
      <c r="BC163" s="992" t="str">
        <f>BC158</f>
        <v>2Q17</v>
      </c>
      <c r="BD163" s="992" t="str">
        <f>BD158</f>
        <v>3Q17</v>
      </c>
      <c r="BE163" s="992" t="str">
        <f t="shared" ref="BE163:BI163" si="660">BE158</f>
        <v>4Q17</v>
      </c>
      <c r="BF163" s="992" t="str">
        <f t="shared" si="660"/>
        <v>1Q18</v>
      </c>
      <c r="BG163" s="992" t="str">
        <f t="shared" si="660"/>
        <v>2Q18</v>
      </c>
      <c r="BH163" s="992" t="str">
        <f t="shared" si="660"/>
        <v>3Q18</v>
      </c>
      <c r="BI163" s="992" t="str">
        <f t="shared" si="660"/>
        <v>4Q18</v>
      </c>
    </row>
    <row r="164" spans="1:61">
      <c r="A164" s="993" t="s">
        <v>728</v>
      </c>
      <c r="B164" s="993">
        <f>+B43+B54+B65+B76+B87+B98+B109+B120+B131+B142+B153</f>
        <v>3022</v>
      </c>
      <c r="C164" s="993">
        <f t="shared" ref="C164:Y164" si="661">+C43+C54+C65+C76+C87+C98+C109+C120+C131+C142+C153</f>
        <v>3016</v>
      </c>
      <c r="D164" s="993">
        <f t="shared" si="661"/>
        <v>2999</v>
      </c>
      <c r="E164" s="993">
        <f t="shared" si="661"/>
        <v>3051</v>
      </c>
      <c r="F164" s="993">
        <f t="shared" si="661"/>
        <v>2994</v>
      </c>
      <c r="G164" s="993">
        <f t="shared" si="661"/>
        <v>3010</v>
      </c>
      <c r="H164" s="993">
        <f t="shared" si="661"/>
        <v>3029</v>
      </c>
      <c r="I164" s="993">
        <f t="shared" si="661"/>
        <v>3112</v>
      </c>
      <c r="J164" s="993">
        <f t="shared" si="661"/>
        <v>3048</v>
      </c>
      <c r="K164" s="993">
        <f t="shared" si="661"/>
        <v>3065</v>
      </c>
      <c r="L164" s="993">
        <f t="shared" si="661"/>
        <v>3080</v>
      </c>
      <c r="M164" s="993">
        <f t="shared" si="661"/>
        <v>3142</v>
      </c>
      <c r="N164" s="993">
        <f t="shared" si="661"/>
        <v>3112</v>
      </c>
      <c r="O164" s="993">
        <f t="shared" si="661"/>
        <v>3134</v>
      </c>
      <c r="P164" s="993">
        <f t="shared" si="661"/>
        <v>3143</v>
      </c>
      <c r="Q164" s="993">
        <f t="shared" si="661"/>
        <v>3191</v>
      </c>
      <c r="R164" s="993">
        <f t="shared" si="661"/>
        <v>3167</v>
      </c>
      <c r="S164" s="993">
        <f t="shared" si="661"/>
        <v>3177</v>
      </c>
      <c r="T164" s="993">
        <f t="shared" si="661"/>
        <v>3170</v>
      </c>
      <c r="U164" s="993">
        <f t="shared" si="661"/>
        <v>3190</v>
      </c>
      <c r="V164" s="993">
        <f t="shared" si="661"/>
        <v>3149</v>
      </c>
      <c r="W164" s="993">
        <f t="shared" si="661"/>
        <v>3149</v>
      </c>
      <c r="X164" s="993">
        <f t="shared" si="661"/>
        <v>3145</v>
      </c>
      <c r="Y164" s="993">
        <f t="shared" si="661"/>
        <v>3143</v>
      </c>
      <c r="Z164" s="1001">
        <v>3095</v>
      </c>
      <c r="AA164" s="1001">
        <f t="shared" ref="AA164:BD164" si="662">+Z167</f>
        <v>3085</v>
      </c>
      <c r="AB164" s="1001">
        <f t="shared" si="662"/>
        <v>3076</v>
      </c>
      <c r="AC164" s="1001">
        <f t="shared" si="662"/>
        <v>3082</v>
      </c>
      <c r="AD164" s="1001">
        <f t="shared" si="662"/>
        <v>3068</v>
      </c>
      <c r="AE164" s="1001">
        <f t="shared" si="662"/>
        <v>3059</v>
      </c>
      <c r="AF164" s="1001">
        <f t="shared" si="662"/>
        <v>3053</v>
      </c>
      <c r="AG164" s="1001">
        <f t="shared" si="662"/>
        <v>3065</v>
      </c>
      <c r="AH164" s="1001">
        <f t="shared" si="662"/>
        <v>3036</v>
      </c>
      <c r="AI164" s="1001">
        <f t="shared" si="662"/>
        <v>3026</v>
      </c>
      <c r="AJ164" s="1001">
        <f t="shared" si="662"/>
        <v>3035</v>
      </c>
      <c r="AK164" s="1001">
        <f t="shared" si="662"/>
        <v>3068</v>
      </c>
      <c r="AL164" s="1001">
        <f t="shared" si="662"/>
        <v>3095</v>
      </c>
      <c r="AM164" s="1001">
        <f t="shared" si="662"/>
        <v>3105</v>
      </c>
      <c r="AN164" s="1001">
        <f t="shared" si="662"/>
        <v>3106</v>
      </c>
      <c r="AO164" s="1001">
        <f t="shared" si="662"/>
        <v>3160</v>
      </c>
      <c r="AP164" s="1001">
        <f t="shared" si="662"/>
        <v>3164</v>
      </c>
      <c r="AQ164" s="1001">
        <f t="shared" si="662"/>
        <v>3179</v>
      </c>
      <c r="AR164" s="1001">
        <f t="shared" si="662"/>
        <v>3200</v>
      </c>
      <c r="AS164" s="1001">
        <f t="shared" si="662"/>
        <v>3266</v>
      </c>
      <c r="AT164" s="1001">
        <f t="shared" si="662"/>
        <v>3280</v>
      </c>
      <c r="AU164" s="1001">
        <f t="shared" si="662"/>
        <v>3309</v>
      </c>
      <c r="AV164" s="1001">
        <f t="shared" si="662"/>
        <v>3309</v>
      </c>
      <c r="AW164" s="1001">
        <f t="shared" si="662"/>
        <v>3346</v>
      </c>
      <c r="AX164" s="1001">
        <f t="shared" si="662"/>
        <v>3275</v>
      </c>
      <c r="AY164" s="1001">
        <f t="shared" si="662"/>
        <v>3276</v>
      </c>
      <c r="AZ164" s="1001">
        <f t="shared" si="662"/>
        <v>3273</v>
      </c>
      <c r="BA164" s="1001">
        <f t="shared" si="662"/>
        <v>3281</v>
      </c>
      <c r="BB164" s="1001">
        <f t="shared" si="662"/>
        <v>3200</v>
      </c>
      <c r="BC164" s="1001">
        <f t="shared" si="662"/>
        <v>3186</v>
      </c>
      <c r="BD164" s="1001">
        <f t="shared" si="662"/>
        <v>3179</v>
      </c>
      <c r="BE164" s="1001">
        <f t="shared" ref="BE164" si="663">+BD167</f>
        <v>3193</v>
      </c>
      <c r="BF164" s="1001">
        <f t="shared" ref="BF164" si="664">+BE167</f>
        <v>3165</v>
      </c>
      <c r="BG164" s="1001">
        <f t="shared" ref="BG164" si="665">+BF167</f>
        <v>3169</v>
      </c>
      <c r="BH164" s="1001">
        <f t="shared" ref="BH164" si="666">+BG167</f>
        <v>3169</v>
      </c>
      <c r="BI164" s="1001">
        <f t="shared" ref="BI164" si="667">+BH167</f>
        <v>3155</v>
      </c>
    </row>
    <row r="165" spans="1:61">
      <c r="A165" s="993" t="s">
        <v>727</v>
      </c>
      <c r="B165" s="993">
        <f>+B44+B55+B66+B77+B88+B99+B110+B121+B132+B143+B154</f>
        <v>14</v>
      </c>
      <c r="C165" s="993">
        <f t="shared" ref="C165:Y165" si="668">+C44+C55+C66+C77+C88+C99+C110+C121+C132+C143+C154</f>
        <v>27</v>
      </c>
      <c r="D165" s="993">
        <f t="shared" si="668"/>
        <v>61</v>
      </c>
      <c r="E165" s="993">
        <f t="shared" si="668"/>
        <v>28</v>
      </c>
      <c r="F165" s="993">
        <f t="shared" si="668"/>
        <v>41</v>
      </c>
      <c r="G165" s="993">
        <f t="shared" si="668"/>
        <v>40</v>
      </c>
      <c r="H165" s="993">
        <f t="shared" si="668"/>
        <v>94</v>
      </c>
      <c r="I165" s="993">
        <f t="shared" si="668"/>
        <v>18</v>
      </c>
      <c r="J165" s="993">
        <f t="shared" si="668"/>
        <v>38</v>
      </c>
      <c r="K165" s="993">
        <f t="shared" si="668"/>
        <v>37</v>
      </c>
      <c r="L165" s="993">
        <f t="shared" si="668"/>
        <v>75</v>
      </c>
      <c r="M165" s="993">
        <f t="shared" si="668"/>
        <v>30</v>
      </c>
      <c r="N165" s="993">
        <f t="shared" si="668"/>
        <v>41</v>
      </c>
      <c r="O165" s="993">
        <f t="shared" si="668"/>
        <v>32</v>
      </c>
      <c r="P165" s="993">
        <f t="shared" si="668"/>
        <v>113</v>
      </c>
      <c r="Q165" s="993">
        <f t="shared" si="668"/>
        <v>28</v>
      </c>
      <c r="R165" s="993">
        <f t="shared" si="668"/>
        <v>33</v>
      </c>
      <c r="S165" s="993">
        <f t="shared" si="668"/>
        <v>22</v>
      </c>
      <c r="T165" s="993">
        <f t="shared" si="668"/>
        <v>37</v>
      </c>
      <c r="U165" s="993">
        <f t="shared" si="668"/>
        <v>9</v>
      </c>
      <c r="V165" s="993">
        <f t="shared" si="668"/>
        <v>11</v>
      </c>
      <c r="W165" s="993">
        <f t="shared" si="668"/>
        <v>12</v>
      </c>
      <c r="X165" s="993">
        <f t="shared" si="668"/>
        <v>13</v>
      </c>
      <c r="Y165" s="993">
        <f t="shared" si="668"/>
        <v>11</v>
      </c>
      <c r="Z165" s="1001">
        <v>9</v>
      </c>
      <c r="AA165" s="1001">
        <v>10</v>
      </c>
      <c r="AB165" s="1001">
        <v>25</v>
      </c>
      <c r="AC165" s="1001">
        <v>27</v>
      </c>
      <c r="AD165" s="1001">
        <v>17</v>
      </c>
      <c r="AE165" s="1001">
        <v>21</v>
      </c>
      <c r="AF165" s="1001">
        <v>41</v>
      </c>
      <c r="AG165" s="1001">
        <v>43</v>
      </c>
      <c r="AH165" s="1001">
        <v>32</v>
      </c>
      <c r="AI165" s="1001">
        <v>29</v>
      </c>
      <c r="AJ165" s="1001">
        <v>46</v>
      </c>
      <c r="AK165" s="1001">
        <v>58</v>
      </c>
      <c r="AL165" s="1001">
        <v>43</v>
      </c>
      <c r="AM165" s="1001">
        <v>34</v>
      </c>
      <c r="AN165" s="1001">
        <v>65</v>
      </c>
      <c r="AO165" s="1001">
        <v>48</v>
      </c>
      <c r="AP165" s="1001">
        <v>31</v>
      </c>
      <c r="AQ165" s="1001">
        <v>47</v>
      </c>
      <c r="AR165" s="1001">
        <v>84</v>
      </c>
      <c r="AS165" s="1001">
        <v>54</v>
      </c>
      <c r="AT165" s="1001">
        <v>50</v>
      </c>
      <c r="AU165" s="1001">
        <v>35</v>
      </c>
      <c r="AV165" s="1001">
        <v>63</v>
      </c>
      <c r="AW165" s="1001">
        <v>51</v>
      </c>
      <c r="AX165" s="1001">
        <v>18</v>
      </c>
      <c r="AY165" s="1001">
        <v>19</v>
      </c>
      <c r="AZ165" s="1001">
        <f>73-AY165-AX165</f>
        <v>36</v>
      </c>
      <c r="BA165" s="1001">
        <f>99-AZ165-AY165-AX165</f>
        <v>26</v>
      </c>
      <c r="BB165" s="1001">
        <v>9</v>
      </c>
      <c r="BC165" s="1001">
        <v>15</v>
      </c>
      <c r="BD165" s="1001">
        <v>41</v>
      </c>
      <c r="BE165" s="1001">
        <f>BE154+BE132+BE4+BE11+BE19</f>
        <v>53</v>
      </c>
      <c r="BF165" s="1001">
        <f t="shared" ref="BF165:BI165" si="669">BF154+BF132+BF4+BF11+BF19</f>
        <v>31</v>
      </c>
      <c r="BG165" s="1001">
        <f t="shared" si="669"/>
        <v>33</v>
      </c>
      <c r="BH165" s="1001">
        <f t="shared" si="669"/>
        <v>34</v>
      </c>
      <c r="BI165" s="1001">
        <f t="shared" si="669"/>
        <v>38</v>
      </c>
    </row>
    <row r="166" spans="1:61">
      <c r="A166" s="995" t="s">
        <v>726</v>
      </c>
      <c r="B166" s="995">
        <f>+B45+B56+B67+B78+B89+B100+B111+B122+B133+B144+B155</f>
        <v>20</v>
      </c>
      <c r="C166" s="995">
        <f t="shared" ref="C166:Y166" si="670">+C45+C56+C67+C78+C89+C100+C111+C122+C133+C144+C155</f>
        <v>44</v>
      </c>
      <c r="D166" s="995">
        <f t="shared" si="670"/>
        <v>9</v>
      </c>
      <c r="E166" s="995">
        <f t="shared" si="670"/>
        <v>85</v>
      </c>
      <c r="F166" s="995">
        <f t="shared" si="670"/>
        <v>25</v>
      </c>
      <c r="G166" s="995">
        <f t="shared" si="670"/>
        <v>21</v>
      </c>
      <c r="H166" s="995">
        <f t="shared" si="670"/>
        <v>11</v>
      </c>
      <c r="I166" s="995">
        <f t="shared" si="670"/>
        <v>82</v>
      </c>
      <c r="J166" s="995">
        <f t="shared" si="670"/>
        <v>21</v>
      </c>
      <c r="K166" s="995">
        <f t="shared" si="670"/>
        <v>22</v>
      </c>
      <c r="L166" s="995">
        <f t="shared" si="670"/>
        <v>13</v>
      </c>
      <c r="M166" s="995">
        <f t="shared" si="670"/>
        <v>60</v>
      </c>
      <c r="N166" s="995">
        <f t="shared" si="670"/>
        <v>19</v>
      </c>
      <c r="O166" s="995">
        <f t="shared" si="670"/>
        <v>23</v>
      </c>
      <c r="P166" s="995">
        <f t="shared" si="670"/>
        <v>65</v>
      </c>
      <c r="Q166" s="995">
        <f t="shared" si="670"/>
        <v>52</v>
      </c>
      <c r="R166" s="995">
        <f t="shared" si="670"/>
        <v>23</v>
      </c>
      <c r="S166" s="995">
        <f t="shared" si="670"/>
        <v>29</v>
      </c>
      <c r="T166" s="995">
        <f t="shared" si="670"/>
        <v>17</v>
      </c>
      <c r="U166" s="995">
        <f t="shared" si="670"/>
        <v>50</v>
      </c>
      <c r="V166" s="995">
        <f t="shared" si="670"/>
        <v>11</v>
      </c>
      <c r="W166" s="995">
        <f t="shared" si="670"/>
        <v>16</v>
      </c>
      <c r="X166" s="995">
        <f t="shared" si="670"/>
        <v>15</v>
      </c>
      <c r="Y166" s="995">
        <f t="shared" si="670"/>
        <v>59</v>
      </c>
      <c r="Z166" s="1002">
        <v>19</v>
      </c>
      <c r="AA166" s="1002">
        <v>19</v>
      </c>
      <c r="AB166" s="1002">
        <v>19</v>
      </c>
      <c r="AC166" s="1002">
        <v>41</v>
      </c>
      <c r="AD166" s="1002">
        <v>26</v>
      </c>
      <c r="AE166" s="1002">
        <v>27</v>
      </c>
      <c r="AF166" s="1002">
        <v>29</v>
      </c>
      <c r="AG166" s="1002">
        <v>72</v>
      </c>
      <c r="AH166" s="1002">
        <v>42</v>
      </c>
      <c r="AI166" s="1002">
        <v>20</v>
      </c>
      <c r="AJ166" s="1002">
        <v>13</v>
      </c>
      <c r="AK166" s="1002">
        <v>62</v>
      </c>
      <c r="AL166" s="1002">
        <v>33</v>
      </c>
      <c r="AM166" s="1002">
        <v>33</v>
      </c>
      <c r="AN166" s="1002">
        <v>11</v>
      </c>
      <c r="AO166" s="1002">
        <v>44</v>
      </c>
      <c r="AP166" s="1002">
        <v>16</v>
      </c>
      <c r="AQ166" s="1002">
        <v>26</v>
      </c>
      <c r="AR166" s="1002">
        <v>18</v>
      </c>
      <c r="AS166" s="1002">
        <v>40</v>
      </c>
      <c r="AT166" s="1002">
        <v>21</v>
      </c>
      <c r="AU166" s="1002">
        <v>35</v>
      </c>
      <c r="AV166" s="1002">
        <v>26</v>
      </c>
      <c r="AW166" s="1002">
        <v>122</v>
      </c>
      <c r="AX166" s="1002">
        <v>17</v>
      </c>
      <c r="AY166" s="1002">
        <v>22</v>
      </c>
      <c r="AZ166" s="1002">
        <f>67-AY166-AX166</f>
        <v>28</v>
      </c>
      <c r="BA166" s="1002">
        <f>174-AZ166-AY166-AX166</f>
        <v>107</v>
      </c>
      <c r="BB166" s="1002">
        <v>23</v>
      </c>
      <c r="BC166" s="1002">
        <v>22</v>
      </c>
      <c r="BD166" s="1002">
        <v>27</v>
      </c>
      <c r="BE166" s="1002">
        <f>BE155+BE133+BE5+BE12+BE20</f>
        <v>81</v>
      </c>
      <c r="BF166" s="1002">
        <f t="shared" ref="BF166:BI166" si="671">BF155+BF133+BF5+BF12+BF20</f>
        <v>27</v>
      </c>
      <c r="BG166" s="1002">
        <f t="shared" si="671"/>
        <v>33</v>
      </c>
      <c r="BH166" s="1002">
        <f t="shared" si="671"/>
        <v>48</v>
      </c>
      <c r="BI166" s="1002">
        <f t="shared" si="671"/>
        <v>106</v>
      </c>
    </row>
    <row r="167" spans="1:61">
      <c r="A167" s="997" t="s">
        <v>725</v>
      </c>
      <c r="B167" s="997">
        <f>+B46+B57+B68+B79+B90+B101+B112+B123+B134+B145+B156</f>
        <v>3016</v>
      </c>
      <c r="C167" s="997">
        <f t="shared" ref="C167:Y167" si="672">+C46+C57+C68+C79+C90+C101+C112+C123+C134+C145+C156</f>
        <v>2999</v>
      </c>
      <c r="D167" s="997">
        <f t="shared" si="672"/>
        <v>3051</v>
      </c>
      <c r="E167" s="997">
        <f t="shared" si="672"/>
        <v>2994</v>
      </c>
      <c r="F167" s="997">
        <f t="shared" si="672"/>
        <v>3010</v>
      </c>
      <c r="G167" s="997">
        <f t="shared" si="672"/>
        <v>3029</v>
      </c>
      <c r="H167" s="997">
        <f t="shared" si="672"/>
        <v>3112</v>
      </c>
      <c r="I167" s="997">
        <f t="shared" si="672"/>
        <v>3048</v>
      </c>
      <c r="J167" s="997">
        <f t="shared" si="672"/>
        <v>3065</v>
      </c>
      <c r="K167" s="997">
        <f t="shared" si="672"/>
        <v>3080</v>
      </c>
      <c r="L167" s="997">
        <f t="shared" si="672"/>
        <v>3142</v>
      </c>
      <c r="M167" s="997">
        <f t="shared" si="672"/>
        <v>3112</v>
      </c>
      <c r="N167" s="997">
        <f t="shared" si="672"/>
        <v>3134</v>
      </c>
      <c r="O167" s="997">
        <f t="shared" si="672"/>
        <v>3143</v>
      </c>
      <c r="P167" s="997">
        <f t="shared" si="672"/>
        <v>3191</v>
      </c>
      <c r="Q167" s="997">
        <f t="shared" si="672"/>
        <v>3167</v>
      </c>
      <c r="R167" s="997">
        <f t="shared" si="672"/>
        <v>3177</v>
      </c>
      <c r="S167" s="997">
        <f t="shared" si="672"/>
        <v>3170</v>
      </c>
      <c r="T167" s="997">
        <f t="shared" si="672"/>
        <v>3190</v>
      </c>
      <c r="U167" s="997">
        <f t="shared" si="672"/>
        <v>3149</v>
      </c>
      <c r="V167" s="997">
        <f t="shared" si="672"/>
        <v>3149</v>
      </c>
      <c r="W167" s="997">
        <f t="shared" si="672"/>
        <v>3145</v>
      </c>
      <c r="X167" s="997">
        <f t="shared" si="672"/>
        <v>3143</v>
      </c>
      <c r="Y167" s="997">
        <f t="shared" si="672"/>
        <v>3095</v>
      </c>
      <c r="Z167" s="1003">
        <f t="shared" ref="Z167:AJ167" si="673">Z164+Z165-Z166</f>
        <v>3085</v>
      </c>
      <c r="AA167" s="1003">
        <f t="shared" si="673"/>
        <v>3076</v>
      </c>
      <c r="AB167" s="1003">
        <f t="shared" si="673"/>
        <v>3082</v>
      </c>
      <c r="AC167" s="1003">
        <f t="shared" si="673"/>
        <v>3068</v>
      </c>
      <c r="AD167" s="1003">
        <f t="shared" si="673"/>
        <v>3059</v>
      </c>
      <c r="AE167" s="1003">
        <f t="shared" si="673"/>
        <v>3053</v>
      </c>
      <c r="AF167" s="1003">
        <f t="shared" si="673"/>
        <v>3065</v>
      </c>
      <c r="AG167" s="1003">
        <f t="shared" si="673"/>
        <v>3036</v>
      </c>
      <c r="AH167" s="1003">
        <f t="shared" si="673"/>
        <v>3026</v>
      </c>
      <c r="AI167" s="1003">
        <f t="shared" si="673"/>
        <v>3035</v>
      </c>
      <c r="AJ167" s="1003">
        <f t="shared" si="673"/>
        <v>3068</v>
      </c>
      <c r="AK167" s="1003">
        <v>3095</v>
      </c>
      <c r="AL167" s="1003">
        <f t="shared" ref="AL167:AX167" si="674">AL164+AL165-AL166</f>
        <v>3105</v>
      </c>
      <c r="AM167" s="1003">
        <f t="shared" si="674"/>
        <v>3106</v>
      </c>
      <c r="AN167" s="1003">
        <f t="shared" si="674"/>
        <v>3160</v>
      </c>
      <c r="AO167" s="1003">
        <f t="shared" si="674"/>
        <v>3164</v>
      </c>
      <c r="AP167" s="1003">
        <f t="shared" si="674"/>
        <v>3179</v>
      </c>
      <c r="AQ167" s="1003">
        <f t="shared" si="674"/>
        <v>3200</v>
      </c>
      <c r="AR167" s="1003">
        <f t="shared" si="674"/>
        <v>3266</v>
      </c>
      <c r="AS167" s="1003">
        <f t="shared" si="674"/>
        <v>3280</v>
      </c>
      <c r="AT167" s="1003">
        <f t="shared" si="674"/>
        <v>3309</v>
      </c>
      <c r="AU167" s="1003">
        <f t="shared" si="674"/>
        <v>3309</v>
      </c>
      <c r="AV167" s="1003">
        <f t="shared" si="674"/>
        <v>3346</v>
      </c>
      <c r="AW167" s="1003">
        <f t="shared" si="674"/>
        <v>3275</v>
      </c>
      <c r="AX167" s="1003">
        <f t="shared" si="674"/>
        <v>3276</v>
      </c>
      <c r="AY167" s="1003">
        <f t="shared" ref="AY167:BA167" si="675">AY164+AY165-AY166</f>
        <v>3273</v>
      </c>
      <c r="AZ167" s="1003">
        <f t="shared" si="675"/>
        <v>3281</v>
      </c>
      <c r="BA167" s="1003">
        <f t="shared" si="675"/>
        <v>3200</v>
      </c>
      <c r="BB167" s="1003">
        <f t="shared" ref="BB167:BC167" si="676">BB164+BB165-BB166</f>
        <v>3186</v>
      </c>
      <c r="BC167" s="1003">
        <f t="shared" si="676"/>
        <v>3179</v>
      </c>
      <c r="BD167" s="1003">
        <f t="shared" ref="BD167:BI167" si="677">BD164+BD165-BD166</f>
        <v>3193</v>
      </c>
      <c r="BE167" s="1003">
        <f t="shared" si="677"/>
        <v>3165</v>
      </c>
      <c r="BF167" s="1003">
        <f t="shared" si="677"/>
        <v>3169</v>
      </c>
      <c r="BG167" s="1003">
        <f t="shared" si="677"/>
        <v>3169</v>
      </c>
      <c r="BH167" s="1003">
        <f t="shared" si="677"/>
        <v>3155</v>
      </c>
      <c r="BI167" s="1003">
        <f t="shared" si="677"/>
        <v>3087</v>
      </c>
    </row>
    <row r="169" spans="1:61">
      <c r="A169" s="991" t="s">
        <v>729</v>
      </c>
      <c r="B169" s="991" t="str">
        <f>B163</f>
        <v>1Q04</v>
      </c>
      <c r="C169" s="991" t="str">
        <f t="shared" ref="C169:Y169" si="678">C163</f>
        <v>2Q04</v>
      </c>
      <c r="D169" s="991" t="str">
        <f t="shared" si="678"/>
        <v>3Q04</v>
      </c>
      <c r="E169" s="991" t="str">
        <f t="shared" si="678"/>
        <v>4Q04</v>
      </c>
      <c r="F169" s="991" t="str">
        <f t="shared" si="678"/>
        <v>1Q05</v>
      </c>
      <c r="G169" s="991" t="str">
        <f t="shared" si="678"/>
        <v>2Q05</v>
      </c>
      <c r="H169" s="991" t="str">
        <f t="shared" si="678"/>
        <v>3Q05</v>
      </c>
      <c r="I169" s="991" t="str">
        <f t="shared" si="678"/>
        <v>4Q05</v>
      </c>
      <c r="J169" s="991" t="str">
        <f t="shared" si="678"/>
        <v>1Q06</v>
      </c>
      <c r="K169" s="991" t="str">
        <f t="shared" si="678"/>
        <v>2Q06</v>
      </c>
      <c r="L169" s="991" t="str">
        <f t="shared" si="678"/>
        <v>3Q06</v>
      </c>
      <c r="M169" s="991" t="str">
        <f t="shared" si="678"/>
        <v>4Q06</v>
      </c>
      <c r="N169" s="991" t="str">
        <f t="shared" si="678"/>
        <v>1Q07</v>
      </c>
      <c r="O169" s="991" t="str">
        <f t="shared" si="678"/>
        <v>2Q07</v>
      </c>
      <c r="P169" s="991" t="str">
        <f t="shared" si="678"/>
        <v>3Q07</v>
      </c>
      <c r="Q169" s="991" t="str">
        <f t="shared" si="678"/>
        <v>4Q07</v>
      </c>
      <c r="R169" s="991" t="str">
        <f t="shared" si="678"/>
        <v>1Q08</v>
      </c>
      <c r="S169" s="991" t="str">
        <f t="shared" si="678"/>
        <v>2Q08</v>
      </c>
      <c r="T169" s="991" t="str">
        <f t="shared" si="678"/>
        <v>3Q08</v>
      </c>
      <c r="U169" s="991" t="str">
        <f t="shared" si="678"/>
        <v>4Q08</v>
      </c>
      <c r="V169" s="991" t="str">
        <f t="shared" si="678"/>
        <v>1Q09</v>
      </c>
      <c r="W169" s="991" t="str">
        <f t="shared" si="678"/>
        <v>2Q09</v>
      </c>
      <c r="X169" s="991" t="str">
        <f t="shared" si="678"/>
        <v>3Q09</v>
      </c>
      <c r="Y169" s="991" t="str">
        <f t="shared" si="678"/>
        <v>4Q09</v>
      </c>
      <c r="Z169" s="991" t="s">
        <v>447</v>
      </c>
      <c r="AA169" s="991" t="s">
        <v>448</v>
      </c>
      <c r="AB169" s="991" t="s">
        <v>453</v>
      </c>
      <c r="AC169" s="991" t="s">
        <v>454</v>
      </c>
      <c r="AD169" s="991" t="s">
        <v>449</v>
      </c>
      <c r="AE169" s="991" t="s">
        <v>450</v>
      </c>
      <c r="AF169" s="991" t="s">
        <v>451</v>
      </c>
      <c r="AG169" s="991" t="s">
        <v>452</v>
      </c>
      <c r="AH169" s="991" t="s">
        <v>265</v>
      </c>
      <c r="AI169" s="991" t="s">
        <v>125</v>
      </c>
      <c r="AJ169" s="991" t="s">
        <v>266</v>
      </c>
      <c r="AK169" s="991" t="s">
        <v>267</v>
      </c>
      <c r="AL169" s="991" t="s">
        <v>724</v>
      </c>
      <c r="AM169" s="991" t="s">
        <v>723</v>
      </c>
      <c r="AN169" s="991" t="s">
        <v>722</v>
      </c>
      <c r="AO169" s="991" t="s">
        <v>721</v>
      </c>
      <c r="AP169" s="991" t="s">
        <v>671</v>
      </c>
      <c r="AQ169" s="991" t="s">
        <v>477</v>
      </c>
      <c r="AR169" s="991" t="s">
        <v>672</v>
      </c>
      <c r="AS169" s="991" t="s">
        <v>673</v>
      </c>
      <c r="AT169" s="991" t="s">
        <v>720</v>
      </c>
      <c r="AU169" s="991" t="s">
        <v>719</v>
      </c>
      <c r="AV169" s="991" t="s">
        <v>718</v>
      </c>
      <c r="AW169" s="991" t="s">
        <v>717</v>
      </c>
      <c r="AX169" s="991" t="str">
        <f>$AX$42</f>
        <v>1Q16</v>
      </c>
      <c r="AY169" s="991" t="str">
        <f>$AY$42</f>
        <v>2Q16</v>
      </c>
      <c r="AZ169" s="992" t="s">
        <v>704</v>
      </c>
      <c r="BA169" s="992" t="s">
        <v>705</v>
      </c>
      <c r="BB169" s="992" t="str">
        <f>BB158</f>
        <v>1Q17</v>
      </c>
      <c r="BC169" s="992" t="str">
        <f>BC158</f>
        <v>2Q17</v>
      </c>
      <c r="BD169" s="992" t="str">
        <f>BD158</f>
        <v>3Q17</v>
      </c>
      <c r="BE169" s="992" t="str">
        <f t="shared" ref="BE169:BI169" si="679">BE158</f>
        <v>4Q17</v>
      </c>
      <c r="BF169" s="992" t="str">
        <f t="shared" si="679"/>
        <v>1Q18</v>
      </c>
      <c r="BG169" s="992" t="str">
        <f t="shared" si="679"/>
        <v>2Q18</v>
      </c>
      <c r="BH169" s="992" t="str">
        <f t="shared" si="679"/>
        <v>3Q18</v>
      </c>
      <c r="BI169" s="992" t="str">
        <f t="shared" si="679"/>
        <v>4Q18</v>
      </c>
    </row>
    <row r="170" spans="1:61">
      <c r="A170" s="993" t="s">
        <v>716</v>
      </c>
      <c r="C170" s="993">
        <f>+C49+C60+C71+C82+C93+C104+C115+C126+C137+C148+C159</f>
        <v>36.5</v>
      </c>
      <c r="D170" s="993">
        <f t="shared" ref="D170:Y170" si="680">+D49+D60+D71+D82+D93+D104+D115+D126+D137+D148+D159</f>
        <v>36.4</v>
      </c>
      <c r="E170" s="993">
        <f t="shared" si="680"/>
        <v>37</v>
      </c>
      <c r="F170" s="993">
        <f t="shared" si="680"/>
        <v>36.6</v>
      </c>
      <c r="G170" s="993">
        <f t="shared" si="680"/>
        <v>36.9</v>
      </c>
      <c r="H170" s="993">
        <f t="shared" si="680"/>
        <v>37.1</v>
      </c>
      <c r="I170" s="993">
        <f t="shared" si="680"/>
        <v>38.1</v>
      </c>
      <c r="J170" s="993">
        <f t="shared" si="680"/>
        <v>37.700000000000003</v>
      </c>
      <c r="K170" s="993">
        <f t="shared" si="680"/>
        <v>37.900000000000006</v>
      </c>
      <c r="L170" s="993">
        <f t="shared" si="680"/>
        <v>38.1</v>
      </c>
      <c r="M170" s="993">
        <f t="shared" si="680"/>
        <v>38.9</v>
      </c>
      <c r="N170" s="993">
        <f t="shared" si="680"/>
        <v>38.700000000000003</v>
      </c>
      <c r="O170" s="993">
        <f t="shared" si="680"/>
        <v>38.9</v>
      </c>
      <c r="P170" s="993">
        <f t="shared" si="680"/>
        <v>39.1</v>
      </c>
      <c r="Q170" s="993">
        <f t="shared" si="680"/>
        <v>39.700000000000003</v>
      </c>
      <c r="R170" s="993">
        <f t="shared" si="680"/>
        <v>39.6</v>
      </c>
      <c r="S170" s="993">
        <f t="shared" si="680"/>
        <v>39.699999999999996</v>
      </c>
      <c r="T170" s="993">
        <f t="shared" si="680"/>
        <v>39.6</v>
      </c>
      <c r="U170" s="993">
        <f t="shared" si="680"/>
        <v>39.9</v>
      </c>
      <c r="V170" s="993">
        <f t="shared" si="680"/>
        <v>39.500000000000007</v>
      </c>
      <c r="W170" s="993">
        <f t="shared" si="680"/>
        <v>39.4</v>
      </c>
      <c r="X170" s="993">
        <f t="shared" si="680"/>
        <v>39.4</v>
      </c>
      <c r="Y170" s="993">
        <f t="shared" si="680"/>
        <v>39.4</v>
      </c>
      <c r="Z170" s="1001">
        <v>0</v>
      </c>
      <c r="AA170" s="1001">
        <f t="shared" ref="AA170:BD170" si="681">+Z172</f>
        <v>38.700000000000003</v>
      </c>
      <c r="AB170" s="1001">
        <f t="shared" si="681"/>
        <v>38.5</v>
      </c>
      <c r="AC170" s="1001">
        <f t="shared" si="681"/>
        <v>38.4</v>
      </c>
      <c r="AD170" s="1001">
        <f t="shared" si="681"/>
        <v>38.200000000000003</v>
      </c>
      <c r="AE170" s="1001">
        <f t="shared" si="681"/>
        <v>37.799999999999997</v>
      </c>
      <c r="AF170" s="1001">
        <f t="shared" si="681"/>
        <v>37.700000000000003</v>
      </c>
      <c r="AG170" s="1001">
        <f t="shared" si="681"/>
        <v>37.6</v>
      </c>
      <c r="AH170" s="1001">
        <f t="shared" si="681"/>
        <v>37.200000000000003</v>
      </c>
      <c r="AI170" s="1001">
        <f t="shared" si="681"/>
        <v>36.9</v>
      </c>
      <c r="AJ170" s="1001">
        <f t="shared" si="681"/>
        <v>36.799999999999997</v>
      </c>
      <c r="AK170" s="1001">
        <f t="shared" si="681"/>
        <v>36.9</v>
      </c>
      <c r="AL170" s="1001">
        <f t="shared" si="681"/>
        <v>36.9</v>
      </c>
      <c r="AM170" s="1001">
        <f t="shared" si="681"/>
        <v>37</v>
      </c>
      <c r="AN170" s="1001">
        <f t="shared" si="681"/>
        <v>36.799999999999997</v>
      </c>
      <c r="AO170" s="1001">
        <f t="shared" si="681"/>
        <v>37.200000000000003</v>
      </c>
      <c r="AP170" s="1001">
        <f t="shared" si="681"/>
        <v>37.200000000000003</v>
      </c>
      <c r="AQ170" s="1001">
        <f t="shared" si="681"/>
        <v>37.200000000000003</v>
      </c>
      <c r="AR170" s="1001">
        <f t="shared" si="681"/>
        <v>37.4</v>
      </c>
      <c r="AS170" s="1001">
        <f t="shared" si="681"/>
        <v>38</v>
      </c>
      <c r="AT170" s="1001">
        <f t="shared" si="681"/>
        <v>38.1</v>
      </c>
      <c r="AU170" s="1001">
        <f t="shared" si="681"/>
        <v>38.299999999999997</v>
      </c>
      <c r="AV170" s="1001">
        <f t="shared" si="681"/>
        <v>38.200000000000003</v>
      </c>
      <c r="AW170" s="1001">
        <f t="shared" si="681"/>
        <v>38.6</v>
      </c>
      <c r="AX170" s="1001">
        <f t="shared" si="681"/>
        <v>37.9</v>
      </c>
      <c r="AY170" s="1001">
        <f t="shared" si="681"/>
        <v>37.799999999999997</v>
      </c>
      <c r="AZ170" s="1001">
        <f t="shared" si="681"/>
        <v>37.799999999999997</v>
      </c>
      <c r="BA170" s="1001">
        <f t="shared" si="681"/>
        <v>37.700000000000003</v>
      </c>
      <c r="BB170" s="1001">
        <f t="shared" si="681"/>
        <v>36.700000000000003</v>
      </c>
      <c r="BC170" s="1001">
        <f t="shared" si="681"/>
        <v>36.5</v>
      </c>
      <c r="BD170" s="1001">
        <f t="shared" si="681"/>
        <v>36.5</v>
      </c>
      <c r="BE170" s="1001">
        <f t="shared" ref="BE170" si="682">+BD172</f>
        <v>36.6</v>
      </c>
      <c r="BF170" s="1001">
        <f t="shared" ref="BF170" si="683">+BE172</f>
        <v>36.4</v>
      </c>
      <c r="BG170" s="1001">
        <f t="shared" ref="BG170" si="684">+BF172</f>
        <v>36.385999999999996</v>
      </c>
      <c r="BH170" s="1001">
        <f t="shared" ref="BH170" si="685">+BG172</f>
        <v>36.337999999999994</v>
      </c>
      <c r="BI170" s="1001">
        <f t="shared" ref="BI170" si="686">+BH172</f>
        <v>36.165999999999997</v>
      </c>
    </row>
    <row r="171" spans="1:61">
      <c r="A171" s="995" t="s">
        <v>136</v>
      </c>
      <c r="B171" s="995"/>
      <c r="C171" s="1993">
        <f>+C50+C61+C72+C83+C94+C105+C116+C127+C138+C149+C160</f>
        <v>-9.999999999999809E-2</v>
      </c>
      <c r="D171" s="1993">
        <f t="shared" ref="D171:Y171" si="687">+D50+D61+D72+D83+D94+D105+D116+D127+D138+D149+D160</f>
        <v>0.60000000000000009</v>
      </c>
      <c r="E171" s="1993">
        <f t="shared" si="687"/>
        <v>-0.40000000000000036</v>
      </c>
      <c r="F171" s="1993">
        <f t="shared" si="687"/>
        <v>0.3000000000000006</v>
      </c>
      <c r="G171" s="1993">
        <f t="shared" si="687"/>
        <v>0.19999999999999973</v>
      </c>
      <c r="H171" s="1993">
        <f t="shared" si="687"/>
        <v>0.99999999999999678</v>
      </c>
      <c r="I171" s="1993">
        <f t="shared" si="687"/>
        <v>-0.39999999999999947</v>
      </c>
      <c r="J171" s="1993">
        <f t="shared" si="687"/>
        <v>0.20000000000000284</v>
      </c>
      <c r="K171" s="1993">
        <f t="shared" si="687"/>
        <v>0.19999999999999932</v>
      </c>
      <c r="L171" s="1993">
        <f t="shared" si="687"/>
        <v>0.79999999999999838</v>
      </c>
      <c r="M171" s="1993">
        <f t="shared" si="687"/>
        <v>-0.19999999999999751</v>
      </c>
      <c r="N171" s="1993">
        <f t="shared" si="687"/>
        <v>0.19999999999999751</v>
      </c>
      <c r="O171" s="1993">
        <f t="shared" si="687"/>
        <v>0.20000000000000284</v>
      </c>
      <c r="P171" s="1993">
        <f t="shared" si="687"/>
        <v>0.59999999999999876</v>
      </c>
      <c r="Q171" s="1993">
        <f t="shared" si="687"/>
        <v>-0.10000000000000098</v>
      </c>
      <c r="R171" s="1993">
        <f t="shared" si="687"/>
        <v>0.10000000000000098</v>
      </c>
      <c r="S171" s="1993">
        <f t="shared" si="687"/>
        <v>-9.9999999999999645E-2</v>
      </c>
      <c r="T171" s="1993">
        <f t="shared" si="687"/>
        <v>0.29999999999999849</v>
      </c>
      <c r="U171" s="1993">
        <f t="shared" si="687"/>
        <v>-0.39999999999999691</v>
      </c>
      <c r="V171" s="1993">
        <f t="shared" si="687"/>
        <v>-0.10000000000000134</v>
      </c>
      <c r="W171" s="1993">
        <f t="shared" si="687"/>
        <v>-1.4155343563970746E-15</v>
      </c>
      <c r="X171" s="1993">
        <f t="shared" si="687"/>
        <v>-1.3322676295501878E-15</v>
      </c>
      <c r="Y171" s="1993">
        <f t="shared" si="687"/>
        <v>-0.59999999999999787</v>
      </c>
      <c r="Z171" s="1470">
        <f t="shared" ref="Z171:AX171" si="688">Z172-Z170</f>
        <v>38.700000000000003</v>
      </c>
      <c r="AA171" s="1470">
        <f t="shared" si="688"/>
        <v>-0.20000000000000284</v>
      </c>
      <c r="AB171" s="1470">
        <f t="shared" si="688"/>
        <v>-0.10000000000000142</v>
      </c>
      <c r="AC171" s="1470">
        <f t="shared" si="688"/>
        <v>-0.19999999999999574</v>
      </c>
      <c r="AD171" s="1470">
        <f t="shared" si="688"/>
        <v>-0.40000000000000568</v>
      </c>
      <c r="AE171" s="1470">
        <f t="shared" si="688"/>
        <v>-9.9999999999994316E-2</v>
      </c>
      <c r="AF171" s="1470">
        <f t="shared" si="688"/>
        <v>-0.10000000000000142</v>
      </c>
      <c r="AG171" s="1470">
        <f t="shared" si="688"/>
        <v>-0.39999999999999858</v>
      </c>
      <c r="AH171" s="1470">
        <f t="shared" si="688"/>
        <v>-0.30000000000000426</v>
      </c>
      <c r="AI171" s="1470">
        <f t="shared" si="688"/>
        <v>-0.10000000000000142</v>
      </c>
      <c r="AJ171" s="1470">
        <f t="shared" si="688"/>
        <v>0.10000000000000142</v>
      </c>
      <c r="AK171" s="1470">
        <f t="shared" si="688"/>
        <v>0</v>
      </c>
      <c r="AL171" s="1470">
        <f t="shared" si="688"/>
        <v>0.10000000000000142</v>
      </c>
      <c r="AM171" s="1470">
        <f t="shared" si="688"/>
        <v>-0.20000000000000284</v>
      </c>
      <c r="AN171" s="1470">
        <f t="shared" si="688"/>
        <v>0.40000000000000568</v>
      </c>
      <c r="AO171" s="1470">
        <f t="shared" si="688"/>
        <v>0</v>
      </c>
      <c r="AP171" s="1470">
        <f t="shared" si="688"/>
        <v>0</v>
      </c>
      <c r="AQ171" s="1470">
        <f t="shared" si="688"/>
        <v>0.19999999999999574</v>
      </c>
      <c r="AR171" s="1470">
        <f t="shared" si="688"/>
        <v>0.60000000000000142</v>
      </c>
      <c r="AS171" s="1470">
        <f t="shared" si="688"/>
        <v>0.10000000000000142</v>
      </c>
      <c r="AT171" s="1470">
        <f t="shared" si="688"/>
        <v>0.19999999999999574</v>
      </c>
      <c r="AU171" s="1470">
        <f t="shared" si="688"/>
        <v>-9.9999999999994316E-2</v>
      </c>
      <c r="AV171" s="1470">
        <f t="shared" si="688"/>
        <v>0.39999999999999858</v>
      </c>
      <c r="AW171" s="1470">
        <f t="shared" si="688"/>
        <v>-0.70000000000000284</v>
      </c>
      <c r="AX171" s="1470">
        <f t="shared" si="688"/>
        <v>-0.10000000000000142</v>
      </c>
      <c r="AY171" s="1470">
        <f t="shared" ref="AY171:AZ171" si="689">AY172-AY170</f>
        <v>0</v>
      </c>
      <c r="AZ171" s="1470">
        <f t="shared" si="689"/>
        <v>-9.9999999999994316E-2</v>
      </c>
      <c r="BA171" s="1470">
        <f t="shared" ref="BA171:BB171" si="690">BA172-BA170</f>
        <v>-1</v>
      </c>
      <c r="BB171" s="1470">
        <f t="shared" si="690"/>
        <v>-0.20000000000000284</v>
      </c>
      <c r="BC171" s="1470">
        <f t="shared" ref="BC171:BD171" si="691">BC172-BC170</f>
        <v>0</v>
      </c>
      <c r="BD171" s="1470">
        <f t="shared" si="691"/>
        <v>0.10000000000000142</v>
      </c>
      <c r="BE171" s="1470">
        <f t="shared" ref="BE171:BI171" si="692">BE172-BE170</f>
        <v>-0.20000000000000284</v>
      </c>
      <c r="BF171" s="1470">
        <f t="shared" si="692"/>
        <v>-1.4000000000002899E-2</v>
      </c>
      <c r="BG171" s="1470">
        <f t="shared" si="692"/>
        <v>-4.8000000000001819E-2</v>
      </c>
      <c r="BH171" s="1470">
        <f t="shared" si="692"/>
        <v>-0.17199999999999704</v>
      </c>
      <c r="BI171" s="1470">
        <f t="shared" si="692"/>
        <v>-0.66000000000000369</v>
      </c>
    </row>
    <row r="172" spans="1:61">
      <c r="A172" s="997" t="s">
        <v>715</v>
      </c>
      <c r="B172" s="997"/>
      <c r="C172" s="997">
        <f>+C51+C62+C73+C84+C95+C106+C117+C128+C139+C150+C161</f>
        <v>36.4</v>
      </c>
      <c r="D172" s="997">
        <f t="shared" ref="D172:Y172" si="693">+D51+D62+D73+D84+D95+D106+D117+D128+D139+D150+D161</f>
        <v>37</v>
      </c>
      <c r="E172" s="997">
        <f t="shared" si="693"/>
        <v>36.6</v>
      </c>
      <c r="F172" s="997">
        <f t="shared" si="693"/>
        <v>36.9</v>
      </c>
      <c r="G172" s="997">
        <f t="shared" si="693"/>
        <v>37.1</v>
      </c>
      <c r="H172" s="997">
        <f t="shared" si="693"/>
        <v>38.1</v>
      </c>
      <c r="I172" s="997">
        <f t="shared" si="693"/>
        <v>37.700000000000003</v>
      </c>
      <c r="J172" s="997">
        <f t="shared" si="693"/>
        <v>37.900000000000006</v>
      </c>
      <c r="K172" s="997">
        <f t="shared" si="693"/>
        <v>38.1</v>
      </c>
      <c r="L172" s="997">
        <f t="shared" si="693"/>
        <v>38.9</v>
      </c>
      <c r="M172" s="997">
        <f t="shared" si="693"/>
        <v>38.700000000000003</v>
      </c>
      <c r="N172" s="997">
        <f t="shared" si="693"/>
        <v>38.9</v>
      </c>
      <c r="O172" s="997">
        <f t="shared" si="693"/>
        <v>39.1</v>
      </c>
      <c r="P172" s="997">
        <f t="shared" si="693"/>
        <v>39.700000000000003</v>
      </c>
      <c r="Q172" s="997">
        <f t="shared" si="693"/>
        <v>39.6</v>
      </c>
      <c r="R172" s="997">
        <f t="shared" si="693"/>
        <v>39.699999999999996</v>
      </c>
      <c r="S172" s="997">
        <f t="shared" si="693"/>
        <v>39.6</v>
      </c>
      <c r="T172" s="997">
        <f t="shared" si="693"/>
        <v>39.9</v>
      </c>
      <c r="U172" s="997">
        <f t="shared" si="693"/>
        <v>39.500000000000007</v>
      </c>
      <c r="V172" s="997">
        <f t="shared" si="693"/>
        <v>39.4</v>
      </c>
      <c r="W172" s="997">
        <f t="shared" si="693"/>
        <v>39.4</v>
      </c>
      <c r="X172" s="997">
        <f t="shared" si="693"/>
        <v>39.4</v>
      </c>
      <c r="Y172" s="997">
        <f t="shared" si="693"/>
        <v>38.800000000000004</v>
      </c>
      <c r="Z172" s="1003">
        <v>38.700000000000003</v>
      </c>
      <c r="AA172" s="1003">
        <v>38.5</v>
      </c>
      <c r="AB172" s="1003">
        <v>38.4</v>
      </c>
      <c r="AC172" s="1003">
        <v>38.200000000000003</v>
      </c>
      <c r="AD172" s="1003">
        <v>37.799999999999997</v>
      </c>
      <c r="AE172" s="1003">
        <v>37.700000000000003</v>
      </c>
      <c r="AF172" s="1003">
        <v>37.6</v>
      </c>
      <c r="AG172" s="1003">
        <v>37.200000000000003</v>
      </c>
      <c r="AH172" s="1003">
        <v>36.9</v>
      </c>
      <c r="AI172" s="1003">
        <v>36.799999999999997</v>
      </c>
      <c r="AJ172" s="1003">
        <v>36.9</v>
      </c>
      <c r="AK172" s="1003">
        <v>36.9</v>
      </c>
      <c r="AL172" s="1003">
        <v>37</v>
      </c>
      <c r="AM172" s="1003">
        <v>36.799999999999997</v>
      </c>
      <c r="AN172" s="1003">
        <v>37.200000000000003</v>
      </c>
      <c r="AO172" s="1003">
        <v>37.200000000000003</v>
      </c>
      <c r="AP172" s="1003">
        <v>37.200000000000003</v>
      </c>
      <c r="AQ172" s="1003">
        <v>37.4</v>
      </c>
      <c r="AR172" s="1003">
        <v>38</v>
      </c>
      <c r="AS172" s="1003">
        <v>38.1</v>
      </c>
      <c r="AT172" s="1003">
        <v>38.299999999999997</v>
      </c>
      <c r="AU172" s="1003">
        <v>38.200000000000003</v>
      </c>
      <c r="AV172" s="1003">
        <v>38.6</v>
      </c>
      <c r="AW172" s="1003">
        <v>37.9</v>
      </c>
      <c r="AX172" s="1003">
        <v>37.799999999999997</v>
      </c>
      <c r="AY172" s="1003">
        <v>37.799999999999997</v>
      </c>
      <c r="AZ172" s="1003">
        <v>37.700000000000003</v>
      </c>
      <c r="BA172" s="1003">
        <v>36.700000000000003</v>
      </c>
      <c r="BB172" s="1003">
        <v>36.5</v>
      </c>
      <c r="BC172" s="1003">
        <v>36.5</v>
      </c>
      <c r="BD172" s="1003">
        <v>36.6</v>
      </c>
      <c r="BE172" s="1003">
        <f>BE161+BE139+BE38+BE33+BE28</f>
        <v>36.4</v>
      </c>
      <c r="BF172" s="1440">
        <f t="shared" ref="BF172:BI172" si="694">BF161+BF139+BF38+BF33+BF28</f>
        <v>36.385999999999996</v>
      </c>
      <c r="BG172" s="1440">
        <f t="shared" si="694"/>
        <v>36.337999999999994</v>
      </c>
      <c r="BH172" s="1440">
        <f t="shared" si="694"/>
        <v>36.165999999999997</v>
      </c>
      <c r="BI172" s="1440">
        <f t="shared" si="694"/>
        <v>35.505999999999993</v>
      </c>
    </row>
    <row r="173" spans="1:61">
      <c r="Z173" s="1001"/>
      <c r="AA173" s="1001"/>
      <c r="AB173" s="1001"/>
      <c r="AC173" s="1001"/>
      <c r="AD173" s="1001"/>
      <c r="AE173" s="1001"/>
      <c r="AF173" s="1001"/>
      <c r="AG173" s="1001"/>
      <c r="AH173" s="1001"/>
      <c r="AI173" s="1001"/>
      <c r="AJ173" s="1001"/>
      <c r="AK173" s="1001"/>
      <c r="AL173" s="1001"/>
      <c r="AM173" s="1001"/>
      <c r="AN173" s="1001"/>
      <c r="AO173" s="1001"/>
      <c r="AP173" s="1001"/>
      <c r="AQ173" s="1001"/>
      <c r="AR173" s="1001"/>
      <c r="AS173" s="1001"/>
      <c r="AT173" s="1001"/>
      <c r="AU173" s="1001"/>
      <c r="AV173" s="1001"/>
      <c r="AW173" s="1001"/>
      <c r="AX173" s="1001"/>
      <c r="AY173" s="1001"/>
      <c r="AZ173" s="1001"/>
      <c r="BA173" s="1001"/>
      <c r="BB173" s="1001"/>
      <c r="BC173" s="1001"/>
      <c r="BD173" s="1001"/>
      <c r="BE173" s="1001"/>
    </row>
    <row r="174" spans="1:61">
      <c r="A174" s="991" t="s">
        <v>485</v>
      </c>
      <c r="B174" s="991" t="str">
        <f>B169</f>
        <v>1Q04</v>
      </c>
      <c r="C174" s="991" t="str">
        <f t="shared" ref="C174:Y174" si="695">C169</f>
        <v>2Q04</v>
      </c>
      <c r="D174" s="991" t="str">
        <f t="shared" si="695"/>
        <v>3Q04</v>
      </c>
      <c r="E174" s="991" t="str">
        <f t="shared" si="695"/>
        <v>4Q04</v>
      </c>
      <c r="F174" s="991" t="str">
        <f t="shared" si="695"/>
        <v>1Q05</v>
      </c>
      <c r="G174" s="991" t="str">
        <f t="shared" si="695"/>
        <v>2Q05</v>
      </c>
      <c r="H174" s="991" t="str">
        <f t="shared" si="695"/>
        <v>3Q05</v>
      </c>
      <c r="I174" s="991" t="str">
        <f t="shared" si="695"/>
        <v>4Q05</v>
      </c>
      <c r="J174" s="991" t="str">
        <f t="shared" si="695"/>
        <v>1Q06</v>
      </c>
      <c r="K174" s="991" t="str">
        <f t="shared" si="695"/>
        <v>2Q06</v>
      </c>
      <c r="L174" s="991" t="str">
        <f t="shared" si="695"/>
        <v>3Q06</v>
      </c>
      <c r="M174" s="991" t="str">
        <f t="shared" si="695"/>
        <v>4Q06</v>
      </c>
      <c r="N174" s="991" t="str">
        <f t="shared" si="695"/>
        <v>1Q07</v>
      </c>
      <c r="O174" s="991" t="str">
        <f t="shared" si="695"/>
        <v>2Q07</v>
      </c>
      <c r="P174" s="991" t="str">
        <f t="shared" si="695"/>
        <v>3Q07</v>
      </c>
      <c r="Q174" s="991" t="str">
        <f t="shared" si="695"/>
        <v>4Q07</v>
      </c>
      <c r="R174" s="991" t="str">
        <f t="shared" si="695"/>
        <v>1Q08</v>
      </c>
      <c r="S174" s="991" t="str">
        <f t="shared" si="695"/>
        <v>2Q08</v>
      </c>
      <c r="T174" s="991" t="str">
        <f t="shared" si="695"/>
        <v>3Q08</v>
      </c>
      <c r="U174" s="991" t="str">
        <f t="shared" si="695"/>
        <v>4Q08</v>
      </c>
      <c r="V174" s="991" t="str">
        <f t="shared" si="695"/>
        <v>1Q09</v>
      </c>
      <c r="W174" s="991" t="str">
        <f t="shared" si="695"/>
        <v>2Q09</v>
      </c>
      <c r="X174" s="991" t="str">
        <f t="shared" si="695"/>
        <v>3Q09</v>
      </c>
      <c r="Y174" s="991" t="str">
        <f t="shared" si="695"/>
        <v>4Q09</v>
      </c>
      <c r="Z174" s="991" t="s">
        <v>447</v>
      </c>
      <c r="AA174" s="991" t="s">
        <v>448</v>
      </c>
      <c r="AB174" s="991" t="s">
        <v>453</v>
      </c>
      <c r="AC174" s="991" t="s">
        <v>454</v>
      </c>
      <c r="AD174" s="991" t="s">
        <v>449</v>
      </c>
      <c r="AE174" s="991" t="s">
        <v>450</v>
      </c>
      <c r="AF174" s="991" t="s">
        <v>451</v>
      </c>
      <c r="AG174" s="991" t="s">
        <v>452</v>
      </c>
      <c r="AH174" s="991" t="s">
        <v>265</v>
      </c>
      <c r="AI174" s="991" t="s">
        <v>125</v>
      </c>
      <c r="AJ174" s="991" t="s">
        <v>266</v>
      </c>
      <c r="AK174" s="991" t="s">
        <v>267</v>
      </c>
      <c r="AL174" s="991" t="s">
        <v>724</v>
      </c>
      <c r="AM174" s="991" t="s">
        <v>723</v>
      </c>
      <c r="AN174" s="991" t="s">
        <v>722</v>
      </c>
      <c r="AO174" s="991" t="s">
        <v>721</v>
      </c>
      <c r="AP174" s="991" t="s">
        <v>671</v>
      </c>
      <c r="AQ174" s="991" t="s">
        <v>477</v>
      </c>
      <c r="AR174" s="991" t="s">
        <v>672</v>
      </c>
      <c r="AS174" s="991" t="s">
        <v>673</v>
      </c>
      <c r="AT174" s="991" t="s">
        <v>720</v>
      </c>
      <c r="AU174" s="991" t="s">
        <v>719</v>
      </c>
      <c r="AV174" s="991" t="s">
        <v>718</v>
      </c>
      <c r="AW174" s="991" t="s">
        <v>717</v>
      </c>
      <c r="AX174" s="991" t="str">
        <f>$AX$42</f>
        <v>1Q16</v>
      </c>
      <c r="AY174" s="991" t="str">
        <f>$AY$42</f>
        <v>2Q16</v>
      </c>
      <c r="AZ174" s="992" t="s">
        <v>704</v>
      </c>
      <c r="BA174" s="992" t="s">
        <v>705</v>
      </c>
      <c r="BB174" s="992" t="str">
        <f>BB158</f>
        <v>1Q17</v>
      </c>
      <c r="BC174" s="992" t="str">
        <f>BC158</f>
        <v>2Q17</v>
      </c>
      <c r="BD174" s="992" t="str">
        <f>BD158</f>
        <v>3Q17</v>
      </c>
      <c r="BE174" s="992" t="str">
        <f>BE158</f>
        <v>4Q17</v>
      </c>
    </row>
    <row r="175" spans="1:61">
      <c r="A175" s="993" t="s">
        <v>728</v>
      </c>
      <c r="Z175" s="1001">
        <v>136</v>
      </c>
      <c r="AA175" s="1001">
        <f t="shared" ref="AA175:BE175" si="696">+Z178</f>
        <v>147</v>
      </c>
      <c r="AB175" s="1001">
        <f t="shared" si="696"/>
        <v>151</v>
      </c>
      <c r="AC175" s="1001">
        <f t="shared" si="696"/>
        <v>165</v>
      </c>
      <c r="AD175" s="1001">
        <f t="shared" si="696"/>
        <v>178</v>
      </c>
      <c r="AE175" s="1001">
        <f t="shared" si="696"/>
        <v>186</v>
      </c>
      <c r="AF175" s="1001">
        <f t="shared" si="696"/>
        <v>195</v>
      </c>
      <c r="AG175" s="1001">
        <f t="shared" si="696"/>
        <v>211</v>
      </c>
      <c r="AH175" s="1001">
        <f t="shared" si="696"/>
        <v>227</v>
      </c>
      <c r="AI175" s="1001">
        <f t="shared" si="696"/>
        <v>244</v>
      </c>
      <c r="AJ175" s="1001">
        <f t="shared" si="696"/>
        <v>250</v>
      </c>
      <c r="AK175" s="1001">
        <f t="shared" si="696"/>
        <v>271</v>
      </c>
      <c r="AL175" s="1001">
        <f t="shared" si="696"/>
        <v>312</v>
      </c>
      <c r="AM175" s="1001">
        <f t="shared" si="696"/>
        <v>323</v>
      </c>
      <c r="AN175" s="1001">
        <f t="shared" si="696"/>
        <v>338</v>
      </c>
      <c r="AO175" s="1001">
        <f t="shared" si="696"/>
        <v>355</v>
      </c>
      <c r="AP175" s="1001">
        <f t="shared" si="696"/>
        <v>375</v>
      </c>
      <c r="AQ175" s="1001">
        <f t="shared" si="696"/>
        <v>386</v>
      </c>
      <c r="AR175" s="1001">
        <f t="shared" si="696"/>
        <v>394</v>
      </c>
      <c r="AS175" s="1001">
        <f t="shared" si="696"/>
        <v>414</v>
      </c>
      <c r="AT175" s="1001">
        <f t="shared" si="696"/>
        <v>429</v>
      </c>
      <c r="AU175" s="1001">
        <f t="shared" si="696"/>
        <v>440</v>
      </c>
      <c r="AV175" s="1001">
        <f t="shared" si="696"/>
        <v>442</v>
      </c>
      <c r="AW175" s="1001">
        <f t="shared" si="696"/>
        <v>448</v>
      </c>
      <c r="AX175" s="1001">
        <f t="shared" si="696"/>
        <v>446</v>
      </c>
      <c r="AY175" s="1001">
        <f t="shared" si="696"/>
        <v>451</v>
      </c>
      <c r="AZ175" s="1001">
        <f t="shared" si="696"/>
        <v>457</v>
      </c>
      <c r="BA175" s="1001">
        <f t="shared" si="696"/>
        <v>461</v>
      </c>
      <c r="BB175" s="1001">
        <f t="shared" si="696"/>
        <v>459</v>
      </c>
      <c r="BC175" s="1001">
        <f t="shared" si="696"/>
        <v>466</v>
      </c>
      <c r="BD175" s="1001">
        <f t="shared" si="696"/>
        <v>463</v>
      </c>
      <c r="BE175" s="1001">
        <f t="shared" si="696"/>
        <v>446</v>
      </c>
    </row>
    <row r="176" spans="1:61">
      <c r="A176" s="993" t="s">
        <v>727</v>
      </c>
      <c r="Z176" s="1001">
        <v>13</v>
      </c>
      <c r="AA176" s="1001">
        <v>6</v>
      </c>
      <c r="AB176" s="1001">
        <v>14</v>
      </c>
      <c r="AC176" s="1001">
        <v>14</v>
      </c>
      <c r="AD176" s="1001">
        <v>8</v>
      </c>
      <c r="AE176" s="1001">
        <v>10</v>
      </c>
      <c r="AF176" s="1001">
        <v>18</v>
      </c>
      <c r="AG176" s="1001">
        <v>16</v>
      </c>
      <c r="AH176" s="1001">
        <v>22</v>
      </c>
      <c r="AI176" s="1001">
        <v>8</v>
      </c>
      <c r="AJ176" s="1001">
        <v>25</v>
      </c>
      <c r="AK176" s="1001">
        <v>43</v>
      </c>
      <c r="AL176" s="1001">
        <v>11</v>
      </c>
      <c r="AM176" s="1001">
        <v>15</v>
      </c>
      <c r="AN176" s="1001">
        <v>20</v>
      </c>
      <c r="AO176" s="1001">
        <v>26</v>
      </c>
      <c r="AP176" s="1001">
        <v>15</v>
      </c>
      <c r="AQ176" s="1001">
        <v>10</v>
      </c>
      <c r="AR176" s="1001">
        <v>26</v>
      </c>
      <c r="AS176" s="1001">
        <v>16</v>
      </c>
      <c r="AT176" s="1001">
        <v>14</v>
      </c>
      <c r="AU176" s="1001">
        <v>7</v>
      </c>
      <c r="AV176" s="1001">
        <v>21</v>
      </c>
      <c r="AW176" s="1001">
        <v>10</v>
      </c>
      <c r="AX176" s="1001">
        <v>21</v>
      </c>
      <c r="AY176" s="1001">
        <v>14</v>
      </c>
      <c r="AZ176" s="1001">
        <f>52-AY176-AX176</f>
        <v>17</v>
      </c>
      <c r="BA176" s="1001">
        <v>4</v>
      </c>
      <c r="BB176" s="1001">
        <v>15</v>
      </c>
      <c r="BC176" s="1001">
        <v>7</v>
      </c>
      <c r="BD176" s="1001">
        <v>9</v>
      </c>
      <c r="BE176" s="1001">
        <v>3</v>
      </c>
    </row>
    <row r="177" spans="1:57" s="999" customFormat="1">
      <c r="A177" s="995" t="s">
        <v>726</v>
      </c>
      <c r="B177" s="995"/>
      <c r="C177" s="995"/>
      <c r="D177" s="995"/>
      <c r="E177" s="995"/>
      <c r="F177" s="995"/>
      <c r="G177" s="995"/>
      <c r="H177" s="995"/>
      <c r="I177" s="995"/>
      <c r="J177" s="995"/>
      <c r="K177" s="995"/>
      <c r="L177" s="995"/>
      <c r="M177" s="995"/>
      <c r="N177" s="995"/>
      <c r="O177" s="995"/>
      <c r="P177" s="995"/>
      <c r="Q177" s="995"/>
      <c r="R177" s="995"/>
      <c r="S177" s="995"/>
      <c r="T177" s="995"/>
      <c r="U177" s="995"/>
      <c r="V177" s="995"/>
      <c r="W177" s="995"/>
      <c r="X177" s="995"/>
      <c r="Y177" s="995"/>
      <c r="Z177" s="1002">
        <v>2</v>
      </c>
      <c r="AA177" s="1002">
        <v>2</v>
      </c>
      <c r="AB177" s="1002">
        <v>0</v>
      </c>
      <c r="AC177" s="1002">
        <v>1</v>
      </c>
      <c r="AD177" s="1002">
        <v>0</v>
      </c>
      <c r="AE177" s="1002">
        <v>1</v>
      </c>
      <c r="AF177" s="1002">
        <v>2</v>
      </c>
      <c r="AG177" s="1002">
        <v>0</v>
      </c>
      <c r="AH177" s="1002">
        <v>5</v>
      </c>
      <c r="AI177" s="1002">
        <v>2</v>
      </c>
      <c r="AJ177" s="1002">
        <v>4</v>
      </c>
      <c r="AK177" s="1002">
        <v>2</v>
      </c>
      <c r="AL177" s="1002">
        <v>0</v>
      </c>
      <c r="AM177" s="1002">
        <v>0</v>
      </c>
      <c r="AN177" s="1002">
        <v>3</v>
      </c>
      <c r="AO177" s="1002">
        <v>6</v>
      </c>
      <c r="AP177" s="1002">
        <v>4</v>
      </c>
      <c r="AQ177" s="1002">
        <v>2</v>
      </c>
      <c r="AR177" s="1002">
        <v>6</v>
      </c>
      <c r="AS177" s="1002">
        <v>1</v>
      </c>
      <c r="AT177" s="1002">
        <v>3</v>
      </c>
      <c r="AU177" s="1002">
        <v>5</v>
      </c>
      <c r="AV177" s="1002">
        <v>15</v>
      </c>
      <c r="AW177" s="1002">
        <v>12</v>
      </c>
      <c r="AX177" s="1002">
        <v>16</v>
      </c>
      <c r="AY177" s="1002">
        <v>8</v>
      </c>
      <c r="AZ177" s="1002">
        <f>37-AY177-AX177</f>
        <v>13</v>
      </c>
      <c r="BA177" s="1002">
        <v>6</v>
      </c>
      <c r="BB177" s="1002">
        <v>8</v>
      </c>
      <c r="BC177" s="1002">
        <v>10</v>
      </c>
      <c r="BD177" s="1002">
        <v>26</v>
      </c>
      <c r="BE177" s="1002">
        <v>20</v>
      </c>
    </row>
    <row r="178" spans="1:57">
      <c r="A178" s="997" t="s">
        <v>725</v>
      </c>
      <c r="B178" s="997"/>
      <c r="C178" s="997"/>
      <c r="D178" s="997"/>
      <c r="E178" s="997"/>
      <c r="F178" s="997"/>
      <c r="G178" s="997"/>
      <c r="H178" s="997"/>
      <c r="I178" s="997"/>
      <c r="J178" s="997"/>
      <c r="K178" s="997"/>
      <c r="L178" s="997"/>
      <c r="M178" s="997"/>
      <c r="N178" s="997"/>
      <c r="O178" s="997"/>
      <c r="P178" s="997"/>
      <c r="Q178" s="997"/>
      <c r="R178" s="997"/>
      <c r="S178" s="997"/>
      <c r="T178" s="997"/>
      <c r="U178" s="997"/>
      <c r="V178" s="997"/>
      <c r="W178" s="997"/>
      <c r="X178" s="997"/>
      <c r="Y178" s="997"/>
      <c r="Z178" s="1003">
        <f t="shared" ref="Z178:AX178" si="697">Z175+Z176-Z177</f>
        <v>147</v>
      </c>
      <c r="AA178" s="1003">
        <f t="shared" si="697"/>
        <v>151</v>
      </c>
      <c r="AB178" s="1003">
        <f t="shared" si="697"/>
        <v>165</v>
      </c>
      <c r="AC178" s="1003">
        <f t="shared" si="697"/>
        <v>178</v>
      </c>
      <c r="AD178" s="1003">
        <f t="shared" si="697"/>
        <v>186</v>
      </c>
      <c r="AE178" s="1003">
        <f t="shared" si="697"/>
        <v>195</v>
      </c>
      <c r="AF178" s="1003">
        <f t="shared" si="697"/>
        <v>211</v>
      </c>
      <c r="AG178" s="1003">
        <f t="shared" si="697"/>
        <v>227</v>
      </c>
      <c r="AH178" s="1003">
        <f t="shared" si="697"/>
        <v>244</v>
      </c>
      <c r="AI178" s="1003">
        <f t="shared" si="697"/>
        <v>250</v>
      </c>
      <c r="AJ178" s="1003">
        <f t="shared" si="697"/>
        <v>271</v>
      </c>
      <c r="AK178" s="1003">
        <f t="shared" si="697"/>
        <v>312</v>
      </c>
      <c r="AL178" s="1003">
        <f t="shared" si="697"/>
        <v>323</v>
      </c>
      <c r="AM178" s="1003">
        <f t="shared" si="697"/>
        <v>338</v>
      </c>
      <c r="AN178" s="1003">
        <f t="shared" si="697"/>
        <v>355</v>
      </c>
      <c r="AO178" s="1003">
        <f t="shared" si="697"/>
        <v>375</v>
      </c>
      <c r="AP178" s="1003">
        <f t="shared" si="697"/>
        <v>386</v>
      </c>
      <c r="AQ178" s="1003">
        <f t="shared" si="697"/>
        <v>394</v>
      </c>
      <c r="AR178" s="1003">
        <f t="shared" si="697"/>
        <v>414</v>
      </c>
      <c r="AS178" s="1003">
        <f t="shared" si="697"/>
        <v>429</v>
      </c>
      <c r="AT178" s="1003">
        <f t="shared" si="697"/>
        <v>440</v>
      </c>
      <c r="AU178" s="1003">
        <f t="shared" si="697"/>
        <v>442</v>
      </c>
      <c r="AV178" s="1003">
        <f t="shared" si="697"/>
        <v>448</v>
      </c>
      <c r="AW178" s="1003">
        <f t="shared" si="697"/>
        <v>446</v>
      </c>
      <c r="AX178" s="1003">
        <f t="shared" si="697"/>
        <v>451</v>
      </c>
      <c r="AY178" s="1003">
        <f t="shared" ref="AY178:BA178" si="698">AY175+AY176-AY177</f>
        <v>457</v>
      </c>
      <c r="AZ178" s="1003">
        <f t="shared" si="698"/>
        <v>461</v>
      </c>
      <c r="BA178" s="1003">
        <f t="shared" si="698"/>
        <v>459</v>
      </c>
      <c r="BB178" s="1003">
        <f t="shared" ref="BB178:BC178" si="699">BB175+BB176-BB177</f>
        <v>466</v>
      </c>
      <c r="BC178" s="1003">
        <f t="shared" si="699"/>
        <v>463</v>
      </c>
      <c r="BD178" s="1003">
        <f t="shared" ref="BD178:BE178" si="700">BD175+BD176-BD177</f>
        <v>446</v>
      </c>
      <c r="BE178" s="1003">
        <f t="shared" si="700"/>
        <v>429</v>
      </c>
    </row>
    <row r="180" spans="1:57">
      <c r="A180" s="991" t="s">
        <v>593</v>
      </c>
      <c r="B180" s="991" t="str">
        <f>B174</f>
        <v>1Q04</v>
      </c>
      <c r="C180" s="991" t="str">
        <f t="shared" ref="C180:Y180" si="701">C174</f>
        <v>2Q04</v>
      </c>
      <c r="D180" s="991" t="str">
        <f t="shared" si="701"/>
        <v>3Q04</v>
      </c>
      <c r="E180" s="991" t="str">
        <f t="shared" si="701"/>
        <v>4Q04</v>
      </c>
      <c r="F180" s="991" t="str">
        <f t="shared" si="701"/>
        <v>1Q05</v>
      </c>
      <c r="G180" s="991" t="str">
        <f t="shared" si="701"/>
        <v>2Q05</v>
      </c>
      <c r="H180" s="991" t="str">
        <f t="shared" si="701"/>
        <v>3Q05</v>
      </c>
      <c r="I180" s="991" t="str">
        <f t="shared" si="701"/>
        <v>4Q05</v>
      </c>
      <c r="J180" s="991" t="str">
        <f t="shared" si="701"/>
        <v>1Q06</v>
      </c>
      <c r="K180" s="991" t="str">
        <f t="shared" si="701"/>
        <v>2Q06</v>
      </c>
      <c r="L180" s="991" t="str">
        <f t="shared" si="701"/>
        <v>3Q06</v>
      </c>
      <c r="M180" s="991" t="str">
        <f t="shared" si="701"/>
        <v>4Q06</v>
      </c>
      <c r="N180" s="991" t="str">
        <f t="shared" si="701"/>
        <v>1Q07</v>
      </c>
      <c r="O180" s="991" t="str">
        <f t="shared" si="701"/>
        <v>2Q07</v>
      </c>
      <c r="P180" s="991" t="str">
        <f t="shared" si="701"/>
        <v>3Q07</v>
      </c>
      <c r="Q180" s="991" t="str">
        <f t="shared" si="701"/>
        <v>4Q07</v>
      </c>
      <c r="R180" s="991" t="str">
        <f t="shared" si="701"/>
        <v>1Q08</v>
      </c>
      <c r="S180" s="991" t="str">
        <f t="shared" si="701"/>
        <v>2Q08</v>
      </c>
      <c r="T180" s="991" t="str">
        <f t="shared" si="701"/>
        <v>3Q08</v>
      </c>
      <c r="U180" s="991" t="str">
        <f t="shared" si="701"/>
        <v>4Q08</v>
      </c>
      <c r="V180" s="991" t="str">
        <f t="shared" si="701"/>
        <v>1Q09</v>
      </c>
      <c r="W180" s="991" t="str">
        <f t="shared" si="701"/>
        <v>2Q09</v>
      </c>
      <c r="X180" s="991" t="str">
        <f t="shared" si="701"/>
        <v>3Q09</v>
      </c>
      <c r="Y180" s="991" t="str">
        <f t="shared" si="701"/>
        <v>4Q09</v>
      </c>
      <c r="Z180" s="991" t="s">
        <v>447</v>
      </c>
      <c r="AA180" s="991" t="s">
        <v>448</v>
      </c>
      <c r="AB180" s="991" t="s">
        <v>453</v>
      </c>
      <c r="AC180" s="991" t="s">
        <v>454</v>
      </c>
      <c r="AD180" s="991" t="s">
        <v>449</v>
      </c>
      <c r="AE180" s="991" t="s">
        <v>450</v>
      </c>
      <c r="AF180" s="991" t="s">
        <v>451</v>
      </c>
      <c r="AG180" s="991" t="s">
        <v>452</v>
      </c>
      <c r="AH180" s="991" t="s">
        <v>265</v>
      </c>
      <c r="AI180" s="991" t="s">
        <v>125</v>
      </c>
      <c r="AJ180" s="991" t="s">
        <v>266</v>
      </c>
      <c r="AK180" s="991" t="s">
        <v>267</v>
      </c>
      <c r="AL180" s="991" t="s">
        <v>724</v>
      </c>
      <c r="AM180" s="991" t="s">
        <v>723</v>
      </c>
      <c r="AN180" s="991" t="s">
        <v>722</v>
      </c>
      <c r="AO180" s="991" t="s">
        <v>721</v>
      </c>
      <c r="AP180" s="991" t="s">
        <v>671</v>
      </c>
      <c r="AQ180" s="991" t="s">
        <v>477</v>
      </c>
      <c r="AR180" s="991" t="s">
        <v>672</v>
      </c>
      <c r="AS180" s="991" t="s">
        <v>673</v>
      </c>
      <c r="AT180" s="991" t="s">
        <v>720</v>
      </c>
      <c r="AU180" s="991" t="s">
        <v>719</v>
      </c>
      <c r="AV180" s="991" t="s">
        <v>718</v>
      </c>
      <c r="AW180" s="991" t="s">
        <v>717</v>
      </c>
      <c r="AX180" s="991" t="str">
        <f>$AX$42</f>
        <v>1Q16</v>
      </c>
      <c r="AY180" s="991" t="str">
        <f>$AY$42</f>
        <v>2Q16</v>
      </c>
      <c r="AZ180" s="992" t="s">
        <v>704</v>
      </c>
      <c r="BA180" s="992" t="s">
        <v>705</v>
      </c>
      <c r="BB180" s="992" t="str">
        <f>BB158</f>
        <v>1Q17</v>
      </c>
      <c r="BC180" s="992" t="str">
        <f>BC158</f>
        <v>2Q17</v>
      </c>
      <c r="BD180" s="992" t="str">
        <f>BD158</f>
        <v>3Q17</v>
      </c>
      <c r="BE180" s="992" t="str">
        <f>BE158</f>
        <v>4Q17</v>
      </c>
    </row>
    <row r="181" spans="1:57">
      <c r="A181" s="993" t="s">
        <v>728</v>
      </c>
      <c r="B181" s="1001">
        <f>+B43+B54+B65+B76+B87+B98+B109+B120+B131+B142+B153+B175</f>
        <v>3022</v>
      </c>
      <c r="C181" s="1001">
        <f t="shared" ref="C181:P181" si="702">+C43+C54+C65+C76+C87+C98+C109+C120+C131+C142+C153+C175</f>
        <v>3016</v>
      </c>
      <c r="D181" s="1001">
        <f t="shared" si="702"/>
        <v>2999</v>
      </c>
      <c r="E181" s="1001">
        <f t="shared" si="702"/>
        <v>3051</v>
      </c>
      <c r="F181" s="1001">
        <f t="shared" si="702"/>
        <v>2994</v>
      </c>
      <c r="G181" s="1001">
        <f t="shared" si="702"/>
        <v>3010</v>
      </c>
      <c r="H181" s="1001">
        <f t="shared" si="702"/>
        <v>3029</v>
      </c>
      <c r="I181" s="1001">
        <f t="shared" si="702"/>
        <v>3112</v>
      </c>
      <c r="J181" s="1001">
        <f t="shared" si="702"/>
        <v>3048</v>
      </c>
      <c r="K181" s="1001">
        <f t="shared" si="702"/>
        <v>3065</v>
      </c>
      <c r="L181" s="1001">
        <f t="shared" si="702"/>
        <v>3080</v>
      </c>
      <c r="M181" s="1001">
        <f t="shared" si="702"/>
        <v>3142</v>
      </c>
      <c r="N181" s="1001">
        <f t="shared" si="702"/>
        <v>3112</v>
      </c>
      <c r="O181" s="1001">
        <f t="shared" si="702"/>
        <v>3134</v>
      </c>
      <c r="P181" s="1001">
        <f t="shared" si="702"/>
        <v>3143</v>
      </c>
      <c r="Q181" s="1001">
        <f t="shared" ref="Q181" si="703">+Q43+Q54+Q65+Q76+Q87+Q98+Q109+Q120+Q131+Q142+Q153+Q175</f>
        <v>3191</v>
      </c>
      <c r="R181" s="1001">
        <f t="shared" ref="R181" si="704">+R43+R54+R65+R76+R87+R98+R109+R120+R131+R142+R153+R175</f>
        <v>3167</v>
      </c>
      <c r="S181" s="1001">
        <f t="shared" ref="S181" si="705">+S43+S54+S65+S76+S87+S98+S109+S120+S131+S142+S153+S175</f>
        <v>3177</v>
      </c>
      <c r="T181" s="1001">
        <f t="shared" ref="T181" si="706">+T43+T54+T65+T76+T87+T98+T109+T120+T131+T142+T153+T175</f>
        <v>3170</v>
      </c>
      <c r="U181" s="1001">
        <f t="shared" ref="U181" si="707">+U43+U54+U65+U76+U87+U98+U109+U120+U131+U142+U153+U175</f>
        <v>3190</v>
      </c>
      <c r="V181" s="1001">
        <f t="shared" ref="V181" si="708">+V43+V54+V65+V76+V87+V98+V109+V120+V131+V142+V153+V175</f>
        <v>3149</v>
      </c>
      <c r="W181" s="1001">
        <f t="shared" ref="W181" si="709">+W43+W54+W65+W76+W87+W98+W109+W120+W131+W142+W153+W175</f>
        <v>3149</v>
      </c>
      <c r="X181" s="1001">
        <f t="shared" ref="X181" si="710">+X43+X54+X65+X76+X87+X98+X109+X120+X131+X142+X153+X175</f>
        <v>3145</v>
      </c>
      <c r="Y181" s="1001">
        <f t="shared" ref="Y181" si="711">+Y43+Y54+Y65+Y76+Y87+Y98+Y109+Y120+Y131+Y142+Y153+Y175</f>
        <v>3143</v>
      </c>
      <c r="Z181" s="1001">
        <f t="shared" ref="Z181:AX181" si="712">+Z43+Z54+Z65+Z76+Z87+Z98+Z109+Z120+Z131+Z142+Z153+Z175</f>
        <v>3231</v>
      </c>
      <c r="AA181" s="1001">
        <f t="shared" si="712"/>
        <v>3232</v>
      </c>
      <c r="AB181" s="1001">
        <f t="shared" si="712"/>
        <v>3227</v>
      </c>
      <c r="AC181" s="1001">
        <f t="shared" si="712"/>
        <v>3247</v>
      </c>
      <c r="AD181" s="1001">
        <f t="shared" si="712"/>
        <v>3246</v>
      </c>
      <c r="AE181" s="1001">
        <f t="shared" si="712"/>
        <v>3245</v>
      </c>
      <c r="AF181" s="1001">
        <f t="shared" si="712"/>
        <v>3248</v>
      </c>
      <c r="AG181" s="1001">
        <f t="shared" si="712"/>
        <v>3276</v>
      </c>
      <c r="AH181" s="1001">
        <f t="shared" si="712"/>
        <v>3263</v>
      </c>
      <c r="AI181" s="1001">
        <f t="shared" si="712"/>
        <v>3270</v>
      </c>
      <c r="AJ181" s="1001">
        <f t="shared" si="712"/>
        <v>3285</v>
      </c>
      <c r="AK181" s="1001">
        <f t="shared" si="712"/>
        <v>3339</v>
      </c>
      <c r="AL181" s="1001">
        <f t="shared" si="712"/>
        <v>3407</v>
      </c>
      <c r="AM181" s="1001">
        <f t="shared" si="712"/>
        <v>3428</v>
      </c>
      <c r="AN181" s="1001">
        <f t="shared" si="712"/>
        <v>3444</v>
      </c>
      <c r="AO181" s="1001">
        <f t="shared" si="712"/>
        <v>3515</v>
      </c>
      <c r="AP181" s="1001">
        <f t="shared" si="712"/>
        <v>3539</v>
      </c>
      <c r="AQ181" s="1001">
        <f t="shared" si="712"/>
        <v>3565</v>
      </c>
      <c r="AR181" s="1001">
        <f t="shared" si="712"/>
        <v>3594</v>
      </c>
      <c r="AS181" s="1001">
        <f t="shared" si="712"/>
        <v>3680</v>
      </c>
      <c r="AT181" s="1001">
        <f t="shared" si="712"/>
        <v>3709</v>
      </c>
      <c r="AU181" s="1001">
        <f t="shared" si="712"/>
        <v>3749</v>
      </c>
      <c r="AV181" s="1001">
        <f t="shared" si="712"/>
        <v>3751</v>
      </c>
      <c r="AW181" s="1001">
        <f t="shared" si="712"/>
        <v>3794</v>
      </c>
      <c r="AX181" s="1001">
        <f t="shared" si="712"/>
        <v>3721</v>
      </c>
      <c r="AY181" s="1001">
        <f t="shared" ref="AY181:AZ181" si="713">+AY43+AY54+AY65+AY76+AY87+AY98+AY109+AY120+AY131+AY142+AY153+AY175</f>
        <v>3727</v>
      </c>
      <c r="AZ181" s="1001">
        <f t="shared" si="713"/>
        <v>3730</v>
      </c>
      <c r="BA181" s="1001">
        <f t="shared" ref="BA181:BB181" si="714">+BA43+BA54+BA65+BA76+BA87+BA98+BA109+BA120+BA131+BA142+BA153+BA175</f>
        <v>3742</v>
      </c>
      <c r="BB181" s="1001">
        <f t="shared" si="714"/>
        <v>3659</v>
      </c>
      <c r="BC181" s="1001">
        <f t="shared" ref="BC181:BE181" si="715">+BC43+BC54+BC65+BC76+BC87+BC98+BC109+BC120+BC131+BC142+BC153+BC175</f>
        <v>3652</v>
      </c>
      <c r="BD181" s="1001">
        <f t="shared" si="715"/>
        <v>3642</v>
      </c>
      <c r="BE181" s="1001">
        <f t="shared" si="715"/>
        <v>3639</v>
      </c>
    </row>
    <row r="182" spans="1:57">
      <c r="A182" s="993" t="s">
        <v>727</v>
      </c>
      <c r="B182" s="1001">
        <f>+B44+B55+B66+B77+B88+B99+B110+B121+B132+B143+B154+B176</f>
        <v>14</v>
      </c>
      <c r="C182" s="1001">
        <f t="shared" ref="C182:P182" si="716">+C44+C55+C66+C77+C88+C99+C110+C121+C132+C143+C154+C176</f>
        <v>27</v>
      </c>
      <c r="D182" s="1001">
        <f t="shared" si="716"/>
        <v>61</v>
      </c>
      <c r="E182" s="1001">
        <f t="shared" si="716"/>
        <v>28</v>
      </c>
      <c r="F182" s="1001">
        <f t="shared" si="716"/>
        <v>41</v>
      </c>
      <c r="G182" s="1001">
        <f t="shared" si="716"/>
        <v>40</v>
      </c>
      <c r="H182" s="1001">
        <f t="shared" si="716"/>
        <v>94</v>
      </c>
      <c r="I182" s="1001">
        <f t="shared" si="716"/>
        <v>18</v>
      </c>
      <c r="J182" s="1001">
        <f t="shared" si="716"/>
        <v>38</v>
      </c>
      <c r="K182" s="1001">
        <f t="shared" si="716"/>
        <v>37</v>
      </c>
      <c r="L182" s="1001">
        <f t="shared" si="716"/>
        <v>75</v>
      </c>
      <c r="M182" s="1001">
        <f t="shared" si="716"/>
        <v>30</v>
      </c>
      <c r="N182" s="1001">
        <f t="shared" si="716"/>
        <v>41</v>
      </c>
      <c r="O182" s="1001">
        <f t="shared" si="716"/>
        <v>32</v>
      </c>
      <c r="P182" s="1001">
        <f t="shared" si="716"/>
        <v>113</v>
      </c>
      <c r="Q182" s="1001">
        <f t="shared" ref="Q182" si="717">+Q44+Q55+Q66+Q77+Q88+Q99+Q110+Q121+Q132+Q143+Q154+Q176</f>
        <v>28</v>
      </c>
      <c r="R182" s="1001">
        <f t="shared" ref="R182" si="718">+R44+R55+R66+R77+R88+R99+R110+R121+R132+R143+R154+R176</f>
        <v>33</v>
      </c>
      <c r="S182" s="1001">
        <f t="shared" ref="S182" si="719">+S44+S55+S66+S77+S88+S99+S110+S121+S132+S143+S154+S176</f>
        <v>22</v>
      </c>
      <c r="T182" s="1001">
        <f t="shared" ref="T182" si="720">+T44+T55+T66+T77+T88+T99+T110+T121+T132+T143+T154+T176</f>
        <v>37</v>
      </c>
      <c r="U182" s="1001">
        <f t="shared" ref="U182" si="721">+U44+U55+U66+U77+U88+U99+U110+U121+U132+U143+U154+U176</f>
        <v>9</v>
      </c>
      <c r="V182" s="1001">
        <f t="shared" ref="V182" si="722">+V44+V55+V66+V77+V88+V99+V110+V121+V132+V143+V154+V176</f>
        <v>11</v>
      </c>
      <c r="W182" s="1001">
        <f t="shared" ref="W182" si="723">+W44+W55+W66+W77+W88+W99+W110+W121+W132+W143+W154+W176</f>
        <v>12</v>
      </c>
      <c r="X182" s="1001">
        <f t="shared" ref="X182" si="724">+X44+X55+X66+X77+X88+X99+X110+X121+X132+X143+X154+X176</f>
        <v>13</v>
      </c>
      <c r="Y182" s="1001">
        <f t="shared" ref="Y182" si="725">+Y44+Y55+Y66+Y77+Y88+Y99+Y110+Y121+Y132+Y143+Y154+Y176</f>
        <v>11</v>
      </c>
      <c r="Z182" s="1001">
        <f t="shared" ref="Z182:AX182" si="726">+Z44+Z55+Z66+Z77+Z88+Z99+Z110+Z121+Z132+Z143+Z154+Z176</f>
        <v>22</v>
      </c>
      <c r="AA182" s="1001">
        <f t="shared" si="726"/>
        <v>16</v>
      </c>
      <c r="AB182" s="1001">
        <f t="shared" si="726"/>
        <v>39</v>
      </c>
      <c r="AC182" s="1001">
        <f t="shared" si="726"/>
        <v>41</v>
      </c>
      <c r="AD182" s="1001">
        <f t="shared" si="726"/>
        <v>25</v>
      </c>
      <c r="AE182" s="1001">
        <f t="shared" si="726"/>
        <v>31</v>
      </c>
      <c r="AF182" s="1001">
        <f t="shared" si="726"/>
        <v>59</v>
      </c>
      <c r="AG182" s="1001">
        <f t="shared" si="726"/>
        <v>59</v>
      </c>
      <c r="AH182" s="1001">
        <f t="shared" si="726"/>
        <v>54</v>
      </c>
      <c r="AI182" s="1001">
        <f t="shared" si="726"/>
        <v>37</v>
      </c>
      <c r="AJ182" s="1001">
        <f t="shared" si="726"/>
        <v>71</v>
      </c>
      <c r="AK182" s="1001">
        <f t="shared" si="726"/>
        <v>132</v>
      </c>
      <c r="AL182" s="1001">
        <f t="shared" si="726"/>
        <v>54</v>
      </c>
      <c r="AM182" s="1001">
        <f t="shared" si="726"/>
        <v>49</v>
      </c>
      <c r="AN182" s="1001">
        <f t="shared" si="726"/>
        <v>85</v>
      </c>
      <c r="AO182" s="1001">
        <f t="shared" si="726"/>
        <v>74</v>
      </c>
      <c r="AP182" s="1001">
        <f t="shared" si="726"/>
        <v>46</v>
      </c>
      <c r="AQ182" s="1001">
        <f t="shared" si="726"/>
        <v>57</v>
      </c>
      <c r="AR182" s="1001">
        <f t="shared" si="726"/>
        <v>110</v>
      </c>
      <c r="AS182" s="1001">
        <f t="shared" si="726"/>
        <v>70</v>
      </c>
      <c r="AT182" s="1001">
        <f t="shared" si="726"/>
        <v>64</v>
      </c>
      <c r="AU182" s="1001">
        <f t="shared" si="726"/>
        <v>42</v>
      </c>
      <c r="AV182" s="1001">
        <f t="shared" si="726"/>
        <v>84</v>
      </c>
      <c r="AW182" s="1001">
        <f t="shared" si="726"/>
        <v>61</v>
      </c>
      <c r="AX182" s="1001">
        <f t="shared" si="726"/>
        <v>39</v>
      </c>
      <c r="AY182" s="1001">
        <f t="shared" ref="AY182:AZ182" si="727">+AY44+AY55+AY66+AY77+AY88+AY99+AY110+AY121+AY132+AY143+AY154+AY176</f>
        <v>33</v>
      </c>
      <c r="AZ182" s="1001">
        <f t="shared" si="727"/>
        <v>53</v>
      </c>
      <c r="BA182" s="1001">
        <f t="shared" ref="BA182:BB182" si="728">+BA44+BA55+BA66+BA77+BA88+BA99+BA110+BA121+BA132+BA143+BA154+BA176</f>
        <v>30</v>
      </c>
      <c r="BB182" s="1001">
        <f t="shared" si="728"/>
        <v>24</v>
      </c>
      <c r="BC182" s="1001">
        <f>+BC44+BC55+BC66+BC77+BC88+BC99+BC110+BC121+BC132+BC143+BC154+BC176</f>
        <v>22</v>
      </c>
      <c r="BD182" s="1001">
        <f>+BD44+BD55+BD66+BD77+BD88+BD99+BD110+BD121+BD132+BD143+BD154+BD176</f>
        <v>50</v>
      </c>
      <c r="BE182" s="1001">
        <f>+BE44+BE55+BE66+BE77+BE88+BE99+BE110+BE121+BE132+BE143+BE154+BE176</f>
        <v>56</v>
      </c>
    </row>
    <row r="183" spans="1:57">
      <c r="A183" s="995" t="s">
        <v>726</v>
      </c>
      <c r="B183" s="1001">
        <f>+B45+B56+B67+B78+B89+B100+B111+B122+B133+B144+B155+B177</f>
        <v>20</v>
      </c>
      <c r="C183" s="1001">
        <f t="shared" ref="C183:P183" si="729">+C45+C56+C67+C78+C89+C100+C111+C122+C133+C144+C155+C177</f>
        <v>44</v>
      </c>
      <c r="D183" s="1001">
        <f t="shared" si="729"/>
        <v>9</v>
      </c>
      <c r="E183" s="1001">
        <f t="shared" si="729"/>
        <v>85</v>
      </c>
      <c r="F183" s="1001">
        <f t="shared" si="729"/>
        <v>25</v>
      </c>
      <c r="G183" s="1001">
        <f t="shared" si="729"/>
        <v>21</v>
      </c>
      <c r="H183" s="1001">
        <f t="shared" si="729"/>
        <v>11</v>
      </c>
      <c r="I183" s="1001">
        <f t="shared" si="729"/>
        <v>82</v>
      </c>
      <c r="J183" s="1001">
        <f t="shared" si="729"/>
        <v>21</v>
      </c>
      <c r="K183" s="1001">
        <f t="shared" si="729"/>
        <v>22</v>
      </c>
      <c r="L183" s="1001">
        <f t="shared" si="729"/>
        <v>13</v>
      </c>
      <c r="M183" s="1001">
        <f t="shared" si="729"/>
        <v>60</v>
      </c>
      <c r="N183" s="1001">
        <f t="shared" si="729"/>
        <v>19</v>
      </c>
      <c r="O183" s="1001">
        <f t="shared" si="729"/>
        <v>23</v>
      </c>
      <c r="P183" s="1001">
        <f t="shared" si="729"/>
        <v>65</v>
      </c>
      <c r="Q183" s="1001">
        <f t="shared" ref="Q183" si="730">+Q45+Q56+Q67+Q78+Q89+Q100+Q111+Q122+Q133+Q144+Q155+Q177</f>
        <v>52</v>
      </c>
      <c r="R183" s="1001">
        <f t="shared" ref="R183" si="731">+R45+R56+R67+R78+R89+R100+R111+R122+R133+R144+R155+R177</f>
        <v>23</v>
      </c>
      <c r="S183" s="1001">
        <f t="shared" ref="S183" si="732">+S45+S56+S67+S78+S89+S100+S111+S122+S133+S144+S155+S177</f>
        <v>29</v>
      </c>
      <c r="T183" s="1001">
        <f t="shared" ref="T183" si="733">+T45+T56+T67+T78+T89+T100+T111+T122+T133+T144+T155+T177</f>
        <v>17</v>
      </c>
      <c r="U183" s="1001">
        <f t="shared" ref="U183" si="734">+U45+U56+U67+U78+U89+U100+U111+U122+U133+U144+U155+U177</f>
        <v>50</v>
      </c>
      <c r="V183" s="1001">
        <f t="shared" ref="V183" si="735">+V45+V56+V67+V78+V89+V100+V111+V122+V133+V144+V155+V177</f>
        <v>11</v>
      </c>
      <c r="W183" s="1001">
        <f t="shared" ref="W183" si="736">+W45+W56+W67+W78+W89+W100+W111+W122+W133+W144+W155+W177</f>
        <v>16</v>
      </c>
      <c r="X183" s="1001">
        <f t="shared" ref="X183" si="737">+X45+X56+X67+X78+X89+X100+X111+X122+X133+X144+X155+X177</f>
        <v>15</v>
      </c>
      <c r="Y183" s="1001">
        <f t="shared" ref="Y183" si="738">+Y45+Y56+Y67+Y78+Y89+Y100+Y111+Y122+Y133+Y144+Y155+Y177</f>
        <v>59</v>
      </c>
      <c r="Z183" s="1001">
        <f t="shared" ref="Z183:AY183" si="739">+Z45+Z56+Z67+Z78+Z89+Z100+Z111+Z122+Z133+Z144+Z155+Z177</f>
        <v>21</v>
      </c>
      <c r="AA183" s="1001">
        <f t="shared" si="739"/>
        <v>21</v>
      </c>
      <c r="AB183" s="1001">
        <f t="shared" si="739"/>
        <v>19</v>
      </c>
      <c r="AC183" s="1001">
        <f t="shared" si="739"/>
        <v>42</v>
      </c>
      <c r="AD183" s="1001">
        <f t="shared" si="739"/>
        <v>26</v>
      </c>
      <c r="AE183" s="1001">
        <f t="shared" si="739"/>
        <v>28</v>
      </c>
      <c r="AF183" s="1001">
        <f t="shared" si="739"/>
        <v>31</v>
      </c>
      <c r="AG183" s="1001">
        <f t="shared" si="739"/>
        <v>72</v>
      </c>
      <c r="AH183" s="1001">
        <f t="shared" si="739"/>
        <v>47</v>
      </c>
      <c r="AI183" s="1001">
        <f t="shared" si="739"/>
        <v>22</v>
      </c>
      <c r="AJ183" s="1001">
        <f t="shared" si="739"/>
        <v>17</v>
      </c>
      <c r="AK183" s="1001">
        <f t="shared" si="739"/>
        <v>64</v>
      </c>
      <c r="AL183" s="1001">
        <f t="shared" si="739"/>
        <v>33</v>
      </c>
      <c r="AM183" s="1001">
        <f t="shared" si="739"/>
        <v>33</v>
      </c>
      <c r="AN183" s="1001">
        <f t="shared" si="739"/>
        <v>14</v>
      </c>
      <c r="AO183" s="1001">
        <f t="shared" si="739"/>
        <v>50</v>
      </c>
      <c r="AP183" s="1001">
        <f t="shared" si="739"/>
        <v>20</v>
      </c>
      <c r="AQ183" s="1001">
        <f t="shared" si="739"/>
        <v>28</v>
      </c>
      <c r="AR183" s="1001">
        <f t="shared" si="739"/>
        <v>24</v>
      </c>
      <c r="AS183" s="1001">
        <f t="shared" si="739"/>
        <v>41</v>
      </c>
      <c r="AT183" s="1001">
        <f t="shared" si="739"/>
        <v>24</v>
      </c>
      <c r="AU183" s="1001">
        <f t="shared" si="739"/>
        <v>40</v>
      </c>
      <c r="AV183" s="1001">
        <f t="shared" si="739"/>
        <v>41</v>
      </c>
      <c r="AW183" s="1001">
        <f t="shared" si="739"/>
        <v>134</v>
      </c>
      <c r="AX183" s="1001">
        <f>+AX45+AX56+AX67+AX78+AX89+AX100+AX111+AX122+AX133+AX144+AX155+AX177</f>
        <v>33</v>
      </c>
      <c r="AY183" s="1001">
        <f t="shared" si="739"/>
        <v>30</v>
      </c>
      <c r="AZ183" s="1001">
        <f t="shared" ref="AZ183:BA183" si="740">+AZ45+AZ56+AZ67+AZ78+AZ89+AZ100+AZ111+AZ122+AZ133+AZ144+AZ155+AZ177</f>
        <v>41</v>
      </c>
      <c r="BA183" s="1001">
        <f t="shared" si="740"/>
        <v>113</v>
      </c>
      <c r="BB183" s="1001">
        <f t="shared" ref="BB183:BC183" si="741">+BB45+BB56+BB67+BB78+BB89+BB100+BB111+BB122+BB133+BB144+BB155+BB177</f>
        <v>31</v>
      </c>
      <c r="BC183" s="1001">
        <f t="shared" si="741"/>
        <v>32</v>
      </c>
      <c r="BD183" s="1001">
        <f t="shared" ref="BD183:BE183" si="742">+BD45+BD56+BD67+BD78+BD89+BD100+BD111+BD122+BD133+BD144+BD155+BD177</f>
        <v>53</v>
      </c>
      <c r="BE183" s="1001">
        <f t="shared" si="742"/>
        <v>101</v>
      </c>
    </row>
    <row r="184" spans="1:57" s="999" customFormat="1">
      <c r="A184" s="997" t="s">
        <v>725</v>
      </c>
      <c r="B184" s="1003">
        <f>+B46+B57+B68+B79+B90+B101+B112+B123+B134+B145+B156+B178</f>
        <v>3016</v>
      </c>
      <c r="C184" s="1003">
        <f t="shared" ref="C184:P184" si="743">+C46+C57+C68+C79+C90+C101+C112+C123+C134+C145+C156+C178</f>
        <v>2999</v>
      </c>
      <c r="D184" s="1003">
        <f t="shared" si="743"/>
        <v>3051</v>
      </c>
      <c r="E184" s="1003">
        <f t="shared" si="743"/>
        <v>2994</v>
      </c>
      <c r="F184" s="1003">
        <f t="shared" si="743"/>
        <v>3010</v>
      </c>
      <c r="G184" s="1003">
        <f t="shared" si="743"/>
        <v>3029</v>
      </c>
      <c r="H184" s="1003">
        <f t="shared" si="743"/>
        <v>3112</v>
      </c>
      <c r="I184" s="1003">
        <f t="shared" si="743"/>
        <v>3048</v>
      </c>
      <c r="J184" s="1003">
        <f t="shared" si="743"/>
        <v>3065</v>
      </c>
      <c r="K184" s="1003">
        <f t="shared" si="743"/>
        <v>3080</v>
      </c>
      <c r="L184" s="1003">
        <f t="shared" si="743"/>
        <v>3142</v>
      </c>
      <c r="M184" s="1003">
        <f t="shared" si="743"/>
        <v>3112</v>
      </c>
      <c r="N184" s="1003">
        <f t="shared" si="743"/>
        <v>3134</v>
      </c>
      <c r="O184" s="1003">
        <f t="shared" si="743"/>
        <v>3143</v>
      </c>
      <c r="P184" s="1003">
        <f t="shared" si="743"/>
        <v>3191</v>
      </c>
      <c r="Q184" s="1003">
        <f t="shared" ref="Q184" si="744">+Q46+Q57+Q68+Q79+Q90+Q101+Q112+Q123+Q134+Q145+Q156+Q178</f>
        <v>3167</v>
      </c>
      <c r="R184" s="1003">
        <f t="shared" ref="R184" si="745">+R46+R57+R68+R79+R90+R101+R112+R123+R134+R145+R156+R178</f>
        <v>3177</v>
      </c>
      <c r="S184" s="1003">
        <f t="shared" ref="S184" si="746">+S46+S57+S68+S79+S90+S101+S112+S123+S134+S145+S156+S178</f>
        <v>3170</v>
      </c>
      <c r="T184" s="1003">
        <f t="shared" ref="T184" si="747">+T46+T57+T68+T79+T90+T101+T112+T123+T134+T145+T156+T178</f>
        <v>3190</v>
      </c>
      <c r="U184" s="1003">
        <f t="shared" ref="U184" si="748">+U46+U57+U68+U79+U90+U101+U112+U123+U134+U145+U156+U178</f>
        <v>3149</v>
      </c>
      <c r="V184" s="1003">
        <f t="shared" ref="V184" si="749">+V46+V57+V68+V79+V90+V101+V112+V123+V134+V145+V156+V178</f>
        <v>3149</v>
      </c>
      <c r="W184" s="1003">
        <f t="shared" ref="W184" si="750">+W46+W57+W68+W79+W90+W101+W112+W123+W134+W145+W156+W178</f>
        <v>3145</v>
      </c>
      <c r="X184" s="1003">
        <f t="shared" ref="X184" si="751">+X46+X57+X68+X79+X90+X101+X112+X123+X134+X145+X156+X178</f>
        <v>3143</v>
      </c>
      <c r="Y184" s="1003">
        <f t="shared" ref="Y184" si="752">+Y46+Y57+Y68+Y79+Y90+Y101+Y112+Y123+Y134+Y145+Y156+Y178</f>
        <v>3095</v>
      </c>
      <c r="Z184" s="1003">
        <f t="shared" ref="Z184:AX184" si="753">+Z46+Z57+Z68+Z79+Z90+Z101+Z112+Z123+Z134+Z145+Z156+Z178</f>
        <v>3232</v>
      </c>
      <c r="AA184" s="1003">
        <f t="shared" si="753"/>
        <v>3227</v>
      </c>
      <c r="AB184" s="1003">
        <f t="shared" si="753"/>
        <v>3247</v>
      </c>
      <c r="AC184" s="1003">
        <f t="shared" si="753"/>
        <v>3246</v>
      </c>
      <c r="AD184" s="1003">
        <f t="shared" si="753"/>
        <v>3245</v>
      </c>
      <c r="AE184" s="1003">
        <f t="shared" si="753"/>
        <v>3248</v>
      </c>
      <c r="AF184" s="1003">
        <f t="shared" si="753"/>
        <v>3276</v>
      </c>
      <c r="AG184" s="1003">
        <f t="shared" si="753"/>
        <v>3263</v>
      </c>
      <c r="AH184" s="1003">
        <f t="shared" si="753"/>
        <v>3270</v>
      </c>
      <c r="AI184" s="1003">
        <f t="shared" si="753"/>
        <v>3285</v>
      </c>
      <c r="AJ184" s="1003">
        <f t="shared" si="753"/>
        <v>3339</v>
      </c>
      <c r="AK184" s="1003">
        <f t="shared" si="753"/>
        <v>3407</v>
      </c>
      <c r="AL184" s="1003">
        <f t="shared" si="753"/>
        <v>3428</v>
      </c>
      <c r="AM184" s="1003">
        <f t="shared" si="753"/>
        <v>3444</v>
      </c>
      <c r="AN184" s="1003">
        <f t="shared" si="753"/>
        <v>3515</v>
      </c>
      <c r="AO184" s="1003">
        <f t="shared" si="753"/>
        <v>3539</v>
      </c>
      <c r="AP184" s="1003">
        <f t="shared" si="753"/>
        <v>3565</v>
      </c>
      <c r="AQ184" s="1003">
        <f t="shared" si="753"/>
        <v>3594</v>
      </c>
      <c r="AR184" s="1003">
        <f t="shared" si="753"/>
        <v>3680</v>
      </c>
      <c r="AS184" s="1003">
        <f t="shared" si="753"/>
        <v>3709</v>
      </c>
      <c r="AT184" s="1003">
        <f t="shared" si="753"/>
        <v>3749</v>
      </c>
      <c r="AU184" s="1003">
        <f t="shared" si="753"/>
        <v>3751</v>
      </c>
      <c r="AV184" s="1003">
        <f t="shared" si="753"/>
        <v>3794</v>
      </c>
      <c r="AW184" s="1003">
        <f t="shared" si="753"/>
        <v>3721</v>
      </c>
      <c r="AX184" s="1003">
        <f t="shared" si="753"/>
        <v>3727</v>
      </c>
      <c r="AY184" s="1003">
        <f t="shared" ref="AY184:AZ184" si="754">+AY46+AY57+AY68+AY79+AY90+AY101+AY112+AY123+AY134+AY145+AY156+AY178</f>
        <v>3730</v>
      </c>
      <c r="AZ184" s="1003">
        <f t="shared" si="754"/>
        <v>3742</v>
      </c>
      <c r="BA184" s="1003">
        <f t="shared" ref="BA184:BB184" si="755">+BA46+BA57+BA68+BA79+BA90+BA101+BA112+BA123+BA134+BA145+BA156+BA178</f>
        <v>3659</v>
      </c>
      <c r="BB184" s="1003">
        <f t="shared" si="755"/>
        <v>3652</v>
      </c>
      <c r="BC184" s="1003">
        <f t="shared" ref="BC184:BE184" si="756">+BC46+BC57+BC68+BC79+BC90+BC101+BC112+BC123+BC134+BC145+BC156+BC178</f>
        <v>3642</v>
      </c>
      <c r="BD184" s="1003">
        <f t="shared" si="756"/>
        <v>3639</v>
      </c>
      <c r="BE184" s="1003">
        <f t="shared" si="756"/>
        <v>3594</v>
      </c>
    </row>
    <row r="186" spans="1:57">
      <c r="A186" s="991" t="s">
        <v>593</v>
      </c>
      <c r="B186" s="991" t="str">
        <f>B180</f>
        <v>1Q04</v>
      </c>
      <c r="C186" s="991" t="str">
        <f t="shared" ref="C186:Y186" si="757">C180</f>
        <v>2Q04</v>
      </c>
      <c r="D186" s="991" t="str">
        <f t="shared" si="757"/>
        <v>3Q04</v>
      </c>
      <c r="E186" s="991" t="str">
        <f t="shared" si="757"/>
        <v>4Q04</v>
      </c>
      <c r="F186" s="991" t="str">
        <f t="shared" si="757"/>
        <v>1Q05</v>
      </c>
      <c r="G186" s="991" t="str">
        <f t="shared" si="757"/>
        <v>2Q05</v>
      </c>
      <c r="H186" s="991" t="str">
        <f t="shared" si="757"/>
        <v>3Q05</v>
      </c>
      <c r="I186" s="991" t="str">
        <f t="shared" si="757"/>
        <v>4Q05</v>
      </c>
      <c r="J186" s="991" t="str">
        <f t="shared" si="757"/>
        <v>1Q06</v>
      </c>
      <c r="K186" s="991" t="str">
        <f t="shared" si="757"/>
        <v>2Q06</v>
      </c>
      <c r="L186" s="991" t="str">
        <f t="shared" si="757"/>
        <v>3Q06</v>
      </c>
      <c r="M186" s="991" t="str">
        <f t="shared" si="757"/>
        <v>4Q06</v>
      </c>
      <c r="N186" s="991" t="str">
        <f t="shared" si="757"/>
        <v>1Q07</v>
      </c>
      <c r="O186" s="991" t="str">
        <f t="shared" si="757"/>
        <v>2Q07</v>
      </c>
      <c r="P186" s="991" t="str">
        <f t="shared" si="757"/>
        <v>3Q07</v>
      </c>
      <c r="Q186" s="991" t="str">
        <f t="shared" si="757"/>
        <v>4Q07</v>
      </c>
      <c r="R186" s="991" t="str">
        <f t="shared" si="757"/>
        <v>1Q08</v>
      </c>
      <c r="S186" s="991" t="str">
        <f t="shared" si="757"/>
        <v>2Q08</v>
      </c>
      <c r="T186" s="991" t="str">
        <f t="shared" si="757"/>
        <v>3Q08</v>
      </c>
      <c r="U186" s="991" t="str">
        <f t="shared" si="757"/>
        <v>4Q08</v>
      </c>
      <c r="V186" s="991" t="str">
        <f t="shared" si="757"/>
        <v>1Q09</v>
      </c>
      <c r="W186" s="991" t="str">
        <f t="shared" si="757"/>
        <v>2Q09</v>
      </c>
      <c r="X186" s="991" t="str">
        <f t="shared" si="757"/>
        <v>3Q09</v>
      </c>
      <c r="Y186" s="991" t="str">
        <f t="shared" si="757"/>
        <v>4Q09</v>
      </c>
      <c r="Z186" s="991" t="s">
        <v>447</v>
      </c>
      <c r="AA186" s="991" t="s">
        <v>448</v>
      </c>
      <c r="AB186" s="991" t="s">
        <v>453</v>
      </c>
      <c r="AC186" s="991" t="s">
        <v>454</v>
      </c>
      <c r="AD186" s="991" t="s">
        <v>449</v>
      </c>
      <c r="AE186" s="991" t="s">
        <v>450</v>
      </c>
      <c r="AF186" s="991" t="s">
        <v>451</v>
      </c>
      <c r="AG186" s="991" t="s">
        <v>452</v>
      </c>
      <c r="AH186" s="991" t="s">
        <v>265</v>
      </c>
      <c r="AI186" s="991" t="s">
        <v>125</v>
      </c>
      <c r="AJ186" s="991" t="s">
        <v>266</v>
      </c>
      <c r="AK186" s="991" t="s">
        <v>267</v>
      </c>
      <c r="AL186" s="991" t="s">
        <v>724</v>
      </c>
      <c r="AM186" s="991" t="s">
        <v>723</v>
      </c>
      <c r="AN186" s="991" t="s">
        <v>722</v>
      </c>
      <c r="AO186" s="991" t="s">
        <v>721</v>
      </c>
      <c r="AP186" s="991" t="s">
        <v>671</v>
      </c>
      <c r="AQ186" s="991" t="s">
        <v>477</v>
      </c>
      <c r="AR186" s="991" t="s">
        <v>672</v>
      </c>
      <c r="AS186" s="991" t="s">
        <v>673</v>
      </c>
      <c r="AT186" s="991" t="s">
        <v>720</v>
      </c>
      <c r="AU186" s="991" t="s">
        <v>719</v>
      </c>
      <c r="AV186" s="991" t="s">
        <v>718</v>
      </c>
      <c r="AW186" s="991" t="s">
        <v>717</v>
      </c>
      <c r="AX186" s="991" t="str">
        <f>$AX$42</f>
        <v>1Q16</v>
      </c>
      <c r="AY186" s="991" t="str">
        <f>$AY$42</f>
        <v>2Q16</v>
      </c>
      <c r="AZ186" s="992" t="s">
        <v>704</v>
      </c>
      <c r="BA186" s="992" t="s">
        <v>705</v>
      </c>
      <c r="BB186" s="992" t="str">
        <f>BB163</f>
        <v>1Q17</v>
      </c>
      <c r="BC186" s="992" t="str">
        <f>BC163</f>
        <v>2Q17</v>
      </c>
      <c r="BD186" s="992" t="str">
        <f>BD163</f>
        <v>3Q17</v>
      </c>
      <c r="BE186" s="992" t="str">
        <f>BE163</f>
        <v>4Q17</v>
      </c>
    </row>
    <row r="187" spans="1:57">
      <c r="A187" s="993" t="s">
        <v>716</v>
      </c>
      <c r="B187" s="1001"/>
      <c r="C187" s="1001">
        <f>+C49+C60+C71+C82+C93+C104+C115+C126+C137+C148+C159</f>
        <v>36.5</v>
      </c>
      <c r="D187" s="1001">
        <f t="shared" ref="D187:Y187" si="758">+D49+D60+D71+D82+D93+D104+D115+D126+D137+D148+D159</f>
        <v>36.4</v>
      </c>
      <c r="E187" s="1001">
        <f t="shared" si="758"/>
        <v>37</v>
      </c>
      <c r="F187" s="1001">
        <f t="shared" si="758"/>
        <v>36.6</v>
      </c>
      <c r="G187" s="1001">
        <f t="shared" si="758"/>
        <v>36.9</v>
      </c>
      <c r="H187" s="1001">
        <f t="shared" si="758"/>
        <v>37.1</v>
      </c>
      <c r="I187" s="1001">
        <f t="shared" si="758"/>
        <v>38.1</v>
      </c>
      <c r="J187" s="1001">
        <f t="shared" si="758"/>
        <v>37.700000000000003</v>
      </c>
      <c r="K187" s="1001">
        <f t="shared" si="758"/>
        <v>37.900000000000006</v>
      </c>
      <c r="L187" s="1001">
        <f t="shared" si="758"/>
        <v>38.1</v>
      </c>
      <c r="M187" s="1001">
        <f t="shared" si="758"/>
        <v>38.9</v>
      </c>
      <c r="N187" s="1001">
        <f t="shared" si="758"/>
        <v>38.700000000000003</v>
      </c>
      <c r="O187" s="1001">
        <f t="shared" si="758"/>
        <v>38.9</v>
      </c>
      <c r="P187" s="1001">
        <f t="shared" si="758"/>
        <v>39.1</v>
      </c>
      <c r="Q187" s="1001">
        <f t="shared" si="758"/>
        <v>39.700000000000003</v>
      </c>
      <c r="R187" s="1001">
        <f t="shared" si="758"/>
        <v>39.6</v>
      </c>
      <c r="S187" s="1001">
        <f t="shared" si="758"/>
        <v>39.699999999999996</v>
      </c>
      <c r="T187" s="1001">
        <f t="shared" si="758"/>
        <v>39.6</v>
      </c>
      <c r="U187" s="1001">
        <f t="shared" si="758"/>
        <v>39.9</v>
      </c>
      <c r="V187" s="1001">
        <f t="shared" si="758"/>
        <v>39.500000000000007</v>
      </c>
      <c r="W187" s="1001">
        <f t="shared" si="758"/>
        <v>39.4</v>
      </c>
      <c r="X187" s="1001">
        <f t="shared" si="758"/>
        <v>39.4</v>
      </c>
      <c r="Y187" s="1001">
        <f t="shared" si="758"/>
        <v>39.4</v>
      </c>
      <c r="Z187" s="1001">
        <f t="shared" ref="Z187:AX187" si="759">+Z49+Z60+Z71+Z82+Z93+Z104+Z115+Z126+Z137+Z148+Z159</f>
        <v>38.800000000000004</v>
      </c>
      <c r="AA187" s="1001">
        <f t="shared" si="759"/>
        <v>38.700000000000003</v>
      </c>
      <c r="AB187" s="1001">
        <f t="shared" si="759"/>
        <v>38.5</v>
      </c>
      <c r="AC187" s="1001">
        <f t="shared" si="759"/>
        <v>38.4</v>
      </c>
      <c r="AD187" s="1001">
        <f t="shared" si="759"/>
        <v>38.200000000000003</v>
      </c>
      <c r="AE187" s="1001">
        <f t="shared" si="759"/>
        <v>37.800000000000004</v>
      </c>
      <c r="AF187" s="1001">
        <f t="shared" si="759"/>
        <v>37.700000000000003</v>
      </c>
      <c r="AG187" s="1001">
        <f t="shared" si="759"/>
        <v>37.6</v>
      </c>
      <c r="AH187" s="1001">
        <f t="shared" si="759"/>
        <v>37.200000000000003</v>
      </c>
      <c r="AI187" s="1001">
        <f t="shared" si="759"/>
        <v>36.9</v>
      </c>
      <c r="AJ187" s="1001">
        <f t="shared" si="759"/>
        <v>36.800000000000004</v>
      </c>
      <c r="AK187" s="1001">
        <f t="shared" si="759"/>
        <v>36.900000000000006</v>
      </c>
      <c r="AL187" s="1001">
        <f t="shared" si="759"/>
        <v>36.900000000000006</v>
      </c>
      <c r="AM187" s="1001">
        <f t="shared" si="759"/>
        <v>37.000000000000007</v>
      </c>
      <c r="AN187" s="1001">
        <f t="shared" si="759"/>
        <v>36.800000000000011</v>
      </c>
      <c r="AO187" s="1001">
        <f t="shared" si="759"/>
        <v>37.200000000000003</v>
      </c>
      <c r="AP187" s="1001">
        <f t="shared" si="759"/>
        <v>37.200000000000003</v>
      </c>
      <c r="AQ187" s="1001">
        <f t="shared" si="759"/>
        <v>37.200000000000003</v>
      </c>
      <c r="AR187" s="1001">
        <f t="shared" si="759"/>
        <v>37.4</v>
      </c>
      <c r="AS187" s="1001">
        <f t="shared" si="759"/>
        <v>38.000000000000007</v>
      </c>
      <c r="AT187" s="1001">
        <f t="shared" si="759"/>
        <v>38.100000000000009</v>
      </c>
      <c r="AU187" s="1001">
        <f t="shared" si="759"/>
        <v>38.300000000000004</v>
      </c>
      <c r="AV187" s="1001">
        <f t="shared" si="759"/>
        <v>38.20000000000001</v>
      </c>
      <c r="AW187" s="1001">
        <f t="shared" si="759"/>
        <v>38.600000000000009</v>
      </c>
      <c r="AX187" s="1001">
        <f t="shared" si="759"/>
        <v>37.900000000000006</v>
      </c>
      <c r="AY187" s="1001">
        <f t="shared" ref="AY187:AZ187" si="760">+AY49+AY60+AY71+AY82+AY93+AY104+AY115+AY126+AY137+AY148+AY159</f>
        <v>37.800000000000004</v>
      </c>
      <c r="AZ187" s="1001">
        <f t="shared" si="760"/>
        <v>37.800000000000004</v>
      </c>
      <c r="BA187" s="1001">
        <f t="shared" ref="BA187:BB187" si="761">+BA49+BA60+BA71+BA82+BA93+BA104+BA115+BA126+BA137+BA148+BA159</f>
        <v>37.700000000000003</v>
      </c>
      <c r="BB187" s="1001">
        <f t="shared" si="761"/>
        <v>36.700000000000003</v>
      </c>
      <c r="BC187" s="1001">
        <f t="shared" ref="BC187:BD187" si="762">+BC49+BC60+BC71+BC82+BC93+BC104+BC115+BC126+BC137+BC148+BC159</f>
        <v>36.5</v>
      </c>
      <c r="BD187" s="1001">
        <f t="shared" si="762"/>
        <v>36.5</v>
      </c>
      <c r="BE187" s="1001">
        <f t="shared" ref="BE187" si="763">+BE49+BE60+BE71+BE82+BE93+BE104+BE115+BE126+BE137+BE148+BE159</f>
        <v>36.600000000000009</v>
      </c>
    </row>
    <row r="188" spans="1:57" s="1994" customFormat="1">
      <c r="A188" s="1993" t="s">
        <v>136</v>
      </c>
      <c r="B188" s="1441"/>
      <c r="C188" s="1441">
        <f>+C50+C61+C72+C83+C94+C105+C116+C127+C138+C149+C160</f>
        <v>-9.999999999999809E-2</v>
      </c>
      <c r="D188" s="1441">
        <f t="shared" ref="D188:Y188" si="764">+D50+D61+D72+D83+D94+D105+D116+D127+D138+D149+D160</f>
        <v>0.60000000000000009</v>
      </c>
      <c r="E188" s="1441">
        <f t="shared" si="764"/>
        <v>-0.40000000000000036</v>
      </c>
      <c r="F188" s="1441">
        <f t="shared" si="764"/>
        <v>0.3000000000000006</v>
      </c>
      <c r="G188" s="1441">
        <f t="shared" si="764"/>
        <v>0.19999999999999973</v>
      </c>
      <c r="H188" s="1441">
        <f t="shared" si="764"/>
        <v>0.99999999999999678</v>
      </c>
      <c r="I188" s="1441">
        <f t="shared" si="764"/>
        <v>-0.39999999999999947</v>
      </c>
      <c r="J188" s="1441">
        <f t="shared" si="764"/>
        <v>0.20000000000000284</v>
      </c>
      <c r="K188" s="1441">
        <f t="shared" si="764"/>
        <v>0.19999999999999932</v>
      </c>
      <c r="L188" s="1441">
        <f t="shared" si="764"/>
        <v>0.79999999999999838</v>
      </c>
      <c r="M188" s="1441">
        <f t="shared" si="764"/>
        <v>-0.19999999999999751</v>
      </c>
      <c r="N188" s="1441">
        <f t="shared" si="764"/>
        <v>0.19999999999999751</v>
      </c>
      <c r="O188" s="1441">
        <f t="shared" si="764"/>
        <v>0.20000000000000284</v>
      </c>
      <c r="P188" s="1441">
        <f t="shared" si="764"/>
        <v>0.59999999999999876</v>
      </c>
      <c r="Q188" s="1441">
        <f t="shared" si="764"/>
        <v>-0.10000000000000098</v>
      </c>
      <c r="R188" s="1441">
        <f t="shared" si="764"/>
        <v>0.10000000000000098</v>
      </c>
      <c r="S188" s="1441">
        <f t="shared" si="764"/>
        <v>-9.9999999999999645E-2</v>
      </c>
      <c r="T188" s="1441">
        <f t="shared" si="764"/>
        <v>0.29999999999999849</v>
      </c>
      <c r="U188" s="1441">
        <f t="shared" si="764"/>
        <v>-0.39999999999999691</v>
      </c>
      <c r="V188" s="1441">
        <f t="shared" si="764"/>
        <v>-0.10000000000000134</v>
      </c>
      <c r="W188" s="1441">
        <f t="shared" si="764"/>
        <v>-1.4155343563970746E-15</v>
      </c>
      <c r="X188" s="1441">
        <f t="shared" si="764"/>
        <v>-1.3322676295501878E-15</v>
      </c>
      <c r="Y188" s="1441">
        <f t="shared" si="764"/>
        <v>-0.59999999999999787</v>
      </c>
      <c r="Z188" s="1441">
        <f t="shared" ref="Z188:AX188" si="765">+Z50+Z61+Z72+Z83+Z94+Z105+Z116+Z127+Z138+Z149+Z160</f>
        <v>-0.1</v>
      </c>
      <c r="AA188" s="1441">
        <f t="shared" si="765"/>
        <v>-0.19999999999999893</v>
      </c>
      <c r="AB188" s="1441">
        <f t="shared" si="765"/>
        <v>-0.1000000000000012</v>
      </c>
      <c r="AC188" s="1441">
        <f t="shared" si="765"/>
        <v>-0.20000000000000026</v>
      </c>
      <c r="AD188" s="1441">
        <f t="shared" si="765"/>
        <v>-0.39999999999999858</v>
      </c>
      <c r="AE188" s="1441">
        <f t="shared" si="765"/>
        <v>-0.10000000000000142</v>
      </c>
      <c r="AF188" s="1441">
        <f t="shared" si="765"/>
        <v>-9.9999999999999423E-2</v>
      </c>
      <c r="AG188" s="1441">
        <f t="shared" si="765"/>
        <v>-0.39999999999999969</v>
      </c>
      <c r="AH188" s="1441">
        <f t="shared" si="765"/>
        <v>-0.30000000000000204</v>
      </c>
      <c r="AI188" s="1441">
        <f t="shared" si="765"/>
        <v>-9.9999999999997508E-2</v>
      </c>
      <c r="AJ188" s="1441">
        <f t="shared" si="765"/>
        <v>9.999999999999809E-2</v>
      </c>
      <c r="AK188" s="1441">
        <f t="shared" si="765"/>
        <v>1.3877787807814457E-15</v>
      </c>
      <c r="AL188" s="1441">
        <f t="shared" si="765"/>
        <v>9.999999999999859E-2</v>
      </c>
      <c r="AM188" s="1441">
        <f t="shared" si="765"/>
        <v>-0.19999999999999885</v>
      </c>
      <c r="AN188" s="1441">
        <f t="shared" si="765"/>
        <v>0.39999999999999947</v>
      </c>
      <c r="AO188" s="1441">
        <f t="shared" si="765"/>
        <v>-1.4432899320127035E-15</v>
      </c>
      <c r="AP188" s="1441">
        <f t="shared" si="765"/>
        <v>1.1102230246251565E-16</v>
      </c>
      <c r="AQ188" s="1441">
        <f t="shared" si="765"/>
        <v>0.20000000000000012</v>
      </c>
      <c r="AR188" s="1441">
        <f t="shared" si="765"/>
        <v>0.60000000000000075</v>
      </c>
      <c r="AS188" s="1441">
        <f t="shared" si="765"/>
        <v>9.9999999999999423E-2</v>
      </c>
      <c r="AT188" s="1441">
        <f t="shared" si="765"/>
        <v>0.20000000000000151</v>
      </c>
      <c r="AU188" s="1441">
        <f t="shared" si="765"/>
        <v>-9.9999999999999312E-2</v>
      </c>
      <c r="AV188" s="1441">
        <f t="shared" si="765"/>
        <v>0.39999999999999813</v>
      </c>
      <c r="AW188" s="1441">
        <f t="shared" si="765"/>
        <v>-0.69999999999999951</v>
      </c>
      <c r="AX188" s="1441">
        <f t="shared" si="765"/>
        <v>-9.9999999999999645E-2</v>
      </c>
      <c r="AY188" s="1441">
        <f t="shared" ref="AY188:AZ188" si="766">+AY50+AY61+AY72+AY83+AY94+AY105+AY116+AY127+AY138+AY149+AY160</f>
        <v>-1.7763568394002505E-15</v>
      </c>
      <c r="AZ188" s="1441">
        <f t="shared" si="766"/>
        <v>-0.10000000000000042</v>
      </c>
      <c r="BA188" s="1441">
        <f t="shared" ref="BA188:BB188" si="767">+BA50+BA61+BA72+BA83+BA94+BA105+BA116+BA127+BA138+BA149+BA160</f>
        <v>-0.999999999999999</v>
      </c>
      <c r="BB188" s="1441">
        <f t="shared" si="767"/>
        <v>-0.19999999999999973</v>
      </c>
      <c r="BC188" s="1441">
        <f t="shared" ref="BC188:BD188" si="768">+BC50+BC61+BC72+BC83+BC94+BC105+BC116+BC127+BC138+BC149+BC160</f>
        <v>0</v>
      </c>
      <c r="BD188" s="1441">
        <f t="shared" si="768"/>
        <v>0.10000000000000164</v>
      </c>
      <c r="BE188" s="1441">
        <f t="shared" ref="BE188" si="769">+BE50+BE61+BE72+BE83+BE94+BE105+BE116+BE127+BE138+BE149+BE160</f>
        <v>-0.20000000000000107</v>
      </c>
    </row>
    <row r="189" spans="1:57">
      <c r="A189" s="997" t="s">
        <v>715</v>
      </c>
      <c r="B189" s="1003"/>
      <c r="C189" s="1003">
        <f>+C51+C62+C73+C84+C95+C106+C117+C128+C139+C150+C161</f>
        <v>36.4</v>
      </c>
      <c r="D189" s="1003">
        <f t="shared" ref="D189:Y189" si="770">+D51+D62+D73+D84+D95+D106+D117+D128+D139+D150+D161</f>
        <v>37</v>
      </c>
      <c r="E189" s="1003">
        <f t="shared" si="770"/>
        <v>36.6</v>
      </c>
      <c r="F189" s="1003">
        <f t="shared" si="770"/>
        <v>36.9</v>
      </c>
      <c r="G189" s="1003">
        <f t="shared" si="770"/>
        <v>37.1</v>
      </c>
      <c r="H189" s="1003">
        <f t="shared" si="770"/>
        <v>38.1</v>
      </c>
      <c r="I189" s="1003">
        <f t="shared" si="770"/>
        <v>37.700000000000003</v>
      </c>
      <c r="J189" s="1003">
        <f t="shared" si="770"/>
        <v>37.900000000000006</v>
      </c>
      <c r="K189" s="1003">
        <f t="shared" si="770"/>
        <v>38.1</v>
      </c>
      <c r="L189" s="1003">
        <f t="shared" si="770"/>
        <v>38.9</v>
      </c>
      <c r="M189" s="1003">
        <f t="shared" si="770"/>
        <v>38.700000000000003</v>
      </c>
      <c r="N189" s="1003">
        <f t="shared" si="770"/>
        <v>38.9</v>
      </c>
      <c r="O189" s="1003">
        <f t="shared" si="770"/>
        <v>39.1</v>
      </c>
      <c r="P189" s="1003">
        <f t="shared" si="770"/>
        <v>39.700000000000003</v>
      </c>
      <c r="Q189" s="1003">
        <f t="shared" si="770"/>
        <v>39.6</v>
      </c>
      <c r="R189" s="1003">
        <f t="shared" si="770"/>
        <v>39.699999999999996</v>
      </c>
      <c r="S189" s="1003">
        <f t="shared" si="770"/>
        <v>39.6</v>
      </c>
      <c r="T189" s="1003">
        <f t="shared" si="770"/>
        <v>39.9</v>
      </c>
      <c r="U189" s="1003">
        <f t="shared" si="770"/>
        <v>39.500000000000007</v>
      </c>
      <c r="V189" s="1003">
        <f t="shared" si="770"/>
        <v>39.4</v>
      </c>
      <c r="W189" s="1003">
        <f t="shared" si="770"/>
        <v>39.4</v>
      </c>
      <c r="X189" s="1003">
        <f t="shared" si="770"/>
        <v>39.4</v>
      </c>
      <c r="Y189" s="1003">
        <f t="shared" si="770"/>
        <v>38.800000000000004</v>
      </c>
      <c r="Z189" s="1003">
        <f t="shared" ref="Z189:AX189" si="771">+Z51+Z62+Z73+Z84+Z95+Z106+Z117+Z128+Z139+Z150+Z161</f>
        <v>38.700000000000003</v>
      </c>
      <c r="AA189" s="1003">
        <f t="shared" si="771"/>
        <v>38.5</v>
      </c>
      <c r="AB189" s="1003">
        <f t="shared" si="771"/>
        <v>38.4</v>
      </c>
      <c r="AC189" s="1003">
        <f t="shared" si="771"/>
        <v>38.200000000000003</v>
      </c>
      <c r="AD189" s="1003">
        <f t="shared" si="771"/>
        <v>37.800000000000004</v>
      </c>
      <c r="AE189" s="1003">
        <f t="shared" si="771"/>
        <v>37.700000000000003</v>
      </c>
      <c r="AF189" s="1003">
        <f t="shared" si="771"/>
        <v>37.6</v>
      </c>
      <c r="AG189" s="1003">
        <f t="shared" si="771"/>
        <v>37.200000000000003</v>
      </c>
      <c r="AH189" s="1003">
        <f t="shared" si="771"/>
        <v>36.9</v>
      </c>
      <c r="AI189" s="1003">
        <f t="shared" si="771"/>
        <v>36.800000000000004</v>
      </c>
      <c r="AJ189" s="1003">
        <f t="shared" si="771"/>
        <v>36.900000000000006</v>
      </c>
      <c r="AK189" s="1003">
        <f t="shared" si="771"/>
        <v>36.900000000000006</v>
      </c>
      <c r="AL189" s="1003">
        <f t="shared" si="771"/>
        <v>37.000000000000007</v>
      </c>
      <c r="AM189" s="1003">
        <f t="shared" si="771"/>
        <v>36.800000000000011</v>
      </c>
      <c r="AN189" s="1003">
        <f t="shared" si="771"/>
        <v>37.200000000000003</v>
      </c>
      <c r="AO189" s="1003">
        <f t="shared" si="771"/>
        <v>37.200000000000003</v>
      </c>
      <c r="AP189" s="1003">
        <f t="shared" si="771"/>
        <v>37.200000000000003</v>
      </c>
      <c r="AQ189" s="1003">
        <f t="shared" si="771"/>
        <v>37.4</v>
      </c>
      <c r="AR189" s="1003">
        <f t="shared" si="771"/>
        <v>38.000000000000007</v>
      </c>
      <c r="AS189" s="1003">
        <f t="shared" si="771"/>
        <v>38.100000000000009</v>
      </c>
      <c r="AT189" s="1003">
        <f t="shared" si="771"/>
        <v>38.300000000000004</v>
      </c>
      <c r="AU189" s="1003">
        <f t="shared" si="771"/>
        <v>38.20000000000001</v>
      </c>
      <c r="AV189" s="1003">
        <f t="shared" si="771"/>
        <v>38.600000000000009</v>
      </c>
      <c r="AW189" s="1003">
        <f t="shared" si="771"/>
        <v>37.900000000000006</v>
      </c>
      <c r="AX189" s="1003">
        <f t="shared" si="771"/>
        <v>37.800000000000004</v>
      </c>
      <c r="AY189" s="1003">
        <f t="shared" ref="AY189:AZ189" si="772">+AY51+AY62+AY73+AY84+AY95+AY106+AY117+AY128+AY139+AY150+AY161</f>
        <v>37.800000000000004</v>
      </c>
      <c r="AZ189" s="1003">
        <f t="shared" si="772"/>
        <v>37.700000000000003</v>
      </c>
      <c r="BA189" s="1003">
        <f t="shared" ref="BA189:BB189" si="773">+BA51+BA62+BA73+BA84+BA95+BA106+BA117+BA128+BA139+BA150+BA161</f>
        <v>36.700000000000003</v>
      </c>
      <c r="BB189" s="1003">
        <f t="shared" si="773"/>
        <v>36.5</v>
      </c>
      <c r="BC189" s="1003">
        <f t="shared" ref="BC189:BD189" si="774">+BC51+BC62+BC73+BC84+BC95+BC106+BC117+BC128+BC139+BC150+BC161</f>
        <v>36.5</v>
      </c>
      <c r="BD189" s="1003">
        <f t="shared" si="774"/>
        <v>36.600000000000009</v>
      </c>
      <c r="BE189" s="1003">
        <f t="shared" ref="BE189" si="775">+BE51+BE62+BE73+BE84+BE95+BE106+BE117+BE128+BE139+BE150+BE161</f>
        <v>36.400000000000006</v>
      </c>
    </row>
    <row r="190" spans="1:57">
      <c r="Z190" s="1001"/>
      <c r="AA190" s="1001"/>
      <c r="AB190" s="1001"/>
      <c r="AC190" s="1001"/>
      <c r="AD190" s="1001"/>
      <c r="AE190" s="1001"/>
      <c r="AF190" s="1001"/>
      <c r="AG190" s="1001"/>
      <c r="AH190" s="1001"/>
      <c r="AI190" s="1001"/>
      <c r="AJ190" s="1001"/>
      <c r="AK190" s="1001"/>
      <c r="AL190" s="1001"/>
      <c r="AM190" s="1001"/>
      <c r="AN190" s="1001"/>
      <c r="AO190" s="1001"/>
      <c r="AP190" s="1001"/>
      <c r="AQ190" s="1001"/>
      <c r="AR190" s="1001"/>
      <c r="AS190" s="1001"/>
      <c r="AT190" s="1001"/>
      <c r="AU190" s="1001"/>
      <c r="AV190" s="1001"/>
      <c r="AW190" s="1001"/>
      <c r="AX190" s="1001"/>
      <c r="AY190" s="1001"/>
      <c r="AZ190" s="1001"/>
      <c r="BA190" s="1001"/>
      <c r="BB190" s="1001"/>
      <c r="BC190" s="1001"/>
      <c r="BD190" s="1001"/>
      <c r="BE190" s="1001"/>
    </row>
    <row r="192" spans="1:57" s="999" customFormat="1">
      <c r="A192" s="993"/>
      <c r="B192" s="993"/>
      <c r="C192" s="993"/>
      <c r="D192" s="993"/>
      <c r="E192" s="993"/>
      <c r="F192" s="993"/>
      <c r="G192" s="993"/>
      <c r="H192" s="993"/>
      <c r="I192" s="993"/>
      <c r="J192" s="993"/>
      <c r="K192" s="993"/>
      <c r="L192" s="993"/>
      <c r="M192" s="993"/>
      <c r="N192" s="993"/>
      <c r="O192" s="993"/>
      <c r="P192" s="993"/>
      <c r="Q192" s="993"/>
      <c r="R192" s="993"/>
      <c r="S192" s="993"/>
      <c r="T192" s="993"/>
      <c r="U192" s="993"/>
      <c r="V192" s="993"/>
      <c r="W192" s="993"/>
      <c r="X192" s="993"/>
      <c r="Y192" s="993"/>
      <c r="Z192" s="993"/>
      <c r="AA192" s="993"/>
      <c r="AB192" s="993"/>
      <c r="AC192" s="993"/>
      <c r="AD192" s="993"/>
      <c r="AE192" s="993"/>
      <c r="AF192" s="993"/>
      <c r="AG192" s="993"/>
      <c r="AH192" s="993"/>
      <c r="AI192" s="993"/>
      <c r="AJ192" s="993"/>
      <c r="AK192" s="993"/>
      <c r="AL192" s="993"/>
      <c r="AM192" s="993"/>
      <c r="AN192" s="993"/>
      <c r="AO192" s="993"/>
      <c r="AP192" s="993"/>
      <c r="AQ192" s="993"/>
      <c r="AR192" s="993"/>
      <c r="AS192" s="993"/>
      <c r="AT192" s="993"/>
      <c r="AU192" s="993"/>
      <c r="AV192" s="993"/>
      <c r="AW192" s="993"/>
      <c r="AX192" s="993"/>
      <c r="AY192" s="993"/>
      <c r="AZ192" s="993"/>
      <c r="BA192" s="993"/>
      <c r="BB192" s="993"/>
      <c r="BC192" s="993"/>
      <c r="BD192" s="993"/>
      <c r="BE192" s="993"/>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AS218"/>
  <sheetViews>
    <sheetView showGridLines="0" zoomScale="85" zoomScaleNormal="85" workbookViewId="0">
      <pane xSplit="3" ySplit="8" topLeftCell="D182" activePane="bottomRight" state="frozen"/>
      <selection activeCell="AC33" sqref="AC33"/>
      <selection pane="topRight" activeCell="AC33" sqref="AC33"/>
      <selection pane="bottomLeft" activeCell="AC33" sqref="AC33"/>
      <selection pane="bottomRight" activeCell="A203" sqref="A203"/>
    </sheetView>
  </sheetViews>
  <sheetFormatPr defaultRowHeight="12.75" outlineLevelRow="1"/>
  <cols>
    <col min="1" max="1" width="2.85546875" style="1045" customWidth="1"/>
    <col min="2" max="2" width="7.7109375" style="1045" customWidth="1"/>
    <col min="3" max="3" width="1.7109375" style="1045" customWidth="1"/>
    <col min="4" max="4" width="9" style="1045" customWidth="1"/>
    <col min="5" max="5" width="1.7109375" style="1045" customWidth="1"/>
    <col min="6" max="6" width="9.28515625" style="1045" customWidth="1"/>
    <col min="7" max="7" width="1.7109375" style="1045" customWidth="1"/>
    <col min="8" max="8" width="9" style="1045" customWidth="1"/>
    <col min="9" max="9" width="1.7109375" style="1045" customWidth="1"/>
    <col min="10" max="10" width="8.7109375" style="1045" customWidth="1"/>
    <col min="11" max="11" width="1.7109375" style="1045" customWidth="1"/>
    <col min="12" max="12" width="7.85546875" style="1045" customWidth="1"/>
    <col min="13" max="13" width="1.7109375" style="1045" customWidth="1"/>
    <col min="14" max="14" width="7.7109375" style="1045" customWidth="1"/>
    <col min="15" max="15" width="1.7109375" style="1045" customWidth="1"/>
    <col min="16" max="16" width="10" style="1045" customWidth="1"/>
    <col min="17" max="17" width="1.7109375" style="1045" customWidth="1"/>
    <col min="18" max="18" width="8.85546875" style="1045" customWidth="1"/>
    <col min="19" max="19" width="1.7109375" style="1045" customWidth="1"/>
    <col min="20" max="20" width="8.85546875" style="1045" customWidth="1"/>
    <col min="21" max="21" width="1.7109375" style="1045" customWidth="1"/>
    <col min="22" max="22" width="8.140625" style="24" customWidth="1"/>
    <col min="23" max="23" width="1.140625" style="1045" customWidth="1"/>
    <col min="24" max="24" width="8.140625" style="1045" customWidth="1"/>
    <col min="25" max="25" width="1.7109375" style="1045" customWidth="1"/>
    <col min="26" max="26" width="8.140625" style="1045" customWidth="1"/>
    <col min="27" max="27" width="1.7109375" style="1045" customWidth="1"/>
    <col min="28" max="28" width="9.5703125" style="24" bestFit="1" customWidth="1"/>
    <col min="29" max="29" width="0.85546875" style="1045" customWidth="1"/>
    <col min="30" max="30" width="7.28515625" style="1045" customWidth="1"/>
    <col min="31" max="31" width="1.42578125" style="1045" customWidth="1"/>
    <col min="32" max="32" width="9.7109375" style="1045" customWidth="1"/>
    <col min="33" max="33" width="1.7109375" style="1045" customWidth="1"/>
    <col min="34" max="34" width="2.28515625" style="1045" customWidth="1"/>
    <col min="35" max="35" width="10.7109375" style="1045" customWidth="1"/>
    <col min="36" max="36" width="2.28515625" style="1045" customWidth="1"/>
    <col min="37" max="37" width="9.28515625" style="1045" bestFit="1" customWidth="1"/>
    <col min="38" max="38" width="9.140625" style="1045"/>
    <col min="39" max="39" width="9.28515625" style="1045" bestFit="1" customWidth="1"/>
    <col min="40" max="40" width="10.140625" style="1045" bestFit="1" customWidth="1"/>
    <col min="41" max="44" width="9.28515625" style="1045" bestFit="1" customWidth="1"/>
    <col min="45" max="16384" width="9.140625" style="1045"/>
  </cols>
  <sheetData>
    <row r="1" spans="1:44">
      <c r="A1" s="1041" t="str">
        <f>'qtrP&amp;L'!A1</f>
        <v>The Gap, Inc.</v>
      </c>
      <c r="B1" s="1042"/>
      <c r="C1" s="1041"/>
      <c r="D1" s="1041"/>
      <c r="E1" s="1043"/>
      <c r="F1" s="1041"/>
      <c r="G1" s="1041"/>
      <c r="H1" s="1041"/>
      <c r="I1" s="1043"/>
      <c r="J1" s="1044"/>
      <c r="K1" s="1044"/>
      <c r="L1" s="1044"/>
      <c r="M1" s="1066"/>
      <c r="N1" s="1044"/>
      <c r="O1" s="1066"/>
      <c r="P1" s="1044"/>
      <c r="Q1" s="1044"/>
      <c r="R1" s="1066"/>
      <c r="S1" s="1044"/>
      <c r="T1" s="1044"/>
      <c r="U1" s="1066"/>
      <c r="V1" s="1998"/>
      <c r="W1" s="1044"/>
      <c r="X1" s="1044"/>
      <c r="Y1" s="1044"/>
      <c r="Z1" s="1044"/>
      <c r="AA1" s="1044"/>
      <c r="AB1" s="1998"/>
      <c r="AC1" s="1044"/>
      <c r="AD1" s="1044"/>
      <c r="AE1" s="1044"/>
      <c r="AF1" s="1044"/>
      <c r="AG1" s="1044"/>
      <c r="AH1" s="1044"/>
      <c r="AI1" s="1044"/>
      <c r="AJ1" s="1044"/>
      <c r="AK1" s="1044"/>
      <c r="AL1" s="1044"/>
      <c r="AM1" s="1044"/>
      <c r="AN1" s="1044"/>
      <c r="AO1" s="1044"/>
      <c r="AP1" s="1044"/>
      <c r="AQ1" s="1044"/>
      <c r="AR1" s="1044"/>
    </row>
    <row r="2" spans="1:44">
      <c r="A2" s="1046" t="s">
        <v>820</v>
      </c>
      <c r="B2" s="1047"/>
      <c r="C2" s="1046"/>
      <c r="D2" s="1046"/>
      <c r="E2" s="1048"/>
      <c r="F2" s="1046"/>
      <c r="G2" s="1046"/>
      <c r="H2" s="1046"/>
      <c r="I2" s="1048"/>
      <c r="J2" s="1046"/>
      <c r="K2" s="1046"/>
      <c r="L2" s="1046"/>
      <c r="M2" s="1048"/>
      <c r="N2" s="1046"/>
      <c r="O2" s="1048"/>
      <c r="P2" s="1046"/>
      <c r="Q2" s="1046"/>
      <c r="R2" s="1048"/>
      <c r="S2" s="1046"/>
      <c r="T2" s="1046"/>
      <c r="U2" s="1048"/>
      <c r="V2" s="116"/>
      <c r="W2" s="1046"/>
      <c r="X2" s="1046"/>
      <c r="Y2" s="1046"/>
      <c r="Z2" s="1046"/>
      <c r="AA2" s="1046"/>
      <c r="AB2" s="116"/>
      <c r="AC2" s="1046"/>
      <c r="AD2" s="1046"/>
      <c r="AE2" s="1046"/>
      <c r="AF2" s="1046"/>
      <c r="AG2" s="1046"/>
      <c r="AH2" s="1044"/>
      <c r="AI2" s="1044"/>
      <c r="AJ2" s="1044"/>
      <c r="AK2" s="1044"/>
      <c r="AL2" s="1044"/>
      <c r="AM2" s="1044"/>
      <c r="AN2" s="1044"/>
      <c r="AO2" s="1044"/>
      <c r="AP2" s="1044"/>
      <c r="AQ2" s="1044"/>
      <c r="AR2" s="1044"/>
    </row>
    <row r="3" spans="1:44" ht="12.75" customHeight="1">
      <c r="A3" s="1049" t="s">
        <v>669</v>
      </c>
      <c r="B3" s="1389"/>
      <c r="C3" s="1049"/>
      <c r="D3" s="1389"/>
      <c r="E3" s="1049"/>
      <c r="F3" s="1049"/>
      <c r="G3" s="1049"/>
      <c r="H3" s="1049"/>
      <c r="I3" s="1049"/>
      <c r="J3" s="1049"/>
      <c r="K3" s="1049"/>
      <c r="L3" s="1049"/>
      <c r="M3" s="1049"/>
      <c r="N3" s="1049"/>
      <c r="O3" s="1049"/>
      <c r="P3" s="1049"/>
      <c r="Q3" s="1049"/>
      <c r="R3" s="1049"/>
      <c r="S3" s="1049"/>
      <c r="T3" s="1049"/>
      <c r="U3" s="1049"/>
      <c r="V3" s="1999"/>
      <c r="W3" s="1049"/>
      <c r="X3" s="1049"/>
      <c r="Y3" s="1049"/>
      <c r="Z3" s="1049"/>
      <c r="AA3" s="1049"/>
      <c r="AB3" s="1999"/>
      <c r="AC3" s="1049"/>
      <c r="AD3" s="1049"/>
      <c r="AE3" s="1049"/>
      <c r="AF3" s="1049"/>
      <c r="AG3" s="1049"/>
      <c r="AH3" s="1390"/>
      <c r="AI3" s="1049"/>
      <c r="AJ3" s="1049"/>
      <c r="AK3" s="1049"/>
      <c r="AL3" s="1049"/>
      <c r="AM3" s="1049"/>
      <c r="AN3" s="1049"/>
      <c r="AO3" s="1049"/>
      <c r="AP3" s="1049"/>
      <c r="AQ3" s="1049"/>
      <c r="AR3" s="1049"/>
    </row>
    <row r="4" spans="1:44">
      <c r="A4" s="1050"/>
      <c r="B4" s="1050"/>
      <c r="C4" s="1050"/>
      <c r="D4" s="1050"/>
      <c r="E4" s="1050"/>
      <c r="F4" s="1050"/>
      <c r="G4" s="1050"/>
      <c r="H4" s="1050"/>
      <c r="I4" s="1050"/>
      <c r="J4" s="1050"/>
      <c r="K4" s="1050"/>
      <c r="L4" s="1050"/>
      <c r="M4" s="1050"/>
      <c r="N4" s="1050"/>
      <c r="O4" s="1050"/>
      <c r="P4" s="1050"/>
      <c r="Q4" s="1050"/>
      <c r="R4" s="1050"/>
      <c r="S4" s="1050"/>
      <c r="T4" s="1050"/>
      <c r="U4" s="1050"/>
      <c r="V4" s="31"/>
      <c r="W4" s="1050"/>
      <c r="X4" s="1050"/>
      <c r="Y4" s="1050"/>
      <c r="Z4" s="1050"/>
      <c r="AA4" s="1050"/>
      <c r="AB4" s="31"/>
      <c r="AC4" s="1050"/>
      <c r="AD4" s="1050"/>
      <c r="AE4" s="1050"/>
      <c r="AF4" s="1050"/>
      <c r="AG4" s="1050"/>
      <c r="AH4" s="1058"/>
      <c r="AI4" s="1050"/>
      <c r="AJ4" s="1050"/>
      <c r="AK4" s="1050"/>
      <c r="AL4" s="1050"/>
      <c r="AM4" s="1050"/>
      <c r="AN4" s="1050"/>
      <c r="AO4" s="1050"/>
      <c r="AP4" s="1050"/>
      <c r="AQ4" s="1050"/>
      <c r="AR4" s="1050"/>
    </row>
    <row r="5" spans="1:44">
      <c r="A5" s="1050"/>
      <c r="B5" s="1050"/>
      <c r="C5" s="1050"/>
      <c r="D5" s="1054"/>
      <c r="E5" s="1054"/>
      <c r="F5" s="1054"/>
      <c r="G5" s="1054" t="s">
        <v>570</v>
      </c>
      <c r="H5" s="1054"/>
      <c r="I5" s="1054"/>
      <c r="J5" s="1054"/>
      <c r="K5" s="1050"/>
      <c r="L5" s="1054"/>
      <c r="M5" s="1054"/>
      <c r="N5" s="1054"/>
      <c r="O5" s="1054" t="s">
        <v>571</v>
      </c>
      <c r="P5" s="1054"/>
      <c r="Q5" s="1050"/>
      <c r="R5" s="1050"/>
      <c r="S5" s="1050" t="s">
        <v>572</v>
      </c>
      <c r="T5" s="1050"/>
      <c r="U5" s="1050"/>
      <c r="V5" s="1877"/>
      <c r="W5" s="1054"/>
      <c r="X5" s="1054" t="s">
        <v>573</v>
      </c>
      <c r="Y5" s="1054"/>
      <c r="Z5" s="1054"/>
      <c r="AA5" s="1050"/>
      <c r="AB5" s="1877"/>
      <c r="AC5" s="1054"/>
      <c r="AD5" s="1054" t="s">
        <v>659</v>
      </c>
      <c r="AE5" s="1054"/>
      <c r="AF5" s="1054"/>
      <c r="AG5" s="1050"/>
      <c r="AH5" s="1391"/>
      <c r="AI5" s="1058"/>
      <c r="AJ5" s="1391" t="s">
        <v>177</v>
      </c>
      <c r="AK5" s="1050"/>
      <c r="AL5" s="1050"/>
      <c r="AM5" s="1050"/>
      <c r="AN5" s="1050"/>
      <c r="AO5" s="1050"/>
      <c r="AP5" s="1050"/>
      <c r="AQ5" s="1050"/>
      <c r="AR5" s="1050"/>
    </row>
    <row r="6" spans="1:44">
      <c r="A6" s="1050"/>
      <c r="B6" s="1050"/>
      <c r="C6" s="1050"/>
      <c r="D6" s="1058"/>
      <c r="E6" s="1058"/>
      <c r="F6" s="1058"/>
      <c r="G6" s="1050"/>
      <c r="H6" s="1054"/>
      <c r="I6" s="1054" t="s">
        <v>574</v>
      </c>
      <c r="J6" s="1054"/>
      <c r="K6" s="1050"/>
      <c r="L6" s="1050" t="s">
        <v>560</v>
      </c>
      <c r="M6" s="1050"/>
      <c r="N6" s="1055"/>
      <c r="O6" s="1055" t="s">
        <v>575</v>
      </c>
      <c r="P6" s="1055"/>
      <c r="Q6" s="1050"/>
      <c r="R6" s="1054"/>
      <c r="S6" s="1054" t="s">
        <v>616</v>
      </c>
      <c r="T6" s="1054"/>
      <c r="U6" s="1050"/>
      <c r="V6" s="31" t="s">
        <v>576</v>
      </c>
      <c r="W6" s="1050"/>
      <c r="X6" s="1050" t="s">
        <v>574</v>
      </c>
      <c r="Y6" s="1050"/>
      <c r="Z6" s="1050" t="s">
        <v>577</v>
      </c>
      <c r="AA6" s="1050"/>
      <c r="AB6" s="31" t="s">
        <v>660</v>
      </c>
      <c r="AC6" s="1050"/>
      <c r="AD6" s="1050" t="s">
        <v>574</v>
      </c>
      <c r="AE6" s="1050"/>
      <c r="AF6" s="1050" t="s">
        <v>577</v>
      </c>
      <c r="AG6" s="1050"/>
      <c r="AH6" s="1391"/>
      <c r="AI6" s="1054"/>
      <c r="AJ6" s="1392" t="s">
        <v>178</v>
      </c>
      <c r="AK6" s="1050"/>
      <c r="AL6" s="1050"/>
      <c r="AM6" s="1050"/>
      <c r="AN6" s="1050"/>
      <c r="AO6" s="1050"/>
      <c r="AP6" s="1050"/>
      <c r="AQ6" s="1050"/>
      <c r="AR6" s="1050"/>
    </row>
    <row r="7" spans="1:44">
      <c r="A7" s="1050"/>
      <c r="B7" s="1050"/>
      <c r="C7" s="1050"/>
      <c r="D7" s="1050"/>
      <c r="E7" s="1050"/>
      <c r="F7" s="1050" t="s">
        <v>578</v>
      </c>
      <c r="G7" s="1050"/>
      <c r="H7" s="1050" t="s">
        <v>579</v>
      </c>
      <c r="I7" s="1050"/>
      <c r="J7" s="1050"/>
      <c r="K7" s="1050"/>
      <c r="L7" s="1050" t="s">
        <v>615</v>
      </c>
      <c r="M7" s="1050"/>
      <c r="N7" s="1050" t="s">
        <v>580</v>
      </c>
      <c r="O7" s="1050"/>
      <c r="P7" s="1050" t="s">
        <v>580</v>
      </c>
      <c r="Q7" s="1050"/>
      <c r="R7" s="1050"/>
      <c r="S7" s="1050"/>
      <c r="T7" s="1050" t="s">
        <v>581</v>
      </c>
      <c r="U7" s="1050"/>
      <c r="V7" s="31" t="s">
        <v>582</v>
      </c>
      <c r="W7" s="1050"/>
      <c r="X7" s="1050" t="s">
        <v>583</v>
      </c>
      <c r="Y7" s="1050"/>
      <c r="Z7" s="1050" t="s">
        <v>489</v>
      </c>
      <c r="AA7" s="1050"/>
      <c r="AB7" s="31" t="s">
        <v>579</v>
      </c>
      <c r="AC7" s="1050"/>
      <c r="AD7" s="1050" t="s">
        <v>583</v>
      </c>
      <c r="AE7" s="1050"/>
      <c r="AF7" s="1050" t="s">
        <v>489</v>
      </c>
      <c r="AG7" s="1050"/>
      <c r="AH7" s="1391"/>
      <c r="AI7" s="1050"/>
      <c r="AJ7" s="1393" t="s">
        <v>179</v>
      </c>
      <c r="AK7" s="1050"/>
      <c r="AL7" s="1050"/>
      <c r="AM7" s="1050"/>
      <c r="AN7" s="1050"/>
      <c r="AO7" s="1050"/>
      <c r="AP7" s="1050"/>
      <c r="AQ7" s="1050"/>
      <c r="AR7" s="1050"/>
    </row>
    <row r="8" spans="1:44">
      <c r="A8" s="1050"/>
      <c r="B8" s="1050"/>
      <c r="C8" s="1050"/>
      <c r="D8" s="1054" t="s">
        <v>560</v>
      </c>
      <c r="E8" s="1050"/>
      <c r="F8" s="1054" t="s">
        <v>584</v>
      </c>
      <c r="G8" s="1050"/>
      <c r="H8" s="1054" t="s">
        <v>585</v>
      </c>
      <c r="I8" s="1050"/>
      <c r="J8" s="1054" t="s">
        <v>586</v>
      </c>
      <c r="K8" s="1050"/>
      <c r="L8" s="1054" t="s">
        <v>587</v>
      </c>
      <c r="M8" s="1050"/>
      <c r="N8" s="1054" t="s">
        <v>529</v>
      </c>
      <c r="O8" s="1050"/>
      <c r="P8" s="1054" t="s">
        <v>585</v>
      </c>
      <c r="Q8" s="1050"/>
      <c r="R8" s="1054" t="s">
        <v>617</v>
      </c>
      <c r="S8" s="1050"/>
      <c r="T8" s="1054" t="s">
        <v>618</v>
      </c>
      <c r="U8" s="1050"/>
      <c r="V8" s="1877" t="s">
        <v>619</v>
      </c>
      <c r="W8" s="1050"/>
      <c r="X8" s="1054" t="s">
        <v>588</v>
      </c>
      <c r="Y8" s="1050"/>
      <c r="Z8" s="1054" t="s">
        <v>589</v>
      </c>
      <c r="AA8" s="1050"/>
      <c r="AB8" s="1877" t="s">
        <v>585</v>
      </c>
      <c r="AC8" s="1050"/>
      <c r="AD8" s="1054" t="s">
        <v>661</v>
      </c>
      <c r="AE8" s="1050"/>
      <c r="AF8" s="1054" t="s">
        <v>589</v>
      </c>
      <c r="AG8" s="1050"/>
      <c r="AH8" s="1391"/>
      <c r="AI8" s="1054"/>
      <c r="AJ8" s="1392" t="s">
        <v>398</v>
      </c>
      <c r="AK8" s="1050"/>
      <c r="AL8" s="1050"/>
      <c r="AM8" s="1050"/>
      <c r="AN8" s="1050"/>
      <c r="AO8" s="1050"/>
      <c r="AP8" s="1050"/>
      <c r="AQ8" s="1050"/>
      <c r="AR8" s="1050"/>
    </row>
    <row r="9" spans="1:44">
      <c r="AH9" s="1062"/>
    </row>
    <row r="10" spans="1:44" hidden="1" outlineLevel="1">
      <c r="B10" s="1167">
        <v>1990</v>
      </c>
      <c r="AH10" s="1062"/>
    </row>
    <row r="11" spans="1:44" hidden="1" outlineLevel="1">
      <c r="A11" s="1045" t="str">
        <f>'qtrP&amp;L'!A10</f>
        <v>1Q</v>
      </c>
      <c r="B11" s="1045" t="str">
        <f>'qtrP&amp;L'!B10</f>
        <v>Apr</v>
      </c>
      <c r="D11" s="1170">
        <f>'qtrP&amp;L'!F$10</f>
        <v>402.36799999999999</v>
      </c>
      <c r="F11" s="1170">
        <f>'qtrP&amp;L'!F$20</f>
        <v>269.79300000000001</v>
      </c>
      <c r="H11" s="1170">
        <f>work!D$10</f>
        <v>224.2</v>
      </c>
      <c r="J11" s="1176">
        <f>AVERAGE(H10:H11)</f>
        <v>224.2</v>
      </c>
      <c r="V11" s="24">
        <v>0</v>
      </c>
      <c r="X11" s="1171"/>
      <c r="AB11" s="1597">
        <v>8</v>
      </c>
      <c r="AD11" s="1174">
        <f>H11/AB11</f>
        <v>28.024999999999999</v>
      </c>
      <c r="AH11" s="1062"/>
    </row>
    <row r="12" spans="1:44" hidden="1" outlineLevel="1">
      <c r="A12" s="1045" t="str">
        <f>'qtrP&amp;L'!A11</f>
        <v>2Q</v>
      </c>
      <c r="B12" s="1045" t="str">
        <f>'qtrP&amp;L'!B11</f>
        <v>Jul</v>
      </c>
      <c r="D12" s="1176">
        <f>'qtrP&amp;L'!F$11</f>
        <v>404.99599999999998</v>
      </c>
      <c r="F12" s="1176">
        <f>'qtrP&amp;L'!F$21</f>
        <v>273.86900000000003</v>
      </c>
      <c r="H12" s="1176">
        <f>work!D$11</f>
        <v>225.5</v>
      </c>
      <c r="J12" s="1176">
        <f>AVERAGE(H11:H12)</f>
        <v>224.85</v>
      </c>
      <c r="V12" s="24">
        <v>0</v>
      </c>
      <c r="X12" s="1177"/>
      <c r="AB12" s="1597">
        <v>8.1780000000000008</v>
      </c>
      <c r="AD12" s="1178">
        <f>H12/AB12</f>
        <v>27.573978967962823</v>
      </c>
      <c r="AH12" s="1062"/>
    </row>
    <row r="13" spans="1:44" hidden="1" outlineLevel="1">
      <c r="A13" s="1045" t="str">
        <f>'qtrP&amp;L'!A12</f>
        <v>3Q</v>
      </c>
      <c r="B13" s="1045" t="str">
        <f>'qtrP&amp;L'!B12</f>
        <v>Oct</v>
      </c>
      <c r="D13" s="1176">
        <f>'qtrP&amp;L'!F$12</f>
        <v>501.69</v>
      </c>
      <c r="F13" s="1176">
        <f>'qtrP&amp;L'!F$22</f>
        <v>305.40699999999998</v>
      </c>
      <c r="H13" s="1176">
        <f>work!D$12</f>
        <v>285.3</v>
      </c>
      <c r="J13" s="1176">
        <f>AVERAGE(H12:H13)</f>
        <v>255.4</v>
      </c>
      <c r="V13" s="24">
        <v>0</v>
      </c>
      <c r="X13" s="1177"/>
      <c r="AB13" s="1597">
        <v>8.69</v>
      </c>
      <c r="AD13" s="1178">
        <f>H13/AB13</f>
        <v>32.83084004602992</v>
      </c>
      <c r="AH13" s="1062"/>
    </row>
    <row r="14" spans="1:44" hidden="1" outlineLevel="1">
      <c r="A14" s="1045" t="str">
        <f>'qtrP&amp;L'!A13</f>
        <v>4Q</v>
      </c>
      <c r="B14" s="1045" t="str">
        <f>'qtrP&amp;L'!B13</f>
        <v>Jan</v>
      </c>
      <c r="D14" s="1183">
        <f>'qtrP&amp;L'!F$13</f>
        <v>624.726</v>
      </c>
      <c r="F14" s="1183">
        <f>'qtrP&amp;L'!F$23</f>
        <v>392.17399999999998</v>
      </c>
      <c r="H14" s="1197">
        <f>work!D$13</f>
        <v>247.5</v>
      </c>
      <c r="J14" s="1183">
        <f>AVERAGE(H13:H14)</f>
        <v>266.39999999999998</v>
      </c>
      <c r="L14" s="1065"/>
      <c r="V14" s="24">
        <v>1092</v>
      </c>
      <c r="X14" s="1177">
        <f>H14/V14</f>
        <v>0.22664835164835165</v>
      </c>
      <c r="AB14" s="1597">
        <v>9.1658670000000004</v>
      </c>
      <c r="AD14" s="1178">
        <f>H14/AB14</f>
        <v>27.002355587311051</v>
      </c>
      <c r="AH14" s="1062"/>
    </row>
    <row r="15" spans="1:44" hidden="1" outlineLevel="1">
      <c r="B15" s="1045" t="str">
        <f>'qtrP&amp;L'!B14</f>
        <v>Year</v>
      </c>
      <c r="D15" s="1170">
        <f>SUM(D11:D14)</f>
        <v>1933.7800000000002</v>
      </c>
      <c r="F15" s="1170">
        <f>'qtrP&amp;L'!V24</f>
        <v>2350.9960000000001</v>
      </c>
      <c r="J15" s="1170">
        <f>AVERAGE(J11:J14)</f>
        <v>242.71249999999998</v>
      </c>
      <c r="R15" s="1394"/>
      <c r="S15" s="1395"/>
      <c r="AB15" s="1597"/>
      <c r="AH15" s="1062"/>
    </row>
    <row r="16" spans="1:44" hidden="1" outlineLevel="1">
      <c r="AB16" s="1597"/>
      <c r="AH16" s="1062"/>
    </row>
    <row r="17" spans="1:36" hidden="1" outlineLevel="1">
      <c r="B17" s="1188">
        <f>B10+1</f>
        <v>1991</v>
      </c>
      <c r="AB17" s="1597"/>
      <c r="AH17" s="1062"/>
    </row>
    <row r="18" spans="1:36" hidden="1" outlineLevel="1">
      <c r="A18" s="1045" t="str">
        <f>$A$11</f>
        <v>1Q</v>
      </c>
      <c r="B18" s="1045" t="str">
        <f>$B$11</f>
        <v>Apr</v>
      </c>
      <c r="D18" s="1170">
        <f>'qtrP&amp;L'!J$10</f>
        <v>490.3</v>
      </c>
      <c r="F18" s="1170">
        <f>'qtrP&amp;L'!J$20</f>
        <v>307.04599999999999</v>
      </c>
      <c r="H18" s="1170">
        <f>work!F$10</f>
        <v>268.60000000000002</v>
      </c>
      <c r="J18" s="1176">
        <f>AVERAGE(H17:H18)</f>
        <v>268.60000000000002</v>
      </c>
      <c r="L18" s="1263">
        <f>(D18/D11-1)*100</f>
        <v>21.853626530936854</v>
      </c>
      <c r="M18" s="1045" t="s">
        <v>489</v>
      </c>
      <c r="N18" s="1263">
        <f>(H18/H11-1)*100</f>
        <v>19.803746654772535</v>
      </c>
      <c r="O18" s="1045" t="s">
        <v>489</v>
      </c>
      <c r="P18" s="1263">
        <f>(H18/H14-1)*100</f>
        <v>8.5252525252525366</v>
      </c>
      <c r="Q18" s="1045" t="s">
        <v>489</v>
      </c>
      <c r="R18" s="1177">
        <f>F18/J18</f>
        <v>1.1431347728965002</v>
      </c>
      <c r="S18" s="1045" t="s">
        <v>590</v>
      </c>
      <c r="T18" s="1177">
        <f>F19/H18</f>
        <v>1.2793857036485479</v>
      </c>
      <c r="U18" s="1045" t="s">
        <v>590</v>
      </c>
      <c r="V18" s="24">
        <v>1130</v>
      </c>
      <c r="X18" s="1171">
        <f>H18/V18</f>
        <v>0.23769911504424782</v>
      </c>
      <c r="Z18" s="1396"/>
      <c r="AA18" s="1155" t="s">
        <v>489</v>
      </c>
      <c r="AB18" s="1597">
        <v>4.9740000000000002</v>
      </c>
      <c r="AD18" s="1174">
        <f>H18/AB18</f>
        <v>54.000804181745075</v>
      </c>
      <c r="AF18" s="1396">
        <f>(AD18/AD11-1)*100</f>
        <v>92.687972102569404</v>
      </c>
      <c r="AG18" s="1155" t="s">
        <v>489</v>
      </c>
      <c r="AH18" s="1397"/>
      <c r="AI18" s="1155"/>
      <c r="AJ18" s="1155"/>
    </row>
    <row r="19" spans="1:36" hidden="1" outlineLevel="1">
      <c r="A19" s="1045" t="str">
        <f>$A$12</f>
        <v>2Q</v>
      </c>
      <c r="B19" s="1045" t="str">
        <f>$B$12</f>
        <v>Jul</v>
      </c>
      <c r="D19" s="1176">
        <f>'qtrP&amp;L'!J$11</f>
        <v>523.05600000000004</v>
      </c>
      <c r="F19" s="1176">
        <f>'qtrP&amp;L'!J$21</f>
        <v>343.64299999999997</v>
      </c>
      <c r="H19" s="1176">
        <f>work!F$11</f>
        <v>307.49</v>
      </c>
      <c r="J19" s="1176">
        <f>AVERAGE(H18:H19)</f>
        <v>288.04500000000002</v>
      </c>
      <c r="L19" s="1263">
        <f>(D19/D12-1)*100</f>
        <v>29.1509051941254</v>
      </c>
      <c r="N19" s="1263">
        <f>(H19/H12-1)*100</f>
        <v>36.359201773835913</v>
      </c>
      <c r="P19" s="1263">
        <f>(H19/H18-1)*100</f>
        <v>14.478778853313479</v>
      </c>
      <c r="R19" s="1177">
        <f>F19/J19</f>
        <v>1.1930184519779894</v>
      </c>
      <c r="T19" s="1177">
        <f>F20/H19</f>
        <v>1.3799505674981301</v>
      </c>
      <c r="V19" s="24">
        <v>1168</v>
      </c>
      <c r="X19" s="1177">
        <f>H19/V19</f>
        <v>0.26326198630136988</v>
      </c>
      <c r="Z19" s="1396"/>
      <c r="AB19" s="1597">
        <v>5.234</v>
      </c>
      <c r="AD19" s="1178">
        <f>H19/AB19</f>
        <v>58.748567061520831</v>
      </c>
      <c r="AF19" s="1396">
        <f>(AD19/AD12-1)*100</f>
        <v>113.05799619916516</v>
      </c>
      <c r="AH19" s="1062"/>
    </row>
    <row r="20" spans="1:36" hidden="1" outlineLevel="1">
      <c r="A20" s="1045" t="str">
        <f>$A$13</f>
        <v>3Q</v>
      </c>
      <c r="B20" s="1045" t="str">
        <f>$B$13</f>
        <v>Oct</v>
      </c>
      <c r="D20" s="1176">
        <f>'qtrP&amp;L'!J$12</f>
        <v>702.05200000000002</v>
      </c>
      <c r="F20" s="1176">
        <f>'qtrP&amp;L'!J$22</f>
        <v>424.32100000000003</v>
      </c>
      <c r="H20" s="1176">
        <f>work!F$12</f>
        <v>374.35700000000003</v>
      </c>
      <c r="J20" s="1176">
        <f>AVERAGE(H19:H20)</f>
        <v>340.92349999999999</v>
      </c>
      <c r="L20" s="1263">
        <f>(D20/D13-1)*100</f>
        <v>39.937411548964505</v>
      </c>
      <c r="N20" s="1263">
        <f>(H20/H13-1)*100</f>
        <v>31.215212057483367</v>
      </c>
      <c r="P20" s="1263">
        <f>(H20/H19-1)*100</f>
        <v>21.746073043025802</v>
      </c>
      <c r="R20" s="1177">
        <f>F20/J20</f>
        <v>1.2446223272962997</v>
      </c>
      <c r="T20" s="1177">
        <f>F21/H20</f>
        <v>1.3193582596291773</v>
      </c>
      <c r="V20" s="24">
        <v>1201</v>
      </c>
      <c r="X20" s="1177">
        <f>H20/V20</f>
        <v>0.31170441298917573</v>
      </c>
      <c r="Z20" s="1396"/>
      <c r="AB20" s="1597">
        <v>5.4720000000000004</v>
      </c>
      <c r="AD20" s="1178">
        <f>H20/AB20</f>
        <v>68.413194444444443</v>
      </c>
      <c r="AF20" s="1396">
        <f>(AD20/AD13-1)*100</f>
        <v>108.38088318339368</v>
      </c>
      <c r="AH20" s="1062"/>
    </row>
    <row r="21" spans="1:36" hidden="1" outlineLevel="1">
      <c r="A21" s="1045" t="str">
        <f>$A$14</f>
        <v>4Q</v>
      </c>
      <c r="B21" s="1045" t="str">
        <f>$B$14</f>
        <v>Jan</v>
      </c>
      <c r="D21" s="1183">
        <f>'qtrP&amp;L'!J$13</f>
        <v>803.48500000000001</v>
      </c>
      <c r="F21" s="1183">
        <f>'qtrP&amp;L'!J$23</f>
        <v>493.911</v>
      </c>
      <c r="H21" s="1197">
        <f>work!F$13</f>
        <v>192.58500000000001</v>
      </c>
      <c r="J21" s="1183">
        <f>AVERAGE(H20:H21)</f>
        <v>283.471</v>
      </c>
      <c r="L21" s="1398">
        <f>(D21/D14-1)*100</f>
        <v>28.613984370748135</v>
      </c>
      <c r="N21" s="1396">
        <f>(H21/H14-1)*100</f>
        <v>-22.187878787878791</v>
      </c>
      <c r="P21" s="1396">
        <f>(H21/H20-1)*100</f>
        <v>-48.555790328483241</v>
      </c>
      <c r="R21" s="1177">
        <f>F21/J21</f>
        <v>1.7423687079101566</v>
      </c>
      <c r="T21" s="1177">
        <f>F25/H21</f>
        <v>1.9745618817664927</v>
      </c>
      <c r="V21" s="24">
        <v>1216</v>
      </c>
      <c r="X21" s="1177">
        <f>H21/V21</f>
        <v>0.15837582236842107</v>
      </c>
      <c r="Z21" s="1396">
        <f>(X21/X14-1)*100</f>
        <v>-30.122667464114826</v>
      </c>
      <c r="AB21" s="1597">
        <v>5.6383999999999999</v>
      </c>
      <c r="AD21" s="1178">
        <f>H21/AB21</f>
        <v>34.155966231555055</v>
      </c>
      <c r="AF21" s="1396">
        <f>(AD21/AD14-1)*100</f>
        <v>26.492542923201956</v>
      </c>
      <c r="AH21" s="1062"/>
    </row>
    <row r="22" spans="1:36" hidden="1" outlineLevel="1">
      <c r="B22" s="1045" t="str">
        <f>$B$15</f>
        <v>Year</v>
      </c>
      <c r="D22" s="1170">
        <f>SUM(D18:D21)</f>
        <v>2518.893</v>
      </c>
      <c r="F22" s="1170">
        <f>SUM(F18:F21)</f>
        <v>1568.921</v>
      </c>
      <c r="J22" s="1170">
        <f>AVERAGE(J18:J21)</f>
        <v>295.25987499999997</v>
      </c>
      <c r="L22" s="1263">
        <f>(D22/D15-1)*100</f>
        <v>30.257474997155811</v>
      </c>
      <c r="N22" s="1396"/>
      <c r="R22" s="1399">
        <f>F22/J22</f>
        <v>5.313695265907703</v>
      </c>
      <c r="S22" s="1395" t="s">
        <v>590</v>
      </c>
      <c r="AB22" s="1597"/>
      <c r="AH22" s="1062"/>
    </row>
    <row r="23" spans="1:36" hidden="1" outlineLevel="1">
      <c r="AB23" s="1597"/>
      <c r="AH23" s="1062"/>
    </row>
    <row r="24" spans="1:36" hidden="1" outlineLevel="1">
      <c r="B24" s="1188">
        <f>B17+1</f>
        <v>1992</v>
      </c>
      <c r="AB24" s="1597"/>
      <c r="AH24" s="1062"/>
    </row>
    <row r="25" spans="1:36" hidden="1" outlineLevel="1">
      <c r="A25" s="1045" t="str">
        <f>$A$11</f>
        <v>1Q</v>
      </c>
      <c r="B25" s="1045" t="str">
        <f>$B$11</f>
        <v>Apr</v>
      </c>
      <c r="D25" s="1170">
        <f>'qtrP&amp;L'!N$10</f>
        <v>588.86400000000003</v>
      </c>
      <c r="F25" s="1170">
        <f>'qtrP&amp;L'!N$20</f>
        <v>380.27100000000002</v>
      </c>
      <c r="H25" s="1170">
        <f>work!J$10</f>
        <v>310.245</v>
      </c>
      <c r="J25" s="1176">
        <f>AVERAGE(H24:H25)</f>
        <v>310.245</v>
      </c>
      <c r="L25" s="1263">
        <f>(D25/D18-1)*100</f>
        <v>20.102794207627994</v>
      </c>
      <c r="M25" s="1045" t="s">
        <v>489</v>
      </c>
      <c r="N25" s="1263">
        <f>(H25/H18-1)*100</f>
        <v>15.504467609828732</v>
      </c>
      <c r="O25" s="1045" t="s">
        <v>489</v>
      </c>
      <c r="P25" s="1263">
        <f>(H25/H21-1)*100</f>
        <v>61.095100864553316</v>
      </c>
      <c r="Q25" s="1045" t="s">
        <v>489</v>
      </c>
      <c r="R25" s="1177">
        <f>F25/J25</f>
        <v>1.2257119373398444</v>
      </c>
      <c r="S25" s="1045" t="s">
        <v>590</v>
      </c>
      <c r="T25" s="1177">
        <f>F26/H25</f>
        <v>1.3285725797353705</v>
      </c>
      <c r="U25" s="1045" t="s">
        <v>590</v>
      </c>
      <c r="V25" s="24">
        <v>1236</v>
      </c>
      <c r="X25" s="1171">
        <f>H25/V25</f>
        <v>0.25100728155339808</v>
      </c>
      <c r="Z25" s="1396">
        <f>(X25/X18-1)*100</f>
        <v>5.5987446594712553</v>
      </c>
      <c r="AA25" s="1155" t="s">
        <v>489</v>
      </c>
      <c r="AB25" s="1597">
        <v>5.7969999999999997</v>
      </c>
      <c r="AD25" s="1174">
        <f>H25/AB25</f>
        <v>53.518199068483703</v>
      </c>
      <c r="AF25" s="1396">
        <f>(AD25/AD18-1)*100</f>
        <v>-0.89369986350039676</v>
      </c>
      <c r="AG25" s="1155" t="s">
        <v>489</v>
      </c>
      <c r="AH25" s="1397"/>
      <c r="AI25" s="1155"/>
      <c r="AJ25" s="1155"/>
    </row>
    <row r="26" spans="1:36" hidden="1" outlineLevel="1">
      <c r="A26" s="1045" t="str">
        <f>$A$12</f>
        <v>2Q</v>
      </c>
      <c r="B26" s="1045" t="str">
        <f>$B$12</f>
        <v>Jul</v>
      </c>
      <c r="D26" s="1176">
        <f>'qtrP&amp;L'!N$11</f>
        <v>614.11400000000003</v>
      </c>
      <c r="F26" s="1176">
        <f>'qtrP&amp;L'!N$21</f>
        <v>412.18299999999999</v>
      </c>
      <c r="H26" s="1176">
        <f>work!J$11</f>
        <v>441.46300000000002</v>
      </c>
      <c r="J26" s="1176">
        <f>AVERAGE(H25:H26)</f>
        <v>375.85400000000004</v>
      </c>
      <c r="L26" s="1263">
        <f>(D26/D19-1)*100</f>
        <v>17.408843412560039</v>
      </c>
      <c r="N26" s="1263">
        <f>(H26/H19-1)*100</f>
        <v>43.569872190965555</v>
      </c>
      <c r="P26" s="1263">
        <f>(H26/H25-1)*100</f>
        <v>42.294960434495323</v>
      </c>
      <c r="R26" s="1177">
        <f>F26/J26</f>
        <v>1.0966572126410785</v>
      </c>
      <c r="T26" s="1177">
        <f>F27/H26</f>
        <v>1.2126973268427932</v>
      </c>
      <c r="V26" s="24">
        <v>1265</v>
      </c>
      <c r="X26" s="1177">
        <f>H26/V26</f>
        <v>0.34898260869565217</v>
      </c>
      <c r="Z26" s="1396">
        <f>(X26/X19-1)*100</f>
        <v>32.560957090156336</v>
      </c>
      <c r="AB26" s="1597">
        <v>6.0389999999999997</v>
      </c>
      <c r="AD26" s="1178">
        <f>H26/AB26</f>
        <v>73.102003642987256</v>
      </c>
      <c r="AF26" s="1396">
        <f>(AD26/AD19-1)*100</f>
        <v>24.431977321992669</v>
      </c>
      <c r="AH26" s="1062"/>
    </row>
    <row r="27" spans="1:36" hidden="1" outlineLevel="1">
      <c r="A27" s="1045" t="str">
        <f>$A$13</f>
        <v>3Q</v>
      </c>
      <c r="B27" s="1045" t="str">
        <f>$B$13</f>
        <v>Oct</v>
      </c>
      <c r="D27" s="1176">
        <f>'qtrP&amp;L'!N$12</f>
        <v>827.22199999999998</v>
      </c>
      <c r="F27" s="1176">
        <f>'qtrP&amp;L'!N$22</f>
        <v>535.36099999999999</v>
      </c>
      <c r="H27" s="1176">
        <f>work!J$12</f>
        <v>493.26100000000002</v>
      </c>
      <c r="J27" s="1176">
        <f>AVERAGE(H26:H27)</f>
        <v>467.36200000000002</v>
      </c>
      <c r="L27" s="1263">
        <f>(D27/D20-1)*100</f>
        <v>17.82916365169531</v>
      </c>
      <c r="N27" s="1263">
        <f>(H27/H20-1)*100</f>
        <v>31.76219491020602</v>
      </c>
      <c r="P27" s="1263">
        <f>(H27/H26-1)*100</f>
        <v>11.733259638973138</v>
      </c>
      <c r="R27" s="1177">
        <f>F27/J27</f>
        <v>1.1454953547785227</v>
      </c>
      <c r="T27" s="1177">
        <f>F28/H27</f>
        <v>1.2726284867443403</v>
      </c>
      <c r="V27" s="24">
        <v>1295</v>
      </c>
      <c r="X27" s="1177">
        <f>H27/V27</f>
        <v>0.38089652509652511</v>
      </c>
      <c r="Z27" s="1396">
        <f>(X27/X20-1)*100</f>
        <v>22.197989256492235</v>
      </c>
      <c r="AB27" s="1597">
        <v>6.3120000000000003</v>
      </c>
      <c r="AD27" s="1178">
        <f>H27/AB27</f>
        <v>78.146546261089995</v>
      </c>
      <c r="AF27" s="1396">
        <f>(AD27/AD20-1)*100</f>
        <v>14.227302051433387</v>
      </c>
      <c r="AH27" s="1062"/>
    </row>
    <row r="28" spans="1:36" hidden="1" outlineLevel="1">
      <c r="A28" s="1045" t="str">
        <f>$A$14</f>
        <v>4Q</v>
      </c>
      <c r="B28" s="1045" t="str">
        <f>$B$14</f>
        <v>Jan</v>
      </c>
      <c r="D28" s="1183">
        <f>'qtrP&amp;L'!N$13</f>
        <v>930.20899999999995</v>
      </c>
      <c r="F28" s="1183">
        <f>'qtrP&amp;L'!N$23</f>
        <v>627.73800000000006</v>
      </c>
      <c r="H28" s="1197">
        <f>work!J$13</f>
        <v>365.69200000000001</v>
      </c>
      <c r="J28" s="1183">
        <f>AVERAGE(H27:H28)</f>
        <v>429.47649999999999</v>
      </c>
      <c r="L28" s="1398">
        <f>(D28/D21-1)*100</f>
        <v>15.771794121856653</v>
      </c>
      <c r="N28" s="1396">
        <f>(H28/H21-1)*100</f>
        <v>89.886024352883126</v>
      </c>
      <c r="P28" s="1396">
        <f>(H28/H27-1)*100</f>
        <v>-25.862373064158739</v>
      </c>
      <c r="R28" s="1177">
        <f>F28/J28</f>
        <v>1.4616352699158164</v>
      </c>
      <c r="T28" s="1177">
        <f>F32/H28</f>
        <v>1.1593253338875338</v>
      </c>
      <c r="V28" s="24">
        <v>1307</v>
      </c>
      <c r="X28" s="1177">
        <f>H28/V28</f>
        <v>0.27979495026778883</v>
      </c>
      <c r="Z28" s="1396">
        <f>(X28/X21-1)*100</f>
        <v>76.665191746829294</v>
      </c>
      <c r="AB28" s="1597">
        <v>6.5091999999999999</v>
      </c>
      <c r="AD28" s="1178">
        <f>H28/AB28</f>
        <v>56.180790266084927</v>
      </c>
      <c r="AF28" s="1396">
        <f>(AD28/AD21-1)*100</f>
        <v>64.483094652383727</v>
      </c>
      <c r="AH28" s="1062"/>
    </row>
    <row r="29" spans="1:36" hidden="1" outlineLevel="1">
      <c r="B29" s="1045" t="str">
        <f>$B$15</f>
        <v>Year</v>
      </c>
      <c r="D29" s="1170">
        <f>SUM(D25:D28)</f>
        <v>2960.4090000000001</v>
      </c>
      <c r="F29" s="1170">
        <f>SUM(F25:F28)</f>
        <v>1955.5530000000001</v>
      </c>
      <c r="J29" s="1170">
        <f>AVERAGE(J25:J28)</f>
        <v>395.734375</v>
      </c>
      <c r="L29" s="1263">
        <f>(D29/D22-1)*100</f>
        <v>17.528176067820269</v>
      </c>
      <c r="N29" s="1396"/>
      <c r="R29" s="1399">
        <f>F29/J29</f>
        <v>4.9415798160066338</v>
      </c>
      <c r="S29" s="1395" t="s">
        <v>590</v>
      </c>
      <c r="AB29" s="1597"/>
      <c r="AH29" s="1062"/>
    </row>
    <row r="30" spans="1:36" hidden="1" outlineLevel="1">
      <c r="AB30" s="1597"/>
      <c r="AH30" s="1062"/>
    </row>
    <row r="31" spans="1:36" hidden="1" outlineLevel="1">
      <c r="B31" s="1188">
        <f>B24+1</f>
        <v>1993</v>
      </c>
      <c r="AB31" s="1597"/>
      <c r="AH31" s="1062"/>
    </row>
    <row r="32" spans="1:36" hidden="1" outlineLevel="1">
      <c r="A32" s="1045" t="str">
        <f>$A$11</f>
        <v>1Q</v>
      </c>
      <c r="B32" s="1045" t="str">
        <f>$B$11</f>
        <v>Apr</v>
      </c>
      <c r="D32" s="1170">
        <f>'qtrP&amp;L'!R$10</f>
        <v>643.58000000000004</v>
      </c>
      <c r="F32" s="1170">
        <f>'qtrP&amp;L'!R$20</f>
        <v>423.95600000000002</v>
      </c>
      <c r="H32" s="1170">
        <f>work!N$10</f>
        <v>361.74700000000001</v>
      </c>
      <c r="J32" s="1176">
        <f>AVERAGE(H31:H32)</f>
        <v>361.74700000000001</v>
      </c>
      <c r="L32" s="1263">
        <f>(D32/D25-1)*100</f>
        <v>9.2917889359852133</v>
      </c>
      <c r="M32" s="1045" t="s">
        <v>489</v>
      </c>
      <c r="N32" s="1263">
        <f>(H32/H25-1)*100</f>
        <v>16.600428693451953</v>
      </c>
      <c r="O32" s="1045" t="s">
        <v>489</v>
      </c>
      <c r="P32" s="1263">
        <f>(H32/H28-1)*100</f>
        <v>-1.0787766754536632</v>
      </c>
      <c r="Q32" s="1045" t="s">
        <v>489</v>
      </c>
      <c r="R32" s="1177">
        <f>F32/J32</f>
        <v>1.1719682540560115</v>
      </c>
      <c r="S32" s="1045" t="s">
        <v>590</v>
      </c>
      <c r="T32" s="1177">
        <f>F33/H32</f>
        <v>1.3618634017697451</v>
      </c>
      <c r="U32" s="1045" t="s">
        <v>590</v>
      </c>
      <c r="V32" s="24">
        <v>1319</v>
      </c>
      <c r="X32" s="1171">
        <f>H32/V32</f>
        <v>0.27425852918877941</v>
      </c>
      <c r="Z32" s="1396">
        <f>(X32/X25-1)*100</f>
        <v>9.2631765467070526</v>
      </c>
      <c r="AA32" s="1155" t="s">
        <v>489</v>
      </c>
      <c r="AB32" s="1597">
        <v>6.681</v>
      </c>
      <c r="AD32" s="1174">
        <f>H32/AB32</f>
        <v>54.145636880706483</v>
      </c>
      <c r="AF32" s="1396">
        <f>(AD32/AD25-1)*100</f>
        <v>1.1723821487712893</v>
      </c>
      <c r="AG32" s="1155" t="s">
        <v>489</v>
      </c>
      <c r="AH32" s="1397"/>
      <c r="AI32" s="1155"/>
      <c r="AJ32" s="1155"/>
    </row>
    <row r="33" spans="1:36" hidden="1" outlineLevel="1">
      <c r="A33" s="1045" t="str">
        <f>$A$12</f>
        <v>2Q</v>
      </c>
      <c r="B33" s="1045" t="str">
        <f>$B$12</f>
        <v>Jul</v>
      </c>
      <c r="D33" s="1176">
        <f>'qtrP&amp;L'!R$11</f>
        <v>693.19200000000001</v>
      </c>
      <c r="F33" s="1176">
        <f>'qtrP&amp;L'!R$21</f>
        <v>492.65</v>
      </c>
      <c r="H33" s="1176">
        <f>work!N$11</f>
        <v>404.3</v>
      </c>
      <c r="J33" s="1176">
        <f>AVERAGE(H32:H33)</f>
        <v>383.02350000000001</v>
      </c>
      <c r="L33" s="1263">
        <f>(D33/D26-1)*100</f>
        <v>12.876762294948495</v>
      </c>
      <c r="N33" s="1263">
        <f>(H33/H26-1)*100</f>
        <v>-8.4181460280929539</v>
      </c>
      <c r="P33" s="1263">
        <f>(H33/H32-1)*100</f>
        <v>11.763193613215872</v>
      </c>
      <c r="R33" s="1177">
        <f>F33/J33</f>
        <v>1.286213509092784</v>
      </c>
      <c r="T33" s="1177">
        <f>F34/H33</f>
        <v>1.3822310165718525</v>
      </c>
      <c r="V33" s="24">
        <v>1350</v>
      </c>
      <c r="X33" s="1177">
        <f>H33/V33</f>
        <v>0.29948148148148152</v>
      </c>
      <c r="Z33" s="1396">
        <f>(X33/X26-1)*100</f>
        <v>-14.184410907805612</v>
      </c>
      <c r="AB33" s="1597">
        <v>6.992</v>
      </c>
      <c r="AD33" s="1178">
        <f>H33/AB33</f>
        <v>57.823226544622429</v>
      </c>
      <c r="AF33" s="1396">
        <f>(AD33/AD26-1)*100</f>
        <v>-20.900626982787951</v>
      </c>
      <c r="AH33" s="1062"/>
    </row>
    <row r="34" spans="1:36" hidden="1" outlineLevel="1">
      <c r="A34" s="1045" t="str">
        <f>$A$13</f>
        <v>3Q</v>
      </c>
      <c r="B34" s="1045" t="str">
        <f>$B$13</f>
        <v>Oct</v>
      </c>
      <c r="D34" s="1176">
        <f>'qtrP&amp;L'!R$12</f>
        <v>898.67700000000002</v>
      </c>
      <c r="F34" s="1176">
        <f>'qtrP&amp;L'!R$22</f>
        <v>558.83600000000001</v>
      </c>
      <c r="H34" s="1176">
        <f>work!N$12</f>
        <v>496.64699999999999</v>
      </c>
      <c r="J34" s="1176">
        <f>AVERAGE(H33:H34)</f>
        <v>450.4735</v>
      </c>
      <c r="L34" s="1263">
        <f>(D34/D27-1)*100</f>
        <v>8.6379472499522603</v>
      </c>
      <c r="N34" s="1263">
        <f>(H34/H27-1)*100</f>
        <v>0.68645200005674756</v>
      </c>
      <c r="P34" s="1263">
        <f>(H34/H33-1)*100</f>
        <v>22.841207024486753</v>
      </c>
      <c r="R34" s="1177">
        <f>F34/J34</f>
        <v>1.2405524409315976</v>
      </c>
      <c r="T34" s="1177">
        <f>F35/H34</f>
        <v>1.3014213314486949</v>
      </c>
      <c r="V34" s="24">
        <v>1385</v>
      </c>
      <c r="X34" s="1177">
        <f>H34/V34</f>
        <v>0.35858989169675087</v>
      </c>
      <c r="Z34" s="1396">
        <f>(X34/X27-1)*100</f>
        <v>-5.8563499349649888</v>
      </c>
      <c r="AB34" s="1597">
        <v>7.444</v>
      </c>
      <c r="AD34" s="1178">
        <f>H34/AB34</f>
        <v>66.717759269210106</v>
      </c>
      <c r="AF34" s="1396">
        <f>(AD34/AD27-1)*100</f>
        <v>-14.624813940843861</v>
      </c>
      <c r="AH34" s="1062"/>
    </row>
    <row r="35" spans="1:36" hidden="1" outlineLevel="1">
      <c r="A35" s="1045" t="str">
        <f>$A$14</f>
        <v>4Q</v>
      </c>
      <c r="B35" s="1045" t="str">
        <f>$B$14</f>
        <v>Jan</v>
      </c>
      <c r="D35" s="1183">
        <f>'qtrP&amp;L'!R$13</f>
        <v>1060.23</v>
      </c>
      <c r="F35" s="1183">
        <f>'qtrP&amp;L'!R$23</f>
        <v>646.34699999999998</v>
      </c>
      <c r="H35" s="1197">
        <f>work!N$13</f>
        <v>331.15499999999997</v>
      </c>
      <c r="J35" s="1183">
        <f>AVERAGE(H34:H35)</f>
        <v>413.90099999999995</v>
      </c>
      <c r="L35" s="1398">
        <f>(D35/D28-1)*100</f>
        <v>13.977611483010822</v>
      </c>
      <c r="N35" s="1396">
        <f>(H35/H28-1)*100</f>
        <v>-9.4442864487054745</v>
      </c>
      <c r="P35" s="1396">
        <f>(H35/H34-1)*100</f>
        <v>-33.321856368809243</v>
      </c>
      <c r="R35" s="1177">
        <f>F35/J35</f>
        <v>1.5615980633049933</v>
      </c>
      <c r="T35" s="1177">
        <f>F39/H35</f>
        <v>1.395379807039</v>
      </c>
      <c r="V35" s="24">
        <v>1370</v>
      </c>
      <c r="X35" s="1177">
        <f>H35/V35</f>
        <v>0.24171897810218976</v>
      </c>
      <c r="Z35" s="1396">
        <f>(X35/X28-1)*100</f>
        <v>-13.608527290845295</v>
      </c>
      <c r="AB35" s="1597">
        <v>7.5463000000000005</v>
      </c>
      <c r="AD35" s="1178">
        <f>H35/AB35</f>
        <v>43.883095026701824</v>
      </c>
      <c r="AF35" s="1396">
        <f>(AD35/AD28-1)*100</f>
        <v>-21.889502054240317</v>
      </c>
      <c r="AH35" s="1062"/>
    </row>
    <row r="36" spans="1:36" hidden="1" outlineLevel="1">
      <c r="B36" s="1045" t="str">
        <f>$B$15</f>
        <v>Year</v>
      </c>
      <c r="D36" s="1170">
        <f>SUM(D32:D35)</f>
        <v>3295.6790000000001</v>
      </c>
      <c r="F36" s="1170">
        <f>SUM(F32:F35)</f>
        <v>2121.7889999999998</v>
      </c>
      <c r="J36" s="1170">
        <f>AVERAGE(J32:J35)</f>
        <v>402.28625</v>
      </c>
      <c r="L36" s="1263">
        <f>(D36/D29-1)*100</f>
        <v>11.325124332482428</v>
      </c>
      <c r="N36" s="1396"/>
      <c r="R36" s="1399">
        <f>F36/J36</f>
        <v>5.2743264280099051</v>
      </c>
      <c r="S36" s="1395" t="s">
        <v>590</v>
      </c>
      <c r="AB36" s="1597"/>
      <c r="AH36" s="1062"/>
    </row>
    <row r="37" spans="1:36" hidden="1" outlineLevel="1">
      <c r="AB37" s="1597"/>
      <c r="AH37" s="1062"/>
    </row>
    <row r="38" spans="1:36" hidden="1" outlineLevel="1">
      <c r="B38" s="1188">
        <f>B31+1</f>
        <v>1994</v>
      </c>
      <c r="AB38" s="1597"/>
      <c r="AH38" s="1062"/>
    </row>
    <row r="39" spans="1:36" hidden="1" outlineLevel="1">
      <c r="A39" s="1045" t="str">
        <f>$A$11</f>
        <v>1Q</v>
      </c>
      <c r="B39" s="1045" t="str">
        <f>$B$11</f>
        <v>Apr</v>
      </c>
      <c r="D39" s="1170">
        <f>'qtrP&amp;L'!V$10</f>
        <v>751.67</v>
      </c>
      <c r="F39" s="1170">
        <f>'qtrP&amp;L'!V$20</f>
        <v>462.08699999999999</v>
      </c>
      <c r="H39" s="1170">
        <f>work!R$10</f>
        <v>346.54399999999998</v>
      </c>
      <c r="J39" s="1176">
        <f>AVERAGE(H38:H39)</f>
        <v>346.54399999999998</v>
      </c>
      <c r="L39" s="1263">
        <f>(D39/D32-1)*100</f>
        <v>16.795114826439583</v>
      </c>
      <c r="M39" s="1045" t="s">
        <v>489</v>
      </c>
      <c r="N39" s="1263">
        <f>(H39/H32-1)*100</f>
        <v>-4.2026609757648377</v>
      </c>
      <c r="O39" s="1045" t="s">
        <v>489</v>
      </c>
      <c r="P39" s="1263">
        <f>(H39/H35-1)*100</f>
        <v>4.6470685932569422</v>
      </c>
      <c r="Q39" s="1045" t="s">
        <v>489</v>
      </c>
      <c r="R39" s="1177">
        <f>F39/J39</f>
        <v>1.3334150930329194</v>
      </c>
      <c r="S39" s="1045" t="s">
        <v>590</v>
      </c>
      <c r="T39" s="1177">
        <f>F40/H39</f>
        <v>1.4654820167136065</v>
      </c>
      <c r="U39" s="1045" t="s">
        <v>590</v>
      </c>
      <c r="V39" s="24">
        <v>1398</v>
      </c>
      <c r="X39" s="1171">
        <f>H39/V39</f>
        <v>0.24788555078683833</v>
      </c>
      <c r="Z39" s="1396">
        <f>(X39/X32-1)*100</f>
        <v>-9.6161014499526747</v>
      </c>
      <c r="AA39" s="1155" t="s">
        <v>489</v>
      </c>
      <c r="AB39" s="1597">
        <v>8</v>
      </c>
      <c r="AD39" s="1174">
        <f>H39/AB39</f>
        <v>43.317999999999998</v>
      </c>
      <c r="AF39" s="1396">
        <f>(AD39/AD32-1)*100</f>
        <v>-19.997247247385609</v>
      </c>
      <c r="AG39" s="1155" t="s">
        <v>489</v>
      </c>
      <c r="AH39" s="1397"/>
      <c r="AI39" s="1155"/>
      <c r="AJ39" s="1155"/>
    </row>
    <row r="40" spans="1:36" hidden="1" outlineLevel="1">
      <c r="A40" s="1045" t="str">
        <f>$A$12</f>
        <v>2Q</v>
      </c>
      <c r="B40" s="1045" t="str">
        <f>$B$12</f>
        <v>Jul</v>
      </c>
      <c r="D40" s="1176">
        <f>'qtrP&amp;L'!V$11</f>
        <v>773.13099999999997</v>
      </c>
      <c r="F40" s="1176">
        <f>'qtrP&amp;L'!V$21</f>
        <v>507.85399999999998</v>
      </c>
      <c r="H40" s="1176">
        <f>work!R$11</f>
        <v>416.166</v>
      </c>
      <c r="J40" s="1176">
        <f>AVERAGE(H39:H40)</f>
        <v>381.35500000000002</v>
      </c>
      <c r="L40" s="1263">
        <f>(D40/D33-1)*100</f>
        <v>11.53201421828296</v>
      </c>
      <c r="N40" s="1263">
        <f>(H40/H33-1)*100</f>
        <v>2.9349492950779155</v>
      </c>
      <c r="P40" s="1263">
        <f>(H40/H39-1)*100</f>
        <v>20.090378133801188</v>
      </c>
      <c r="R40" s="1177">
        <f>F40/J40</f>
        <v>1.3317092997338438</v>
      </c>
      <c r="T40" s="1177">
        <f>F41/H40</f>
        <v>1.4645550092991739</v>
      </c>
      <c r="V40" s="24">
        <v>1426</v>
      </c>
      <c r="X40" s="1177">
        <f>H40/V40</f>
        <v>0.29184151472650771</v>
      </c>
      <c r="Z40" s="1396">
        <f>(X40/X33-1)*100</f>
        <v>-2.5510648328505137</v>
      </c>
      <c r="AB40" s="1597">
        <v>8.1780000000000008</v>
      </c>
      <c r="AD40" s="1178">
        <f>H40/AB40</f>
        <v>50.888481291269251</v>
      </c>
      <c r="AF40" s="1396">
        <f>(AD40/AD33-1)*100</f>
        <v>-11.993009847006043</v>
      </c>
      <c r="AH40" s="1062"/>
    </row>
    <row r="41" spans="1:36" hidden="1" outlineLevel="1">
      <c r="A41" s="1045" t="str">
        <f>$A$13</f>
        <v>3Q</v>
      </c>
      <c r="B41" s="1045" t="str">
        <f>$B$13</f>
        <v>Oct</v>
      </c>
      <c r="D41" s="1176">
        <f>'qtrP&amp;L'!V$12</f>
        <v>988.346</v>
      </c>
      <c r="F41" s="1176">
        <f>'qtrP&amp;L'!V$22</f>
        <v>609.49800000000005</v>
      </c>
      <c r="H41" s="1176">
        <f>work!R$12</f>
        <v>537.34299999999996</v>
      </c>
      <c r="J41" s="1176">
        <f>AVERAGE(H40:H41)</f>
        <v>476.75450000000001</v>
      </c>
      <c r="L41" s="1263">
        <f>(D41/D34-1)*100</f>
        <v>9.9778897201107775</v>
      </c>
      <c r="N41" s="1263">
        <f>(H41/H34-1)*100</f>
        <v>8.1941499696967846</v>
      </c>
      <c r="P41" s="1263">
        <f>(H41/H40-1)*100</f>
        <v>29.117467549006882</v>
      </c>
      <c r="R41" s="1177">
        <f>F41/J41</f>
        <v>1.278431561736701</v>
      </c>
      <c r="T41" s="1177">
        <f>F42/H41</f>
        <v>1.4358742925840666</v>
      </c>
      <c r="V41" s="24">
        <v>1477</v>
      </c>
      <c r="X41" s="1177">
        <f>H41/V41</f>
        <v>0.36380704129993224</v>
      </c>
      <c r="Z41" s="1396">
        <f>(X41/X34-1)*100</f>
        <v>1.4549070467366532</v>
      </c>
      <c r="AB41" s="1597">
        <v>8.69</v>
      </c>
      <c r="AD41" s="1178">
        <f>H41/AB41</f>
        <v>61.834637514384347</v>
      </c>
      <c r="AF41" s="1396">
        <f>(AD41/AD34-1)*100</f>
        <v>-7.3190733746348879</v>
      </c>
      <c r="AH41" s="1062"/>
    </row>
    <row r="42" spans="1:36" hidden="1" outlineLevel="1">
      <c r="A42" s="1045" t="str">
        <f>$A$14</f>
        <v>4Q</v>
      </c>
      <c r="B42" s="1045" t="str">
        <f>$B$14</f>
        <v>Jan</v>
      </c>
      <c r="D42" s="1183">
        <f>'qtrP&amp;L'!V$13</f>
        <v>1209.7929999999999</v>
      </c>
      <c r="F42" s="1183">
        <f>'qtrP&amp;L'!V$23</f>
        <v>771.55700000000002</v>
      </c>
      <c r="H42" s="1197">
        <f>work!R$13</f>
        <v>370.63799999999998</v>
      </c>
      <c r="J42" s="1183">
        <f>AVERAGE(H41:H42)</f>
        <v>453.9905</v>
      </c>
      <c r="L42" s="1398">
        <f>(D42/D35-1)*100</f>
        <v>14.106656102921056</v>
      </c>
      <c r="N42" s="1396">
        <f>(H42/H35-1)*100</f>
        <v>11.922815599945658</v>
      </c>
      <c r="P42" s="1396">
        <f>(H42/H41-1)*100</f>
        <v>-31.023945598993564</v>
      </c>
      <c r="R42" s="1177">
        <f>F42/J42</f>
        <v>1.6995003199406156</v>
      </c>
      <c r="T42" s="1177">
        <f>F46/H42</f>
        <v>1.532846065433118</v>
      </c>
      <c r="V42" s="24">
        <v>1508</v>
      </c>
      <c r="X42" s="1177">
        <f>H42/V42</f>
        <v>0.24578116710875331</v>
      </c>
      <c r="Z42" s="1396">
        <f>(X42/X35-1)*100</f>
        <v>1.680542023823306</v>
      </c>
      <c r="AB42" s="1597">
        <v>9.1658670000000004</v>
      </c>
      <c r="AD42" s="1178">
        <f>H42/AB42</f>
        <v>40.436763919877954</v>
      </c>
      <c r="AF42" s="1396">
        <f>(AD42/AD35-1)*100</f>
        <v>-7.8534367385136754</v>
      </c>
      <c r="AH42" s="1062"/>
    </row>
    <row r="43" spans="1:36" hidden="1" outlineLevel="1">
      <c r="B43" s="1045" t="str">
        <f>$B$15</f>
        <v>Year</v>
      </c>
      <c r="D43" s="1170">
        <f>SUM(D39:D42)</f>
        <v>3722.9399999999996</v>
      </c>
      <c r="F43" s="1170">
        <f>SUM(F39:F42)</f>
        <v>2350.9960000000001</v>
      </c>
      <c r="J43" s="1170">
        <f>AVERAGE(J39:J42)</f>
        <v>414.66099999999994</v>
      </c>
      <c r="L43" s="1263">
        <f>(D43/D36-1)*100</f>
        <v>12.964278377839577</v>
      </c>
      <c r="N43" s="1396"/>
      <c r="R43" s="1399">
        <f>F43/J43</f>
        <v>5.6696819811846311</v>
      </c>
      <c r="S43" s="1395" t="s">
        <v>590</v>
      </c>
      <c r="AB43" s="1597"/>
      <c r="AH43" s="1062"/>
    </row>
    <row r="44" spans="1:36" hidden="1" outlineLevel="1">
      <c r="AB44" s="1597"/>
      <c r="AH44" s="1062"/>
    </row>
    <row r="45" spans="1:36" hidden="1" outlineLevel="1">
      <c r="B45" s="1188">
        <f>B38+1</f>
        <v>1995</v>
      </c>
      <c r="AB45" s="1597"/>
      <c r="AH45" s="1062"/>
    </row>
    <row r="46" spans="1:36" hidden="1" outlineLevel="1">
      <c r="A46" s="1045" t="str">
        <f>$A$11</f>
        <v>1Q</v>
      </c>
      <c r="B46" s="1045" t="str">
        <f>$B$11</f>
        <v>Apr</v>
      </c>
      <c r="D46" s="1170">
        <f>'qtrP&amp;L'!Z$10</f>
        <v>848.68799999999999</v>
      </c>
      <c r="F46" s="1170">
        <f>'qtrP&amp;L'!Z$20</f>
        <v>568.13099999999997</v>
      </c>
      <c r="H46" s="1170">
        <f>work!V$10</f>
        <v>408.952</v>
      </c>
      <c r="J46" s="1176">
        <f>AVERAGE(H45:H46)</f>
        <v>408.952</v>
      </c>
      <c r="L46" s="1263">
        <f>(D46/D39-1)*100</f>
        <v>12.906993760559814</v>
      </c>
      <c r="M46" s="1045" t="s">
        <v>489</v>
      </c>
      <c r="N46" s="1263">
        <f>(H46/H39-1)*100</f>
        <v>18.008679994459587</v>
      </c>
      <c r="O46" s="1045" t="s">
        <v>489</v>
      </c>
      <c r="P46" s="1263">
        <f>(H46/H42-1)*100</f>
        <v>10.337310259606426</v>
      </c>
      <c r="Q46" s="1045" t="s">
        <v>489</v>
      </c>
      <c r="R46" s="1177">
        <f>F46/J46</f>
        <v>1.3892363896007354</v>
      </c>
      <c r="S46" s="1045" t="s">
        <v>590</v>
      </c>
      <c r="T46" s="1177">
        <f>F47/H46</f>
        <v>1.4899572565973513</v>
      </c>
      <c r="U46" s="1045" t="s">
        <v>590</v>
      </c>
      <c r="V46" s="24">
        <v>1535</v>
      </c>
      <c r="X46" s="1171">
        <f>H46/V46</f>
        <v>0.26641824104234529</v>
      </c>
      <c r="Z46" s="1396">
        <f>(X46/X39-1)*100</f>
        <v>7.4763092066804537</v>
      </c>
      <c r="AA46" s="1155" t="s">
        <v>489</v>
      </c>
      <c r="AB46" s="1597">
        <v>9.4969999999999999</v>
      </c>
      <c r="AD46" s="1174">
        <f>H46/AB46</f>
        <v>43.061177213857007</v>
      </c>
      <c r="AF46" s="1396">
        <f>(AD46/AD39-1)*100</f>
        <v>-0.59287775553578115</v>
      </c>
      <c r="AG46" s="1155" t="s">
        <v>489</v>
      </c>
      <c r="AH46" s="1397"/>
      <c r="AI46" s="1155"/>
      <c r="AJ46" s="1155"/>
    </row>
    <row r="47" spans="1:36" hidden="1" outlineLevel="1">
      <c r="A47" s="1045" t="str">
        <f>$A$12</f>
        <v>2Q</v>
      </c>
      <c r="B47" s="1045" t="str">
        <f>$B$12</f>
        <v>Jul</v>
      </c>
      <c r="D47" s="1176">
        <f>'qtrP&amp;L'!Z$11</f>
        <v>868.51400000000001</v>
      </c>
      <c r="F47" s="1176">
        <f>'qtrP&amp;L'!Z$21</f>
        <v>609.32100000000003</v>
      </c>
      <c r="H47" s="1176">
        <f>work!V$11</f>
        <v>508.64100000000002</v>
      </c>
      <c r="J47" s="1176">
        <f>AVERAGE(H46:H47)</f>
        <v>458.79650000000004</v>
      </c>
      <c r="L47" s="1263">
        <f>(D47/D40-1)*100</f>
        <v>12.337236509724757</v>
      </c>
      <c r="N47" s="1263">
        <f>(H47/H40-1)*100</f>
        <v>22.220700393592942</v>
      </c>
      <c r="P47" s="1263">
        <f>(H47/H46-1)*100</f>
        <v>24.376699465952001</v>
      </c>
      <c r="R47" s="1177">
        <f>F47/J47</f>
        <v>1.3280855455523308</v>
      </c>
      <c r="T47" s="1177">
        <f>F48/H47</f>
        <v>1.3720462959140141</v>
      </c>
      <c r="V47" s="24">
        <v>1582</v>
      </c>
      <c r="X47" s="1177">
        <f>H47/V47</f>
        <v>0.32151769911504424</v>
      </c>
      <c r="Z47" s="1396">
        <f>(X47/X40-1)*100</f>
        <v>10.168595930002233</v>
      </c>
      <c r="AB47" s="1597">
        <v>10.038</v>
      </c>
      <c r="AD47" s="1178">
        <f>H47/AB47</f>
        <v>50.671548117154813</v>
      </c>
      <c r="AF47" s="1396">
        <f>(AD47/AD40-1)*100</f>
        <v>-0.42629131113735008</v>
      </c>
      <c r="AH47" s="1062"/>
    </row>
    <row r="48" spans="1:36" hidden="1" outlineLevel="1">
      <c r="A48" s="1045" t="str">
        <f>$A$13</f>
        <v>3Q</v>
      </c>
      <c r="B48" s="1045" t="str">
        <f>$B$13</f>
        <v>Oct</v>
      </c>
      <c r="D48" s="1176">
        <f>'qtrP&amp;L'!Z$12</f>
        <v>1155.9290000000001</v>
      </c>
      <c r="F48" s="1176">
        <f>'qtrP&amp;L'!Z$22</f>
        <v>697.87900000000002</v>
      </c>
      <c r="H48" s="1176">
        <f>work!V$12</f>
        <v>704.84699999999998</v>
      </c>
      <c r="J48" s="1176">
        <f>AVERAGE(H47:H48)</f>
        <v>606.74400000000003</v>
      </c>
      <c r="L48" s="1263">
        <f>(D48/D41-1)*100</f>
        <v>16.955904106456664</v>
      </c>
      <c r="N48" s="1263">
        <f>(H48/H41-1)*100</f>
        <v>31.172640194438195</v>
      </c>
      <c r="P48" s="1263">
        <f>(H48/H47-1)*100</f>
        <v>38.574554548296327</v>
      </c>
      <c r="R48" s="1177">
        <f>F48/J48</f>
        <v>1.1502033806679588</v>
      </c>
      <c r="T48" s="1177">
        <f>F49/H48</f>
        <v>1.3423111682393485</v>
      </c>
      <c r="V48" s="24">
        <v>1643</v>
      </c>
      <c r="X48" s="1177">
        <f>H48/V48</f>
        <v>0.42899999999999999</v>
      </c>
      <c r="Z48" s="1396">
        <f>(X48/X41-1)*100</f>
        <v>17.919652810216213</v>
      </c>
      <c r="AB48" s="1597">
        <v>10.637</v>
      </c>
      <c r="AD48" s="1178">
        <f>H48/AB48</f>
        <v>66.263702171664931</v>
      </c>
      <c r="AF48" s="1396">
        <f>(AD48/AD41-1)*100</f>
        <v>7.1627567255492908</v>
      </c>
      <c r="AH48" s="1062"/>
    </row>
    <row r="49" spans="1:36" hidden="1" outlineLevel="1">
      <c r="A49" s="1045" t="str">
        <f>$A$14</f>
        <v>4Q</v>
      </c>
      <c r="B49" s="1045" t="str">
        <f>$B$14</f>
        <v>Jan</v>
      </c>
      <c r="D49" s="1183">
        <f>'qtrP&amp;L'!Z$13</f>
        <v>1522.1220000000001</v>
      </c>
      <c r="F49" s="1183">
        <f>'qtrP&amp;L'!Z$23</f>
        <v>946.12400000000002</v>
      </c>
      <c r="H49" s="1197">
        <f>work!V$13</f>
        <v>482.57499999999999</v>
      </c>
      <c r="J49" s="1183">
        <f>AVERAGE(H48:H49)</f>
        <v>593.71100000000001</v>
      </c>
      <c r="L49" s="1398">
        <f>(D49/D42-1)*100</f>
        <v>25.816730630777339</v>
      </c>
      <c r="N49" s="1396">
        <f>(H49/H42-1)*100</f>
        <v>30.201166636988109</v>
      </c>
      <c r="P49" s="1396">
        <f>(H49/H48-1)*100</f>
        <v>-31.534786982139384</v>
      </c>
      <c r="R49" s="1177">
        <f>F49/J49</f>
        <v>1.5935766728256677</v>
      </c>
      <c r="T49" s="1177">
        <f>F53/H49</f>
        <v>1.4491301870175619</v>
      </c>
      <c r="V49" s="24">
        <v>1680</v>
      </c>
      <c r="X49" s="1177">
        <f>H49/V49</f>
        <v>0.28724702380952383</v>
      </c>
      <c r="Z49" s="1396">
        <f>(X49/X42-1)*100</f>
        <v>16.871047195582189</v>
      </c>
      <c r="AB49" s="1597">
        <v>11.100164000000001</v>
      </c>
      <c r="AD49" s="1178">
        <f>H49/AB49</f>
        <v>43.474582898054472</v>
      </c>
      <c r="AF49" s="1396">
        <f>(AD49/AD42-1)*100</f>
        <v>7.5125175303238922</v>
      </c>
      <c r="AH49" s="1062"/>
    </row>
    <row r="50" spans="1:36" hidden="1" outlineLevel="1">
      <c r="B50" s="1045" t="str">
        <f>$B$15</f>
        <v>Year</v>
      </c>
      <c r="D50" s="1170">
        <f>SUM(D46:D49)</f>
        <v>4395.2530000000006</v>
      </c>
      <c r="F50" s="1170">
        <f>SUM(F46:F49)</f>
        <v>2821.4549999999999</v>
      </c>
      <c r="J50" s="1170">
        <f>AVERAGE(J46:J49)</f>
        <v>517.05087500000002</v>
      </c>
      <c r="L50" s="1263">
        <f>(D50/D43-1)*100</f>
        <v>18.058657942378908</v>
      </c>
      <c r="N50" s="1396"/>
      <c r="R50" s="1399">
        <f>F50/J50</f>
        <v>5.456822793308298</v>
      </c>
      <c r="S50" s="1395" t="s">
        <v>590</v>
      </c>
      <c r="AB50" s="1597"/>
      <c r="AH50" s="1062"/>
    </row>
    <row r="51" spans="1:36" hidden="1" outlineLevel="1">
      <c r="AB51" s="1597"/>
      <c r="AH51" s="1062"/>
    </row>
    <row r="52" spans="1:36" hidden="1" outlineLevel="1">
      <c r="B52" s="1188">
        <f>B45+1</f>
        <v>1996</v>
      </c>
      <c r="AB52" s="1597"/>
      <c r="AH52" s="1062"/>
    </row>
    <row r="53" spans="1:36" hidden="1" outlineLevel="1">
      <c r="A53" s="1045" t="str">
        <f>$A$11</f>
        <v>1Q</v>
      </c>
      <c r="B53" s="1045" t="str">
        <f>$B$11</f>
        <v>Apr</v>
      </c>
      <c r="D53" s="1170">
        <f>'qtrP&amp;L'!AD10</f>
        <v>1113.154</v>
      </c>
      <c r="F53" s="1170">
        <f>'qtrP&amp;L'!AD20</f>
        <v>699.31399999999996</v>
      </c>
      <c r="H53" s="1170">
        <f>work!Z10</f>
        <v>489.71899999999999</v>
      </c>
      <c r="J53" s="1176">
        <f>AVERAGE(H52:H53)</f>
        <v>489.71899999999999</v>
      </c>
      <c r="L53" s="1263">
        <f>(D53/D46-1)*100</f>
        <v>31.161746130497892</v>
      </c>
      <c r="M53" s="1045" t="s">
        <v>489</v>
      </c>
      <c r="N53" s="1263">
        <f>(H53/H46-1)*100</f>
        <v>19.749750581975391</v>
      </c>
      <c r="O53" s="1045" t="s">
        <v>489</v>
      </c>
      <c r="P53" s="1263">
        <f>(H53/H49-1)*100</f>
        <v>1.4803916489664726</v>
      </c>
      <c r="Q53" s="1045" t="s">
        <v>489</v>
      </c>
      <c r="R53" s="1177">
        <f>F53/J53</f>
        <v>1.4279903373158893</v>
      </c>
      <c r="S53" s="1045" t="s">
        <v>590</v>
      </c>
      <c r="T53" s="1177">
        <f>F54/H53</f>
        <v>1.47056781542068</v>
      </c>
      <c r="U53" s="1045" t="s">
        <v>590</v>
      </c>
      <c r="V53" s="24">
        <v>1718</v>
      </c>
      <c r="X53" s="1171">
        <f>H53/V53</f>
        <v>0.28505180442374856</v>
      </c>
      <c r="Z53" s="1396">
        <f>(X53/X46-1)*100</f>
        <v>6.9941019460606713</v>
      </c>
      <c r="AA53" s="1155" t="s">
        <v>489</v>
      </c>
      <c r="AB53" s="1597">
        <v>11.436</v>
      </c>
      <c r="AD53" s="1174">
        <f>H53/AB53</f>
        <v>42.822577824414132</v>
      </c>
      <c r="AF53" s="1396">
        <f>(AD53/AD46-1)*100</f>
        <v>-0.55409397717556264</v>
      </c>
      <c r="AG53" s="1155" t="s">
        <v>489</v>
      </c>
      <c r="AH53" s="1397"/>
      <c r="AI53" s="1155"/>
      <c r="AJ53" s="1155"/>
    </row>
    <row r="54" spans="1:36" hidden="1" outlineLevel="1">
      <c r="A54" s="1045" t="str">
        <f>$A$12</f>
        <v>2Q</v>
      </c>
      <c r="B54" s="1045" t="str">
        <f>$B$12</f>
        <v>Jul</v>
      </c>
      <c r="D54" s="1176">
        <f>'qtrP&amp;L'!AD11</f>
        <v>1120.335</v>
      </c>
      <c r="F54" s="1176">
        <f>'qtrP&amp;L'!AD21</f>
        <v>720.16499999999996</v>
      </c>
      <c r="H54" s="1176">
        <f>work!Z11</f>
        <v>573.08000000000004</v>
      </c>
      <c r="J54" s="1176">
        <f>AVERAGE(H53:H54)</f>
        <v>531.39949999999999</v>
      </c>
      <c r="L54" s="1263">
        <f>(D54/D47-1)*100</f>
        <v>28.994466410443586</v>
      </c>
      <c r="N54" s="1263">
        <f>(H54/H47-1)*100</f>
        <v>12.668856816497298</v>
      </c>
      <c r="P54" s="1263">
        <f>(H54/H53-1)*100</f>
        <v>17.022210696338114</v>
      </c>
      <c r="R54" s="1177">
        <f>F54/J54</f>
        <v>1.3552233300934606</v>
      </c>
      <c r="T54" s="1177">
        <f>F55/H54</f>
        <v>1.461881412717247</v>
      </c>
      <c r="V54" s="24">
        <v>1756</v>
      </c>
      <c r="X54" s="1177">
        <f>H54/V54</f>
        <v>0.32635535307517088</v>
      </c>
      <c r="Z54" s="1396">
        <f>(X54/X47-1)*100</f>
        <v>1.504630685477637</v>
      </c>
      <c r="AB54" s="1597">
        <v>11.804</v>
      </c>
      <c r="AD54" s="1178">
        <f>H54/AB54</f>
        <v>48.54964418841071</v>
      </c>
      <c r="AF54" s="1396">
        <f>(AD54/AD47-1)*100</f>
        <v>-4.1875648319213976</v>
      </c>
      <c r="AH54" s="1062"/>
    </row>
    <row r="55" spans="1:36" hidden="1" outlineLevel="1">
      <c r="A55" s="1045" t="str">
        <f>$A$13</f>
        <v>3Q</v>
      </c>
      <c r="B55" s="1045" t="str">
        <f>$B$13</f>
        <v>Oct</v>
      </c>
      <c r="D55" s="1176">
        <f>'qtrP&amp;L'!AD12</f>
        <v>1382.9960000000001</v>
      </c>
      <c r="F55" s="1176">
        <f>'qtrP&amp;L'!AD22</f>
        <v>837.77499999999998</v>
      </c>
      <c r="H55" s="1176">
        <f>work!Z12</f>
        <v>711.93399999999997</v>
      </c>
      <c r="J55" s="1176">
        <f>AVERAGE(H54:H55)</f>
        <v>642.50700000000006</v>
      </c>
      <c r="L55" s="1263">
        <f>(D55/D48-1)*100</f>
        <v>19.643680537472452</v>
      </c>
      <c r="N55" s="1263">
        <f>(H55/H48-1)*100</f>
        <v>1.0054664345595654</v>
      </c>
      <c r="P55" s="1263">
        <f>(H55/H54-1)*100</f>
        <v>24.229426956096866</v>
      </c>
      <c r="R55" s="1177">
        <f>F55/J55</f>
        <v>1.3039157550034473</v>
      </c>
      <c r="T55" s="1177">
        <f>F56/H55</f>
        <v>1.4438304674309699</v>
      </c>
      <c r="V55" s="24">
        <v>1823</v>
      </c>
      <c r="X55" s="1177">
        <f>H55/V55</f>
        <v>0.39052879868348872</v>
      </c>
      <c r="Z55" s="1396">
        <f>(X55/X48-1)*100</f>
        <v>-8.9676459945247764</v>
      </c>
      <c r="AB55" s="1597">
        <v>12.348000000000001</v>
      </c>
      <c r="AD55" s="1178">
        <f>H55/AB55</f>
        <v>57.655814706835109</v>
      </c>
      <c r="AF55" s="1396">
        <f>(AD55/AD48-1)*100</f>
        <v>-12.990350950404107</v>
      </c>
      <c r="AH55" s="1062"/>
    </row>
    <row r="56" spans="1:36" hidden="1" outlineLevel="1">
      <c r="A56" s="1045" t="str">
        <f>$A$14</f>
        <v>4Q</v>
      </c>
      <c r="B56" s="1045" t="str">
        <f>$B$14</f>
        <v>Jan</v>
      </c>
      <c r="D56" s="1183">
        <f>'qtrP&amp;L'!AD13</f>
        <v>1667.896</v>
      </c>
      <c r="F56" s="1183">
        <f>'qtrP&amp;L'!AD23</f>
        <v>1027.912</v>
      </c>
      <c r="H56" s="1197">
        <f>work!Z13</f>
        <v>578.76499999999999</v>
      </c>
      <c r="J56" s="1183">
        <f>AVERAGE(H55:H56)</f>
        <v>645.34950000000003</v>
      </c>
      <c r="L56" s="1398">
        <f>(D56/D49-1)*100</f>
        <v>9.5770247062981753</v>
      </c>
      <c r="N56" s="1396">
        <f>(H56/H49-1)*100</f>
        <v>19.932652955499151</v>
      </c>
      <c r="P56" s="1396">
        <f>(H56/H55-1)*100</f>
        <v>-18.705245149128991</v>
      </c>
      <c r="R56" s="1177">
        <f>F56/J56</f>
        <v>1.5927989407290157</v>
      </c>
      <c r="T56" s="1177">
        <f>F60/H56</f>
        <v>1.3634653097543907</v>
      </c>
      <c r="V56" s="24">
        <v>1854</v>
      </c>
      <c r="X56" s="1177">
        <f>H56/V56</f>
        <v>0.31217098166127294</v>
      </c>
      <c r="Z56" s="1396">
        <f>(X56/X49-1)*100</f>
        <v>8.6768376295785146</v>
      </c>
      <c r="AB56" s="1597">
        <v>12.645008000000001</v>
      </c>
      <c r="AD56" s="1178">
        <f>H56/AB56</f>
        <v>45.770235969799302</v>
      </c>
      <c r="AF56" s="1396">
        <f>(AD56/AD49-1)*100</f>
        <v>5.2804487558351321</v>
      </c>
      <c r="AH56" s="1062"/>
    </row>
    <row r="57" spans="1:36" hidden="1" outlineLevel="1">
      <c r="B57" s="1045" t="str">
        <f>$B$15</f>
        <v>Year</v>
      </c>
      <c r="D57" s="1170">
        <f>SUM(D53:D56)</f>
        <v>5284.3810000000003</v>
      </c>
      <c r="F57" s="1170">
        <f>SUM(F53:F56)</f>
        <v>3285.1660000000002</v>
      </c>
      <c r="J57" s="1170">
        <f>AVERAGE(J53:J56)</f>
        <v>577.24375000000009</v>
      </c>
      <c r="L57" s="1263">
        <f>(D57/D50-1)*100</f>
        <v>20.229279179150762</v>
      </c>
      <c r="N57" s="1396"/>
      <c r="R57" s="1399">
        <f>F57/J57</f>
        <v>5.6911244166783961</v>
      </c>
      <c r="S57" s="1395" t="s">
        <v>590</v>
      </c>
      <c r="AB57" s="1597"/>
      <c r="AH57" s="1062"/>
    </row>
    <row r="58" spans="1:36" hidden="1" outlineLevel="1">
      <c r="AB58" s="1597"/>
      <c r="AH58" s="1062"/>
    </row>
    <row r="59" spans="1:36" hidden="1" outlineLevel="1">
      <c r="B59" s="1188">
        <f>B52+1</f>
        <v>1997</v>
      </c>
      <c r="AB59" s="1597"/>
      <c r="AH59" s="1062"/>
    </row>
    <row r="60" spans="1:36" hidden="1" outlineLevel="1">
      <c r="A60" s="1045" t="str">
        <f>$A$11</f>
        <v>1Q</v>
      </c>
      <c r="B60" s="1045" t="str">
        <f>$B$11</f>
        <v>Apr</v>
      </c>
      <c r="D60" s="1170">
        <f>'qtrP&amp;L'!AH10</f>
        <v>1231.1859999999999</v>
      </c>
      <c r="F60" s="1170">
        <f>'qtrP&amp;L'!AH20</f>
        <v>789.12599999999998</v>
      </c>
      <c r="H60" s="1170">
        <f>work!AD10</f>
        <v>628.69299999999998</v>
      </c>
      <c r="J60" s="1170">
        <f>AVERAGE(H60,H56)</f>
        <v>603.72900000000004</v>
      </c>
      <c r="L60" s="1263">
        <f>(D60/D53-1)*100</f>
        <v>10.603384617043087</v>
      </c>
      <c r="M60" s="1045" t="s">
        <v>489</v>
      </c>
      <c r="N60" s="1263">
        <f>(H60/H53-1)*100</f>
        <v>28.378314911204171</v>
      </c>
      <c r="O60" s="1045" t="s">
        <v>489</v>
      </c>
      <c r="P60" s="1263">
        <f>(H60/H56-1)*100</f>
        <v>8.6266446657969897</v>
      </c>
      <c r="Q60" s="1045" t="s">
        <v>489</v>
      </c>
      <c r="R60" s="1177">
        <f>F60/J60</f>
        <v>1.307086457665608</v>
      </c>
      <c r="S60" s="1045" t="s">
        <v>590</v>
      </c>
      <c r="T60" s="1177">
        <f>F61/H60</f>
        <v>1.404637875719946</v>
      </c>
      <c r="U60" s="1045" t="s">
        <v>590</v>
      </c>
      <c r="V60" s="24">
        <v>1916</v>
      </c>
      <c r="X60" s="1171">
        <f>H60/V60</f>
        <v>0.32812787056367432</v>
      </c>
      <c r="Z60" s="1396">
        <f>(X60/X53-1)*100</f>
        <v>15.111662326434638</v>
      </c>
      <c r="AA60" s="1155" t="s">
        <v>489</v>
      </c>
      <c r="AB60" s="1597">
        <v>13.163</v>
      </c>
      <c r="AD60" s="1174">
        <f>H60/AB60</f>
        <v>47.762136291119042</v>
      </c>
      <c r="AF60" s="1396">
        <f>(AD60/AD53-1)*100</f>
        <v>11.534939552118129</v>
      </c>
      <c r="AG60" s="1155" t="s">
        <v>489</v>
      </c>
      <c r="AH60" s="1397"/>
      <c r="AI60" s="1155"/>
      <c r="AJ60" s="1155"/>
    </row>
    <row r="61" spans="1:36" hidden="1" outlineLevel="1">
      <c r="A61" s="1045" t="str">
        <f>$A$12</f>
        <v>2Q</v>
      </c>
      <c r="B61" s="1045" t="str">
        <f>$B$12</f>
        <v>Jul</v>
      </c>
      <c r="D61" s="1176">
        <f>'qtrP&amp;L'!AH11</f>
        <v>1345.221</v>
      </c>
      <c r="F61" s="1176">
        <f>'qtrP&amp;L'!AH21</f>
        <v>883.08600000000001</v>
      </c>
      <c r="H61" s="1176">
        <f>work!AD11</f>
        <v>791.92499999999995</v>
      </c>
      <c r="J61" s="1176">
        <f>AVERAGE(H60:H61)</f>
        <v>710.30899999999997</v>
      </c>
      <c r="L61" s="1263">
        <f>(D61/D54-1)*100</f>
        <v>20.073103134330349</v>
      </c>
      <c r="N61" s="1263">
        <f>(H61/H54-1)*100</f>
        <v>38.187513087178026</v>
      </c>
      <c r="P61" s="1263">
        <f>(H61/H60-1)*100</f>
        <v>25.963705656019709</v>
      </c>
      <c r="R61" s="1177">
        <f>F61/J61</f>
        <v>1.2432420256536241</v>
      </c>
      <c r="T61" s="1177">
        <f>F62/H61</f>
        <v>1.3191564857783251</v>
      </c>
      <c r="V61" s="24">
        <v>1984</v>
      </c>
      <c r="X61" s="1177">
        <f>H61/V61</f>
        <v>0.39915574596774189</v>
      </c>
      <c r="Z61" s="1396">
        <f>(X61/X54-1)*100</f>
        <v>22.307093236433783</v>
      </c>
      <c r="AB61" s="1597">
        <v>13.75</v>
      </c>
      <c r="AD61" s="1178">
        <f>H61/AB61</f>
        <v>57.594545454545454</v>
      </c>
      <c r="AF61" s="1396">
        <f>(AD61/AD54-1)*100</f>
        <v>18.630211234985428</v>
      </c>
      <c r="AH61" s="1062"/>
    </row>
    <row r="62" spans="1:36" hidden="1" outlineLevel="1">
      <c r="A62" s="1045" t="str">
        <f>$A$13</f>
        <v>3Q</v>
      </c>
      <c r="B62" s="1045" t="str">
        <f>$B$13</f>
        <v>Oct</v>
      </c>
      <c r="D62" s="1176">
        <f>'qtrP&amp;L'!AH12</f>
        <v>1765.9390000000001</v>
      </c>
      <c r="F62" s="1176">
        <f>'qtrP&amp;L'!AH22</f>
        <v>1044.673</v>
      </c>
      <c r="H62" s="1176">
        <f>work!AD12</f>
        <v>980.53099999999995</v>
      </c>
      <c r="J62" s="1176">
        <f>AVERAGE(H61:H62)</f>
        <v>886.22799999999995</v>
      </c>
      <c r="L62" s="1263">
        <f>(D62/D55-1)*100</f>
        <v>27.689378711145942</v>
      </c>
      <c r="N62" s="1263">
        <f>(H62/H55-1)*100</f>
        <v>37.727794992232418</v>
      </c>
      <c r="P62" s="1263">
        <f>(H62/H61-1)*100</f>
        <v>23.816144205575029</v>
      </c>
      <c r="R62" s="1177">
        <f>F62/J62</f>
        <v>1.1787858203532275</v>
      </c>
      <c r="T62" s="1177">
        <f>F63/H62</f>
        <v>1.3305606859956494</v>
      </c>
      <c r="V62" s="24">
        <v>2077</v>
      </c>
      <c r="X62" s="1177">
        <f>H62/V62</f>
        <v>0.47209003370245545</v>
      </c>
      <c r="Z62" s="1396">
        <f>(X62/X55-1)*100</f>
        <v>20.884819581530923</v>
      </c>
      <c r="AB62" s="1597">
        <v>14.679</v>
      </c>
      <c r="AD62" s="1178">
        <f>H62/AB62</f>
        <v>66.79821513727093</v>
      </c>
      <c r="AF62" s="1396">
        <f>(AD62/AD55-1)*100</f>
        <v>15.856857590032437</v>
      </c>
      <c r="AH62" s="1062"/>
    </row>
    <row r="63" spans="1:36" hidden="1" outlineLevel="1">
      <c r="A63" s="1045" t="str">
        <f>$A$14</f>
        <v>4Q</v>
      </c>
      <c r="B63" s="1045" t="str">
        <f>$B$14</f>
        <v>Jan</v>
      </c>
      <c r="D63" s="1183">
        <f>'qtrP&amp;L'!AH13</f>
        <v>2165.4789999999998</v>
      </c>
      <c r="F63" s="1183">
        <f>'qtrP&amp;L'!AH23</f>
        <v>1304.6559999999999</v>
      </c>
      <c r="H63" s="1197">
        <f>work!AD13</f>
        <v>733.17399999999998</v>
      </c>
      <c r="J63" s="1183">
        <f>AVERAGE(H62:H63)</f>
        <v>856.85249999999996</v>
      </c>
      <c r="L63" s="1398">
        <f>(D63/D56-1)*100</f>
        <v>29.832975197494328</v>
      </c>
      <c r="N63" s="1396">
        <f>(H63/H56-1)*100</f>
        <v>26.67904935509231</v>
      </c>
      <c r="P63" s="1396">
        <f>(H63/H62-1)*100</f>
        <v>-25.226841374724508</v>
      </c>
      <c r="R63" s="1177">
        <f>F63/J63</f>
        <v>1.5226144523123875</v>
      </c>
      <c r="T63" s="1177">
        <f>F67/H63</f>
        <v>1.4062200787261958</v>
      </c>
      <c r="V63" s="24">
        <v>2130</v>
      </c>
      <c r="X63" s="1177">
        <f>H63/V63</f>
        <v>0.34421314553990612</v>
      </c>
      <c r="Z63" s="1396">
        <f>(X63/X56-1)*100</f>
        <v>10.264299297812741</v>
      </c>
      <c r="AB63" s="1597">
        <v>15.312700000000001</v>
      </c>
      <c r="AD63" s="1178">
        <f>H63/AB63</f>
        <v>47.880125647338481</v>
      </c>
      <c r="AF63" s="1396">
        <f>(AD63/AD56-1)*100</f>
        <v>4.6097417521101525</v>
      </c>
      <c r="AH63" s="1062"/>
    </row>
    <row r="64" spans="1:36" hidden="1" outlineLevel="1">
      <c r="B64" s="1045" t="str">
        <f>$B$15</f>
        <v>Year</v>
      </c>
      <c r="D64" s="1170">
        <f>SUM(D60:D63)</f>
        <v>6507.8250000000007</v>
      </c>
      <c r="F64" s="1170">
        <f>SUM(F60:F63)</f>
        <v>4021.5410000000002</v>
      </c>
      <c r="J64" s="1170">
        <f>AVERAGE(J60:J63)</f>
        <v>764.27962500000001</v>
      </c>
      <c r="L64" s="1263">
        <f>(D64/D57-1)*100</f>
        <v>23.15207779302817</v>
      </c>
      <c r="N64" s="1396"/>
      <c r="R64" s="1399">
        <f>F64/J64</f>
        <v>5.2618712686472575</v>
      </c>
      <c r="S64" s="1395" t="s">
        <v>590</v>
      </c>
      <c r="T64" s="1177"/>
      <c r="AB64" s="1597"/>
      <c r="AH64" s="1062"/>
    </row>
    <row r="65" spans="1:36" hidden="1" outlineLevel="1">
      <c r="T65" s="1177"/>
      <c r="AB65" s="1597"/>
      <c r="AH65" s="1062"/>
    </row>
    <row r="66" spans="1:36" hidden="1" outlineLevel="1">
      <c r="B66" s="1188">
        <f>B59+1</f>
        <v>1998</v>
      </c>
      <c r="T66" s="1177"/>
      <c r="AB66" s="1597"/>
      <c r="AH66" s="1062"/>
    </row>
    <row r="67" spans="1:36" hidden="1" outlineLevel="1">
      <c r="A67" s="1045" t="str">
        <f>$A$11</f>
        <v>1Q</v>
      </c>
      <c r="B67" s="1045" t="str">
        <f>$B$11</f>
        <v>Apr</v>
      </c>
      <c r="D67" s="1170">
        <f>'qtrP&amp;L'!AL10</f>
        <v>1719.712</v>
      </c>
      <c r="F67" s="1170">
        <f>'qtrP&amp;L'!AL20</f>
        <v>1031.0039999999999</v>
      </c>
      <c r="H67" s="1170">
        <f>work!AH10</f>
        <v>823.30499999999995</v>
      </c>
      <c r="J67" s="1170">
        <f>AVERAGE(H67,H63)</f>
        <v>778.23949999999991</v>
      </c>
      <c r="L67" s="1263">
        <f>(D67/D60-1)*100</f>
        <v>39.679301096666151</v>
      </c>
      <c r="M67" s="1045" t="s">
        <v>489</v>
      </c>
      <c r="N67" s="1263">
        <f>(H67/H60-1)*100</f>
        <v>30.955013019072908</v>
      </c>
      <c r="O67" s="1045" t="s">
        <v>489</v>
      </c>
      <c r="P67" s="1263">
        <f>(H67/H63-1)*100</f>
        <v>12.293261899630913</v>
      </c>
      <c r="Q67" s="1045" t="s">
        <v>489</v>
      </c>
      <c r="R67" s="1177">
        <f>F67/J67</f>
        <v>1.324790119237073</v>
      </c>
      <c r="S67" s="1045" t="s">
        <v>590</v>
      </c>
      <c r="T67" s="1177">
        <f>F68/H67</f>
        <v>1.3787903632311234</v>
      </c>
      <c r="U67" s="1045" t="s">
        <v>590</v>
      </c>
      <c r="V67" s="24">
        <v>2229</v>
      </c>
      <c r="X67" s="1171">
        <f>H67/V67</f>
        <v>0.36936069986541048</v>
      </c>
      <c r="Z67" s="1396">
        <f>(X67/X60-1)*100</f>
        <v>12.566085663770155</v>
      </c>
      <c r="AA67" s="1155" t="s">
        <v>489</v>
      </c>
      <c r="AB67" s="1597">
        <v>15.975</v>
      </c>
      <c r="AD67" s="1174">
        <f>H67/AB67</f>
        <v>51.537089201877933</v>
      </c>
      <c r="AF67" s="1396">
        <f>(AD67/AD60-1)*100</f>
        <v>7.9036517289550412</v>
      </c>
      <c r="AG67" s="1155" t="s">
        <v>489</v>
      </c>
      <c r="AH67" s="1400"/>
      <c r="AI67" s="1401">
        <f>((F67-('yrP&amp;L'!$J$18/4))/J67)</f>
        <v>1.0698936349285793</v>
      </c>
      <c r="AJ67" s="1402" t="s">
        <v>590</v>
      </c>
    </row>
    <row r="68" spans="1:36" hidden="1" outlineLevel="1">
      <c r="A68" s="1045" t="str">
        <f>$A$12</f>
        <v>2Q</v>
      </c>
      <c r="B68" s="1045" t="str">
        <f>$B$12</f>
        <v>Jul</v>
      </c>
      <c r="D68" s="1176">
        <f>'qtrP&amp;L'!AL11</f>
        <v>1904.97</v>
      </c>
      <c r="F68" s="1176">
        <f>'qtrP&amp;L'!AL21</f>
        <v>1135.165</v>
      </c>
      <c r="H68" s="1176">
        <f>work!AH11</f>
        <v>1102.693</v>
      </c>
      <c r="J68" s="1176">
        <f>AVERAGE(H67:H68)</f>
        <v>962.99900000000002</v>
      </c>
      <c r="L68" s="1263">
        <f>(D68/D61-1)*100</f>
        <v>41.610188957799508</v>
      </c>
      <c r="N68" s="1263">
        <f>(H68/H61-1)*100</f>
        <v>39.242099946333298</v>
      </c>
      <c r="P68" s="1263">
        <f>(H68/H67-1)*100</f>
        <v>33.934932983523723</v>
      </c>
      <c r="R68" s="1177">
        <f>F68/J68</f>
        <v>1.1787810786927089</v>
      </c>
      <c r="T68" s="1177">
        <f>F69/H68</f>
        <v>1.2478586515013699</v>
      </c>
      <c r="V68" s="24">
        <v>2307</v>
      </c>
      <c r="X68" s="1177">
        <f>H68/V68</f>
        <v>0.47797702644126572</v>
      </c>
      <c r="Z68" s="1396">
        <f>(X68/X61-1)*100</f>
        <v>19.746998826842344</v>
      </c>
      <c r="AB68" s="1597">
        <v>16.798999999999999</v>
      </c>
      <c r="AD68" s="1178">
        <f>H68/AB68</f>
        <v>65.640395261622714</v>
      </c>
      <c r="AF68" s="1396">
        <f>(AD68/AD61-1)*100</f>
        <v>13.969812147275595</v>
      </c>
      <c r="AH68" s="1400"/>
      <c r="AI68" s="1401">
        <f>((F68-('yrP&amp;L'!$J$18/4))/J68)</f>
        <v>0.97278863996743503</v>
      </c>
      <c r="AJ68" s="1402"/>
    </row>
    <row r="69" spans="1:36" hidden="1" outlineLevel="1">
      <c r="A69" s="1045" t="str">
        <f>$A$13</f>
        <v>3Q</v>
      </c>
      <c r="B69" s="1045" t="str">
        <f>$B$13</f>
        <v>Oct</v>
      </c>
      <c r="D69" s="1176">
        <f>'qtrP&amp;L'!AL12</f>
        <v>2399.9479999999999</v>
      </c>
      <c r="F69" s="1176">
        <f>'qtrP&amp;L'!AL22</f>
        <v>1376.0050000000001</v>
      </c>
      <c r="H69" s="1176">
        <f>work!AH12</f>
        <v>1374.9159999999999</v>
      </c>
      <c r="J69" s="1176">
        <f>AVERAGE(H68:H69)</f>
        <v>1238.8045</v>
      </c>
      <c r="L69" s="1263">
        <f>(D69/D62-1)*100</f>
        <v>35.90208948327205</v>
      </c>
      <c r="N69" s="1263">
        <f>(H69/H62-1)*100</f>
        <v>40.22157382071552</v>
      </c>
      <c r="P69" s="1263">
        <f>(H69/H68-1)*100</f>
        <v>24.68710692822027</v>
      </c>
      <c r="R69" s="1177">
        <f>F69/J69</f>
        <v>1.1107523422783823</v>
      </c>
      <c r="T69" s="1177">
        <f>F70/H69</f>
        <v>1.2917472776518713</v>
      </c>
      <c r="V69" s="24">
        <v>2382</v>
      </c>
      <c r="X69" s="1177">
        <f>H69/V69</f>
        <v>0.5772107472712007</v>
      </c>
      <c r="Z69" s="1396">
        <f>(X69/X62-1)*100</f>
        <v>22.267090187080662</v>
      </c>
      <c r="AB69" s="1597">
        <v>17.858000000000001</v>
      </c>
      <c r="AD69" s="1178">
        <f>H69/AB69</f>
        <v>76.991600403180641</v>
      </c>
      <c r="AF69" s="1396">
        <f>(AD69/AD62-1)*100</f>
        <v>15.259966520006873</v>
      </c>
      <c r="AH69" s="1400"/>
      <c r="AI69" s="1401">
        <f>((F69-('yrP&amp;L'!$J$18/4))/J69)</f>
        <v>0.95062173853905119</v>
      </c>
      <c r="AJ69" s="1402"/>
    </row>
    <row r="70" spans="1:36" hidden="1" outlineLevel="1">
      <c r="A70" s="1045" t="str">
        <f>$A$14</f>
        <v>4Q</v>
      </c>
      <c r="B70" s="1045" t="str">
        <f>$B$14</f>
        <v>Jan</v>
      </c>
      <c r="D70" s="1183">
        <f>'qtrP&amp;L'!AL13</f>
        <v>3029.8319999999999</v>
      </c>
      <c r="F70" s="1183">
        <f>'qtrP&amp;L'!AL23</f>
        <v>1776.0440000000001</v>
      </c>
      <c r="H70" s="1197">
        <f>work!AH13</f>
        <v>1056.444</v>
      </c>
      <c r="J70" s="1183">
        <f>AVERAGE(H69:H70)</f>
        <v>1215.6799999999998</v>
      </c>
      <c r="L70" s="1398">
        <f>(D70/D63-1)*100</f>
        <v>39.915094997457842</v>
      </c>
      <c r="N70" s="1396">
        <f>(H70/H63-1)*100</f>
        <v>44.091852684355956</v>
      </c>
      <c r="P70" s="1396">
        <f>(H70/H69-1)*100</f>
        <v>-23.163015049646674</v>
      </c>
      <c r="R70" s="1177">
        <f>F70/J70</f>
        <v>1.4609469597262441</v>
      </c>
      <c r="T70" s="1177">
        <f>F74/H70</f>
        <v>1.2628733752096657</v>
      </c>
      <c r="V70" s="24">
        <v>2466</v>
      </c>
      <c r="X70" s="1177">
        <f>H70/V70</f>
        <v>0.42840389294403891</v>
      </c>
      <c r="Z70" s="1396">
        <f>(X70/X63-1)*100</f>
        <v>24.458899520550759</v>
      </c>
      <c r="AB70" s="1597">
        <v>18.757000000000001</v>
      </c>
      <c r="AD70" s="1178">
        <f>H70/AB70</f>
        <v>56.322652876259525</v>
      </c>
      <c r="AF70" s="1396">
        <f>(AD70/AD63-1)*100</f>
        <v>17.632633822025777</v>
      </c>
      <c r="AH70" s="1400"/>
      <c r="AI70" s="1401">
        <f>((F70-('yrP&amp;L'!$J$18/4))/J70)</f>
        <v>1.2977703733712822</v>
      </c>
      <c r="AJ70" s="1400"/>
    </row>
    <row r="71" spans="1:36" hidden="1" outlineLevel="1">
      <c r="B71" s="1045" t="str">
        <f>$B$15</f>
        <v>Year</v>
      </c>
      <c r="D71" s="1170">
        <f>SUM(D67:D70)</f>
        <v>9054.4619999999995</v>
      </c>
      <c r="F71" s="1170">
        <f>SUM(F67:F70)</f>
        <v>5318.2179999999998</v>
      </c>
      <c r="J71" s="1170">
        <f>AVERAGE(J67:J70)</f>
        <v>1048.93075</v>
      </c>
      <c r="L71" s="1263">
        <f>(D71/D64-1)*100</f>
        <v>39.131921955492018</v>
      </c>
      <c r="N71" s="1396"/>
      <c r="R71" s="1399">
        <f>F71/J71</f>
        <v>5.0701326088495353</v>
      </c>
      <c r="S71" s="1395" t="s">
        <v>590</v>
      </c>
      <c r="T71" s="1177"/>
      <c r="AB71" s="1597"/>
      <c r="AH71" s="1400"/>
      <c r="AI71" s="1403">
        <f>((F71-('yrP&amp;L'!$J$18))/J71)</f>
        <v>4.3136650822754508</v>
      </c>
      <c r="AJ71" s="1404" t="s">
        <v>590</v>
      </c>
    </row>
    <row r="72" spans="1:36" hidden="1" outlineLevel="1" collapsed="1">
      <c r="T72" s="1177"/>
      <c r="AB72" s="1597"/>
      <c r="AH72" s="1062"/>
    </row>
    <row r="73" spans="1:36" hidden="1" outlineLevel="1">
      <c r="B73" s="1188">
        <f>B66+1</f>
        <v>1999</v>
      </c>
      <c r="T73" s="1177"/>
      <c r="AB73" s="1597"/>
      <c r="AH73" s="1062"/>
    </row>
    <row r="74" spans="1:36" hidden="1" outlineLevel="1">
      <c r="A74" s="1045" t="str">
        <f>$A$11</f>
        <v>1Q</v>
      </c>
      <c r="B74" s="1045" t="str">
        <f>$B$11</f>
        <v>Apr</v>
      </c>
      <c r="D74" s="1170">
        <f>'qtrP&amp;L'!AP10</f>
        <v>2277.7339999999999</v>
      </c>
      <c r="F74" s="1170">
        <f>'qtrP&amp;L'!AP20</f>
        <v>1334.155</v>
      </c>
      <c r="H74" s="1170">
        <f>work!AL10</f>
        <v>1198.4970000000001</v>
      </c>
      <c r="J74" s="1170">
        <f>AVERAGE(H74,H70)</f>
        <v>1127.4704999999999</v>
      </c>
      <c r="L74" s="1263">
        <f>(D74/D67-1)*100</f>
        <v>32.448572784280152</v>
      </c>
      <c r="M74" s="1045" t="s">
        <v>489</v>
      </c>
      <c r="N74" s="1263">
        <f>(H74/H67-1)*100</f>
        <v>45.571446790679062</v>
      </c>
      <c r="O74" s="1045" t="s">
        <v>489</v>
      </c>
      <c r="P74" s="1263">
        <f>(H74/H70-1)*100</f>
        <v>13.446335063666414</v>
      </c>
      <c r="Q74" s="1045" t="s">
        <v>489</v>
      </c>
      <c r="R74" s="1177">
        <f>F74/J74</f>
        <v>1.1833169914423483</v>
      </c>
      <c r="S74" s="1045" t="s">
        <v>590</v>
      </c>
      <c r="T74" s="1177">
        <f>F75/H74</f>
        <v>1.2044627562688934</v>
      </c>
      <c r="U74" s="1045" t="s">
        <v>590</v>
      </c>
      <c r="V74" s="24">
        <v>2574</v>
      </c>
      <c r="X74" s="1171">
        <f>H74/V74</f>
        <v>0.46561655011655012</v>
      </c>
      <c r="Z74" s="1396">
        <f>(X74/X67-1)*100</f>
        <v>26.060122337382907</v>
      </c>
      <c r="AA74" s="1155" t="s">
        <v>489</v>
      </c>
      <c r="AB74" s="1597">
        <v>19.516999999999999</v>
      </c>
      <c r="AD74" s="1174">
        <f>H74/AB74</f>
        <v>61.407849567044124</v>
      </c>
      <c r="AF74" s="1396">
        <f>(AD74/AD67-1)*100</f>
        <v>19.15273159200175</v>
      </c>
      <c r="AG74" s="1155" t="s">
        <v>489</v>
      </c>
      <c r="AH74" s="1400"/>
      <c r="AI74" s="1401">
        <f>((F74-('yrP&amp;L'!$K$18/4))/J74)</f>
        <v>0.96581837396189085</v>
      </c>
      <c r="AJ74" s="1402" t="s">
        <v>590</v>
      </c>
    </row>
    <row r="75" spans="1:36" hidden="1" outlineLevel="1">
      <c r="A75" s="1045" t="str">
        <f>$A$12</f>
        <v>2Q</v>
      </c>
      <c r="B75" s="1045" t="str">
        <f>$B$12</f>
        <v>Jul</v>
      </c>
      <c r="D75" s="1176">
        <f>'qtrP&amp;L'!AP11</f>
        <v>2453.3389999999999</v>
      </c>
      <c r="F75" s="1176">
        <f>'qtrP&amp;L'!AP21</f>
        <v>1443.5450000000001</v>
      </c>
      <c r="H75" s="1176">
        <f>work!AL11</f>
        <v>1502.2550000000001</v>
      </c>
      <c r="J75" s="1176">
        <f>AVERAGE(H74:H75)</f>
        <v>1350.3760000000002</v>
      </c>
      <c r="L75" s="1263">
        <f>(D75/D68-1)*100</f>
        <v>28.786227604634185</v>
      </c>
      <c r="N75" s="1263">
        <f>(H75/H68-1)*100</f>
        <v>36.235108049112497</v>
      </c>
      <c r="P75" s="1263">
        <f>(H75/H74-1)*100</f>
        <v>25.344911167904471</v>
      </c>
      <c r="R75" s="1177">
        <f>F75/J75</f>
        <v>1.068994857728514</v>
      </c>
      <c r="T75" s="1177">
        <f>F76/H75</f>
        <v>1.1589896522228249</v>
      </c>
      <c r="V75" s="24">
        <v>2661</v>
      </c>
      <c r="X75" s="1177">
        <f>H75/V75</f>
        <v>0.5645452837279219</v>
      </c>
      <c r="Z75" s="1396">
        <f>(X75/X68-1)*100</f>
        <v>18.111384543142627</v>
      </c>
      <c r="AB75" s="1597">
        <v>20.390999999999998</v>
      </c>
      <c r="AD75" s="1178">
        <f>H75/AB75</f>
        <v>73.672453533421617</v>
      </c>
      <c r="AF75" s="1396">
        <f>(AD75/AD68-1)*100</f>
        <v>12.236456285471098</v>
      </c>
      <c r="AH75" s="1400"/>
      <c r="AI75" s="1401">
        <f>((F75-('yrP&amp;L'!$K$18/4))/J75)</f>
        <v>0.88739856528848249</v>
      </c>
      <c r="AJ75" s="1402"/>
    </row>
    <row r="76" spans="1:36" hidden="1" outlineLevel="1">
      <c r="A76" s="1045" t="str">
        <f>$A$13</f>
        <v>3Q</v>
      </c>
      <c r="B76" s="1045" t="str">
        <f>$B$13</f>
        <v>Oct</v>
      </c>
      <c r="D76" s="1176">
        <f>'qtrP&amp;L'!AP12</f>
        <v>3045.386</v>
      </c>
      <c r="F76" s="1176">
        <f>'qtrP&amp;L'!AP22</f>
        <v>1741.098</v>
      </c>
      <c r="H76" s="1176">
        <f>work!AL12</f>
        <v>1825.038</v>
      </c>
      <c r="J76" s="1176">
        <f>AVERAGE(H75:H76)</f>
        <v>1663.6465000000001</v>
      </c>
      <c r="L76" s="1263">
        <f>(D76/D69-1)*100</f>
        <v>26.893832699708508</v>
      </c>
      <c r="N76" s="1263">
        <f>(H76/H69-1)*100</f>
        <v>32.73814545761342</v>
      </c>
      <c r="P76" s="1263">
        <f>(H76/H75-1)*100</f>
        <v>21.486565196987193</v>
      </c>
      <c r="R76" s="1177">
        <f>F76/J76</f>
        <v>1.0465552627917047</v>
      </c>
      <c r="T76" s="1177">
        <f>F77/H76</f>
        <v>1.2363923381321376</v>
      </c>
      <c r="V76" s="24">
        <v>2879</v>
      </c>
      <c r="X76" s="1177">
        <f>H76/V76</f>
        <v>0.63391385897881214</v>
      </c>
      <c r="Z76" s="1396">
        <f>(X76/X69-1)*100</f>
        <v>9.8236410142532584</v>
      </c>
      <c r="AB76" s="1597">
        <v>22.721</v>
      </c>
      <c r="AD76" s="1178">
        <f>H76/AB76</f>
        <v>80.323841380220941</v>
      </c>
      <c r="AF76" s="1396">
        <f>(AD76/AD69-1)*100</f>
        <v>4.3280578135671988</v>
      </c>
      <c r="AH76" s="1400"/>
      <c r="AI76" s="1401">
        <f>((F76-('yrP&amp;L'!$K$18/4))/J76)</f>
        <v>0.89915419231188831</v>
      </c>
      <c r="AJ76" s="1402"/>
    </row>
    <row r="77" spans="1:36" hidden="1" outlineLevel="1">
      <c r="A77" s="1045" t="str">
        <f>$A$14</f>
        <v>4Q</v>
      </c>
      <c r="B77" s="1045" t="str">
        <f>$B$14</f>
        <v>Jan</v>
      </c>
      <c r="D77" s="1183">
        <f>'qtrP&amp;L'!AP13</f>
        <v>3858.9389999999999</v>
      </c>
      <c r="F77" s="1183">
        <f>'qtrP&amp;L'!AP23</f>
        <v>2256.4630000000002</v>
      </c>
      <c r="H77" s="1197">
        <f>work!AL13</f>
        <v>1462.0450000000001</v>
      </c>
      <c r="J77" s="1183">
        <f>AVERAGE(H76:H77)</f>
        <v>1643.5415</v>
      </c>
      <c r="L77" s="1398">
        <f>(D77/D70-1)*100</f>
        <v>27.364784582115441</v>
      </c>
      <c r="N77" s="1396">
        <f>(H77/H70-1)*100</f>
        <v>38.393043076585244</v>
      </c>
      <c r="P77" s="1263">
        <f>(H77/H76-1)*100</f>
        <v>-19.889613257367788</v>
      </c>
      <c r="R77" s="1177">
        <f>F77/J77</f>
        <v>1.3729273036306051</v>
      </c>
      <c r="T77" s="1177">
        <f>F81/H77</f>
        <v>1.0956605302846354</v>
      </c>
      <c r="V77" s="24">
        <v>3018</v>
      </c>
      <c r="X77" s="1177">
        <f>H77/V77</f>
        <v>0.48444168323392978</v>
      </c>
      <c r="Z77" s="1396">
        <f>(X77/X70-1)*100</f>
        <v>13.080597822020934</v>
      </c>
      <c r="AB77" s="1597">
        <v>23.978099999999998</v>
      </c>
      <c r="AD77" s="1178">
        <f>H77/AB77</f>
        <v>60.974180606470078</v>
      </c>
      <c r="AF77" s="1396">
        <f>(AD77/AD70-1)*100</f>
        <v>8.2587156191487043</v>
      </c>
      <c r="AH77" s="1400"/>
      <c r="AI77" s="1401">
        <f>((F77-('yrP&amp;L'!$K$18/4))/J77)</f>
        <v>1.2237231156012793</v>
      </c>
      <c r="AJ77" s="1400"/>
    </row>
    <row r="78" spans="1:36" hidden="1" outlineLevel="1">
      <c r="B78" s="1045" t="str">
        <f>$B$15</f>
        <v>Year</v>
      </c>
      <c r="D78" s="1170">
        <f>SUM(D74:D77)</f>
        <v>11635.398000000001</v>
      </c>
      <c r="F78" s="1170">
        <f>SUM(F74:F77)</f>
        <v>6775.2610000000004</v>
      </c>
      <c r="J78" s="1170">
        <f>AVERAGE(J74:J77)</f>
        <v>1446.2586250000002</v>
      </c>
      <c r="L78" s="1263">
        <f>(D78/D71-1)*100</f>
        <v>28.504575975911116</v>
      </c>
      <c r="N78" s="1396"/>
      <c r="P78" s="1396"/>
      <c r="R78" s="1399">
        <f>F78/J78</f>
        <v>4.6846814828848471</v>
      </c>
      <c r="S78" s="1395" t="s">
        <v>590</v>
      </c>
      <c r="T78" s="1177"/>
      <c r="AB78" s="1597"/>
      <c r="AH78" s="1400"/>
      <c r="AI78" s="1403">
        <f>((F78-('yrP&amp;L'!$K$18))/J78)</f>
        <v>4.0064534792316273</v>
      </c>
      <c r="AJ78" s="1404" t="s">
        <v>590</v>
      </c>
    </row>
    <row r="79" spans="1:36" hidden="1" outlineLevel="1" collapsed="1">
      <c r="T79" s="1177"/>
      <c r="AB79" s="1597"/>
      <c r="AH79" s="1062"/>
    </row>
    <row r="80" spans="1:36" hidden="1" outlineLevel="1">
      <c r="B80" s="1188">
        <f>B73+1</f>
        <v>2000</v>
      </c>
      <c r="T80" s="1177"/>
      <c r="AB80" s="1597"/>
      <c r="AH80" s="1062"/>
    </row>
    <row r="81" spans="1:40" hidden="1" outlineLevel="1">
      <c r="A81" s="1045" t="str">
        <f>$A$11</f>
        <v>1Q</v>
      </c>
      <c r="B81" s="1045" t="str">
        <f>$B$11</f>
        <v>Apr</v>
      </c>
      <c r="D81" s="1170">
        <f>'qtrP&amp;L'!AT10</f>
        <v>2731.99</v>
      </c>
      <c r="F81" s="1170">
        <f>'qtrP&amp;L'!AT20</f>
        <v>1601.905</v>
      </c>
      <c r="H81" s="1170">
        <f>work!AP10</f>
        <v>1652.049</v>
      </c>
      <c r="J81" s="1170">
        <f>AVERAGE(H81,H76)</f>
        <v>1738.5435</v>
      </c>
      <c r="L81" s="1263">
        <f>(D81/D74-1)*100</f>
        <v>19.943329642530692</v>
      </c>
      <c r="M81" s="1045" t="s">
        <v>489</v>
      </c>
      <c r="N81" s="1263">
        <f>(H81/H74-1)*100</f>
        <v>37.843398857068465</v>
      </c>
      <c r="O81" s="1045" t="s">
        <v>489</v>
      </c>
      <c r="P81" s="1263">
        <f>(H81/H77-1)*100</f>
        <v>12.995769624053978</v>
      </c>
      <c r="Q81" s="1045" t="s">
        <v>489</v>
      </c>
      <c r="R81" s="1177">
        <f>F81/J81</f>
        <v>0.92140633812153683</v>
      </c>
      <c r="S81" s="1045" t="s">
        <v>590</v>
      </c>
      <c r="T81" s="1177">
        <f>F85/H81</f>
        <v>5.2053189705632228</v>
      </c>
      <c r="V81" s="24">
        <v>3145</v>
      </c>
      <c r="X81" s="1171">
        <f>H81/V81</f>
        <v>0.52529379968203493</v>
      </c>
      <c r="Z81" s="1396">
        <f>(X81/X74-1)*100</f>
        <v>12.816823102732666</v>
      </c>
      <c r="AA81" s="1155" t="s">
        <v>489</v>
      </c>
      <c r="AB81" s="1597">
        <v>25.519299999999998</v>
      </c>
      <c r="AD81" s="1174">
        <f>H81/AB81</f>
        <v>64.737238090386498</v>
      </c>
      <c r="AF81" s="1396">
        <f>(AD81/AD74-1)*100</f>
        <v>5.4217637432611987</v>
      </c>
      <c r="AG81" s="1155" t="s">
        <v>489</v>
      </c>
      <c r="AH81" s="1400"/>
      <c r="AI81" s="1401">
        <f>((F81-('yrP&amp;L'!$L$18/4))/J81)</f>
        <v>0.73298173873705197</v>
      </c>
      <c r="AJ81" s="1402" t="s">
        <v>590</v>
      </c>
    </row>
    <row r="82" spans="1:40" hidden="1" outlineLevel="1">
      <c r="A82" s="1045" t="str">
        <f>$A$47</f>
        <v>2Q</v>
      </c>
      <c r="B82" s="1045" t="str">
        <f>$B$12</f>
        <v>Jul</v>
      </c>
      <c r="D82" s="1176">
        <f>'qtrP&amp;L'!AT11</f>
        <v>2947.7139999999999</v>
      </c>
      <c r="F82" s="1176">
        <f>'qtrP&amp;L'!AT21</f>
        <v>1837.0640000000001</v>
      </c>
      <c r="H82" s="1176">
        <f>work!AP11</f>
        <v>2080.8560000000002</v>
      </c>
      <c r="J82" s="1176">
        <f>AVERAGE(H81:H82)</f>
        <v>1866.4525000000001</v>
      </c>
      <c r="L82" s="1263">
        <f>(D82/D75-1)*100</f>
        <v>20.151108346624746</v>
      </c>
      <c r="M82" s="1155"/>
      <c r="N82" s="1263">
        <f>(H82/H75-1)*100</f>
        <v>38.515498367454271</v>
      </c>
      <c r="O82" s="1155"/>
      <c r="P82" s="1263">
        <f>(H82/H81-1)*100</f>
        <v>25.956070310263215</v>
      </c>
      <c r="Q82" s="1155"/>
      <c r="R82" s="1177">
        <f>F82/J82</f>
        <v>0.98425435418260043</v>
      </c>
      <c r="T82" s="1177">
        <f>F83/H82</f>
        <v>1.0368141764735279</v>
      </c>
      <c r="V82" s="24">
        <v>3284</v>
      </c>
      <c r="X82" s="1171">
        <f>H82/V82</f>
        <v>0.63363459196102323</v>
      </c>
      <c r="Z82" s="1396">
        <f>(X82/X75-1)*100</f>
        <v>12.238045418939048</v>
      </c>
      <c r="AA82" s="1155"/>
      <c r="AB82" s="1597">
        <v>26.931625</v>
      </c>
      <c r="AD82" s="1178">
        <f>H82/AB82</f>
        <v>77.264405694049287</v>
      </c>
      <c r="AF82" s="1396">
        <f>(AD82/AD75-1)*100</f>
        <v>4.8755701600166956</v>
      </c>
      <c r="AG82" s="1155"/>
      <c r="AH82" s="1400"/>
      <c r="AI82" s="1401">
        <f>((F82-('yrP&amp;L'!$L$18/4))/J82)</f>
        <v>0.80874259457446684</v>
      </c>
      <c r="AJ82" s="1402"/>
      <c r="AK82" s="1224">
        <f>J82/(F82/(365/4))</f>
        <v>92.709775285455493</v>
      </c>
      <c r="AM82" s="1224">
        <f>H82/(F83/(365/4))</f>
        <v>88.009984885010681</v>
      </c>
      <c r="AN82" s="1061"/>
    </row>
    <row r="83" spans="1:40" hidden="1" outlineLevel="1">
      <c r="A83" s="1045" t="str">
        <f>$A$48</f>
        <v>3Q</v>
      </c>
      <c r="B83" s="1045" t="str">
        <f>$B$13</f>
        <v>Oct</v>
      </c>
      <c r="D83" s="1176">
        <f>'qtrP&amp;L'!AT12</f>
        <v>3414.6680000000001</v>
      </c>
      <c r="F83" s="1176">
        <f>'qtrP&amp;L'!AT22</f>
        <v>2157.4609999999998</v>
      </c>
      <c r="H83" s="1176">
        <f>work!AP12</f>
        <v>2567.502</v>
      </c>
      <c r="J83" s="1176">
        <f>AVERAGE(H82:H83)</f>
        <v>2324.1790000000001</v>
      </c>
      <c r="L83" s="1263">
        <f>(D83/D76-1)*100</f>
        <v>12.125950536319529</v>
      </c>
      <c r="M83" s="1155"/>
      <c r="N83" s="1263">
        <f>(H83/H76-1)*100</f>
        <v>40.682111824520902</v>
      </c>
      <c r="O83" s="1155"/>
      <c r="P83" s="1263">
        <f>(H83/H82-1)*100</f>
        <v>23.386817732702305</v>
      </c>
      <c r="Q83" s="1155"/>
      <c r="R83" s="1177">
        <f>F83/J83</f>
        <v>0.92826800345412286</v>
      </c>
      <c r="T83" s="1177">
        <f>F84/H83</f>
        <v>1.1696240158722371</v>
      </c>
      <c r="V83" s="24">
        <v>3542</v>
      </c>
      <c r="X83" s="1171">
        <f>H83/V83</f>
        <v>0.72487351778656128</v>
      </c>
      <c r="Z83" s="1396">
        <f>(X83/X76-1)*100</f>
        <v>14.348898911009522</v>
      </c>
      <c r="AA83" s="1155"/>
      <c r="AB83" s="1597">
        <v>29.977741000000002</v>
      </c>
      <c r="AD83" s="1178">
        <f>H83/AB83</f>
        <v>85.646947179909247</v>
      </c>
      <c r="AF83" s="1396">
        <f>(AD83/AD76-1)*100</f>
        <v>6.6270558133429525</v>
      </c>
      <c r="AG83" s="1155"/>
      <c r="AH83" s="1400"/>
      <c r="AI83" s="1401">
        <f>((F83-('yrP&amp;L'!$L$18/4))/J83)</f>
        <v>0.78732173274949979</v>
      </c>
      <c r="AJ83" s="1402"/>
      <c r="AK83" s="1224">
        <f>J83/(F83/(365/4))</f>
        <v>98.301352260828821</v>
      </c>
      <c r="AM83" s="1224">
        <f>H83/(F84/(365/4))</f>
        <v>78.016523909994362</v>
      </c>
      <c r="AN83" s="1061"/>
    </row>
    <row r="84" spans="1:40" hidden="1" outlineLevel="1">
      <c r="A84" s="1045" t="str">
        <f>$A$49</f>
        <v>4Q</v>
      </c>
      <c r="B84" s="1045" t="str">
        <f>$B$14</f>
        <v>Jan</v>
      </c>
      <c r="D84" s="1183">
        <f>'qtrP&amp;L'!AT13</f>
        <v>4579.0879999999997</v>
      </c>
      <c r="F84" s="1183">
        <f>'qtrP&amp;L'!AT23</f>
        <v>3003.0120000000002</v>
      </c>
      <c r="H84" s="1176">
        <f>work!AP13</f>
        <v>1904.153</v>
      </c>
      <c r="J84" s="1183">
        <f>AVERAGE(H83:H84)</f>
        <v>2235.8274999999999</v>
      </c>
      <c r="L84" s="1398">
        <f>(D84/D77-1)*100</f>
        <v>18.661839433066962</v>
      </c>
      <c r="M84" s="1155"/>
      <c r="N84" s="1396">
        <f>(H84/H77-1)*100</f>
        <v>30.239014531016473</v>
      </c>
      <c r="O84" s="1155"/>
      <c r="P84" s="1263">
        <f>(H84/H83-1)*100</f>
        <v>-25.836357673723331</v>
      </c>
      <c r="Q84" s="1155"/>
      <c r="R84" s="1177">
        <f>F84/J84</f>
        <v>1.3431322407475534</v>
      </c>
      <c r="T84" s="1177">
        <f>F88/H84</f>
        <v>1.078947962689973</v>
      </c>
      <c r="V84" s="24">
        <v>2848</v>
      </c>
      <c r="X84" s="1171">
        <f>H84/V84</f>
        <v>0.66859304775280903</v>
      </c>
      <c r="Z84" s="1396">
        <f>(X84/X77-1)*100</f>
        <v>38.013113010747105</v>
      </c>
      <c r="AA84" s="1155"/>
      <c r="AB84" s="1597">
        <v>31.373437000000003</v>
      </c>
      <c r="AD84" s="1178">
        <f>H84/AB84</f>
        <v>60.693158993067918</v>
      </c>
      <c r="AF84" s="1396">
        <f>(AD84/AD77-1)*100</f>
        <v>-0.46088624825626479</v>
      </c>
      <c r="AG84" s="1155"/>
      <c r="AH84" s="1400"/>
      <c r="AI84" s="1401">
        <f>((F84-('yrP&amp;L'!$L$18/4))/J84)</f>
        <v>1.1966163031360872</v>
      </c>
      <c r="AJ84" s="1400"/>
      <c r="AK84" s="1224">
        <f>J84/(F84/(365/4))</f>
        <v>67.938209828998353</v>
      </c>
      <c r="AM84" s="1224">
        <f>H84/(F88/(365/4))</f>
        <v>84.573124150029059</v>
      </c>
      <c r="AN84" s="1061"/>
    </row>
    <row r="85" spans="1:40" hidden="1" outlineLevel="1">
      <c r="B85" s="1045" t="str">
        <f>$B$15</f>
        <v>Year</v>
      </c>
      <c r="D85" s="1170">
        <f>SUM(D81:D84)</f>
        <v>13673.46</v>
      </c>
      <c r="F85" s="1170">
        <f>SUM(F81:F84)</f>
        <v>8599.4420000000009</v>
      </c>
      <c r="J85" s="1170">
        <f>AVERAGE(J81:J84)</f>
        <v>2041.2506250000001</v>
      </c>
      <c r="L85" s="1263">
        <f>(D85/D78-1)*100</f>
        <v>17.516048870867994</v>
      </c>
      <c r="M85" s="1155"/>
      <c r="O85" s="1155"/>
      <c r="Q85" s="1155"/>
      <c r="R85" s="1399">
        <f>F85/J85</f>
        <v>4.2128300634323139</v>
      </c>
      <c r="S85" s="1395" t="s">
        <v>590</v>
      </c>
      <c r="T85" s="1177"/>
      <c r="AA85" s="1155"/>
      <c r="AB85" s="1597"/>
      <c r="AG85" s="1155"/>
      <c r="AH85" s="1400"/>
      <c r="AI85" s="1403">
        <f>((F85-('yrP&amp;L'!$L$18))/J85)</f>
        <v>3.5709013193811026</v>
      </c>
      <c r="AJ85" s="1404" t="s">
        <v>590</v>
      </c>
    </row>
    <row r="86" spans="1:40" hidden="1" outlineLevel="1" collapsed="1">
      <c r="M86" s="1155"/>
      <c r="O86" s="1155"/>
      <c r="Q86" s="1155"/>
      <c r="T86" s="1177"/>
      <c r="AA86" s="1155"/>
      <c r="AB86" s="1597"/>
      <c r="AG86" s="1155"/>
      <c r="AH86" s="1397"/>
      <c r="AI86" s="1155"/>
      <c r="AJ86" s="1155"/>
    </row>
    <row r="87" spans="1:40" hidden="1" outlineLevel="1">
      <c r="B87" s="1188">
        <f>B80+1</f>
        <v>2001</v>
      </c>
      <c r="M87" s="1155"/>
      <c r="O87" s="1155"/>
      <c r="Q87" s="1155"/>
      <c r="T87" s="1177"/>
      <c r="AA87" s="1155"/>
      <c r="AB87" s="1597"/>
      <c r="AG87" s="1155"/>
      <c r="AH87" s="1397"/>
      <c r="AI87" s="1155"/>
      <c r="AJ87" s="1155"/>
    </row>
    <row r="88" spans="1:40" hidden="1" outlineLevel="1">
      <c r="A88" s="1045" t="str">
        <f>$A$46</f>
        <v>1Q</v>
      </c>
      <c r="B88" s="1045" t="str">
        <f>$B$11</f>
        <v>Apr</v>
      </c>
      <c r="C88" s="1155"/>
      <c r="D88" s="1170">
        <f>'qtrP&amp;L'!$AX10</f>
        <v>3179.6559999999999</v>
      </c>
      <c r="F88" s="1170">
        <f>'qtrP&amp;L'!$AX20</f>
        <v>2054.482</v>
      </c>
      <c r="H88" s="1170">
        <f>work!AT10</f>
        <v>2119.9670000000001</v>
      </c>
      <c r="J88" s="1170">
        <f>AVERAGE(H88,H84)</f>
        <v>2012.06</v>
      </c>
      <c r="L88" s="1263">
        <f>(D88/D81-1)*100</f>
        <v>16.386077547868048</v>
      </c>
      <c r="M88" s="1155" t="s">
        <v>489</v>
      </c>
      <c r="N88" s="1263">
        <f>(H88/H81-1)*100</f>
        <v>28.323494036799168</v>
      </c>
      <c r="O88" s="1155" t="s">
        <v>489</v>
      </c>
      <c r="P88" s="1263">
        <f>(H88/H84-1)*100</f>
        <v>11.333858151104458</v>
      </c>
      <c r="Q88" s="1155" t="s">
        <v>489</v>
      </c>
      <c r="R88" s="1177">
        <f>F88/J88</f>
        <v>1.0210838642982814</v>
      </c>
      <c r="S88" s="1045" t="s">
        <v>590</v>
      </c>
      <c r="T88" s="1177">
        <f>F89/H88</f>
        <v>1.0397034482140524</v>
      </c>
      <c r="V88" s="24">
        <v>2947</v>
      </c>
      <c r="X88" s="1171">
        <f>H88/V88</f>
        <v>0.71936443841194442</v>
      </c>
      <c r="Z88" s="1396">
        <f>(X88/X81-1)*100</f>
        <v>36.945160755253958</v>
      </c>
      <c r="AA88" s="1155" t="s">
        <v>489</v>
      </c>
      <c r="AB88" s="1597">
        <v>33.271189</v>
      </c>
      <c r="AD88" s="1174">
        <f>H88/AB88</f>
        <v>63.717801007953163</v>
      </c>
      <c r="AF88" s="1405">
        <f>(AD88/AD81-1)*100</f>
        <v>-1.5747305762565778</v>
      </c>
      <c r="AG88" s="1155" t="s">
        <v>489</v>
      </c>
      <c r="AH88" s="1400"/>
      <c r="AI88" s="1401">
        <f>((F88-('yrP&amp;L'!$M$18/4))/J88)</f>
        <v>0.84976916692345161</v>
      </c>
      <c r="AJ88" s="1402" t="s">
        <v>590</v>
      </c>
      <c r="AK88" s="1224">
        <f>J88/(F88/(365/4))</f>
        <v>89.365823112589936</v>
      </c>
      <c r="AM88" s="1224">
        <f>H88/(F89/(365/4))</f>
        <v>87.765410566584563</v>
      </c>
      <c r="AN88" s="1061"/>
    </row>
    <row r="89" spans="1:40" hidden="1" outlineLevel="1">
      <c r="A89" s="1045" t="str">
        <f>$A$47</f>
        <v>2Q</v>
      </c>
      <c r="B89" s="1045" t="str">
        <f>$B$12</f>
        <v>Jul</v>
      </c>
      <c r="C89" s="1155"/>
      <c r="D89" s="1176">
        <f>'qtrP&amp;L'!AX11</f>
        <v>3245.2190000000001</v>
      </c>
      <c r="F89" s="1176">
        <f>'qtrP&amp;L'!$AX21</f>
        <v>2204.1370000000002</v>
      </c>
      <c r="H89" s="1176">
        <f>work!AT11</f>
        <v>2305.1489999999999</v>
      </c>
      <c r="J89" s="1176">
        <f>AVERAGE(H88:H89)</f>
        <v>2212.558</v>
      </c>
      <c r="L89" s="1263">
        <f>(D89/D82-1)*100</f>
        <v>10.092736269529535</v>
      </c>
      <c r="M89" s="1155"/>
      <c r="N89" s="1263">
        <f>(H89/H82-1)*100</f>
        <v>10.778881383430639</v>
      </c>
      <c r="O89" s="1155"/>
      <c r="P89" s="1263">
        <f>(H89/H88-1)*100</f>
        <v>8.7351359714561418</v>
      </c>
      <c r="Q89" s="1155"/>
      <c r="R89" s="1177">
        <f>F89/J89</f>
        <v>0.9961939980782426</v>
      </c>
      <c r="T89" s="1177">
        <f>F90/H89</f>
        <v>1.0336572603332801</v>
      </c>
      <c r="V89" s="24">
        <v>3021</v>
      </c>
      <c r="X89" s="1171">
        <f>H89/V89</f>
        <v>0.76304170804369409</v>
      </c>
      <c r="Z89" s="1396">
        <f>(X89/X82-1)*100</f>
        <v>20.42298790572201</v>
      </c>
      <c r="AA89" s="1155"/>
      <c r="AB89" s="1597">
        <v>34.381444000000002</v>
      </c>
      <c r="AD89" s="1178">
        <f>H89/AB89</f>
        <v>67.046311376566962</v>
      </c>
      <c r="AF89" s="1406">
        <f>(AD89/AD82-1)*100</f>
        <v>-13.224840372090373</v>
      </c>
      <c r="AG89" s="1155"/>
      <c r="AH89" s="1400"/>
      <c r="AI89" s="1401">
        <f>((F89-('yrP&amp;L'!$M$18/4))/J89)</f>
        <v>0.84040352840467925</v>
      </c>
      <c r="AJ89" s="1402"/>
      <c r="AK89" s="1224">
        <f>J89/(F89/(365/4))</f>
        <v>91.598624541033516</v>
      </c>
      <c r="AM89" s="1224">
        <f>H89/(F90/(365/4))</f>
        <v>88.278778180862815</v>
      </c>
      <c r="AN89" s="1061"/>
    </row>
    <row r="90" spans="1:40" hidden="1" outlineLevel="1">
      <c r="A90" s="1045" t="str">
        <f>$A$48</f>
        <v>3Q</v>
      </c>
      <c r="B90" s="1045" t="str">
        <f>$B$13</f>
        <v>Oct</v>
      </c>
      <c r="C90" s="1155"/>
      <c r="D90" s="1176">
        <f>'qtrP&amp;L'!AX12</f>
        <v>3333.373</v>
      </c>
      <c r="F90" s="1176">
        <f>'qtrP&amp;L'!$AX22</f>
        <v>2382.7339999999999</v>
      </c>
      <c r="H90" s="1176">
        <f>work!AT12</f>
        <v>2837.5340000000001</v>
      </c>
      <c r="J90" s="1176">
        <f>AVERAGE(H89:H90)</f>
        <v>2571.3415</v>
      </c>
      <c r="L90" s="1263">
        <f>(D90/D83-1)*100</f>
        <v>-2.3807585393367692</v>
      </c>
      <c r="M90" s="1155"/>
      <c r="N90" s="1263">
        <f>(H90/H83-1)*100</f>
        <v>10.51730436821472</v>
      </c>
      <c r="O90" s="1155"/>
      <c r="P90" s="1263">
        <f>(H90/H89-1)*100</f>
        <v>23.095470184356849</v>
      </c>
      <c r="Q90" s="1155"/>
      <c r="R90" s="1177">
        <f>F90/J90</f>
        <v>0.92665015518164351</v>
      </c>
      <c r="T90" s="1177">
        <f>F91/H90</f>
        <v>1.0794711182315349</v>
      </c>
      <c r="V90" s="24">
        <v>3101</v>
      </c>
      <c r="X90" s="1171">
        <f>H90/V90</f>
        <v>0.915038374717833</v>
      </c>
      <c r="Z90" s="1396">
        <f>(X90/X83-1)*100</f>
        <v>26.234212212904385</v>
      </c>
      <c r="AA90" s="1155"/>
      <c r="AB90" s="1597">
        <v>36.033394000000001</v>
      </c>
      <c r="AD90" s="1178">
        <f>H90/AB90</f>
        <v>78.747341979498245</v>
      </c>
      <c r="AF90" s="1406">
        <f>(AD90/AD83-1)*100</f>
        <v>-8.0558682213363042</v>
      </c>
      <c r="AG90" s="1155"/>
      <c r="AH90" s="1400"/>
      <c r="AI90" s="1401">
        <f>((F90-('yrP&amp;L'!$M$18/4))/J90)</f>
        <v>0.79259738545035729</v>
      </c>
      <c r="AJ90" s="1402"/>
      <c r="AK90" s="1224">
        <f>J90/(F90/(365/4))</f>
        <v>98.47297762780066</v>
      </c>
      <c r="AM90" s="1224">
        <f>H90/(F91/(365/4))</f>
        <v>84.532136579524362</v>
      </c>
      <c r="AN90" s="1061"/>
    </row>
    <row r="91" spans="1:40" hidden="1" outlineLevel="1">
      <c r="A91" s="1045" t="str">
        <f>$A$49</f>
        <v>4Q</v>
      </c>
      <c r="B91" s="1045" t="str">
        <f>$B$14</f>
        <v>Jan</v>
      </c>
      <c r="D91" s="1183">
        <f>'qtrP&amp;L'!AX13</f>
        <v>4089.625</v>
      </c>
      <c r="F91" s="1183">
        <f>'qtrP&amp;L'!$AX23</f>
        <v>3063.0360000000001</v>
      </c>
      <c r="H91" s="1176">
        <f>work!AT13</f>
        <v>1768.6130000000001</v>
      </c>
      <c r="J91" s="1183">
        <f>AVERAGE(H90:H91)</f>
        <v>2303.0735</v>
      </c>
      <c r="L91" s="1398">
        <f>(D91/D84-1)*100</f>
        <v>-10.689093548759054</v>
      </c>
      <c r="M91" s="1155"/>
      <c r="N91" s="1396">
        <f>(H91/H84-1)*100</f>
        <v>-7.1181254867649812</v>
      </c>
      <c r="O91" s="1155"/>
      <c r="P91" s="1263">
        <f>(H91/H90-1)*100</f>
        <v>-37.670773284126291</v>
      </c>
      <c r="Q91" s="1155"/>
      <c r="R91" s="1177">
        <f>F91/J91</f>
        <v>1.3299775278557111</v>
      </c>
      <c r="T91" s="1177">
        <f>F95/H91</f>
        <v>1.1374800479245599</v>
      </c>
      <c r="V91" s="24">
        <v>3097</v>
      </c>
      <c r="X91" s="1171">
        <f>H91/V91</f>
        <v>0.57107297384565714</v>
      </c>
      <c r="Z91" s="1396">
        <f>(X91/X84-1)*100</f>
        <v>-14.585864186731246</v>
      </c>
      <c r="AA91" s="1155"/>
      <c r="AB91" s="1597">
        <v>36.333391999999996</v>
      </c>
      <c r="AD91" s="1178">
        <f>H91/AB91</f>
        <v>48.677343420069349</v>
      </c>
      <c r="AF91" s="1396">
        <f>(AD91/AD84-1)*100</f>
        <v>-19.79764403822012</v>
      </c>
      <c r="AG91" s="1155"/>
      <c r="AH91" s="1400"/>
      <c r="AI91" s="1401">
        <f>((F91-('yrP&amp;L'!$M$18/4))/J91)</f>
        <v>1.1803099423444368</v>
      </c>
      <c r="AJ91" s="1400"/>
      <c r="AK91" s="1224">
        <f>J91/(F91/(365/4))</f>
        <v>68.610181817974066</v>
      </c>
      <c r="AM91" s="1224">
        <f>H91/(F95/(365/4))</f>
        <v>80.221187322357224</v>
      </c>
      <c r="AN91" s="1061"/>
    </row>
    <row r="92" spans="1:40" hidden="1" outlineLevel="1">
      <c r="B92" s="1045" t="str">
        <f>$B$15</f>
        <v>Year</v>
      </c>
      <c r="D92" s="1170">
        <f>SUM(D88:D91)</f>
        <v>13847.873</v>
      </c>
      <c r="F92" s="1170">
        <f>SUM(F88:F91)</f>
        <v>9704.389000000001</v>
      </c>
      <c r="J92" s="1170">
        <f>AVERAGE(J88:J91)</f>
        <v>2274.7582500000003</v>
      </c>
      <c r="L92" s="1263">
        <f>(D92/D85-1)*100</f>
        <v>1.2755586369507022</v>
      </c>
      <c r="M92" s="1155"/>
      <c r="O92" s="1155"/>
      <c r="Q92" s="1155"/>
      <c r="R92" s="1399">
        <f>F92/J92</f>
        <v>4.2661188282315274</v>
      </c>
      <c r="S92" s="1395" t="s">
        <v>590</v>
      </c>
      <c r="T92" s="1177"/>
      <c r="AA92" s="1155"/>
      <c r="AB92" s="1597"/>
      <c r="AG92" s="1155"/>
      <c r="AH92" s="1400"/>
      <c r="AI92" s="1407">
        <f>((F92-('yrP&amp;L'!$M$18))/J92)</f>
        <v>3.6599964853408045</v>
      </c>
      <c r="AJ92" s="1404" t="s">
        <v>590</v>
      </c>
    </row>
    <row r="93" spans="1:40" hidden="1" outlineLevel="1">
      <c r="M93" s="1155"/>
      <c r="O93" s="1155"/>
      <c r="Q93" s="1155"/>
      <c r="T93" s="1177"/>
      <c r="AA93" s="1155"/>
      <c r="AB93" s="1597"/>
      <c r="AG93" s="1155"/>
      <c r="AH93" s="1397"/>
      <c r="AI93" s="1155"/>
      <c r="AJ93" s="1155"/>
    </row>
    <row r="94" spans="1:40" hidden="1" outlineLevel="1">
      <c r="B94" s="1188">
        <f>B87+1</f>
        <v>2002</v>
      </c>
      <c r="M94" s="1155"/>
      <c r="O94" s="1155"/>
      <c r="Q94" s="1155"/>
      <c r="T94" s="1177"/>
      <c r="AA94" s="1155"/>
      <c r="AB94" s="1597"/>
      <c r="AG94" s="1155"/>
      <c r="AH94" s="1397"/>
      <c r="AI94" s="1155"/>
      <c r="AJ94" s="1155"/>
    </row>
    <row r="95" spans="1:40" hidden="1" outlineLevel="1">
      <c r="A95" s="1045" t="str">
        <f>$A$46</f>
        <v>1Q</v>
      </c>
      <c r="B95" s="1045" t="str">
        <f>$B$11</f>
        <v>Apr</v>
      </c>
      <c r="C95" s="1155"/>
      <c r="D95" s="1170">
        <f>'qtrP&amp;L'!BB$10</f>
        <v>2890.84</v>
      </c>
      <c r="F95" s="1170">
        <f>'qtrP&amp;L'!BB$20</f>
        <v>2011.7619999999999</v>
      </c>
      <c r="H95" s="1170">
        <f>work!AX$10</f>
        <v>1792.713</v>
      </c>
      <c r="J95" s="1170">
        <f>AVERAGE(H95,H91)</f>
        <v>1780.663</v>
      </c>
      <c r="L95" s="1263">
        <f>(D95/D88-1)*100</f>
        <v>-9.083246741156902</v>
      </c>
      <c r="M95" s="1155" t="s">
        <v>489</v>
      </c>
      <c r="N95" s="1263">
        <f>(H95/H88-1)*100</f>
        <v>-15.436749722990973</v>
      </c>
      <c r="O95" s="1155" t="s">
        <v>489</v>
      </c>
      <c r="P95" s="1263">
        <f>(H95/H91-1)*100</f>
        <v>1.3626497147764871</v>
      </c>
      <c r="Q95" s="1155" t="s">
        <v>489</v>
      </c>
      <c r="R95" s="1177">
        <f>F95/J95</f>
        <v>1.1297825585189336</v>
      </c>
      <c r="S95" s="1045" t="s">
        <v>590</v>
      </c>
      <c r="T95" s="1177">
        <f>F96/H95</f>
        <v>1.2147923287218869</v>
      </c>
      <c r="V95" s="24">
        <v>3125</v>
      </c>
      <c r="X95" s="1171">
        <f>H95/V95</f>
        <v>0.57366815999999998</v>
      </c>
      <c r="Z95" s="1396">
        <f>(X95/X88-1)*100</f>
        <v>-20.253472458769416</v>
      </c>
      <c r="AA95" s="1155" t="s">
        <v>489</v>
      </c>
      <c r="AB95" s="1597">
        <v>36.942</v>
      </c>
      <c r="AD95" s="1174">
        <f>H95/AB95</f>
        <v>48.527773266201073</v>
      </c>
      <c r="AF95" s="1408">
        <f>(AD95/AD88-1)*100</f>
        <v>-23.839535422536152</v>
      </c>
      <c r="AG95" s="1155" t="s">
        <v>489</v>
      </c>
      <c r="AH95" s="1400"/>
      <c r="AI95" s="1401">
        <f>((F95-('yrP&amp;L'!$N$18/4))/J95)</f>
        <v>0.93869668909838633</v>
      </c>
      <c r="AJ95" s="1402" t="s">
        <v>590</v>
      </c>
      <c r="AK95" s="1224">
        <f>J95/(F95/(365/4))</f>
        <v>80.767754212476433</v>
      </c>
      <c r="AM95" s="1224">
        <f>H95/(F96/(365/4))</f>
        <v>75.115719652268794</v>
      </c>
      <c r="AN95" s="1061"/>
    </row>
    <row r="96" spans="1:40" hidden="1" outlineLevel="1">
      <c r="A96" s="1045" t="str">
        <f>$A$47</f>
        <v>2Q</v>
      </c>
      <c r="B96" s="1045" t="str">
        <f>$B$12</f>
        <v>Jul</v>
      </c>
      <c r="D96" s="1176">
        <f>'qtrP&amp;L'!BB$11</f>
        <v>3268.3090000000002</v>
      </c>
      <c r="F96" s="1176">
        <f>'qtrP&amp;L'!BB$21</f>
        <v>2177.7739999999999</v>
      </c>
      <c r="H96" s="1176">
        <f>work!AX$11</f>
        <v>2087.4850000000001</v>
      </c>
      <c r="J96" s="1176">
        <f>AVERAGE(H95:H96)</f>
        <v>1940.0990000000002</v>
      </c>
      <c r="L96" s="1263">
        <f>(D96/D89-1)*100</f>
        <v>0.71150822178718265</v>
      </c>
      <c r="M96" s="1155"/>
      <c r="N96" s="1263">
        <f>(H96/H89-1)*100</f>
        <v>-9.4425132605310935</v>
      </c>
      <c r="O96" s="1155"/>
      <c r="P96" s="1263">
        <f>(H96/H95-1)*100</f>
        <v>16.442788109418526</v>
      </c>
      <c r="Q96" s="1155"/>
      <c r="R96" s="1177">
        <f>F96/J96</f>
        <v>1.1225066349706896</v>
      </c>
      <c r="T96" s="1177">
        <f>F97/H96</f>
        <v>1.1158628684757017</v>
      </c>
      <c r="V96" s="24">
        <v>3139</v>
      </c>
      <c r="X96" s="1171">
        <f>H96/V96</f>
        <v>0.66501592863969416</v>
      </c>
      <c r="Z96" s="1396">
        <f>(X96/X89-1)*100</f>
        <v>-12.846713144333998</v>
      </c>
      <c r="AA96" s="1155"/>
      <c r="AB96" s="1597">
        <v>37.377352000000002</v>
      </c>
      <c r="AD96" s="1178">
        <f>H96/AB96</f>
        <v>55.848926911676358</v>
      </c>
      <c r="AF96" s="1408">
        <f>(AD96/AD89-1)*100</f>
        <v>-16.700970172691932</v>
      </c>
      <c r="AG96" s="1155"/>
      <c r="AH96" s="1400"/>
      <c r="AI96" s="1401">
        <f>((F96-('yrP&amp;L'!$N$18/4))/J96)</f>
        <v>0.94712407073041105</v>
      </c>
      <c r="AJ96" s="1402"/>
      <c r="AK96" s="1224">
        <f>J96/(F96/(365/4))</f>
        <v>81.291278961912496</v>
      </c>
      <c r="AM96" s="1224">
        <f>H96/(F97/(365/4))</f>
        <v>81.775281334210831</v>
      </c>
      <c r="AN96" s="1061"/>
    </row>
    <row r="97" spans="1:44" hidden="1" outlineLevel="1">
      <c r="A97" s="1045" t="str">
        <f>$A$48</f>
        <v>3Q</v>
      </c>
      <c r="B97" s="1045" t="str">
        <f>$B$13</f>
        <v>Oct</v>
      </c>
      <c r="D97" s="1176">
        <f>'qtrP&amp;L'!BB$12</f>
        <v>3644.9560000000001</v>
      </c>
      <c r="F97" s="1176">
        <f>'qtrP&amp;L'!BB$22</f>
        <v>2329.3470000000002</v>
      </c>
      <c r="H97" s="1176">
        <f>work!AX$12</f>
        <v>2821.4409999999998</v>
      </c>
      <c r="J97" s="1176">
        <f>AVERAGE(H96:H97)</f>
        <v>2454.4629999999997</v>
      </c>
      <c r="L97" s="1263">
        <f>(D97/D90-1)*100</f>
        <v>9.3473787661926941</v>
      </c>
      <c r="M97" s="1155"/>
      <c r="N97" s="1263">
        <f>(H97/H90-1)*100</f>
        <v>-0.56714738924715791</v>
      </c>
      <c r="O97" s="1155"/>
      <c r="P97" s="1263">
        <f>(H97/H96-1)*100</f>
        <v>35.159821507699426</v>
      </c>
      <c r="Q97" s="1155"/>
      <c r="R97" s="1177">
        <f>F97/J97</f>
        <v>0.9490251024358487</v>
      </c>
      <c r="T97" s="1177">
        <f>F98/H97</f>
        <v>1.0713231288550782</v>
      </c>
      <c r="V97" s="24">
        <v>3158</v>
      </c>
      <c r="X97" s="1171">
        <f>H97/V97</f>
        <v>0.89342653578214049</v>
      </c>
      <c r="Z97" s="1396">
        <f>(X97/X90-1)*100</f>
        <v>-2.3618505554323765</v>
      </c>
      <c r="AA97" s="1155"/>
      <c r="AB97" s="1597">
        <v>37.644743999999996</v>
      </c>
      <c r="AD97" s="1178">
        <f>H97/AB97</f>
        <v>74.949134997438165</v>
      </c>
      <c r="AF97" s="1408">
        <f>(AD97/AD90-1)*100</f>
        <v>-4.8232827757525243</v>
      </c>
      <c r="AG97" s="1155"/>
      <c r="AH97" s="1400"/>
      <c r="AI97" s="1401">
        <f>((F97-('yrP&amp;L'!$N$18/4))/J97)</f>
        <v>0.81039618951273673</v>
      </c>
      <c r="AJ97" s="1402"/>
      <c r="AK97" s="1224">
        <f>J97/(F97/(365/4))</f>
        <v>96.151302811474622</v>
      </c>
      <c r="AM97" s="1224">
        <f>H97/(F98/(365/4))</f>
        <v>85.175049004606834</v>
      </c>
      <c r="AN97" s="1061"/>
    </row>
    <row r="98" spans="1:44" hidden="1" outlineLevel="1">
      <c r="A98" s="1045" t="str">
        <f>$A$49</f>
        <v>4Q</v>
      </c>
      <c r="B98" s="1045" t="str">
        <f>$B$14</f>
        <v>Jan</v>
      </c>
      <c r="D98" s="1183">
        <f>'qtrP&amp;L'!BB$13</f>
        <v>4650.6040000000003</v>
      </c>
      <c r="F98" s="1183">
        <f>'qtrP&amp;L'!BB$23</f>
        <v>3022.6750000000002</v>
      </c>
      <c r="H98" s="1176">
        <f>work!AX$13</f>
        <v>2047.8789999999999</v>
      </c>
      <c r="J98" s="1183">
        <f>AVERAGE(H97:H98)</f>
        <v>2434.66</v>
      </c>
      <c r="L98" s="1398">
        <f>(D98/D91-1)*100</f>
        <v>13.717125653330076</v>
      </c>
      <c r="M98" s="1155"/>
      <c r="N98" s="1396">
        <f>(H98/H91-1)*100</f>
        <v>15.790113495716685</v>
      </c>
      <c r="O98" s="1155"/>
      <c r="P98" s="1263">
        <f>(H98/H97-1)*100</f>
        <v>-27.417266566977649</v>
      </c>
      <c r="Q98" s="1155"/>
      <c r="R98" s="1177">
        <f>F98/J98</f>
        <v>1.2415183228869742</v>
      </c>
      <c r="T98" s="1177">
        <f>F102/H98</f>
        <v>1.013131146908582</v>
      </c>
      <c r="V98" s="24">
        <v>3117</v>
      </c>
      <c r="X98" s="1171">
        <f>H98/V98</f>
        <v>0.65700320821302527</v>
      </c>
      <c r="Z98" s="1396">
        <f>(X98/X91-1)*100</f>
        <v>15.047154795070439</v>
      </c>
      <c r="AA98" s="1155"/>
      <c r="AB98" s="1597">
        <v>37.251519999999999</v>
      </c>
      <c r="AD98" s="1178">
        <f>H98/AB98</f>
        <v>54.974374200032642</v>
      </c>
      <c r="AF98" s="1408">
        <f>(AD98/AD91-1)*100</f>
        <v>12.93626631515612</v>
      </c>
      <c r="AG98" s="1155"/>
      <c r="AH98" s="1400"/>
      <c r="AI98" s="1401">
        <f>((F98-('yrP&amp;L'!$N$18/4))/J98)</f>
        <v>1.1017618322476239</v>
      </c>
      <c r="AJ98" s="1400"/>
      <c r="AK98" s="1224">
        <f>J98/(F98/(365/4))</f>
        <v>73.498713887533384</v>
      </c>
      <c r="AM98" s="1409" t="s">
        <v>644</v>
      </c>
      <c r="AN98" s="1061"/>
    </row>
    <row r="99" spans="1:44" hidden="1" outlineLevel="1">
      <c r="B99" s="1045" t="str">
        <f>$B$15</f>
        <v>Year</v>
      </c>
      <c r="D99" s="1170">
        <f>SUM(D95:D98)</f>
        <v>14454.708999999999</v>
      </c>
      <c r="F99" s="1170">
        <f>SUM(F95:F98)</f>
        <v>9541.5580000000009</v>
      </c>
      <c r="J99" s="1170">
        <f>AVERAGE(J95:J98)</f>
        <v>2152.4712500000001</v>
      </c>
      <c r="L99" s="1263">
        <f>(D99/D92-1)*100</f>
        <v>4.3821603505462381</v>
      </c>
      <c r="M99" s="1155"/>
      <c r="O99" s="1155"/>
      <c r="Q99" s="1155"/>
      <c r="R99" s="1399">
        <f>F99/J99</f>
        <v>4.4328387661391533</v>
      </c>
      <c r="S99" s="1395" t="s">
        <v>590</v>
      </c>
      <c r="T99" s="1177"/>
      <c r="AA99" s="1155"/>
      <c r="AG99" s="1155"/>
      <c r="AH99" s="1400"/>
      <c r="AI99" s="1407">
        <f>((F99-('yrP&amp;L'!$N$18))/J99)</f>
        <v>3.8005245598518447</v>
      </c>
      <c r="AJ99" s="1404" t="s">
        <v>590</v>
      </c>
    </row>
    <row r="100" spans="1:44" hidden="1" outlineLevel="1">
      <c r="M100" s="1155"/>
      <c r="O100" s="1155"/>
      <c r="Q100" s="1155"/>
      <c r="T100" s="1177"/>
      <c r="AA100" s="1155"/>
      <c r="AB100" s="1597"/>
      <c r="AG100" s="1155"/>
      <c r="AH100" s="1397"/>
      <c r="AI100" s="1155"/>
      <c r="AJ100" s="1155"/>
    </row>
    <row r="101" spans="1:44" hidden="1" outlineLevel="1">
      <c r="B101" s="1188">
        <f>+B94+1</f>
        <v>2003</v>
      </c>
      <c r="M101" s="1155"/>
      <c r="O101" s="1155"/>
      <c r="Q101" s="1155"/>
      <c r="T101" s="1177"/>
      <c r="AA101" s="1155"/>
      <c r="AB101" s="1597"/>
      <c r="AG101" s="1155"/>
      <c r="AH101" s="1397"/>
      <c r="AI101" s="1155"/>
      <c r="AJ101" s="1155"/>
    </row>
    <row r="102" spans="1:44" hidden="1" outlineLevel="1">
      <c r="A102" s="1045" t="str">
        <f>$A$46</f>
        <v>1Q</v>
      </c>
      <c r="B102" s="1045" t="str">
        <f>$B$11</f>
        <v>Apr</v>
      </c>
      <c r="C102" s="1155"/>
      <c r="D102" s="1170">
        <f>'qtrP&amp;L'!BF$10</f>
        <v>3352.7710000000002</v>
      </c>
      <c r="F102" s="1170">
        <f>'qtrP&amp;L'!BF$20</f>
        <v>2074.77</v>
      </c>
      <c r="H102" s="1170">
        <f>work!BB10</f>
        <v>2111.3879999999999</v>
      </c>
      <c r="J102" s="1170">
        <f>AVERAGE(H102,H98)</f>
        <v>2079.6334999999999</v>
      </c>
      <c r="L102" s="1263">
        <f>(D102/D95-1)*100</f>
        <v>15.979127174108566</v>
      </c>
      <c r="M102" s="1155" t="s">
        <v>489</v>
      </c>
      <c r="N102" s="1263">
        <f>(H102/H95-1)*100</f>
        <v>17.77613036777219</v>
      </c>
      <c r="O102" s="1155" t="s">
        <v>489</v>
      </c>
      <c r="P102" s="1263">
        <f>(H102/H98-1)*100</f>
        <v>3.1012086163293873</v>
      </c>
      <c r="Q102" s="1155" t="s">
        <v>489</v>
      </c>
      <c r="R102" s="1177">
        <f>F102/J102</f>
        <v>0.99766136677448214</v>
      </c>
      <c r="S102" s="1045" t="s">
        <v>590</v>
      </c>
      <c r="T102" s="1177">
        <f>F103/H102</f>
        <v>1.1174161262638607</v>
      </c>
      <c r="V102" s="24">
        <v>3105</v>
      </c>
      <c r="X102" s="1171">
        <f>H102/V102</f>
        <v>0.67999613526570046</v>
      </c>
      <c r="Z102" s="1396">
        <f>(X102/X95-1)*100</f>
        <v>18.534752785600041</v>
      </c>
      <c r="AA102" s="1155" t="s">
        <v>489</v>
      </c>
      <c r="AB102" s="1597">
        <v>37.186894000000002</v>
      </c>
      <c r="AD102" s="1174">
        <f>H102/AB102</f>
        <v>56.777745406755393</v>
      </c>
      <c r="AF102" s="1408">
        <f>(AD102/AD95-1)*100</f>
        <v>17.000516581090096</v>
      </c>
      <c r="AG102" s="1155" t="s">
        <v>489</v>
      </c>
      <c r="AH102" s="1400"/>
      <c r="AI102" s="1401">
        <f>((F102-('yrP&amp;L'!$O$18/4))/J102)</f>
        <v>0.83132280880260878</v>
      </c>
      <c r="AJ102" s="1402" t="s">
        <v>590</v>
      </c>
      <c r="AK102" s="1224">
        <f>J102/(F102/(365/4))</f>
        <v>91.463900516683779</v>
      </c>
      <c r="AM102" s="1224">
        <f>H102/(F103/(365/4))</f>
        <v>81.66161007994323</v>
      </c>
      <c r="AN102" s="1061"/>
    </row>
    <row r="103" spans="1:44" hidden="1" outlineLevel="1">
      <c r="A103" s="1045" t="str">
        <f>$A$47</f>
        <v>2Q</v>
      </c>
      <c r="B103" s="1045" t="str">
        <f>$B$12</f>
        <v>Jul</v>
      </c>
      <c r="D103" s="1176">
        <f>'qtrP&amp;L'!BF$11</f>
        <v>3685.299</v>
      </c>
      <c r="F103" s="1176">
        <f>'qtrP&amp;L'!BF$21</f>
        <v>2359.299</v>
      </c>
      <c r="H103" s="1176">
        <f>work!BB11</f>
        <v>2273.645</v>
      </c>
      <c r="J103" s="1176">
        <f>AVERAGE(H102:H103)</f>
        <v>2192.5164999999997</v>
      </c>
      <c r="L103" s="1263">
        <f>(D103/D96-1)*100</f>
        <v>12.758585556016877</v>
      </c>
      <c r="M103" s="1155"/>
      <c r="N103" s="1263">
        <f>(H103/H96-1)*100</f>
        <v>8.9179083921560931</v>
      </c>
      <c r="O103" s="1155"/>
      <c r="P103" s="1263">
        <f>(H103/H102-1)*100</f>
        <v>7.6848499659939451</v>
      </c>
      <c r="Q103" s="1155"/>
      <c r="R103" s="1177">
        <f>F103/J103</f>
        <v>1.0760689828331966</v>
      </c>
      <c r="T103" s="1177">
        <f>F104/H103</f>
        <v>1.0566539631296883</v>
      </c>
      <c r="V103" s="24">
        <v>3095</v>
      </c>
      <c r="X103" s="1171">
        <f>H103/V103</f>
        <v>0.73461873990306947</v>
      </c>
      <c r="Z103" s="1396">
        <f>(X103/X96-1)*100</f>
        <v>10.466337461382235</v>
      </c>
      <c r="AA103" s="1155"/>
      <c r="AB103" s="1597">
        <v>37.132281000000006</v>
      </c>
      <c r="AD103" s="1178">
        <f>H103/AB103</f>
        <v>61.230954273991401</v>
      </c>
      <c r="AF103" s="1408">
        <f>(AD103/AD96-1)*100</f>
        <v>9.6367605609084972</v>
      </c>
      <c r="AG103" s="1155"/>
      <c r="AH103" s="1400"/>
      <c r="AI103" s="1401">
        <f>((F103-('yrP&amp;L'!$O$18/4))/J103)</f>
        <v>0.91829446323437036</v>
      </c>
      <c r="AJ103" s="1402"/>
      <c r="AK103" s="1224">
        <f>J103/(F103/(365/4))</f>
        <v>84.799396187172533</v>
      </c>
      <c r="AM103" s="1224">
        <f>H103/(F104/(365/4))</f>
        <v>86.357505090623931</v>
      </c>
      <c r="AN103" s="1061"/>
    </row>
    <row r="104" spans="1:44" hidden="1" outlineLevel="1">
      <c r="A104" s="1045" t="str">
        <f>$A$48</f>
        <v>3Q</v>
      </c>
      <c r="B104" s="1045" t="str">
        <f>$B$13</f>
        <v>Oct</v>
      </c>
      <c r="D104" s="1176">
        <f>'qtrP&amp;L'!BF$12</f>
        <v>3929.4560000000001</v>
      </c>
      <c r="F104" s="1176">
        <f>'qtrP&amp;L'!BF$22</f>
        <v>2402.4560000000001</v>
      </c>
      <c r="H104" s="1176">
        <f>work!BB12</f>
        <v>2594.5079999999998</v>
      </c>
      <c r="J104" s="1176">
        <f>AVERAGE(H103:H104)</f>
        <v>2434.0765000000001</v>
      </c>
      <c r="L104" s="1263">
        <f>(D104/D97-1)*100</f>
        <v>7.8053068404666526</v>
      </c>
      <c r="M104" s="1155"/>
      <c r="N104" s="1263">
        <f>(H104/H97-1)*100</f>
        <v>-8.0431595060821763</v>
      </c>
      <c r="O104" s="1155"/>
      <c r="P104" s="1263">
        <f>(H104/H103-1)*100</f>
        <v>14.112273463975233</v>
      </c>
      <c r="Q104" s="1155"/>
      <c r="R104" s="1177">
        <f>F104/J104</f>
        <v>0.98700924149261537</v>
      </c>
      <c r="T104" s="1177">
        <f>F105/H104</f>
        <v>1.1748909619858565</v>
      </c>
      <c r="V104" s="24">
        <v>3075</v>
      </c>
      <c r="X104" s="1171">
        <f>H104/V104</f>
        <v>0.84374243902439017</v>
      </c>
      <c r="Z104" s="1396">
        <f>(X104/X97-1)*100</f>
        <v>-5.5610724293357787</v>
      </c>
      <c r="AA104" s="1155"/>
      <c r="AB104" s="1597">
        <v>36.976785000000007</v>
      </c>
      <c r="AD104" s="1178">
        <f>H104/AB104</f>
        <v>70.165862175416265</v>
      </c>
      <c r="AF104" s="1408">
        <f>(AD104/AD97-1)*100</f>
        <v>-6.3820253858638871</v>
      </c>
      <c r="AG104" s="1155"/>
      <c r="AH104" s="1400"/>
      <c r="AI104" s="1401">
        <f>((F104-('yrP&amp;L'!$O$18/4))/J104)</f>
        <v>0.84489241094106937</v>
      </c>
      <c r="AJ104" s="1402"/>
      <c r="AK104" s="1224">
        <f>J104/(F104/(365/4))</f>
        <v>92.451008728151521</v>
      </c>
      <c r="AM104" s="1224">
        <f>H104/(F105/(365/4))</f>
        <v>77.666781814173561</v>
      </c>
      <c r="AN104" s="1061"/>
    </row>
    <row r="105" spans="1:44" hidden="1" outlineLevel="1">
      <c r="A105" s="1045" t="str">
        <f>$A$49</f>
        <v>4Q</v>
      </c>
      <c r="B105" s="1045" t="str">
        <f>$B$14</f>
        <v>Jan</v>
      </c>
      <c r="D105" s="1183">
        <f>'qtrP&amp;L'!BF$13</f>
        <v>4886.2640000000001</v>
      </c>
      <c r="F105" s="1183">
        <f>'qtrP&amp;L'!BF$23</f>
        <v>3048.2640000000001</v>
      </c>
      <c r="H105" s="1176">
        <f>bal!AE$12</f>
        <v>1704</v>
      </c>
      <c r="J105" s="1183">
        <f>AVERAGE(H104:H105)</f>
        <v>2149.2539999999999</v>
      </c>
      <c r="L105" s="1398">
        <f>(D105/D98-1)*100</f>
        <v>5.0672987852760532</v>
      </c>
      <c r="M105" s="1155"/>
      <c r="N105" s="1396">
        <f>(H105/H98-1)*100</f>
        <v>-16.791958899915471</v>
      </c>
      <c r="O105" s="1155"/>
      <c r="P105" s="1263">
        <f>(H105/H104-1)*100</f>
        <v>-34.322808023717791</v>
      </c>
      <c r="Q105" s="1155"/>
      <c r="R105" s="1177">
        <f>F105/J105</f>
        <v>1.4182893227138347</v>
      </c>
      <c r="T105" s="1177">
        <f>F109/H105</f>
        <v>1.2250968309859156</v>
      </c>
      <c r="V105" s="24">
        <v>3022</v>
      </c>
      <c r="X105" s="1171">
        <f>H105/V105</f>
        <v>0.56386499007279944</v>
      </c>
      <c r="Z105" s="1396">
        <f>(X105/X98-1)*100</f>
        <v>-14.176219685981639</v>
      </c>
      <c r="AA105" s="1155"/>
      <c r="AB105" s="1597">
        <v>36.518203999999997</v>
      </c>
      <c r="AD105" s="1178">
        <f>H105/AB105</f>
        <v>46.66165948358249</v>
      </c>
      <c r="AF105" s="1408">
        <f>(AD105/AD98-1)*100</f>
        <v>-15.121072022035342</v>
      </c>
      <c r="AG105" s="1155"/>
      <c r="AH105" s="1400"/>
      <c r="AI105" s="1401">
        <f>((F105-('yrP&amp;L'!$O$18/4))/J105)</f>
        <v>1.2573389476069372</v>
      </c>
      <c r="AJ105" s="1400"/>
      <c r="AK105" s="1224">
        <f>J105/(F105/(365/4))</f>
        <v>64.338071604034283</v>
      </c>
      <c r="AM105" s="1409" t="s">
        <v>644</v>
      </c>
      <c r="AN105" s="1410">
        <v>37945</v>
      </c>
      <c r="AO105" s="1045" t="s">
        <v>290</v>
      </c>
      <c r="AR105" s="1155"/>
    </row>
    <row r="106" spans="1:44" hidden="1" outlineLevel="1">
      <c r="B106" s="1045" t="str">
        <f>$B$15</f>
        <v>Year</v>
      </c>
      <c r="D106" s="1170">
        <f>SUM(D102:D105)</f>
        <v>15853.79</v>
      </c>
      <c r="F106" s="1170">
        <f>SUM(F102:F105)</f>
        <v>9884.7890000000007</v>
      </c>
      <c r="J106" s="1170">
        <f>AVERAGE(J102:J105)</f>
        <v>2213.8701249999999</v>
      </c>
      <c r="L106" s="1263">
        <f>(D106/D99-1)*100</f>
        <v>9.6790672160885549</v>
      </c>
      <c r="M106" s="1155"/>
      <c r="O106" s="1155"/>
      <c r="Q106" s="1155"/>
      <c r="R106" s="1399">
        <f>F106/J106</f>
        <v>4.4649362617872628</v>
      </c>
      <c r="S106" s="1395" t="s">
        <v>590</v>
      </c>
      <c r="T106" s="1177"/>
      <c r="AA106" s="1155"/>
      <c r="AH106" s="1400"/>
      <c r="AI106" s="1407">
        <f>((F106-('yrP&amp;L'!$O$18))/J106)</f>
        <v>3.8399253659922805</v>
      </c>
      <c r="AJ106" s="1404" t="s">
        <v>590</v>
      </c>
    </row>
    <row r="107" spans="1:44" hidden="1" outlineLevel="1">
      <c r="D107" s="1170"/>
      <c r="F107" s="1170"/>
      <c r="H107" s="1170"/>
      <c r="J107" s="1170"/>
      <c r="L107" s="1263"/>
      <c r="N107" s="1263"/>
      <c r="P107" s="1263"/>
      <c r="R107" s="1177"/>
      <c r="T107" s="1411"/>
      <c r="X107" s="1171"/>
      <c r="Z107" s="1396"/>
      <c r="AA107" s="1155"/>
      <c r="AB107" s="1911"/>
      <c r="AD107" s="1174"/>
      <c r="AF107" s="1396"/>
      <c r="AG107" s="1155"/>
      <c r="AH107" s="1397"/>
      <c r="AI107" s="1155"/>
      <c r="AJ107" s="1155"/>
    </row>
    <row r="108" spans="1:44" hidden="1" outlineLevel="1">
      <c r="B108" s="1204">
        <f>+B101+1</f>
        <v>2004</v>
      </c>
      <c r="M108" s="1155"/>
      <c r="O108" s="1155"/>
      <c r="Q108" s="1155"/>
      <c r="T108" s="1177"/>
      <c r="AA108" s="1155"/>
      <c r="AB108" s="1597"/>
      <c r="AG108" s="1155"/>
      <c r="AH108" s="1397"/>
      <c r="AI108" s="1155"/>
      <c r="AJ108" s="1155"/>
    </row>
    <row r="109" spans="1:44" hidden="1" outlineLevel="1">
      <c r="A109" s="1045" t="str">
        <f>$A$46</f>
        <v>1Q</v>
      </c>
      <c r="B109" s="1045" t="str">
        <f>$B$11</f>
        <v>Apr</v>
      </c>
      <c r="C109" s="1155"/>
      <c r="D109" s="1170">
        <f>'qtrP&amp;L'!BJ$10</f>
        <v>3667.5650000000001</v>
      </c>
      <c r="F109" s="1170">
        <f>'qtrP&amp;L'!BJ$20</f>
        <v>2087.5650000000001</v>
      </c>
      <c r="H109" s="1170">
        <f>work!BF10</f>
        <v>1815.7539999999999</v>
      </c>
      <c r="J109" s="1170">
        <f>AVERAGE(H109,H105)</f>
        <v>1759.877</v>
      </c>
      <c r="L109" s="1263">
        <f>(D109/D102-1)*100</f>
        <v>9.3890695189143614</v>
      </c>
      <c r="M109" s="1155" t="s">
        <v>489</v>
      </c>
      <c r="N109" s="1263">
        <f>(H109/H102-1)*100</f>
        <v>-14.001879332458078</v>
      </c>
      <c r="O109" s="1155" t="s">
        <v>489</v>
      </c>
      <c r="P109" s="1263">
        <f>(H109/H105-1)*100</f>
        <v>6.5583333333333327</v>
      </c>
      <c r="Q109" s="1155" t="s">
        <v>489</v>
      </c>
      <c r="R109" s="1177">
        <f>F109/J109</f>
        <v>1.186199376433694</v>
      </c>
      <c r="S109" s="1045" t="s">
        <v>590</v>
      </c>
      <c r="T109" s="1177">
        <f>F110/H109</f>
        <v>1.2605171185083444</v>
      </c>
      <c r="V109" s="24">
        <f>'Store New'!B167</f>
        <v>3016</v>
      </c>
      <c r="X109" s="1171">
        <f>H109/V109</f>
        <v>0.60204045092838188</v>
      </c>
      <c r="Z109" s="1396">
        <f>(X109/X102-1)*100</f>
        <v>-11.46413638172492</v>
      </c>
      <c r="AA109" s="1155" t="s">
        <v>489</v>
      </c>
      <c r="AB109" s="1597">
        <f>'Store New'!C170</f>
        <v>36.5</v>
      </c>
      <c r="AD109" s="1174">
        <f>H109/AB109</f>
        <v>49.746684931506849</v>
      </c>
      <c r="AF109" s="1408">
        <f>(AD109/AD102-1)*100</f>
        <v>-12.383479521559149</v>
      </c>
      <c r="AG109" s="1155" t="s">
        <v>489</v>
      </c>
      <c r="AH109" s="1400"/>
      <c r="AI109" s="1401">
        <f>((F109-('yrP&amp;L'!$P$18/4))/J109)</f>
        <v>0.98708439567083384</v>
      </c>
      <c r="AJ109" s="1402" t="s">
        <v>590</v>
      </c>
      <c r="AK109" s="1224">
        <f>J109/(F109/(365/4))</f>
        <v>76.926359778018877</v>
      </c>
      <c r="AM109" s="1224">
        <f>H109/(F110/(365/4))</f>
        <v>72.390924851526279</v>
      </c>
      <c r="AN109" s="1061"/>
    </row>
    <row r="110" spans="1:44" hidden="1" outlineLevel="1">
      <c r="A110" s="1045" t="str">
        <f>$A$47</f>
        <v>2Q</v>
      </c>
      <c r="B110" s="1045" t="str">
        <f>$B$12</f>
        <v>Jul</v>
      </c>
      <c r="D110" s="1176">
        <f>'qtrP&amp;L'!BJ$11</f>
        <v>3720.7890000000002</v>
      </c>
      <c r="F110" s="1176">
        <f>'qtrP&amp;L'!BJ$21</f>
        <v>2288.7890000000002</v>
      </c>
      <c r="H110" s="1176">
        <f>work!BF11</f>
        <v>2087.4749999999999</v>
      </c>
      <c r="J110" s="1176">
        <f>AVERAGE(H109:H110)</f>
        <v>1951.6144999999999</v>
      </c>
      <c r="L110" s="1263">
        <f>(D110/D103-1)*100</f>
        <v>0.96301548395394398</v>
      </c>
      <c r="M110" s="1155"/>
      <c r="N110" s="1263">
        <f>(H110/H103-1)*100</f>
        <v>-8.1881736154940654</v>
      </c>
      <c r="O110" s="1155"/>
      <c r="P110" s="1263">
        <f>(H110/H109-1)*100</f>
        <v>14.964637280160197</v>
      </c>
      <c r="Q110" s="1155"/>
      <c r="R110" s="1177">
        <f>F110/J110</f>
        <v>1.1727669578187703</v>
      </c>
      <c r="T110" s="1177">
        <f>F111/H110</f>
        <v>1.1564210349824549</v>
      </c>
      <c r="V110" s="24">
        <f>'Store New'!C167</f>
        <v>2999</v>
      </c>
      <c r="X110" s="1171">
        <f>H110/V110</f>
        <v>0.69605701900633543</v>
      </c>
      <c r="Z110" s="1396">
        <f>(X110/X103-1)*100</f>
        <v>-5.24921551849088</v>
      </c>
      <c r="AA110" s="1155"/>
      <c r="AB110" s="1597">
        <f>'Store New'!C172</f>
        <v>36.4</v>
      </c>
      <c r="AD110" s="1178">
        <f>H110/AB110</f>
        <v>57.348214285714285</v>
      </c>
      <c r="AF110" s="1408">
        <f>(AD110/AD103-1)*100</f>
        <v>-6.341139108992067</v>
      </c>
      <c r="AG110" s="1155"/>
      <c r="AH110" s="1400"/>
      <c r="AI110" s="1401">
        <f>((F110-('yrP&amp;L'!$P$18/4))/J110)</f>
        <v>0.99321414398181618</v>
      </c>
      <c r="AJ110" s="1402"/>
      <c r="AK110" s="1224">
        <f>J110/(F110/(365/4))</f>
        <v>77.80744451541841</v>
      </c>
      <c r="AM110" s="1224">
        <f>H110/(F111/(365/4))</f>
        <v>78.907246789560887</v>
      </c>
      <c r="AN110" s="1061"/>
    </row>
    <row r="111" spans="1:44" hidden="1" outlineLevel="1">
      <c r="A111" s="1045" t="str">
        <f>$A$48</f>
        <v>3Q</v>
      </c>
      <c r="B111" s="1045" t="str">
        <f>$B$13</f>
        <v>Oct</v>
      </c>
      <c r="D111" s="1176">
        <f>'qtrP&amp;L'!BJ$12</f>
        <v>3980.15</v>
      </c>
      <c r="F111" s="1176">
        <f>'qtrP&amp;L'!BJ$22</f>
        <v>2414</v>
      </c>
      <c r="H111" s="1176">
        <f>work!BF12</f>
        <v>2629.2890000000002</v>
      </c>
      <c r="J111" s="1176">
        <f>AVERAGE(H110:H111)</f>
        <v>2358.3820000000001</v>
      </c>
      <c r="L111" s="1263">
        <f>(D111/D104-1)*100</f>
        <v>1.2901022431603737</v>
      </c>
      <c r="M111" s="1155"/>
      <c r="N111" s="1263">
        <f>(H111/H104-1)*100</f>
        <v>1.3405624496050983</v>
      </c>
      <c r="O111" s="1155"/>
      <c r="P111" s="1263">
        <f>(H111/H110-1)*100</f>
        <v>25.955472520628998</v>
      </c>
      <c r="Q111" s="1155"/>
      <c r="R111" s="1177">
        <f>F111/J111</f>
        <v>1.0235831175780683</v>
      </c>
      <c r="T111" s="1177">
        <f>F112/H111</f>
        <v>1.1775046409884953</v>
      </c>
      <c r="V111" s="24">
        <f>'Store New'!D167</f>
        <v>3051</v>
      </c>
      <c r="X111" s="1171">
        <f>H111/V111</f>
        <v>0.86177941658472634</v>
      </c>
      <c r="Z111" s="1396">
        <f>(X111/X104-1)*100</f>
        <v>2.1377350155803665</v>
      </c>
      <c r="AA111" s="1155"/>
      <c r="AB111" s="1597">
        <f>'Store New'!D172</f>
        <v>37</v>
      </c>
      <c r="AD111" s="1178">
        <f>H111/AB111</f>
        <v>71.061864864864873</v>
      </c>
      <c r="AF111" s="1408">
        <f>(AD111/AD104-1)*100</f>
        <v>1.2769780940032893</v>
      </c>
      <c r="AG111" s="1155"/>
      <c r="AH111" s="1400"/>
      <c r="AI111" s="1401">
        <f>((F111-('yrP&amp;L'!$P$18/4))/J111)</f>
        <v>0.87499909895852324</v>
      </c>
      <c r="AJ111" s="1402"/>
      <c r="AK111" s="1224">
        <f>J111/(F111/(365/4))</f>
        <v>89.14762116818558</v>
      </c>
      <c r="AM111" s="1224">
        <f>H111/(F112/(365/4))</f>
        <v>77.494386708656336</v>
      </c>
      <c r="AN111" s="1061"/>
    </row>
    <row r="112" spans="1:44" hidden="1" outlineLevel="1">
      <c r="A112" s="1045" t="str">
        <f>$A$49</f>
        <v>4Q</v>
      </c>
      <c r="B112" s="1045" t="str">
        <f>$B$14</f>
        <v>Jan</v>
      </c>
      <c r="D112" s="1183">
        <f>'qtrP&amp;L'!BJ$13</f>
        <v>4898.8969999999999</v>
      </c>
      <c r="F112" s="1183">
        <f>'qtrP&amp;L'!BJ$23</f>
        <v>3096</v>
      </c>
      <c r="H112" s="1176">
        <f>work!BF13</f>
        <v>1813.5809999999999</v>
      </c>
      <c r="J112" s="1183">
        <f>AVERAGE(H111:H112)</f>
        <v>2221.4349999999999</v>
      </c>
      <c r="L112" s="1398">
        <f>(D112/D105-1)*100</f>
        <v>0.25854108578660107</v>
      </c>
      <c r="M112" s="1155"/>
      <c r="N112" s="1396">
        <f>(H112/H105-1)*100</f>
        <v>6.4308098591549179</v>
      </c>
      <c r="O112" s="1155"/>
      <c r="P112" s="1263">
        <f>(H112/H111-1)*100</f>
        <v>-31.023900377630621</v>
      </c>
      <c r="Q112" s="1155"/>
      <c r="R112" s="1177">
        <f>F112/J112</f>
        <v>1.3936937159988927</v>
      </c>
      <c r="T112" s="1177">
        <f>F116/H112</f>
        <v>1.1828961595870269</v>
      </c>
      <c r="V112" s="24">
        <f>'Store New'!E167</f>
        <v>2994</v>
      </c>
      <c r="X112" s="1171">
        <f>H112/V112</f>
        <v>0.60573847695390781</v>
      </c>
      <c r="Z112" s="1396">
        <f>(X112/X105-1)*100</f>
        <v>7.4261547743374123</v>
      </c>
      <c r="AA112" s="1155"/>
      <c r="AB112" s="1597">
        <f>'Store New'!E172</f>
        <v>36.6</v>
      </c>
      <c r="AD112" s="1178">
        <f>H112/AB112</f>
        <v>49.551393442622945</v>
      </c>
      <c r="AF112" s="1408">
        <f>(AD112/AD105-1)*100</f>
        <v>6.192951538847824</v>
      </c>
      <c r="AG112" s="1155"/>
      <c r="AH112" s="1400"/>
      <c r="AI112" s="1401">
        <f>((F112-('yrP&amp;L'!$P$18/4))/J112)</f>
        <v>1.2359497914636259</v>
      </c>
      <c r="AJ112" s="1400"/>
      <c r="AK112" s="1224">
        <f>J112/(F112/(365/4))</f>
        <v>65.473496043281656</v>
      </c>
      <c r="AM112" s="1409" t="s">
        <v>644</v>
      </c>
      <c r="AN112" s="1061"/>
    </row>
    <row r="113" spans="1:40" hidden="1" outlineLevel="1">
      <c r="B113" s="1045" t="str">
        <f>$B$15</f>
        <v>Year</v>
      </c>
      <c r="D113" s="1170">
        <f>SUM(D109:D112)</f>
        <v>16267.401000000002</v>
      </c>
      <c r="F113" s="1170">
        <f>SUM(F109:F112)</f>
        <v>9886.3539999999994</v>
      </c>
      <c r="J113" s="1170">
        <f>AVERAGE(J109:J112)</f>
        <v>2072.8271249999998</v>
      </c>
      <c r="L113" s="1263">
        <f>(D113/D106-1)*100</f>
        <v>2.608909289198369</v>
      </c>
      <c r="M113" s="1155"/>
      <c r="O113" s="1155"/>
      <c r="Q113" s="1155"/>
      <c r="R113" s="1399">
        <f>F113/J113</f>
        <v>4.7695024253409457</v>
      </c>
      <c r="S113" s="1395" t="s">
        <v>590</v>
      </c>
      <c r="T113" s="1177"/>
      <c r="AA113" s="1155"/>
      <c r="AG113" s="1155"/>
      <c r="AH113" s="1400"/>
      <c r="AI113" s="1407">
        <f>((F113-('yrP&amp;L'!$P$18))/J113)</f>
        <v>4.0932899795008231</v>
      </c>
      <c r="AJ113" s="1404" t="s">
        <v>590</v>
      </c>
    </row>
    <row r="114" spans="1:40" hidden="1" outlineLevel="1">
      <c r="D114" s="1170"/>
      <c r="F114" s="1170"/>
      <c r="H114" s="1170"/>
      <c r="J114" s="1170"/>
      <c r="L114" s="1263"/>
      <c r="N114" s="1263"/>
      <c r="P114" s="1263"/>
      <c r="R114" s="1177"/>
      <c r="T114" s="1411"/>
      <c r="X114" s="1171"/>
      <c r="Z114" s="1396"/>
      <c r="AA114" s="1155"/>
      <c r="AB114" s="1911"/>
      <c r="AD114" s="1174"/>
      <c r="AF114" s="1396"/>
      <c r="AG114" s="1155"/>
      <c r="AH114" s="1397"/>
      <c r="AI114" s="1155"/>
      <c r="AJ114" s="1155"/>
    </row>
    <row r="115" spans="1:40" ht="11.25" hidden="1" customHeight="1" outlineLevel="1">
      <c r="B115" s="1204">
        <f>+B108+1</f>
        <v>2005</v>
      </c>
      <c r="M115" s="1155"/>
      <c r="O115" s="1155"/>
      <c r="Q115" s="1155"/>
      <c r="T115" s="1177"/>
      <c r="AA115" s="1155"/>
      <c r="AB115" s="1597"/>
      <c r="AG115" s="1155"/>
      <c r="AH115" s="1397"/>
      <c r="AI115" s="1155"/>
      <c r="AJ115" s="1155"/>
    </row>
    <row r="116" spans="1:40" ht="12" hidden="1" customHeight="1" outlineLevel="1">
      <c r="A116" s="1045" t="str">
        <f>$A$46</f>
        <v>1Q</v>
      </c>
      <c r="B116" s="1045" t="str">
        <f>$B$11</f>
        <v>Apr</v>
      </c>
      <c r="C116" s="1155"/>
      <c r="D116" s="1170">
        <f>'qtrP&amp;L'!BN$10</f>
        <v>3626.2930000000001</v>
      </c>
      <c r="F116" s="1170">
        <f>'qtrP&amp;L'!BN$20</f>
        <v>2145.2779999999998</v>
      </c>
      <c r="H116" s="1170">
        <f>+work!BJ10</f>
        <v>1917.239</v>
      </c>
      <c r="J116" s="1170">
        <f>AVERAGE(H116,H112)</f>
        <v>1865.4099999999999</v>
      </c>
      <c r="L116" s="1263">
        <f>(D116/D109-1)*100</f>
        <v>-1.1253242955475917</v>
      </c>
      <c r="M116" s="1155" t="s">
        <v>489</v>
      </c>
      <c r="N116" s="1263">
        <f>(H116/H109-1)*100</f>
        <v>5.5891381762066983</v>
      </c>
      <c r="O116" s="1155" t="s">
        <v>489</v>
      </c>
      <c r="P116" s="1263">
        <f>(H116/H112-1)*100</f>
        <v>5.7156531745756078</v>
      </c>
      <c r="Q116" s="1155" t="s">
        <v>489</v>
      </c>
      <c r="R116" s="1177">
        <f>F116/J116</f>
        <v>1.1500302882476239</v>
      </c>
      <c r="S116" s="1045" t="s">
        <v>590</v>
      </c>
      <c r="T116" s="1177">
        <f>F117/H116</f>
        <v>1.2161744049646392</v>
      </c>
      <c r="V116" s="24">
        <f>'Store New'!F167</f>
        <v>3010</v>
      </c>
      <c r="X116" s="1171">
        <f>H116/V116</f>
        <v>0.63695647840531566</v>
      </c>
      <c r="Z116" s="1396">
        <f>(X116/X109-1)*100</f>
        <v>5.7996148636011435</v>
      </c>
      <c r="AA116" s="1155" t="s">
        <v>489</v>
      </c>
      <c r="AB116" s="1597">
        <f>'Store New'!F172</f>
        <v>36.9</v>
      </c>
      <c r="AD116" s="1174">
        <f>H116/AB116</f>
        <v>51.95769647696477</v>
      </c>
      <c r="AF116" s="1408">
        <f>(AD116/AD109-1)*100</f>
        <v>4.4445404723995718</v>
      </c>
      <c r="AG116" s="1155" t="s">
        <v>489</v>
      </c>
      <c r="AH116" s="1400"/>
      <c r="AI116" s="1401">
        <f>((F116-('yrP&amp;L'!$Q$18/4))/J116)</f>
        <v>0.95479416723401289</v>
      </c>
      <c r="AJ116" s="1402" t="s">
        <v>590</v>
      </c>
      <c r="AK116" s="1224">
        <f>J116/(F116/(365/4))</f>
        <v>79.345736310165861</v>
      </c>
      <c r="AM116" s="1224">
        <f>H116/(F117/(365/4))</f>
        <v>75.03035718191515</v>
      </c>
      <c r="AN116" s="1061"/>
    </row>
    <row r="117" spans="1:40" ht="12" hidden="1" customHeight="1" outlineLevel="1">
      <c r="A117" s="1045" t="str">
        <f>$A$47</f>
        <v>2Q</v>
      </c>
      <c r="B117" s="1045" t="str">
        <f>$B$12</f>
        <v>Jul</v>
      </c>
      <c r="D117" s="1176">
        <f>'qtrP&amp;L'!BN$11</f>
        <v>3716.2979999999998</v>
      </c>
      <c r="F117" s="1176">
        <f>'qtrP&amp;L'!BN$21</f>
        <v>2331.6970000000001</v>
      </c>
      <c r="H117" s="1176">
        <f>+work!BJ11</f>
        <v>2077.4960000000001</v>
      </c>
      <c r="J117" s="1176">
        <f>AVERAGE(H116:H117)</f>
        <v>1997.3675000000001</v>
      </c>
      <c r="L117" s="1263">
        <f>(D117/D110-1)*100</f>
        <v>-0.12070020632721778</v>
      </c>
      <c r="M117" s="1155"/>
      <c r="N117" s="1263">
        <f>(H117/H110-1)*100</f>
        <v>-0.4780416531934395</v>
      </c>
      <c r="O117" s="1155"/>
      <c r="P117" s="1263">
        <f>(H117/H116-1)*100</f>
        <v>8.3587387905211585</v>
      </c>
      <c r="Q117" s="1155"/>
      <c r="R117" s="1177">
        <f>F117/J117</f>
        <v>1.1673850705991762</v>
      </c>
      <c r="T117" s="1177">
        <f>F118/H117</f>
        <v>1.2018665739909968</v>
      </c>
      <c r="V117" s="24">
        <f>'Store New'!G167</f>
        <v>3029</v>
      </c>
      <c r="X117" s="1171">
        <f>H117/V117</f>
        <v>0.68586860349950485</v>
      </c>
      <c r="Z117" s="1396">
        <f>(X117/X110-1)*100</f>
        <v>-1.4637328880578226</v>
      </c>
      <c r="AA117" s="1155"/>
      <c r="AB117" s="1597">
        <f>'Store New'!G172</f>
        <v>37.1</v>
      </c>
      <c r="AD117" s="1178">
        <f>H117/AB117</f>
        <v>55.99719676549865</v>
      </c>
      <c r="AF117" s="1408">
        <f>(AD117/AD110-1)*100</f>
        <v>-2.3558144521898083</v>
      </c>
      <c r="AG117" s="1155"/>
      <c r="AH117" s="1400"/>
      <c r="AI117" s="1401">
        <f>((F117-('yrP&amp;L'!$Q$18/4))/J117)</f>
        <v>0.98504736234068091</v>
      </c>
      <c r="AJ117" s="1402"/>
      <c r="AK117" s="1224">
        <f>J117/(F117/(365/4))</f>
        <v>78.166152967130799</v>
      </c>
      <c r="AM117" s="1224">
        <f>H117/(F118/(365/4))</f>
        <v>75.923569200355814</v>
      </c>
      <c r="AN117" s="1061"/>
    </row>
    <row r="118" spans="1:40" ht="12" hidden="1" customHeight="1" outlineLevel="1">
      <c r="A118" s="1045" t="str">
        <f>$A$48</f>
        <v>3Q</v>
      </c>
      <c r="B118" s="1045" t="str">
        <f>$B$13</f>
        <v>Oct</v>
      </c>
      <c r="D118" s="1176">
        <f>'qtrP&amp;L'!BN$12</f>
        <v>3859.9059999999999</v>
      </c>
      <c r="F118" s="1176">
        <f>'qtrP&amp;L'!BN$22</f>
        <v>2496.873</v>
      </c>
      <c r="H118" s="1176">
        <f>+work!BJ12</f>
        <v>2545.8789999999999</v>
      </c>
      <c r="J118" s="1176">
        <f>AVERAGE(H117:H118)</f>
        <v>2311.6875</v>
      </c>
      <c r="L118" s="1263">
        <f>(D118/D111-1)*100</f>
        <v>-3.0210921698931026</v>
      </c>
      <c r="M118" s="1155"/>
      <c r="N118" s="1263">
        <f>(H118/H111-1)*100</f>
        <v>-3.1723405072626165</v>
      </c>
      <c r="O118" s="1155"/>
      <c r="P118" s="1263">
        <f>(H118/H117-1)*100</f>
        <v>22.545554841020142</v>
      </c>
      <c r="Q118" s="1155"/>
      <c r="R118" s="1177">
        <f>F118/J118</f>
        <v>1.0801083623975991</v>
      </c>
      <c r="T118" s="1177">
        <f>F119/H118</f>
        <v>1.2490719315411298</v>
      </c>
      <c r="V118" s="24">
        <f>'Store New'!H167</f>
        <v>3112</v>
      </c>
      <c r="X118" s="1171">
        <f>H118/V118</f>
        <v>0.81808451156812334</v>
      </c>
      <c r="Z118" s="1396">
        <f>(X118/X111-1)*100</f>
        <v>-5.0703119818953262</v>
      </c>
      <c r="AA118" s="1155"/>
      <c r="AB118" s="1597">
        <f>'Store New'!H172</f>
        <v>38.1</v>
      </c>
      <c r="AD118" s="1178">
        <f>H118/AB118</f>
        <v>66.820971128608917</v>
      </c>
      <c r="AF118" s="1408">
        <f>(AD118/AD111-1)*100</f>
        <v>-5.9678897314623942</v>
      </c>
      <c r="AG118" s="1155"/>
      <c r="AH118" s="1400"/>
      <c r="AI118" s="1401">
        <f>((F118-('yrP&amp;L'!$Q$18/4))/J118)</f>
        <v>0.92256310054884161</v>
      </c>
      <c r="AJ118" s="1402"/>
      <c r="AK118" s="1224">
        <f>J118/(F118/(365/4))</f>
        <v>84.482264166018851</v>
      </c>
      <c r="AM118" s="1224">
        <f>H118/(F119/(365/4))</f>
        <v>73.054239468349863</v>
      </c>
      <c r="AN118" s="1061"/>
    </row>
    <row r="119" spans="1:40" ht="12" hidden="1" customHeight="1" outlineLevel="1">
      <c r="A119" s="1045" t="str">
        <f>$A$49</f>
        <v>4Q</v>
      </c>
      <c r="B119" s="1045" t="str">
        <f>$B$14</f>
        <v>Jan</v>
      </c>
      <c r="D119" s="1183">
        <f>'qtrP&amp;L'!BN$13</f>
        <v>4820.8829999999998</v>
      </c>
      <c r="F119" s="1183">
        <f>'qtrP&amp;L'!BN$23</f>
        <v>3179.9859999999999</v>
      </c>
      <c r="H119" s="1176">
        <f>bal!AI$12</f>
        <v>1696</v>
      </c>
      <c r="J119" s="1183">
        <f>AVERAGE(H118:H119)</f>
        <v>2120.9395</v>
      </c>
      <c r="L119" s="1398">
        <f>(D119/D112-1)*100</f>
        <v>-1.5924809196845802</v>
      </c>
      <c r="M119" s="1155"/>
      <c r="N119" s="1396">
        <f>(H119/H112-1)*100</f>
        <v>-6.4833608203879507</v>
      </c>
      <c r="O119" s="1155"/>
      <c r="P119" s="1263">
        <f>(H119/H118-1)*100</f>
        <v>-33.382537033378256</v>
      </c>
      <c r="Q119" s="1155"/>
      <c r="R119" s="1177">
        <f>F119/J119</f>
        <v>1.4993289530418006</v>
      </c>
      <c r="T119" s="1177">
        <f>F123/H119</f>
        <v>1.2110849056603774</v>
      </c>
      <c r="V119" s="24">
        <f>'Store New'!I167</f>
        <v>3048</v>
      </c>
      <c r="X119" s="1171">
        <f>H119/V119</f>
        <v>0.55643044619422577</v>
      </c>
      <c r="Z119" s="1396">
        <f>(X119/X112-1)*100</f>
        <v>-8.1401516719952447</v>
      </c>
      <c r="AA119" s="1155"/>
      <c r="AB119" s="1597">
        <f>'Store New'!I172</f>
        <v>37.700000000000003</v>
      </c>
      <c r="AD119" s="1178">
        <f>H119/AB119</f>
        <v>44.986737400530501</v>
      </c>
      <c r="AF119" s="1408">
        <f>(AD119/AD112-1)*100</f>
        <v>-9.2119630245676039</v>
      </c>
      <c r="AG119" s="1155"/>
      <c r="AH119" s="1400"/>
      <c r="AI119" s="1401">
        <f>((F119-('yrP&amp;L'!$Q$18/4))/J119)</f>
        <v>1.3276147610528257</v>
      </c>
      <c r="AJ119" s="1400"/>
      <c r="AK119" s="1224">
        <f>J119/(F119/(365/4))</f>
        <v>60.860560195862497</v>
      </c>
      <c r="AM119" s="1409" t="s">
        <v>644</v>
      </c>
      <c r="AN119" s="1061"/>
    </row>
    <row r="120" spans="1:40" ht="11.25" hidden="1" customHeight="1" outlineLevel="1">
      <c r="B120" s="1045" t="str">
        <f>$B$15</f>
        <v>Year</v>
      </c>
      <c r="D120" s="1170">
        <f>SUM(D116:D119)</f>
        <v>16023.38</v>
      </c>
      <c r="F120" s="1170">
        <f>SUM(F116:F119)</f>
        <v>10153.833999999999</v>
      </c>
      <c r="J120" s="1170">
        <f>AVERAGE(J116:J119)</f>
        <v>2073.8511250000001</v>
      </c>
      <c r="L120" s="1263">
        <f>(D120/D113-1)*100</f>
        <v>-1.5000613804258101</v>
      </c>
      <c r="M120" s="1155"/>
      <c r="O120" s="1155"/>
      <c r="Q120" s="1155"/>
      <c r="R120" s="1399">
        <f>F120/J120</f>
        <v>4.8961248363476422</v>
      </c>
      <c r="S120" s="1395" t="s">
        <v>590</v>
      </c>
      <c r="T120" s="1177"/>
      <c r="AA120" s="1155"/>
      <c r="AG120" s="1155"/>
      <c r="AH120" s="1400"/>
      <c r="AI120" s="1407">
        <f>((F120-('yrP&amp;L'!$Q$18))/J120)</f>
        <v>4.1936724604568703</v>
      </c>
      <c r="AJ120" s="1404" t="s">
        <v>590</v>
      </c>
    </row>
    <row r="121" spans="1:40" ht="11.25" hidden="1" customHeight="1" outlineLevel="1">
      <c r="D121" s="1170"/>
      <c r="F121" s="1170"/>
      <c r="J121" s="1170"/>
      <c r="L121" s="1263"/>
      <c r="M121" s="1155"/>
      <c r="O121" s="1155"/>
      <c r="Q121" s="1155"/>
      <c r="R121" s="1412"/>
      <c r="S121" s="1062"/>
      <c r="T121" s="1177"/>
      <c r="AA121" s="1155"/>
      <c r="AG121" s="1155"/>
      <c r="AH121" s="1400"/>
      <c r="AI121" s="1401"/>
      <c r="AJ121" s="1400"/>
    </row>
    <row r="122" spans="1:40" ht="11.25" hidden="1" customHeight="1" outlineLevel="1">
      <c r="B122" s="1204">
        <f>+B115+1</f>
        <v>2006</v>
      </c>
      <c r="M122" s="1155"/>
      <c r="O122" s="1155"/>
      <c r="Q122" s="1155"/>
      <c r="T122" s="1177"/>
      <c r="V122" s="2000"/>
      <c r="AA122" s="1155"/>
      <c r="AB122" s="1597"/>
      <c r="AG122" s="1155"/>
      <c r="AH122" s="1397"/>
      <c r="AI122" s="1155"/>
      <c r="AJ122" s="1155"/>
    </row>
    <row r="123" spans="1:40" ht="12" hidden="1" customHeight="1" outlineLevel="1">
      <c r="A123" s="1045" t="str">
        <f>$A$46</f>
        <v>1Q</v>
      </c>
      <c r="B123" s="1045" t="str">
        <f>$B$11</f>
        <v>Apr</v>
      </c>
      <c r="C123" s="1155"/>
      <c r="D123" s="1170">
        <f>+'qtrP&amp;L'!BR10</f>
        <v>3439</v>
      </c>
      <c r="F123" s="1170">
        <f>+'qtrP&amp;L'!BR20</f>
        <v>2054</v>
      </c>
      <c r="H123" s="1170">
        <f>+work!BN10</f>
        <v>1906.2329999999999</v>
      </c>
      <c r="J123" s="1170">
        <f>AVERAGE(H123,H119)</f>
        <v>1801.1165000000001</v>
      </c>
      <c r="L123" s="1263">
        <f>(D123/D116-1)*100</f>
        <v>-5.1648611957169521</v>
      </c>
      <c r="M123" s="1155" t="s">
        <v>489</v>
      </c>
      <c r="N123" s="1263">
        <f>(H123/H116-1)*100</f>
        <v>-0.57405466924050907</v>
      </c>
      <c r="O123" s="1155" t="s">
        <v>489</v>
      </c>
      <c r="P123" s="1263">
        <f>(H123/H119-1)*100</f>
        <v>12.395813679245272</v>
      </c>
      <c r="Q123" s="1155" t="s">
        <v>489</v>
      </c>
      <c r="R123" s="1177">
        <f>F123/J123</f>
        <v>1.1404037440110064</v>
      </c>
      <c r="S123" s="1045" t="s">
        <v>590</v>
      </c>
      <c r="T123" s="1177">
        <f>F124/H123</f>
        <v>1.3057165624559013</v>
      </c>
      <c r="V123" s="24">
        <f>'Store New'!J167</f>
        <v>3065</v>
      </c>
      <c r="X123" s="1171">
        <f>H123/V123</f>
        <v>0.62193572593800972</v>
      </c>
      <c r="Z123" s="1396">
        <f>(X123/X116-1)*100</f>
        <v>-2.3582070324352333</v>
      </c>
      <c r="AA123" s="1155" t="s">
        <v>489</v>
      </c>
      <c r="AB123" s="1597">
        <f>'Store New'!J172</f>
        <v>37.900000000000006</v>
      </c>
      <c r="AD123" s="1174">
        <f>H123/AB123</f>
        <v>50.296385224274395</v>
      </c>
      <c r="AF123" s="1408">
        <f>(AD123/AD116-1)*100</f>
        <v>-3.1974305354874777</v>
      </c>
      <c r="AG123" s="1155" t="s">
        <v>489</v>
      </c>
      <c r="AH123" s="1400"/>
      <c r="AI123" s="1401">
        <f>((F123-('yrP&amp;L'!$R$18/4))/J123)</f>
        <v>0.92983525774151754</v>
      </c>
      <c r="AJ123" s="1402" t="s">
        <v>590</v>
      </c>
      <c r="AK123" s="1224">
        <f>J123/(F123/(365/4))</f>
        <v>80.015521239045768</v>
      </c>
      <c r="AM123" s="1224">
        <f>H123/(F124/(365/4))</f>
        <v>69.88499849337083</v>
      </c>
      <c r="AN123" s="1061"/>
    </row>
    <row r="124" spans="1:40" ht="12" hidden="1" customHeight="1" outlineLevel="1">
      <c r="A124" s="1045" t="str">
        <f>$A$47</f>
        <v>2Q</v>
      </c>
      <c r="B124" s="1045" t="str">
        <f>$B$12</f>
        <v>Jul</v>
      </c>
      <c r="D124" s="1176">
        <f>+'qtrP&amp;L'!BR11</f>
        <v>3714</v>
      </c>
      <c r="F124" s="1176">
        <f>+'qtrP&amp;L'!BR21</f>
        <v>2489</v>
      </c>
      <c r="H124" s="1176">
        <f>+work!BN11</f>
        <v>2017.3320000000001</v>
      </c>
      <c r="J124" s="1176">
        <f>AVERAGE(H123:H124)</f>
        <v>1961.7825</v>
      </c>
      <c r="L124" s="1263">
        <f>(D124/D117-1)*100</f>
        <v>-6.183573007331189E-2</v>
      </c>
      <c r="M124" s="1155"/>
      <c r="N124" s="1263">
        <f>(H124/H117-1)*100</f>
        <v>-2.8959863219953252</v>
      </c>
      <c r="O124" s="1155"/>
      <c r="P124" s="1263">
        <f>(H124/H123-1)*100</f>
        <v>5.828196238340233</v>
      </c>
      <c r="Q124" s="1155"/>
      <c r="R124" s="1177">
        <f>F124/J124</f>
        <v>1.2687441140901194</v>
      </c>
      <c r="T124" s="1177">
        <f>F125/H124</f>
        <v>1.1941514832461884</v>
      </c>
      <c r="V124" s="24">
        <f>'Store New'!K167</f>
        <v>3080</v>
      </c>
      <c r="X124" s="1171">
        <f>H124/V124</f>
        <v>0.65497792207792216</v>
      </c>
      <c r="Z124" s="1396">
        <f>(X124/X117-1)*100</f>
        <v>-4.5038774575726688</v>
      </c>
      <c r="AA124" s="1155"/>
      <c r="AB124" s="1597">
        <f>'Store New'!K172</f>
        <v>38.1</v>
      </c>
      <c r="AD124" s="1178">
        <f>H124/AB124</f>
        <v>52.948346456692917</v>
      </c>
      <c r="AF124" s="1408">
        <f>(AD124/AD117-1)*100</f>
        <v>-5.4446480983208918</v>
      </c>
      <c r="AG124" s="1155"/>
      <c r="AH124" s="1400"/>
      <c r="AI124" s="1401">
        <f>((F124-('yrP&amp;L'!$R$18/4))/J124)</f>
        <v>1.0754207589271492</v>
      </c>
      <c r="AJ124" s="1402"/>
      <c r="AK124" s="1224">
        <f>J124/(F124/(365/4))</f>
        <v>71.921515920048222</v>
      </c>
      <c r="AM124" s="1224">
        <f>H124/(F125/(365/4))</f>
        <v>76.414090909090916</v>
      </c>
      <c r="AN124" s="1061"/>
    </row>
    <row r="125" spans="1:40" ht="12" hidden="1" customHeight="1" outlineLevel="1">
      <c r="A125" s="1045" t="str">
        <f>$A$48</f>
        <v>3Q</v>
      </c>
      <c r="B125" s="1045" t="str">
        <f>$B$13</f>
        <v>Oct</v>
      </c>
      <c r="D125" s="1176">
        <f>+'qtrP&amp;L'!BR12</f>
        <v>3851</v>
      </c>
      <c r="F125" s="1176">
        <f>+'qtrP&amp;L'!BR22</f>
        <v>2409</v>
      </c>
      <c r="H125" s="1176">
        <f>+work!BN12</f>
        <v>2617.0210000000002</v>
      </c>
      <c r="J125" s="1176">
        <f>AVERAGE(H124:H125)</f>
        <v>2317.1765</v>
      </c>
      <c r="L125" s="1263">
        <f>(D125/D118-1)*100</f>
        <v>-0.23073100743904451</v>
      </c>
      <c r="M125" s="1155"/>
      <c r="N125" s="1263">
        <f>(H125/H118-1)*100</f>
        <v>2.7943983197944666</v>
      </c>
      <c r="O125" s="1155"/>
      <c r="P125" s="1263">
        <f>(H125/H124-1)*100</f>
        <v>29.726837228577164</v>
      </c>
      <c r="Q125" s="1155"/>
      <c r="R125" s="1177">
        <f>F125/J125</f>
        <v>1.0396273223036743</v>
      </c>
      <c r="T125" s="1177">
        <f>F126/H125</f>
        <v>1.2663253370912957</v>
      </c>
      <c r="V125" s="24">
        <f>'Store New'!L167</f>
        <v>3142</v>
      </c>
      <c r="X125" s="1171">
        <f>H125/V125</f>
        <v>0.83291565881604079</v>
      </c>
      <c r="Z125" s="1396">
        <f>(X125/X118-1)*100</f>
        <v>1.8129113848505352</v>
      </c>
      <c r="AA125" s="1155"/>
      <c r="AB125" s="1597">
        <f>'Store New'!L172</f>
        <v>38.9</v>
      </c>
      <c r="AD125" s="1178">
        <f>H125/AB125</f>
        <v>67.275604113110546</v>
      </c>
      <c r="AF125" s="1408">
        <f>(AD125/AD118-1)*100</f>
        <v>0.68037470396322686</v>
      </c>
      <c r="AG125" s="1155"/>
      <c r="AH125" s="1400"/>
      <c r="AI125" s="1401">
        <f>((F125-('yrP&amp;L'!$R$18/4))/J125)</f>
        <v>0.8759546909784387</v>
      </c>
      <c r="AJ125" s="1402"/>
      <c r="AK125" s="1224">
        <f>J125/(F125/(365/4))</f>
        <v>87.77183712121213</v>
      </c>
      <c r="AM125" s="1224">
        <f>H125/(F126/(365/4))</f>
        <v>72.058891445383225</v>
      </c>
      <c r="AN125" s="1061"/>
    </row>
    <row r="126" spans="1:40" ht="12" hidden="1" customHeight="1" outlineLevel="1">
      <c r="A126" s="1045" t="str">
        <f>$A$49</f>
        <v>4Q</v>
      </c>
      <c r="B126" s="1045" t="str">
        <f>$B$14</f>
        <v>Jan</v>
      </c>
      <c r="D126" s="1183">
        <f>+'qtrP&amp;L'!BR13</f>
        <v>4919</v>
      </c>
      <c r="F126" s="1183">
        <f>+'qtrP&amp;L'!BR23</f>
        <v>3314</v>
      </c>
      <c r="H126" s="1176">
        <f>+bal!AK12</f>
        <v>1796</v>
      </c>
      <c r="J126" s="1183">
        <f>AVERAGE(H125:H126)</f>
        <v>2206.5105000000003</v>
      </c>
      <c r="L126" s="1398">
        <f>(D126/D119-1)*100</f>
        <v>2.0352495590538089</v>
      </c>
      <c r="M126" s="1155"/>
      <c r="N126" s="1396">
        <f>(H126/H119-1)*100</f>
        <v>5.89622641509433</v>
      </c>
      <c r="O126" s="1155"/>
      <c r="P126" s="1263">
        <f>(H126/H125-1)*100</f>
        <v>-31.372350470248435</v>
      </c>
      <c r="Q126" s="1155"/>
      <c r="R126" s="1177">
        <f>F126/J126</f>
        <v>1.5019189802178596</v>
      </c>
      <c r="T126" s="1177">
        <f>F130/H126</f>
        <v>1.2216035634743876</v>
      </c>
      <c r="V126" s="24">
        <f>'Store New'!M167</f>
        <v>3112</v>
      </c>
      <c r="X126" s="1171">
        <f>H126/V126</f>
        <v>0.57712082262210795</v>
      </c>
      <c r="Z126" s="1396">
        <f>(X126/X119-1)*100</f>
        <v>3.7184119901052304</v>
      </c>
      <c r="AA126" s="1155"/>
      <c r="AB126" s="1597">
        <f>'Store New'!M172</f>
        <v>38.700000000000003</v>
      </c>
      <c r="AD126" s="1178">
        <f>H126/AB126</f>
        <v>46.408268733850129</v>
      </c>
      <c r="AF126" s="1408">
        <f>(AD126/AD119-1)*100</f>
        <v>3.1598898152211063</v>
      </c>
      <c r="AG126" s="1155"/>
      <c r="AH126" s="1400"/>
      <c r="AI126" s="1401">
        <f>((F126-('yrP&amp;L'!$R$18/4))/J126)</f>
        <v>1.3300374618656923</v>
      </c>
      <c r="AJ126" s="1400"/>
      <c r="AK126" s="1224">
        <f>J126/(F126/(365/4))</f>
        <v>60.755607460772488</v>
      </c>
      <c r="AM126" s="1409" t="s">
        <v>644</v>
      </c>
      <c r="AN126" s="1061"/>
    </row>
    <row r="127" spans="1:40" ht="11.25" hidden="1" customHeight="1" outlineLevel="1">
      <c r="B127" s="1045" t="str">
        <f>$B$15</f>
        <v>Year</v>
      </c>
      <c r="D127" s="1170">
        <f>SUM(D123:D126)</f>
        <v>15923</v>
      </c>
      <c r="F127" s="1170">
        <f>SUM(F123:F126)</f>
        <v>10266</v>
      </c>
      <c r="J127" s="1170">
        <f>AVERAGE(J123:J126)</f>
        <v>2071.6465000000003</v>
      </c>
      <c r="L127" s="1263">
        <f>(D127/D120-1)*100</f>
        <v>-0.62645958593005036</v>
      </c>
      <c r="M127" s="1155"/>
      <c r="O127" s="1155"/>
      <c r="Q127" s="1155"/>
      <c r="R127" s="1399">
        <f>F127/J127</f>
        <v>4.9554786494703604</v>
      </c>
      <c r="S127" s="1395" t="s">
        <v>590</v>
      </c>
      <c r="T127" s="1177"/>
      <c r="V127" s="1594"/>
      <c r="AA127" s="1155"/>
      <c r="AG127" s="1155"/>
      <c r="AH127" s="1400"/>
      <c r="AI127" s="1407">
        <f>((F127-('yrP&amp;L'!$R$18))/J127)</f>
        <v>4.223194690793048</v>
      </c>
      <c r="AJ127" s="1404" t="s">
        <v>590</v>
      </c>
    </row>
    <row r="128" spans="1:40" ht="11.25" hidden="1" customHeight="1" outlineLevel="1">
      <c r="D128" s="1170"/>
      <c r="F128" s="1170"/>
      <c r="J128" s="1170"/>
      <c r="L128" s="1263"/>
      <c r="M128" s="1155"/>
      <c r="O128" s="1155"/>
      <c r="Q128" s="1155"/>
      <c r="R128" s="1412"/>
      <c r="S128" s="1062"/>
      <c r="T128" s="1177"/>
      <c r="AA128" s="1155"/>
      <c r="AG128" s="1155"/>
      <c r="AH128" s="1400"/>
      <c r="AI128" s="1401"/>
      <c r="AJ128" s="1400"/>
    </row>
    <row r="129" spans="1:40" ht="11.25" hidden="1" customHeight="1" outlineLevel="1">
      <c r="B129" s="1204">
        <f>+B122+1</f>
        <v>2007</v>
      </c>
      <c r="M129" s="1155"/>
      <c r="O129" s="1155"/>
      <c r="Q129" s="1155"/>
      <c r="R129" s="1413"/>
      <c r="T129" s="1177"/>
      <c r="V129" s="2000"/>
      <c r="AA129" s="1155"/>
      <c r="AB129" s="2002"/>
      <c r="AG129" s="1155"/>
      <c r="AH129" s="1397"/>
      <c r="AI129" s="1155"/>
      <c r="AJ129" s="1155"/>
    </row>
    <row r="130" spans="1:40" ht="12" hidden="1" customHeight="1" outlineLevel="1">
      <c r="A130" s="1045" t="str">
        <f>$A$46</f>
        <v>1Q</v>
      </c>
      <c r="B130" s="1045" t="str">
        <f>$B$11</f>
        <v>Apr</v>
      </c>
      <c r="C130" s="1155"/>
      <c r="D130" s="1170">
        <f>'qtrP&amp;L'!BV10</f>
        <v>3549</v>
      </c>
      <c r="F130" s="1170">
        <f>'qtrP&amp;L'!BV20</f>
        <v>2194</v>
      </c>
      <c r="H130" s="1170">
        <f>work!BR10</f>
        <v>1814</v>
      </c>
      <c r="J130" s="1170">
        <f>AVERAGE(H130,H126)</f>
        <v>1805</v>
      </c>
      <c r="L130" s="1263">
        <f>(D130/D123-1)*100</f>
        <v>3.198604245420178</v>
      </c>
      <c r="M130" s="1155" t="s">
        <v>489</v>
      </c>
      <c r="N130" s="1263">
        <f>(H130/H123-1)*100</f>
        <v>-4.8384956088788673</v>
      </c>
      <c r="O130" s="1155" t="s">
        <v>489</v>
      </c>
      <c r="P130" s="1263">
        <f>(H130/H126-1)*100</f>
        <v>1.0022271714922093</v>
      </c>
      <c r="Q130" s="1155" t="s">
        <v>489</v>
      </c>
      <c r="R130" s="1177">
        <f>F130/J130</f>
        <v>1.2155124653739613</v>
      </c>
      <c r="S130" s="1045" t="s">
        <v>590</v>
      </c>
      <c r="T130" s="1177">
        <f>F131/H130</f>
        <v>1.3346196251378171</v>
      </c>
      <c r="V130" s="1594">
        <f>'Store New'!N167</f>
        <v>3134</v>
      </c>
      <c r="X130" s="1171">
        <f>H130/V130</f>
        <v>0.57881301850670075</v>
      </c>
      <c r="Z130" s="1396">
        <f>(X130/X123-1)*100</f>
        <v>-6.9336276455691408</v>
      </c>
      <c r="AA130" s="1155" t="s">
        <v>489</v>
      </c>
      <c r="AB130" s="1597">
        <f>'Store New'!N172</f>
        <v>38.9</v>
      </c>
      <c r="AD130" s="1174">
        <f>H130/AB130</f>
        <v>46.63239074550129</v>
      </c>
      <c r="AF130" s="1408">
        <f>(AD130/AD123-1)*100</f>
        <v>-7.2848067757457109</v>
      </c>
      <c r="AG130" s="1155" t="s">
        <v>489</v>
      </c>
      <c r="AH130" s="1400"/>
      <c r="AI130" s="1401">
        <f>((F130-('yrP&amp;L'!$S$18/4))/J130)</f>
        <v>0.99479916897506926</v>
      </c>
      <c r="AJ130" s="1402" t="s">
        <v>590</v>
      </c>
      <c r="AK130" s="1224">
        <f>J130/(F130/(365/4))</f>
        <v>75.071216955332716</v>
      </c>
      <c r="AM130" s="1224">
        <f>H130/(F131/(365/4))</f>
        <v>68.371540685667085</v>
      </c>
      <c r="AN130" s="1061"/>
    </row>
    <row r="131" spans="1:40" ht="12" hidden="1" customHeight="1" outlineLevel="1">
      <c r="A131" s="1045" t="str">
        <f>$A$47</f>
        <v>2Q</v>
      </c>
      <c r="B131" s="1045" t="str">
        <f>$B$12</f>
        <v>Jul</v>
      </c>
      <c r="D131" s="1176">
        <f>'qtrP&amp;L'!BV11</f>
        <v>3685</v>
      </c>
      <c r="F131" s="1176">
        <f>'qtrP&amp;L'!BV21</f>
        <v>2421</v>
      </c>
      <c r="H131" s="1176">
        <f>work!BR11</f>
        <v>1969</v>
      </c>
      <c r="J131" s="1176">
        <f>AVERAGE(H130:H131)</f>
        <v>1891.5</v>
      </c>
      <c r="L131" s="1263">
        <f>(D131/D124-1)*100</f>
        <v>-0.78082929456112504</v>
      </c>
      <c r="M131" s="1155"/>
      <c r="N131" s="1263">
        <f>(H131/H124-1)*100</f>
        <v>-2.3958376707453266</v>
      </c>
      <c r="O131" s="1155"/>
      <c r="P131" s="1263">
        <f>(H131/H130-1)*100</f>
        <v>8.5446527012127849</v>
      </c>
      <c r="Q131" s="1155"/>
      <c r="R131" s="1177">
        <f>F131/J131</f>
        <v>1.2799365582870736</v>
      </c>
      <c r="T131" s="1177">
        <f>F132/H131</f>
        <v>1.2224479431183342</v>
      </c>
      <c r="V131" s="1594">
        <f>'Store New'!O167</f>
        <v>3143</v>
      </c>
      <c r="X131" s="1171">
        <f>H131/V131</f>
        <v>0.62647152402163542</v>
      </c>
      <c r="Z131" s="1396">
        <f>(X131/X124-1)*100</f>
        <v>-4.352268541487625</v>
      </c>
      <c r="AA131" s="1155"/>
      <c r="AB131" s="1597">
        <f>'Store New'!O172</f>
        <v>39.1</v>
      </c>
      <c r="AC131" s="1063"/>
      <c r="AD131" s="1178">
        <f>H131/AB131</f>
        <v>50.358056265984651</v>
      </c>
      <c r="AF131" s="1408">
        <f>(AD131/AD124-1)*100</f>
        <v>-4.892107807043411</v>
      </c>
      <c r="AG131" s="1155"/>
      <c r="AH131" s="1400"/>
      <c r="AI131" s="1401">
        <f>((F131-('yrP&amp;L'!$S$18/4))/J131)</f>
        <v>1.0693166798836902</v>
      </c>
      <c r="AJ131" s="1402"/>
      <c r="AK131" s="1224">
        <f>J131/(F131/(365/4))</f>
        <v>71.292596034696402</v>
      </c>
      <c r="AM131" s="1224">
        <f>H131/(F132/(365/4))</f>
        <v>74.645305359368507</v>
      </c>
      <c r="AN131" s="1061"/>
    </row>
    <row r="132" spans="1:40" ht="12" hidden="1" customHeight="1" outlineLevel="1">
      <c r="A132" s="1045" t="str">
        <f>$A$48</f>
        <v>3Q</v>
      </c>
      <c r="B132" s="1045" t="str">
        <f>$B$13</f>
        <v>Oct</v>
      </c>
      <c r="D132" s="1176">
        <f>'qtrP&amp;L'!BV12</f>
        <v>3854</v>
      </c>
      <c r="F132" s="1176">
        <f>'qtrP&amp;L'!BV22</f>
        <v>2407</v>
      </c>
      <c r="H132" s="1176">
        <f>work!BR12</f>
        <v>2480</v>
      </c>
      <c r="J132" s="1176">
        <f>AVERAGE(H131:H132)</f>
        <v>2224.5</v>
      </c>
      <c r="L132" s="1263">
        <f>(D132/D125-1)*100</f>
        <v>7.7901843676975169E-2</v>
      </c>
      <c r="M132" s="1155"/>
      <c r="N132" s="1263">
        <f>(H132/H125-1)*100</f>
        <v>-5.2357623419911459</v>
      </c>
      <c r="O132" s="1155"/>
      <c r="P132" s="1263">
        <f>(H132/H131-1)*100</f>
        <v>25.952260030472331</v>
      </c>
      <c r="Q132" s="1155"/>
      <c r="R132" s="1177">
        <f>F132/J132</f>
        <v>1.082040908069229</v>
      </c>
      <c r="T132" s="1177">
        <f>F133/H132</f>
        <v>1.2294354838709678</v>
      </c>
      <c r="V132" s="1594">
        <f>'Store New'!P167</f>
        <v>3191</v>
      </c>
      <c r="X132" s="1171">
        <f>H132/V132</f>
        <v>0.77718583516139139</v>
      </c>
      <c r="Z132" s="1396">
        <f>(X132/X125-1)*100</f>
        <v>-6.6909323969088668</v>
      </c>
      <c r="AA132" s="1155"/>
      <c r="AB132" s="1597">
        <f>'Store New'!P172</f>
        <v>39.700000000000003</v>
      </c>
      <c r="AD132" s="1178">
        <f>H132/AB132</f>
        <v>62.468513853904277</v>
      </c>
      <c r="AF132" s="1408">
        <f>(AD132/AD125-1)*100</f>
        <v>-7.1453691461827678</v>
      </c>
      <c r="AG132" s="1155"/>
      <c r="AH132" s="1400"/>
      <c r="AI132" s="1401">
        <f>((F132-('yrP&amp;L'!$S$18/4))/J132)</f>
        <v>0.90295010114632501</v>
      </c>
      <c r="AJ132" s="1402"/>
      <c r="AK132" s="1224">
        <f>J132/(F132/(365/4))</f>
        <v>84.331377233070214</v>
      </c>
      <c r="AM132" s="1224">
        <f>H132/(F133/(365/4))</f>
        <v>74.221056083961955</v>
      </c>
      <c r="AN132" s="1061"/>
    </row>
    <row r="133" spans="1:40" ht="12" hidden="1" customHeight="1" outlineLevel="1">
      <c r="A133" s="1045" t="str">
        <f>$A$49</f>
        <v>4Q</v>
      </c>
      <c r="B133" s="1045" t="str">
        <f>$B$14</f>
        <v>Jan</v>
      </c>
      <c r="D133" s="1183">
        <f>'qtrP&amp;L'!BV13</f>
        <v>4675</v>
      </c>
      <c r="F133" s="1183">
        <f>'qtrP&amp;L'!BV23</f>
        <v>3049</v>
      </c>
      <c r="H133" s="1176">
        <f>bal!AM12</f>
        <v>1575</v>
      </c>
      <c r="J133" s="1183">
        <f>AVERAGE(H132:H133)</f>
        <v>2027.5</v>
      </c>
      <c r="L133" s="1398">
        <f>(D133/D126-1)*100</f>
        <v>-4.9603577963000633</v>
      </c>
      <c r="M133" s="1155"/>
      <c r="N133" s="1396">
        <f>(H133/H126-1)*100</f>
        <v>-12.305122494432075</v>
      </c>
      <c r="O133" s="1155"/>
      <c r="P133" s="1263">
        <f>(H133/H132-1)*100</f>
        <v>-36.491935483870961</v>
      </c>
      <c r="Q133" s="1155"/>
      <c r="R133" s="1177">
        <f>F133/J133</f>
        <v>1.5038224414303329</v>
      </c>
      <c r="T133" s="1177">
        <f>F137/H133</f>
        <v>1.2965079365079366</v>
      </c>
      <c r="V133" s="1594">
        <f>'Store New'!Q167</f>
        <v>3167</v>
      </c>
      <c r="X133" s="1171">
        <f>H133/V133</f>
        <v>0.49731607199242184</v>
      </c>
      <c r="Z133" s="1396">
        <f>(X133/X126-1)*100</f>
        <v>-13.828083739397723</v>
      </c>
      <c r="AA133" s="1155"/>
      <c r="AB133" s="1597">
        <f>'Store New'!Q172</f>
        <v>39.6</v>
      </c>
      <c r="AD133" s="1178">
        <f>H133/AB133</f>
        <v>39.772727272727273</v>
      </c>
      <c r="AF133" s="1408">
        <f>(AD133/AD126-1)*100</f>
        <v>-14.298187892285885</v>
      </c>
      <c r="AG133" s="1155"/>
      <c r="AH133" s="1400"/>
      <c r="AI133" s="1401">
        <f>((F133-('yrP&amp;L'!$S$18/4))/J133)</f>
        <v>1.3073304562268804</v>
      </c>
      <c r="AJ133" s="1400"/>
      <c r="AK133" s="1224">
        <f>J133/(F133/(365/4))</f>
        <v>60.678706133158414</v>
      </c>
      <c r="AM133" s="1409" t="s">
        <v>644</v>
      </c>
      <c r="AN133" s="1061"/>
    </row>
    <row r="134" spans="1:40" ht="11.25" hidden="1" customHeight="1" outlineLevel="1">
      <c r="B134" s="1045" t="str">
        <f>$B$15</f>
        <v>Year</v>
      </c>
      <c r="D134" s="1170">
        <f>SUM(D130:D133)</f>
        <v>15763</v>
      </c>
      <c r="F134" s="1170">
        <f>SUM(F130:F133)</f>
        <v>10071</v>
      </c>
      <c r="J134" s="1170">
        <f>AVERAGE(J130:J133)</f>
        <v>1987.125</v>
      </c>
      <c r="L134" s="1263">
        <f>(D134/D127-1)*100</f>
        <v>-1.0048357721534895</v>
      </c>
      <c r="M134" s="1155"/>
      <c r="O134" s="1155"/>
      <c r="Q134" s="1155"/>
      <c r="R134" s="1399">
        <f>F134/J134</f>
        <v>5.0681260615210419</v>
      </c>
      <c r="S134" s="1395" t="s">
        <v>590</v>
      </c>
      <c r="T134" s="1063"/>
      <c r="V134" s="1594"/>
      <c r="AA134" s="1155"/>
      <c r="AB134" s="1599"/>
      <c r="AG134" s="1155"/>
      <c r="AH134" s="1400"/>
      <c r="AI134" s="1407">
        <f>((F134-('yrP&amp;L'!$S$18))/J134)</f>
        <v>4.266188589041958</v>
      </c>
      <c r="AJ134" s="1404" t="s">
        <v>590</v>
      </c>
    </row>
    <row r="135" spans="1:40" ht="11.25" hidden="1" customHeight="1" outlineLevel="1">
      <c r="D135" s="1170"/>
      <c r="F135" s="1170"/>
      <c r="J135" s="1170"/>
      <c r="L135" s="1263"/>
      <c r="M135" s="1155"/>
      <c r="O135" s="1155"/>
      <c r="Q135" s="1155"/>
      <c r="R135" s="1412"/>
      <c r="S135" s="1062"/>
      <c r="T135" s="1177"/>
      <c r="AA135" s="1155"/>
      <c r="AG135" s="1155"/>
      <c r="AH135" s="1400"/>
      <c r="AI135" s="1401"/>
      <c r="AJ135" s="1400"/>
    </row>
    <row r="136" spans="1:40" ht="11.25" customHeight="1" collapsed="1">
      <c r="B136" s="1204">
        <f>+B129+1</f>
        <v>2008</v>
      </c>
      <c r="M136" s="1155"/>
      <c r="O136" s="1155"/>
      <c r="Q136" s="1155"/>
      <c r="R136" s="1413"/>
      <c r="T136" s="1177"/>
      <c r="V136" s="2000"/>
      <c r="AA136" s="1155"/>
      <c r="AB136" s="2003"/>
      <c r="AG136" s="1155"/>
      <c r="AH136" s="1397"/>
      <c r="AI136" s="1155"/>
      <c r="AJ136" s="1155"/>
    </row>
    <row r="137" spans="1:40" ht="12" customHeight="1">
      <c r="A137" s="1045" t="str">
        <f>$A$46</f>
        <v>1Q</v>
      </c>
      <c r="B137" s="1045" t="str">
        <f>$B$11</f>
        <v>Apr</v>
      </c>
      <c r="C137" s="1155"/>
      <c r="D137" s="1170">
        <f>'qtrP&amp;L'!$BZ$10</f>
        <v>3384</v>
      </c>
      <c r="F137" s="1170">
        <f>'qtrP&amp;L'!$BZ$20</f>
        <v>2042</v>
      </c>
      <c r="H137" s="1170">
        <f>work!BV10</f>
        <v>1555</v>
      </c>
      <c r="J137" s="1170">
        <f>AVERAGE(H137,H133)</f>
        <v>1565</v>
      </c>
      <c r="L137" s="1263">
        <f>(D137/D130-1)*100</f>
        <v>-4.6491969568892682</v>
      </c>
      <c r="M137" s="1155" t="s">
        <v>489</v>
      </c>
      <c r="N137" s="1263">
        <f>(H137/H130-1)*100</f>
        <v>-14.277839029768469</v>
      </c>
      <c r="O137" s="1155" t="s">
        <v>489</v>
      </c>
      <c r="P137" s="1263">
        <f>(H137/H133-1)*100</f>
        <v>-1.2698412698412653</v>
      </c>
      <c r="Q137" s="1155" t="s">
        <v>489</v>
      </c>
      <c r="R137" s="1177">
        <f>F137/J137</f>
        <v>1.3047923322683705</v>
      </c>
      <c r="S137" s="1045" t="s">
        <v>590</v>
      </c>
      <c r="T137" s="1177">
        <f>F138/H137</f>
        <v>1.3897106109324759</v>
      </c>
      <c r="V137" s="1594">
        <f>'Store New'!R167</f>
        <v>3177</v>
      </c>
      <c r="X137" s="1171">
        <f>H137/V137</f>
        <v>0.48945546112684923</v>
      </c>
      <c r="Z137" s="1396">
        <f>(X137/X130-1)*100</f>
        <v>-15.438069725934655</v>
      </c>
      <c r="AA137" s="1155" t="s">
        <v>489</v>
      </c>
      <c r="AB137" s="1597">
        <f>'Store New'!R172</f>
        <v>39.699999999999996</v>
      </c>
      <c r="AD137" s="1174">
        <f>H137/AB137</f>
        <v>39.168765743073052</v>
      </c>
      <c r="AF137" s="1408">
        <f>(AD137/AD130-1)*100</f>
        <v>-16.00523773949606</v>
      </c>
      <c r="AG137" s="1155" t="s">
        <v>489</v>
      </c>
      <c r="AH137" s="1400"/>
      <c r="AI137" s="1401">
        <f>((F137-('yrP&amp;L'!$T$18/4))/J137)</f>
        <v>1.0458306709265175</v>
      </c>
      <c r="AJ137" s="1402" t="s">
        <v>590</v>
      </c>
      <c r="AK137" s="1224">
        <f>J137/(F137/(365/4))</f>
        <v>69.934500489715958</v>
      </c>
      <c r="AM137" s="1224">
        <f>H137/(F138/(365/4))</f>
        <v>65.661152244331333</v>
      </c>
      <c r="AN137" s="1061"/>
    </row>
    <row r="138" spans="1:40" ht="12" customHeight="1">
      <c r="A138" s="1045" t="str">
        <f>$A$47</f>
        <v>2Q</v>
      </c>
      <c r="B138" s="1045" t="str">
        <f>$B$12</f>
        <v>Jul</v>
      </c>
      <c r="D138" s="1176">
        <f>'qtrP&amp;L'!$BZ$11</f>
        <v>3499</v>
      </c>
      <c r="F138" s="1176">
        <f>'qtrP&amp;L'!$BZ$21</f>
        <v>2161</v>
      </c>
      <c r="H138" s="1176">
        <f>work!BV11</f>
        <v>1700</v>
      </c>
      <c r="J138" s="1176">
        <f>AVERAGE(H137:H138)</f>
        <v>1627.5</v>
      </c>
      <c r="L138" s="1263">
        <f>(D138/D131-1)*100</f>
        <v>-5.0474898236092303</v>
      </c>
      <c r="M138" s="1155"/>
      <c r="N138" s="1263">
        <f>(H138/H131-1)*100</f>
        <v>-13.66175723717623</v>
      </c>
      <c r="O138" s="1155"/>
      <c r="P138" s="1263">
        <f>(H138/H137-1)*100</f>
        <v>9.3247588424437247</v>
      </c>
      <c r="Q138" s="1155"/>
      <c r="R138" s="1177">
        <f>F138/J138</f>
        <v>1.3278033794162827</v>
      </c>
      <c r="T138" s="1177">
        <f>F139/H138</f>
        <v>1.2841176470588236</v>
      </c>
      <c r="V138" s="1594">
        <f>'Store New'!S167</f>
        <v>3170</v>
      </c>
      <c r="X138" s="1171">
        <f>H138/V138</f>
        <v>0.5362776025236593</v>
      </c>
      <c r="Z138" s="1396">
        <f>(X138/X131-1)*100</f>
        <v>-14.397130282790194</v>
      </c>
      <c r="AA138" s="1155"/>
      <c r="AB138" s="1597">
        <f>'Store New'!S172</f>
        <v>39.6</v>
      </c>
      <c r="AC138" s="1063"/>
      <c r="AD138" s="1178">
        <f>H138/AB138</f>
        <v>42.929292929292927</v>
      </c>
      <c r="AF138" s="1408">
        <f>(AD138/AD131-1)*100</f>
        <v>-14.751886564989658</v>
      </c>
      <c r="AG138" s="1155"/>
      <c r="AH138" s="1400"/>
      <c r="AI138" s="1401">
        <f>((F138-('yrP&amp;L'!$T$18/4))/J138)</f>
        <v>1.0787864823348694</v>
      </c>
      <c r="AJ138" s="1402"/>
      <c r="AK138" s="1224">
        <f>J138/(F138/(365/4))</f>
        <v>68.722524294308187</v>
      </c>
      <c r="AM138" s="1224">
        <f>H138/(F139/(365/4))</f>
        <v>71.060467246907919</v>
      </c>
      <c r="AN138" s="1061"/>
    </row>
    <row r="139" spans="1:40" ht="12" customHeight="1">
      <c r="A139" s="1045" t="str">
        <f>$A$48</f>
        <v>3Q</v>
      </c>
      <c r="B139" s="1045" t="str">
        <f>$B$13</f>
        <v>Oct</v>
      </c>
      <c r="D139" s="1176">
        <f>'qtrP&amp;L'!$BZ$12</f>
        <v>3561</v>
      </c>
      <c r="F139" s="1176">
        <f>'qtrP&amp;L'!$BZ$22</f>
        <v>2183</v>
      </c>
      <c r="H139" s="1176">
        <f>work!BV12</f>
        <v>2224</v>
      </c>
      <c r="J139" s="1176">
        <f>AVERAGE(H138:H139)</f>
        <v>1962</v>
      </c>
      <c r="L139" s="1263">
        <f>(D139/D132-1)*100</f>
        <v>-7.6024909185262057</v>
      </c>
      <c r="M139" s="1155"/>
      <c r="N139" s="1263">
        <f>(H139/H132-1)*100</f>
        <v>-10.322580645161295</v>
      </c>
      <c r="O139" s="1155"/>
      <c r="P139" s="1263">
        <f>(H139/H138-1)*100</f>
        <v>30.823529411764717</v>
      </c>
      <c r="Q139" s="1155"/>
      <c r="R139" s="1177">
        <f>F139/J139</f>
        <v>1.1126401630988787</v>
      </c>
      <c r="T139" s="1177">
        <f>F140/H139</f>
        <v>1.2108812949640289</v>
      </c>
      <c r="V139" s="1594">
        <f>'Store New'!T167</f>
        <v>3190</v>
      </c>
      <c r="X139" s="1171">
        <f>H139/V139</f>
        <v>0.69717868338557998</v>
      </c>
      <c r="Z139" s="1396">
        <f>(X139/X132-1)*100</f>
        <v>-10.294468601476382</v>
      </c>
      <c r="AA139" s="1155"/>
      <c r="AB139" s="1597">
        <f>'Store New'!T172</f>
        <v>39.9</v>
      </c>
      <c r="AD139" s="1178">
        <f>H139/AB139</f>
        <v>55.739348370927317</v>
      </c>
      <c r="AF139" s="1408">
        <f>(AD139/AD132-1)*100</f>
        <v>-10.772091519120375</v>
      </c>
      <c r="AG139" s="1155"/>
      <c r="AH139" s="1400"/>
      <c r="AI139" s="1401">
        <f>((F139-('yrP&amp;L'!$T$18/4))/J139)</f>
        <v>0.9060779816513761</v>
      </c>
      <c r="AJ139" s="1402"/>
      <c r="AK139" s="1224">
        <f>J139/(F139/(365/4))</f>
        <v>82.012139257901964</v>
      </c>
      <c r="AM139" s="1224">
        <f>H139/(F140/(365/4))</f>
        <v>75.358336427775725</v>
      </c>
      <c r="AN139" s="1061"/>
    </row>
    <row r="140" spans="1:40" ht="12" customHeight="1">
      <c r="A140" s="1045" t="str">
        <f>$A$49</f>
        <v>4Q</v>
      </c>
      <c r="B140" s="1045" t="str">
        <f>$B$14</f>
        <v>Jan</v>
      </c>
      <c r="D140" s="1183">
        <f>'qtrP&amp;L'!$BZ$13</f>
        <v>4082</v>
      </c>
      <c r="F140" s="1183">
        <f>'qtrP&amp;L'!$BZ$23</f>
        <v>2693</v>
      </c>
      <c r="H140" s="1176">
        <f>work!BV13</f>
        <v>1506</v>
      </c>
      <c r="J140" s="1183">
        <f>AVERAGE(H139:H140)</f>
        <v>1865</v>
      </c>
      <c r="L140" s="1398">
        <f>(D140/D133-1)*100</f>
        <v>-12.684491978609625</v>
      </c>
      <c r="M140" s="1155"/>
      <c r="N140" s="1396">
        <f>(H140/H133-1)*100</f>
        <v>-4.3809523809523849</v>
      </c>
      <c r="O140" s="1155"/>
      <c r="P140" s="1263">
        <f>(H140/H139-1)*100</f>
        <v>-32.2841726618705</v>
      </c>
      <c r="Q140" s="1155"/>
      <c r="R140" s="1177">
        <f>F140/J140</f>
        <v>1.4439678284182305</v>
      </c>
      <c r="T140" s="1177">
        <f>F144/H140</f>
        <v>1.2536520584329349</v>
      </c>
      <c r="V140" s="1594">
        <f>'Store New'!U167</f>
        <v>3149</v>
      </c>
      <c r="X140" s="1171">
        <f>H140/V140</f>
        <v>0.47824706255954269</v>
      </c>
      <c r="Z140" s="1396">
        <f>(X140/X133-1)*100</f>
        <v>-3.8343843094557628</v>
      </c>
      <c r="AA140" s="1155"/>
      <c r="AB140" s="1597">
        <f>'Store New'!U172</f>
        <v>39.500000000000007</v>
      </c>
      <c r="AD140" s="1178">
        <f>H140/AB140</f>
        <v>38.126582278481003</v>
      </c>
      <c r="AF140" s="1408">
        <f>(AD140/AD133-1)*100</f>
        <v>-4.1388788426763412</v>
      </c>
      <c r="AG140" s="1155"/>
      <c r="AH140" s="1400"/>
      <c r="AI140" s="1401">
        <f>((F140-('yrP&amp;L'!$T$18/4))/J140)</f>
        <v>1.2266621983914208</v>
      </c>
      <c r="AJ140" s="1400"/>
      <c r="AK140" s="1224">
        <f>J140/(F140/(365/4))</f>
        <v>63.193928704047536</v>
      </c>
      <c r="AM140" s="1409" t="s">
        <v>644</v>
      </c>
      <c r="AN140" s="1061"/>
    </row>
    <row r="141" spans="1:40" ht="11.25" customHeight="1">
      <c r="B141" s="1045" t="str">
        <f>$B$15</f>
        <v>Year</v>
      </c>
      <c r="D141" s="1170">
        <f>'qtrP&amp;L'!$BZ$14</f>
        <v>14526</v>
      </c>
      <c r="F141" s="1170">
        <f>'qtrP&amp;L'!$BZ$24</f>
        <v>9079</v>
      </c>
      <c r="J141" s="1170">
        <f>AVERAGE(J137:J140)</f>
        <v>1754.875</v>
      </c>
      <c r="L141" s="1263">
        <f>(D141/D134-1)*100</f>
        <v>-7.8474909598426734</v>
      </c>
      <c r="M141" s="1155"/>
      <c r="O141" s="1155"/>
      <c r="Q141" s="1155"/>
      <c r="R141" s="1399">
        <f>F141/J141</f>
        <v>5.1735878623833607</v>
      </c>
      <c r="S141" s="1395" t="s">
        <v>590</v>
      </c>
      <c r="T141" s="1177"/>
      <c r="V141" s="1594"/>
      <c r="AA141" s="1155"/>
      <c r="AB141" s="2004"/>
      <c r="AG141" s="1155"/>
      <c r="AH141" s="1400"/>
      <c r="AI141" s="1407">
        <f>((F141-('yrP&amp;L'!$T$18))/J141)</f>
        <v>4.2498183631312774</v>
      </c>
      <c r="AJ141" s="1404" t="s">
        <v>590</v>
      </c>
    </row>
    <row r="142" spans="1:40" ht="11.25" customHeight="1">
      <c r="D142" s="1170"/>
      <c r="F142" s="1170"/>
      <c r="J142" s="1170"/>
      <c r="L142" s="1263"/>
      <c r="M142" s="1155"/>
      <c r="O142" s="1155"/>
      <c r="Q142" s="1155"/>
      <c r="R142" s="1414"/>
      <c r="S142" s="1062"/>
      <c r="T142" s="1177"/>
      <c r="AA142" s="1155"/>
      <c r="AG142" s="1155"/>
      <c r="AH142" s="1400"/>
      <c r="AI142" s="1401"/>
      <c r="AJ142" s="1400"/>
    </row>
    <row r="143" spans="1:40" ht="11.25" customHeight="1">
      <c r="B143" s="1204">
        <f>+B136+1</f>
        <v>2009</v>
      </c>
      <c r="M143" s="1155"/>
      <c r="O143" s="1155"/>
      <c r="Q143" s="1155"/>
      <c r="R143" s="1413"/>
      <c r="T143" s="1177"/>
      <c r="V143" s="2000"/>
      <c r="AA143" s="1155"/>
      <c r="AB143" s="2003"/>
      <c r="AG143" s="1155"/>
      <c r="AH143" s="1397"/>
      <c r="AI143" s="1155"/>
      <c r="AJ143" s="1155"/>
    </row>
    <row r="144" spans="1:40" ht="12" customHeight="1">
      <c r="A144" s="1045" t="str">
        <f>$A$46</f>
        <v>1Q</v>
      </c>
      <c r="B144" s="1045" t="str">
        <f>$B$11</f>
        <v>Apr</v>
      </c>
      <c r="C144" s="1155"/>
      <c r="D144" s="1170">
        <f>'qtrP&amp;L'!$CD$10</f>
        <v>3127</v>
      </c>
      <c r="F144" s="1170">
        <f>'qtrP&amp;L'!$CD$20</f>
        <v>1888</v>
      </c>
      <c r="H144" s="1170">
        <f>work!BZ10</f>
        <v>1393</v>
      </c>
      <c r="J144" s="1170">
        <f>AVERAGE(H144,H140)</f>
        <v>1449.5</v>
      </c>
      <c r="L144" s="1263">
        <f>(D144/D137-1)*100</f>
        <v>-7.5945626477541328</v>
      </c>
      <c r="M144" s="1155" t="s">
        <v>489</v>
      </c>
      <c r="N144" s="1263">
        <f>(H144/H137-1)*100</f>
        <v>-10.418006430868164</v>
      </c>
      <c r="O144" s="1155" t="s">
        <v>489</v>
      </c>
      <c r="P144" s="1263">
        <f>(H144/H140-1)*100</f>
        <v>-7.5033200531208539</v>
      </c>
      <c r="Q144" s="1155" t="s">
        <v>489</v>
      </c>
      <c r="R144" s="1177">
        <f>F144/J144</f>
        <v>1.3025181096929976</v>
      </c>
      <c r="S144" s="1045" t="s">
        <v>590</v>
      </c>
      <c r="T144" s="1177">
        <f>F145/H144</f>
        <v>1.4048815506101939</v>
      </c>
      <c r="V144" s="1594">
        <f>'Store New'!V167</f>
        <v>3149</v>
      </c>
      <c r="X144" s="1171">
        <f>H144/V144</f>
        <v>0.44236265481105114</v>
      </c>
      <c r="Z144" s="1396">
        <f>(X144/X137-1)*100</f>
        <v>-9.6214691746167595</v>
      </c>
      <c r="AA144" s="1155" t="s">
        <v>489</v>
      </c>
      <c r="AB144" s="1597">
        <f>'Store New'!V172</f>
        <v>39.4</v>
      </c>
      <c r="AD144" s="1174">
        <f>H144/AB144</f>
        <v>35.35532994923858</v>
      </c>
      <c r="AF144" s="1408">
        <f>(AD144/AD137-1)*100</f>
        <v>-9.7359100331336652</v>
      </c>
      <c r="AG144" s="1155" t="s">
        <v>489</v>
      </c>
      <c r="AH144" s="1400"/>
      <c r="AI144" s="1401">
        <f>((F144-('yrP&amp;L'!$U$18/4))/J144)</f>
        <v>1.0254225595032769</v>
      </c>
      <c r="AJ144" s="1402" t="s">
        <v>590</v>
      </c>
      <c r="AK144" s="1224">
        <f>J144/(F144/(365/4))</f>
        <v>70.056607521186436</v>
      </c>
      <c r="AM144" s="1224">
        <f>H144/(F145/(365/4))</f>
        <v>64.952095043433829</v>
      </c>
      <c r="AN144" s="1061"/>
    </row>
    <row r="145" spans="1:44" ht="12" customHeight="1">
      <c r="A145" s="1045" t="str">
        <f>$A$47</f>
        <v>2Q</v>
      </c>
      <c r="B145" s="1045" t="str">
        <f>$B$12</f>
        <v>Jul</v>
      </c>
      <c r="D145" s="1176">
        <f>'qtrP&amp;L'!$CD$11</f>
        <v>3245</v>
      </c>
      <c r="F145" s="1176">
        <f>'qtrP&amp;L'!$CD$21</f>
        <v>1957</v>
      </c>
      <c r="H145" s="1176">
        <f>work!BZ11</f>
        <v>1473</v>
      </c>
      <c r="J145" s="1176">
        <f>AVERAGE(H144:H145)</f>
        <v>1433</v>
      </c>
      <c r="L145" s="1263">
        <f>(D145/D138-1)*100</f>
        <v>-7.2592169191197486</v>
      </c>
      <c r="M145" s="1155"/>
      <c r="N145" s="1263">
        <f>(H145/H138-1)*100</f>
        <v>-13.352941176470591</v>
      </c>
      <c r="O145" s="1155"/>
      <c r="P145" s="1263">
        <f>(H145/H144-1)*100</f>
        <v>5.7430007178750797</v>
      </c>
      <c r="Q145" s="1155"/>
      <c r="R145" s="1177">
        <f>F145/J145</f>
        <v>1.3656664340544313</v>
      </c>
      <c r="T145" s="1177">
        <f>F146/H145</f>
        <v>1.4019008825526138</v>
      </c>
      <c r="V145" s="1594">
        <f>'Store New'!W167</f>
        <v>3145</v>
      </c>
      <c r="X145" s="1171">
        <f>H145/V145</f>
        <v>0.46836248012718601</v>
      </c>
      <c r="Z145" s="1396">
        <f>(X145/X138-1)*100</f>
        <v>-12.664172823342367</v>
      </c>
      <c r="AA145" s="1155"/>
      <c r="AB145" s="1597">
        <f>'Store New'!W172</f>
        <v>39.4</v>
      </c>
      <c r="AC145" s="1063"/>
      <c r="AD145" s="1178">
        <f>H145/AB145</f>
        <v>37.385786802030459</v>
      </c>
      <c r="AF145" s="1408">
        <f>(AD145/AD138-1)*100</f>
        <v>-12.913108390564343</v>
      </c>
      <c r="AG145" s="1155"/>
      <c r="AH145" s="1400"/>
      <c r="AI145" s="1401">
        <f>((F145-('yrP&amp;L'!$U$18/4))/J145)</f>
        <v>1.0853803210048847</v>
      </c>
      <c r="AJ145" s="1402"/>
      <c r="AK145" s="1224">
        <f>J145/(F145/(365/4))</f>
        <v>66.817194685743488</v>
      </c>
      <c r="AM145" s="1224">
        <f>H145/(F146/(365/4))</f>
        <v>65.09019370460048</v>
      </c>
      <c r="AN145" s="1061"/>
    </row>
    <row r="146" spans="1:44" ht="12" customHeight="1">
      <c r="A146" s="1045" t="str">
        <f>$A$48</f>
        <v>3Q</v>
      </c>
      <c r="B146" s="1045" t="str">
        <f>$B$13</f>
        <v>Oct</v>
      </c>
      <c r="D146" s="1176">
        <f>'qtrP&amp;L'!$CD$12</f>
        <v>3589</v>
      </c>
      <c r="F146" s="1176">
        <f>'qtrP&amp;L'!$CD$22</f>
        <v>2065</v>
      </c>
      <c r="H146" s="1176">
        <f>work!BZ12</f>
        <v>1999</v>
      </c>
      <c r="J146" s="1176">
        <f>AVERAGE(H145:H146)</f>
        <v>1736</v>
      </c>
      <c r="L146" s="1263">
        <f>(D146/D139-1)*100</f>
        <v>0.78629598427408798</v>
      </c>
      <c r="M146" s="1155"/>
      <c r="N146" s="1263">
        <f>(H146/H139-1)*100</f>
        <v>-10.116906474820142</v>
      </c>
      <c r="O146" s="1155"/>
      <c r="P146" s="1263">
        <f>(H146/H145-1)*100</f>
        <v>35.709436524100482</v>
      </c>
      <c r="Q146" s="1155"/>
      <c r="R146" s="1177">
        <f>F146/J146</f>
        <v>1.189516129032258</v>
      </c>
      <c r="T146" s="1177">
        <f>F147/H146</f>
        <v>1.2821410705352676</v>
      </c>
      <c r="V146" s="1594">
        <f>'Store New'!X167</f>
        <v>3143</v>
      </c>
      <c r="X146" s="1171">
        <f>H146/V146</f>
        <v>0.63601654470251356</v>
      </c>
      <c r="Z146" s="1396">
        <f>(X146/X139-1)*100</f>
        <v>-8.7728067625441497</v>
      </c>
      <c r="AA146" s="1155"/>
      <c r="AB146" s="1597">
        <f>'Store New'!X172</f>
        <v>39.4</v>
      </c>
      <c r="AD146" s="1178">
        <f>H146/AB146</f>
        <v>50.736040609137056</v>
      </c>
      <c r="AF146" s="1408">
        <f>(AD146/AD139-1)*100</f>
        <v>-8.9762580798305454</v>
      </c>
      <c r="AG146" s="1155"/>
      <c r="AH146" s="1400"/>
      <c r="AI146" s="1401">
        <f>((F146-('yrP&amp;L'!$U$18/4))/J146)</f>
        <v>0.95815092165898608</v>
      </c>
      <c r="AJ146" s="1402"/>
      <c r="AK146" s="1224">
        <f>J146/(F146/(365/4))</f>
        <v>76.711864406779668</v>
      </c>
      <c r="AM146" s="1224">
        <f>H146/(F147/(365/4))</f>
        <v>71.170015606710891</v>
      </c>
      <c r="AN146" s="1061"/>
    </row>
    <row r="147" spans="1:44" ht="12" customHeight="1">
      <c r="A147" s="1045" t="str">
        <f>$A$49</f>
        <v>4Q</v>
      </c>
      <c r="B147" s="1045" t="str">
        <f>$B$14</f>
        <v>Jan</v>
      </c>
      <c r="D147" s="1183">
        <f>'qtrP&amp;L'!$CD$13</f>
        <v>4236</v>
      </c>
      <c r="F147" s="1183">
        <f>'qtrP&amp;L'!$CD$23</f>
        <v>2563</v>
      </c>
      <c r="H147" s="1176">
        <f>work!BZ13</f>
        <v>1477</v>
      </c>
      <c r="J147" s="1183">
        <f>AVERAGE(H146:H147)</f>
        <v>1738</v>
      </c>
      <c r="L147" s="1398">
        <f>(D147/D140-1)*100</f>
        <v>3.7726604605585523</v>
      </c>
      <c r="M147" s="1155"/>
      <c r="N147" s="1396">
        <f>(H147/H140-1)*100</f>
        <v>-1.9256308100929598</v>
      </c>
      <c r="O147" s="1155"/>
      <c r="P147" s="1263">
        <f>(H147/H146-1)*100</f>
        <v>-26.113056528264135</v>
      </c>
      <c r="Q147" s="1155"/>
      <c r="R147" s="1177">
        <f>F147/J147</f>
        <v>1.4746835443037976</v>
      </c>
      <c r="T147" s="1177">
        <f>F151/H147</f>
        <v>1.3053486797562628</v>
      </c>
      <c r="V147" s="1594">
        <f>'Store New'!Y167</f>
        <v>3095</v>
      </c>
      <c r="X147" s="1171">
        <f>H147/V147</f>
        <v>0.47722132471728596</v>
      </c>
      <c r="Z147" s="1396">
        <f>(X147/X140-1)*100</f>
        <v>-0.2144786497520923</v>
      </c>
      <c r="AA147" s="1155"/>
      <c r="AB147" s="1597">
        <f>'Store New'!Y172</f>
        <v>38.800000000000004</v>
      </c>
      <c r="AD147" s="1178">
        <f>H147/AB147</f>
        <v>38.067010309278345</v>
      </c>
      <c r="AF147" s="1408">
        <f>(AD147/AD140-1)*100</f>
        <v>-0.15624786079050379</v>
      </c>
      <c r="AG147" s="1155"/>
      <c r="AH147" s="1400"/>
      <c r="AI147" s="1401">
        <f>((F147-('yrP&amp;L'!$U$18/4))/J147)</f>
        <v>1.2435845799769849</v>
      </c>
      <c r="AJ147" s="1400"/>
      <c r="AK147" s="1224">
        <f>J147/(F147/(365/4))</f>
        <v>61.877682403433475</v>
      </c>
      <c r="AM147" s="1409" t="s">
        <v>644</v>
      </c>
      <c r="AN147" s="1061"/>
    </row>
    <row r="148" spans="1:44" ht="11.25" customHeight="1">
      <c r="B148" s="1045" t="str">
        <f>$B$15</f>
        <v>Year</v>
      </c>
      <c r="D148" s="1170">
        <f>'qtrP&amp;L'!$CD$14</f>
        <v>14197</v>
      </c>
      <c r="F148" s="1170">
        <f>'qtrP&amp;L'!$CD$24</f>
        <v>8473</v>
      </c>
      <c r="J148" s="1170">
        <f>AVERAGE(J144:J147)</f>
        <v>1589.125</v>
      </c>
      <c r="L148" s="1263">
        <f>(D148/D141-1)*100</f>
        <v>-2.2649043095139709</v>
      </c>
      <c r="M148" s="1155"/>
      <c r="O148" s="1155"/>
      <c r="Q148" s="1155"/>
      <c r="R148" s="1399">
        <f>F148/J148</f>
        <v>5.3318650200582081</v>
      </c>
      <c r="S148" s="1395" t="s">
        <v>590</v>
      </c>
      <c r="T148" s="1177"/>
      <c r="V148" s="1594"/>
      <c r="AA148" s="1155"/>
      <c r="AB148" s="1599"/>
      <c r="AG148" s="1155"/>
      <c r="AH148" s="1400"/>
      <c r="AI148" s="1407">
        <f>((F148-('yrP&amp;L'!$U$18))/J148)</f>
        <v>4.3208684024227164</v>
      </c>
      <c r="AJ148" s="1404" t="s">
        <v>590</v>
      </c>
    </row>
    <row r="149" spans="1:44" ht="11.25" customHeight="1">
      <c r="D149" s="1170"/>
      <c r="F149" s="1170"/>
      <c r="J149" s="1170"/>
      <c r="L149" s="1263"/>
      <c r="M149" s="1155"/>
      <c r="O149" s="1155"/>
      <c r="Q149" s="1155"/>
      <c r="R149" s="1367">
        <f>R147/R140-1</f>
        <v>2.1271745312507528E-2</v>
      </c>
      <c r="S149" s="1062"/>
      <c r="T149" s="1177"/>
      <c r="AA149" s="1155"/>
      <c r="AB149" s="1599"/>
      <c r="AG149" s="1155"/>
      <c r="AH149" s="1400"/>
      <c r="AI149" s="1401"/>
      <c r="AJ149" s="1400"/>
    </row>
    <row r="150" spans="1:44" ht="11.25" customHeight="1">
      <c r="B150" s="1204">
        <f>+B143+1</f>
        <v>2010</v>
      </c>
      <c r="M150" s="1155"/>
      <c r="O150" s="1155"/>
      <c r="Q150" s="1155"/>
      <c r="R150" s="1413"/>
      <c r="T150" s="1177"/>
      <c r="V150" s="2000"/>
      <c r="AA150" s="1155"/>
      <c r="AB150" s="2003"/>
      <c r="AG150" s="1155"/>
      <c r="AH150" s="1397"/>
      <c r="AI150" s="1155"/>
      <c r="AJ150" s="1155"/>
      <c r="AO150" s="1045" t="s">
        <v>327</v>
      </c>
      <c r="AQ150" s="1045" t="s">
        <v>328</v>
      </c>
    </row>
    <row r="151" spans="1:44" ht="12" customHeight="1">
      <c r="A151" s="1045" t="str">
        <f>$A$46</f>
        <v>1Q</v>
      </c>
      <c r="B151" s="1045" t="str">
        <f>$B$11</f>
        <v>Apr</v>
      </c>
      <c r="C151" s="1155"/>
      <c r="D151" s="1170">
        <f>'qtrP&amp;L'!$CH$10</f>
        <v>3329</v>
      </c>
      <c r="F151" s="1170">
        <f>'qtrP&amp;L'!$CH$20</f>
        <v>1928</v>
      </c>
      <c r="H151" s="1170">
        <f>work!CD10</f>
        <v>1534</v>
      </c>
      <c r="J151" s="1170">
        <f>AVERAGE(H151,H147)</f>
        <v>1505.5</v>
      </c>
      <c r="L151" s="1263">
        <f>(D151/D144-1)*100</f>
        <v>6.4598656859609749</v>
      </c>
      <c r="M151" s="1155" t="s">
        <v>489</v>
      </c>
      <c r="N151" s="1263">
        <f>(H151/H144-1)*100</f>
        <v>10.122038765254837</v>
      </c>
      <c r="O151" s="1155" t="s">
        <v>489</v>
      </c>
      <c r="P151" s="1263">
        <f>(H151/H147-1)*100</f>
        <v>3.8591740013540932</v>
      </c>
      <c r="Q151" s="1155" t="s">
        <v>489</v>
      </c>
      <c r="R151" s="1177">
        <f>F151/J151</f>
        <v>1.2806376619063433</v>
      </c>
      <c r="S151" s="1045" t="s">
        <v>590</v>
      </c>
      <c r="T151" s="1177">
        <f>F152/H151</f>
        <v>1.3057366362451108</v>
      </c>
      <c r="V151" s="1594">
        <f>'Store New'!Z167</f>
        <v>3085</v>
      </c>
      <c r="X151" s="1171">
        <f>H151/V151</f>
        <v>0.49724473257698543</v>
      </c>
      <c r="Z151" s="1396">
        <f>(X151/X144-1)*100</f>
        <v>12.406580250174226</v>
      </c>
      <c r="AA151" s="1155" t="s">
        <v>489</v>
      </c>
      <c r="AB151" s="1597">
        <f>'Store New'!Z172</f>
        <v>38.700000000000003</v>
      </c>
      <c r="AD151" s="1174">
        <f>H151/AB151</f>
        <v>39.638242894056845</v>
      </c>
      <c r="AF151" s="1408">
        <f>(AD151/AD144-1)*100</f>
        <v>12.113910267468754</v>
      </c>
      <c r="AG151" s="1155" t="s">
        <v>489</v>
      </c>
      <c r="AH151" s="1400"/>
      <c r="AI151" s="1401">
        <f>((F151-('yrP&amp;L'!$V$18/4))/J151)</f>
        <v>1.0075888409166389</v>
      </c>
      <c r="AJ151" s="1402" t="s">
        <v>590</v>
      </c>
      <c r="AK151" s="1224">
        <f>J151/(F151/(365/4))</f>
        <v>71.253565871369304</v>
      </c>
      <c r="AM151" s="1224">
        <f>H151/(F152/(365/4))</f>
        <v>69.883924113829252</v>
      </c>
      <c r="AN151" s="1061"/>
      <c r="AO151" s="1224">
        <f>AVERAGE((AD144,AD137,AD130,AD123,AD116,AD109,AD102,AD95,AD88,AD81))</f>
        <v>50.6917810841855</v>
      </c>
      <c r="AP151" s="1064">
        <f>AD151/AO151-1</f>
        <v>-0.21805385318325432</v>
      </c>
      <c r="AQ151" s="1174">
        <f>AVERAGE(AD144,AD137,AD130,AD123,AD116)</f>
        <v>44.682113627810416</v>
      </c>
      <c r="AR151" s="1064">
        <f>AD151/AQ151-1</f>
        <v>-0.11288344091704372</v>
      </c>
    </row>
    <row r="152" spans="1:44" ht="12" customHeight="1">
      <c r="A152" s="1045" t="str">
        <f>$A$47</f>
        <v>2Q</v>
      </c>
      <c r="B152" s="1045" t="str">
        <f>$B$12</f>
        <v>Jul</v>
      </c>
      <c r="D152" s="1176">
        <f>'qtrP&amp;L'!$CH$11</f>
        <v>3317</v>
      </c>
      <c r="F152" s="1176">
        <f>'qtrP&amp;L'!$CH$21</f>
        <v>2003</v>
      </c>
      <c r="H152" s="1176">
        <f>work!CD11</f>
        <v>1632</v>
      </c>
      <c r="J152" s="1176">
        <f>AVERAGE(H151:H152)</f>
        <v>1583</v>
      </c>
      <c r="L152" s="1263">
        <f>(D152/D145-1)*100</f>
        <v>2.2187981510015442</v>
      </c>
      <c r="M152" s="1155"/>
      <c r="N152" s="1263">
        <f>(H152/H145-1)*100</f>
        <v>10.794297352342163</v>
      </c>
      <c r="O152" s="1155"/>
      <c r="P152" s="1263">
        <f>(H152/H151-1)*100</f>
        <v>6.3885267275097801</v>
      </c>
      <c r="Q152" s="1155"/>
      <c r="R152" s="1177">
        <f>F152/J152</f>
        <v>1.2653190145293747</v>
      </c>
      <c r="T152" s="1177">
        <f>F153/H152</f>
        <v>1.3167892156862746</v>
      </c>
      <c r="V152" s="1594">
        <f>'Store New'!AA167</f>
        <v>3076</v>
      </c>
      <c r="X152" s="1171">
        <f>H152/V152</f>
        <v>0.53055916775032508</v>
      </c>
      <c r="Z152" s="1396">
        <f>(X152/X145-1)*100</f>
        <v>13.279605062781563</v>
      </c>
      <c r="AA152" s="1155"/>
      <c r="AB152" s="1597">
        <f>'Store New'!AA172</f>
        <v>38.5</v>
      </c>
      <c r="AC152" s="1063"/>
      <c r="AD152" s="1178">
        <f>H152/AB152</f>
        <v>42.38961038961039</v>
      </c>
      <c r="AF152" s="1408">
        <f>(AD152/AD145-1)*100</f>
        <v>13.384293913825474</v>
      </c>
      <c r="AG152" s="1155"/>
      <c r="AH152" s="1400"/>
      <c r="AI152" s="1401">
        <f>((F152-('yrP&amp;L'!$V$18/4))/J152)</f>
        <v>1.0056380290587492</v>
      </c>
      <c r="AJ152" s="1402"/>
      <c r="AK152" s="1224">
        <f>J152/(F152/(365/4))</f>
        <v>72.116200698951573</v>
      </c>
      <c r="AM152" s="1224">
        <f>H152/(F153/(365/4))</f>
        <v>69.297347603536522</v>
      </c>
      <c r="AN152" s="1061"/>
      <c r="AO152" s="1224">
        <f>AVERAGE((AD145,AD138,AD131,AD124,AD117,AD110,AD103,AD96,AD89,AD82))</f>
        <v>55.835749176149783</v>
      </c>
      <c r="AP152" s="1064">
        <f>AD152/AO152-1</f>
        <v>-0.24081594650265581</v>
      </c>
      <c r="AQ152" s="1174">
        <f>AVERAGE(AD145,AD138,AD131,AD124,AD117)</f>
        <v>47.923735843899919</v>
      </c>
      <c r="AR152" s="1064">
        <f>AD152/AQ152-1</f>
        <v>-0.11547775558056694</v>
      </c>
    </row>
    <row r="153" spans="1:44" ht="12" customHeight="1">
      <c r="A153" s="1045" t="str">
        <f>$A$48</f>
        <v>3Q</v>
      </c>
      <c r="B153" s="1045" t="str">
        <f>$B$13</f>
        <v>Oct</v>
      </c>
      <c r="D153" s="1176">
        <f>'qtrP&amp;L'!$CH$12</f>
        <v>3654</v>
      </c>
      <c r="F153" s="1176">
        <f>'qtrP&amp;L'!$CH$22</f>
        <v>2149</v>
      </c>
      <c r="H153" s="1176">
        <f>work!CD12</f>
        <v>2160</v>
      </c>
      <c r="J153" s="1176">
        <f>AVERAGE(H152:H153)</f>
        <v>1896</v>
      </c>
      <c r="L153" s="1263">
        <f>(D153/D146-1)*100</f>
        <v>1.8110894399554267</v>
      </c>
      <c r="M153" s="1155"/>
      <c r="N153" s="1263">
        <f>(H153/H146-1)*100</f>
        <v>8.0540270135067473</v>
      </c>
      <c r="O153" s="1155"/>
      <c r="P153" s="1263">
        <f>(H153/H152-1)*100</f>
        <v>32.352941176470587</v>
      </c>
      <c r="Q153" s="1155"/>
      <c r="R153" s="1177">
        <f>F153/J153</f>
        <v>1.1334388185654007</v>
      </c>
      <c r="T153" s="1177">
        <f>F154/H153</f>
        <v>1.2476851851851851</v>
      </c>
      <c r="V153" s="1594">
        <f>'Store New'!AB167</f>
        <v>3082</v>
      </c>
      <c r="X153" s="1171">
        <f>H153/V153</f>
        <v>0.70084360804672285</v>
      </c>
      <c r="Z153" s="1396">
        <f>(X153/X146-1)*100</f>
        <v>10.192669339212102</v>
      </c>
      <c r="AA153" s="1155"/>
      <c r="AB153" s="1597">
        <f>'Store New'!AB172</f>
        <v>38.4</v>
      </c>
      <c r="AD153" s="1178">
        <f>H153/AB153</f>
        <v>56.25</v>
      </c>
      <c r="AF153" s="1408">
        <f>(AD153/AD146-1)*100</f>
        <v>10.86793396698349</v>
      </c>
      <c r="AG153" s="1155"/>
      <c r="AH153" s="1400"/>
      <c r="AI153" s="1401">
        <f>((F153-('yrP&amp;L'!$V$18/4))/J153)</f>
        <v>0.91662710970464134</v>
      </c>
      <c r="AJ153" s="1402"/>
      <c r="AK153" s="1224">
        <f>J153/(F153/(365/4))</f>
        <v>80.507212657049791</v>
      </c>
      <c r="AM153" s="1224">
        <f>H153/(F154/(365/4))</f>
        <v>73.135435992578849</v>
      </c>
      <c r="AN153" s="1061"/>
      <c r="AO153" s="1224">
        <f>AVERAGE((AD146,AD139,AD132,AD125,AD118,AD111,AD104,AD97,AD90,AD83))</f>
        <v>68.361162927281484</v>
      </c>
      <c r="AP153" s="1064">
        <f>AD153/AO153-1</f>
        <v>-0.17716437826203479</v>
      </c>
      <c r="AQ153" s="1174">
        <f>AVERAGE(AD146,AD139,AD132,AD125,AD118)</f>
        <v>60.608095615137621</v>
      </c>
      <c r="AR153" s="1064">
        <f>AD153/AQ153-1</f>
        <v>-7.190616320980614E-2</v>
      </c>
    </row>
    <row r="154" spans="1:44" ht="12" customHeight="1">
      <c r="A154" s="1045" t="str">
        <f>$A$49</f>
        <v>4Q</v>
      </c>
      <c r="B154" s="1045" t="str">
        <f>$B$14</f>
        <v>Jan</v>
      </c>
      <c r="D154" s="1183">
        <f>'qtrP&amp;L'!$CH$13</f>
        <v>4364</v>
      </c>
      <c r="F154" s="1183">
        <f>'qtrP&amp;L'!$CH$23</f>
        <v>2695</v>
      </c>
      <c r="H154" s="1176">
        <f>work!CD13</f>
        <v>1620</v>
      </c>
      <c r="J154" s="1183">
        <f>AVERAGE(H153:H154)</f>
        <v>1890</v>
      </c>
      <c r="L154" s="1398">
        <f>(D154/D147-1)*100</f>
        <v>3.0217186024551479</v>
      </c>
      <c r="M154" s="1155"/>
      <c r="N154" s="1396">
        <f>(H154/H147-1)*100</f>
        <v>9.6817874069058831</v>
      </c>
      <c r="O154" s="1155"/>
      <c r="P154" s="1263">
        <f>(H154/H153-1)*100</f>
        <v>-25</v>
      </c>
      <c r="Q154" s="1155"/>
      <c r="R154" s="1177">
        <f>F154/J154</f>
        <v>1.4259259259259258</v>
      </c>
      <c r="T154" s="1177">
        <f>F158/H154</f>
        <v>1.2290123456790123</v>
      </c>
      <c r="V154" s="1594">
        <f>'Store New'!AC167</f>
        <v>3068</v>
      </c>
      <c r="X154" s="1171">
        <f>H154/V154</f>
        <v>0.52803129074315514</v>
      </c>
      <c r="Z154" s="1396">
        <f>(X154/X147-1)*100</f>
        <v>10.647044336497302</v>
      </c>
      <c r="AA154" s="1155"/>
      <c r="AB154" s="1597">
        <f>'Store New'!AC172</f>
        <v>38.200000000000003</v>
      </c>
      <c r="AD154" s="1178">
        <f>H154/AB154</f>
        <v>42.408376963350783</v>
      </c>
      <c r="AF154" s="1408">
        <f>(AD154/AD147-1)*100</f>
        <v>11.404537994448916</v>
      </c>
      <c r="AG154" s="1155"/>
      <c r="AH154" s="1400"/>
      <c r="AI154" s="1401">
        <f>((F154-('yrP&amp;L'!$V$18/4))/J154)</f>
        <v>1.208425925925926</v>
      </c>
      <c r="AJ154" s="1400"/>
      <c r="AK154" s="1224">
        <f>J154/(F154/(365/4))</f>
        <v>63.993506493506494</v>
      </c>
      <c r="AM154" s="1409" t="s">
        <v>644</v>
      </c>
      <c r="AN154" s="1061"/>
      <c r="AO154" s="1224">
        <f>AVERAGE((AD147,AD140,AD133,AD126,AD119,AD112,AD105,AD98,AD91,AD84))</f>
        <v>46.791925553424257</v>
      </c>
      <c r="AP154" s="1064">
        <f>AD154/AO154-1</f>
        <v>-9.3681731158265724E-2</v>
      </c>
      <c r="AQ154" s="1174">
        <f>AVERAGE(AD147,AD140,AD133,AD126,AD119)</f>
        <v>41.472265198973453</v>
      </c>
      <c r="AR154" s="1064">
        <f>AD154/AQ154-1</f>
        <v>2.2571995040205906E-2</v>
      </c>
    </row>
    <row r="155" spans="1:44" ht="11.25" customHeight="1">
      <c r="B155" s="1045" t="str">
        <f>$B$15</f>
        <v>Year</v>
      </c>
      <c r="D155" s="1170">
        <f>'qtrP&amp;L'!$CH$14</f>
        <v>14664</v>
      </c>
      <c r="F155" s="1170">
        <f>'qtrP&amp;L'!$CH$24</f>
        <v>8775</v>
      </c>
      <c r="J155" s="1170">
        <f>AVERAGE(J151:J154)</f>
        <v>1718.625</v>
      </c>
      <c r="L155" s="1263">
        <f>(D155/D148-1)*100</f>
        <v>3.2894273438050403</v>
      </c>
      <c r="M155" s="1155"/>
      <c r="N155" s="1263"/>
      <c r="O155" s="1155"/>
      <c r="Q155" s="1155"/>
      <c r="R155" s="1399">
        <f>F155/J155</f>
        <v>5.1058258782456907</v>
      </c>
      <c r="S155" s="1395" t="s">
        <v>590</v>
      </c>
      <c r="T155" s="1177"/>
      <c r="V155" s="1594"/>
      <c r="AA155" s="1155"/>
      <c r="AB155" s="1599"/>
      <c r="AG155" s="1155"/>
      <c r="AH155" s="1400"/>
      <c r="AI155" s="1407">
        <f>((F155-('yrP&amp;L'!$V$18))/J155)</f>
        <v>4.1490726598298053</v>
      </c>
      <c r="AJ155" s="1404" t="s">
        <v>590</v>
      </c>
      <c r="AP155" s="1064">
        <f>AVERAGE(AP151:AP154)</f>
        <v>-0.18242897727655266</v>
      </c>
      <c r="AR155" s="1064">
        <f>AVERAGE(AR151:AR154)</f>
        <v>-6.9423841166802724E-2</v>
      </c>
    </row>
    <row r="156" spans="1:44" ht="11.25" customHeight="1">
      <c r="D156" s="1170"/>
      <c r="F156" s="1170"/>
      <c r="J156" s="1170"/>
      <c r="L156" s="1263"/>
      <c r="M156" s="1155"/>
      <c r="O156" s="1155"/>
      <c r="Q156" s="1155"/>
      <c r="R156" s="1367">
        <f>R154/R147-1</f>
        <v>-3.3063106024479594E-2</v>
      </c>
      <c r="S156" s="1062"/>
      <c r="T156" s="1177"/>
      <c r="AA156" s="1155"/>
      <c r="AB156" s="1599"/>
      <c r="AG156" s="1155"/>
      <c r="AH156" s="1400"/>
      <c r="AI156" s="1401"/>
      <c r="AJ156" s="1400"/>
    </row>
    <row r="157" spans="1:44" ht="11.25" customHeight="1">
      <c r="B157" s="1204">
        <f>+B150+1</f>
        <v>2011</v>
      </c>
      <c r="M157" s="1155"/>
      <c r="O157" s="1155"/>
      <c r="Q157" s="1155"/>
      <c r="R157" s="1413"/>
      <c r="T157" s="1177"/>
      <c r="V157" s="2000"/>
      <c r="AA157" s="1155"/>
      <c r="AB157" s="2003"/>
      <c r="AG157" s="1155"/>
      <c r="AH157" s="1397"/>
      <c r="AI157" s="1155"/>
      <c r="AJ157" s="1155"/>
      <c r="AO157" s="1045" t="s">
        <v>327</v>
      </c>
      <c r="AQ157" s="1045" t="s">
        <v>328</v>
      </c>
    </row>
    <row r="158" spans="1:44" ht="12" customHeight="1">
      <c r="A158" s="1045" t="str">
        <f>$A$46</f>
        <v>1Q</v>
      </c>
      <c r="B158" s="1045" t="str">
        <f>$B$11</f>
        <v>Apr</v>
      </c>
      <c r="C158" s="1155"/>
      <c r="D158" s="1170">
        <f>+'qtrP&amp;L'!CL10</f>
        <v>3295</v>
      </c>
      <c r="F158" s="1170">
        <f>+'qtrP&amp;L'!CL20</f>
        <v>1991</v>
      </c>
      <c r="H158" s="1170">
        <f>+work!CH10</f>
        <v>1713</v>
      </c>
      <c r="J158" s="1170">
        <f>AVERAGE(H158,H154)</f>
        <v>1666.5</v>
      </c>
      <c r="L158" s="1263">
        <f>(D158/D151-1)*100</f>
        <v>-1.0213277260438525</v>
      </c>
      <c r="M158" s="1155" t="s">
        <v>489</v>
      </c>
      <c r="N158" s="1263">
        <f>(H158/H151-1)*100</f>
        <v>11.668839634941319</v>
      </c>
      <c r="O158" s="1155" t="s">
        <v>489</v>
      </c>
      <c r="P158" s="1263">
        <f>(H158/H154-1)*100</f>
        <v>5.7407407407407351</v>
      </c>
      <c r="Q158" s="1155" t="s">
        <v>489</v>
      </c>
      <c r="R158" s="1177">
        <f>F158/J158</f>
        <v>1.1947194719471947</v>
      </c>
      <c r="S158" s="1045" t="s">
        <v>590</v>
      </c>
      <c r="T158" s="1177">
        <f>F159/H158</f>
        <v>1.2463514302393461</v>
      </c>
      <c r="V158" s="1594">
        <f>'Store New'!AD167</f>
        <v>3059</v>
      </c>
      <c r="X158" s="1171">
        <f>H158/V158</f>
        <v>0.55998692383131743</v>
      </c>
      <c r="Z158" s="1396">
        <f>(X158/X151-1)*100</f>
        <v>12.617970014316437</v>
      </c>
      <c r="AA158" s="1155" t="s">
        <v>489</v>
      </c>
      <c r="AB158" s="1597">
        <f>'Store New'!AD172</f>
        <v>37.799999999999997</v>
      </c>
      <c r="AD158" s="1174">
        <f>H158/AB158</f>
        <v>45.317460317460323</v>
      </c>
      <c r="AF158" s="1408">
        <f>(AD158/AD151-1)*100</f>
        <v>14.327621531011392</v>
      </c>
      <c r="AG158" s="1155" t="s">
        <v>489</v>
      </c>
      <c r="AH158" s="1400"/>
      <c r="AI158" s="1401">
        <f>((F158-('yrP&amp;L'!$W$18/4))/J158)</f>
        <v>0.9347809780978098</v>
      </c>
      <c r="AJ158" s="1402" t="s">
        <v>590</v>
      </c>
      <c r="AK158" s="1224">
        <f>J158/(F158/(365/4))</f>
        <v>76.377762430939228</v>
      </c>
      <c r="AM158" s="1224">
        <f>H158/(F159/(365/4))</f>
        <v>73.213700234192046</v>
      </c>
      <c r="AN158" s="1061"/>
      <c r="AO158" s="1224">
        <f>AVERAGE((AD151,AD144,AD137,AD130,AD123,AD116,AD109,AD102,AD95,AD88))</f>
        <v>48.181881564552533</v>
      </c>
      <c r="AP158" s="1064">
        <f>AD158/AO158-1</f>
        <v>-5.9450174091988273E-2</v>
      </c>
      <c r="AQ158" s="1174">
        <f>AVERAGE(AD151,AD144,AD137,AD130,AD123)</f>
        <v>42.218222911228835</v>
      </c>
      <c r="AR158" s="1064">
        <f>AD158/AQ158-1</f>
        <v>7.3409944628606727E-2</v>
      </c>
    </row>
    <row r="159" spans="1:44" ht="12" customHeight="1">
      <c r="A159" s="1045" t="str">
        <f>$A$47</f>
        <v>2Q</v>
      </c>
      <c r="B159" s="1045" t="str">
        <f>$B$12</f>
        <v>Jul</v>
      </c>
      <c r="D159" s="1176">
        <f>+'qtrP&amp;L'!CL11</f>
        <v>3386</v>
      </c>
      <c r="F159" s="1176">
        <f>+'qtrP&amp;L'!CL21</f>
        <v>2135</v>
      </c>
      <c r="H159" s="1176">
        <f>+work!CH11</f>
        <v>1750</v>
      </c>
      <c r="J159" s="1176">
        <f>AVERAGE(H158:H159)</f>
        <v>1731.5</v>
      </c>
      <c r="L159" s="1263">
        <f>(D159/D152-1)*100</f>
        <v>2.080192945432624</v>
      </c>
      <c r="M159" s="1155"/>
      <c r="N159" s="1263">
        <f>(H159/H152-1)*100</f>
        <v>7.2303921568627416</v>
      </c>
      <c r="O159" s="1155"/>
      <c r="P159" s="1263">
        <f>(H159/H158-1)*100</f>
        <v>2.1599532983070713</v>
      </c>
      <c r="Q159" s="1155"/>
      <c r="R159" s="1177">
        <f>F159/J159</f>
        <v>1.2330349408027721</v>
      </c>
      <c r="T159" s="1177">
        <f>F160/H159</f>
        <v>1.2977142857142858</v>
      </c>
      <c r="V159" s="1594">
        <f>'Store New'!AE167</f>
        <v>3053</v>
      </c>
      <c r="X159" s="1171">
        <f>H159/V159</f>
        <v>0.57320668195217817</v>
      </c>
      <c r="Z159" s="1396">
        <f>(X159/X152-1)*100</f>
        <v>8.0382202012806445</v>
      </c>
      <c r="AA159" s="1155"/>
      <c r="AB159" s="1597">
        <f>'Store New'!AE172</f>
        <v>37.700000000000003</v>
      </c>
      <c r="AC159" s="1063"/>
      <c r="AD159" s="1178">
        <f>H159/AB159</f>
        <v>46.41909814323607</v>
      </c>
      <c r="AF159" s="1408">
        <f>(AD159/AD152-1)*100</f>
        <v>9.5058381442762787</v>
      </c>
      <c r="AG159" s="1155"/>
      <c r="AH159" s="1400"/>
      <c r="AI159" s="1401">
        <f>((F159-('yrP&amp;L'!$W$18/4))/J159)</f>
        <v>0.98285446144961019</v>
      </c>
      <c r="AJ159" s="1402"/>
      <c r="AK159" s="1224">
        <f>J159/(F159/(365/4))</f>
        <v>74.004391100702577</v>
      </c>
      <c r="AM159" s="1224">
        <f>H159/(F160/(365/4))</f>
        <v>70.315940114487006</v>
      </c>
      <c r="AN159" s="1061"/>
      <c r="AO159" s="1224">
        <f>AVERAGE((AD152,AD145,AD138,AD131,AD124,AD117,AD110,AD103,AD96,AD89))</f>
        <v>52.348269645705912</v>
      </c>
      <c r="AP159" s="1064">
        <f>AD159/AO159-1</f>
        <v>-0.11326394439775356</v>
      </c>
      <c r="AQ159" s="1174">
        <f>AVERAGE(AD152,AD145,AD138,AD131,AD124)</f>
        <v>45.202218568722273</v>
      </c>
      <c r="AR159" s="1064">
        <f>AD159/AQ159-1</f>
        <v>2.6920793116907316E-2</v>
      </c>
    </row>
    <row r="160" spans="1:44" ht="12" customHeight="1">
      <c r="A160" s="1045" t="str">
        <f>$A$48</f>
        <v>3Q</v>
      </c>
      <c r="B160" s="1045" t="str">
        <f>$B$13</f>
        <v>Oct</v>
      </c>
      <c r="D160" s="1176">
        <f>+'qtrP&amp;L'!CL12</f>
        <v>3585</v>
      </c>
      <c r="F160" s="1176">
        <f>+'qtrP&amp;L'!CL22</f>
        <v>2271</v>
      </c>
      <c r="H160" s="1176">
        <f>+work!CH12</f>
        <v>2322</v>
      </c>
      <c r="J160" s="1176">
        <f>AVERAGE(H159:H160)</f>
        <v>2036</v>
      </c>
      <c r="L160" s="1263">
        <f>(D160/D153-1)*100</f>
        <v>-1.8883415435139606</v>
      </c>
      <c r="M160" s="1155"/>
      <c r="N160" s="1263">
        <f>(H160/H153-1)*100</f>
        <v>7.4999999999999956</v>
      </c>
      <c r="O160" s="1155"/>
      <c r="P160" s="1263">
        <f>(H160/H159-1)*100</f>
        <v>32.685714285714297</v>
      </c>
      <c r="Q160" s="1155"/>
      <c r="R160" s="1177">
        <f>F160/J160</f>
        <v>1.1154223968565815</v>
      </c>
      <c r="T160" s="1177">
        <f>F161/H160</f>
        <v>1.2394487510766581</v>
      </c>
      <c r="V160" s="1594">
        <f>'Store New'!AF167</f>
        <v>3065</v>
      </c>
      <c r="X160" s="1171">
        <f>H160/V160</f>
        <v>0.75758564437194131</v>
      </c>
      <c r="Z160" s="1396">
        <f>(X160/X153-1)*100</f>
        <v>8.0962479608482916</v>
      </c>
      <c r="AA160" s="1155"/>
      <c r="AB160" s="1597">
        <f>'Store New'!AF172</f>
        <v>37.6</v>
      </c>
      <c r="AD160" s="1178">
        <f>H160/AB160</f>
        <v>61.755319148936167</v>
      </c>
      <c r="AF160" s="1408">
        <f>(AD160/AD153-1)*100</f>
        <v>9.7872340425531945</v>
      </c>
      <c r="AG160" s="1155"/>
      <c r="AH160" s="1400"/>
      <c r="AI160" s="1401">
        <f>((F160-('yrP&amp;L'!$W$18/4))/J160)</f>
        <v>0.90265839882121812</v>
      </c>
      <c r="AJ160" s="1402"/>
      <c r="AK160" s="1224">
        <f>J160/(F160/(365/4))</f>
        <v>81.807573756054595</v>
      </c>
      <c r="AM160" s="1224">
        <f>H160/(F161/(365/4))</f>
        <v>73.621438498957602</v>
      </c>
      <c r="AN160" s="1061"/>
      <c r="AO160" s="1224">
        <f>AVERAGE((AD153,AD146,AD139,AD132,AD125,AD118,AD111,AD104,AD97,AD90))</f>
        <v>65.421468209290566</v>
      </c>
      <c r="AP160" s="1064">
        <f>AD160/AO160-1</f>
        <v>-5.6038929738262411E-2</v>
      </c>
      <c r="AQ160" s="1174">
        <f>AVERAGE(AD153,AD146,AD139,AD132,AD125)</f>
        <v>58.493901389415853</v>
      </c>
      <c r="AR160" s="1064">
        <f>AD160/AQ160-1</f>
        <v>5.5756543537895276E-2</v>
      </c>
    </row>
    <row r="161" spans="1:44" ht="12" customHeight="1">
      <c r="A161" s="1045" t="str">
        <f>$A$49</f>
        <v>4Q</v>
      </c>
      <c r="B161" s="1045" t="str">
        <f>$B$14</f>
        <v>Jan</v>
      </c>
      <c r="D161" s="1183">
        <f>+'qtrP&amp;L'!CL13</f>
        <v>4283</v>
      </c>
      <c r="F161" s="1183">
        <f>+'qtrP&amp;L'!CL23</f>
        <v>2878</v>
      </c>
      <c r="H161" s="1176">
        <f>+bal!AU12</f>
        <v>1615</v>
      </c>
      <c r="J161" s="1183">
        <f>AVERAGE(H160:H161)</f>
        <v>1968.5</v>
      </c>
      <c r="L161" s="1398">
        <f>(D161/D154-1)*100</f>
        <v>-1.8560953253895507</v>
      </c>
      <c r="M161" s="1155"/>
      <c r="N161" s="1396">
        <f>(H161/H154-1)*100</f>
        <v>-0.30864197530864335</v>
      </c>
      <c r="O161" s="1155"/>
      <c r="P161" s="1263">
        <f>(H161/H160-1)*100</f>
        <v>-30.447889750215328</v>
      </c>
      <c r="Q161" s="1155"/>
      <c r="R161" s="1177">
        <f>F161/J161</f>
        <v>1.4620269240538482</v>
      </c>
      <c r="T161" s="1177">
        <f>F165/H161</f>
        <v>1.3077399380804953</v>
      </c>
      <c r="V161" s="1594">
        <f>'Store New'!AG167</f>
        <v>3036</v>
      </c>
      <c r="X161" s="1171">
        <f>H161/V161</f>
        <v>0.53194993412384717</v>
      </c>
      <c r="Z161" s="1396">
        <f>(X161/X154-1)*100</f>
        <v>0.74212332666439007</v>
      </c>
      <c r="AA161" s="1155"/>
      <c r="AB161" s="1597">
        <f>'Store New'!AG172</f>
        <v>37.200000000000003</v>
      </c>
      <c r="AD161" s="1178">
        <f>H161/AB161</f>
        <v>43.413978494623656</v>
      </c>
      <c r="AF161" s="1408">
        <f>(AD161/AD154-1)*100</f>
        <v>2.3712332404088654</v>
      </c>
      <c r="AG161" s="1155"/>
      <c r="AH161" s="1400"/>
      <c r="AI161" s="1401">
        <f>((F161-('yrP&amp;L'!$W$18/4))/J161)</f>
        <v>1.2419672339344678</v>
      </c>
      <c r="AJ161" s="1400"/>
      <c r="AK161" s="1224">
        <f>J161/(F161/(365/4))</f>
        <v>62.413351285615008</v>
      </c>
      <c r="AM161" s="1409" t="s">
        <v>644</v>
      </c>
      <c r="AN161" s="1061"/>
      <c r="AO161" s="1224">
        <f>AVERAGE((AD154,AD147,AD140,AD133,AD126,AD119,AD112,AD105,AD98,AD91))</f>
        <v>44.96344735045254</v>
      </c>
      <c r="AP161" s="1064">
        <f>AD161/AO161-1</f>
        <v>-3.4460632961526905E-2</v>
      </c>
      <c r="AQ161" s="1174">
        <f>AVERAGE(AD154,AD147,AD140,AD133,AD126)</f>
        <v>40.956593111537508</v>
      </c>
      <c r="AR161" s="1064">
        <f>AD161/AQ161-1</f>
        <v>5.9999750867801183E-2</v>
      </c>
    </row>
    <row r="162" spans="1:44" ht="11.25" customHeight="1">
      <c r="B162" s="1045" t="str">
        <f>$B$15</f>
        <v>Year</v>
      </c>
      <c r="D162" s="1170">
        <f>+'qtrP&amp;L'!CL14</f>
        <v>14549</v>
      </c>
      <c r="F162" s="1170">
        <f>+'qtrP&amp;L'!CL24</f>
        <v>9275</v>
      </c>
      <c r="J162" s="1170">
        <f>AVERAGE(J158:J161)</f>
        <v>1850.625</v>
      </c>
      <c r="L162" s="1263">
        <f>(D162/D155-1)*100</f>
        <v>-0.78423349699945355</v>
      </c>
      <c r="M162" s="1155"/>
      <c r="N162" s="1263"/>
      <c r="O162" s="1155"/>
      <c r="Q162" s="1155"/>
      <c r="R162" s="1399">
        <f>F162/J162</f>
        <v>5.0118203309692673</v>
      </c>
      <c r="S162" s="1395" t="s">
        <v>590</v>
      </c>
      <c r="T162" s="1177"/>
      <c r="V162" s="1594"/>
      <c r="AA162" s="1155"/>
      <c r="AB162" s="1599"/>
      <c r="AG162" s="1155"/>
      <c r="AH162" s="1400"/>
      <c r="AI162" s="1407">
        <f>((F162-('yrP&amp;L'!$W$18))/J162)</f>
        <v>4.0755150287065183</v>
      </c>
      <c r="AJ162" s="1404" t="s">
        <v>590</v>
      </c>
      <c r="AP162" s="1064">
        <f>AVERAGE(AP158:AP161)</f>
        <v>-6.5803420297382786E-2</v>
      </c>
      <c r="AR162" s="1064">
        <f>AVERAGE(AR158:AR161)</f>
        <v>5.4021758037802625E-2</v>
      </c>
    </row>
    <row r="163" spans="1:44" ht="11.25" customHeight="1">
      <c r="D163" s="1170"/>
      <c r="F163" s="1170"/>
      <c r="J163" s="1170"/>
      <c r="L163" s="1263"/>
      <c r="M163" s="1155"/>
      <c r="O163" s="1155"/>
      <c r="Q163" s="1155"/>
      <c r="R163" s="1367">
        <f>R161/R154-1</f>
        <v>2.5317583102698826E-2</v>
      </c>
      <c r="S163" s="1062"/>
      <c r="T163" s="1177"/>
      <c r="AA163" s="1155"/>
      <c r="AB163" s="1599"/>
      <c r="AG163" s="1155"/>
      <c r="AH163" s="1400"/>
      <c r="AI163" s="1401"/>
      <c r="AJ163" s="1400"/>
    </row>
    <row r="164" spans="1:44" ht="11.25" customHeight="1">
      <c r="B164" s="1204">
        <f>+B157+1</f>
        <v>2012</v>
      </c>
      <c r="M164" s="1155"/>
      <c r="O164" s="1155"/>
      <c r="Q164" s="1155"/>
      <c r="R164" s="1413"/>
      <c r="T164" s="1177"/>
      <c r="V164" s="2000"/>
      <c r="AA164" s="1155"/>
      <c r="AB164" s="2003"/>
      <c r="AG164" s="1155"/>
      <c r="AH164" s="1397"/>
      <c r="AI164" s="1155"/>
      <c r="AJ164" s="1155"/>
    </row>
    <row r="165" spans="1:44" ht="12" customHeight="1">
      <c r="A165" s="1045" t="str">
        <f>$A$46</f>
        <v>1Q</v>
      </c>
      <c r="B165" s="1045" t="str">
        <f>$B$11</f>
        <v>Apr</v>
      </c>
      <c r="C165" s="1155"/>
      <c r="D165" s="1170">
        <f>+'qtrP&amp;L'!CP10</f>
        <v>3487</v>
      </c>
      <c r="F165" s="1170">
        <f>+'qtrP&amp;L'!CP20</f>
        <v>2112</v>
      </c>
      <c r="H165" s="1170">
        <f>+work!CL10</f>
        <v>1591</v>
      </c>
      <c r="J165" s="1170">
        <f>AVERAGE(H165,H161)</f>
        <v>1603</v>
      </c>
      <c r="L165" s="1263">
        <f>(D165/D158-1)*100</f>
        <v>5.8270106221547824</v>
      </c>
      <c r="M165" s="1155" t="s">
        <v>489</v>
      </c>
      <c r="N165" s="1263">
        <f>(H165/H158-1)*100</f>
        <v>-7.1220081727962681</v>
      </c>
      <c r="O165" s="1155" t="s">
        <v>489</v>
      </c>
      <c r="P165" s="1263">
        <f>(H165/H161-1)*100</f>
        <v>-1.4860681114551078</v>
      </c>
      <c r="Q165" s="1155" t="s">
        <v>489</v>
      </c>
      <c r="R165" s="1177">
        <f>F165/J165</f>
        <v>1.3175296319401122</v>
      </c>
      <c r="S165" s="1045" t="s">
        <v>590</v>
      </c>
      <c r="T165" s="1177">
        <f>F166/H165</f>
        <v>1.3500942803268385</v>
      </c>
      <c r="V165" s="1594">
        <f>'Store New'!AH167</f>
        <v>3026</v>
      </c>
      <c r="X165" s="1171">
        <f>H165/V165</f>
        <v>0.52577660277594185</v>
      </c>
      <c r="Z165" s="1396">
        <f>(X165/X158-1)*100</f>
        <v>-6.1091285527375305</v>
      </c>
      <c r="AA165" s="1155" t="s">
        <v>489</v>
      </c>
      <c r="AB165" s="1597">
        <f>'Store New'!AH172</f>
        <v>36.9</v>
      </c>
      <c r="AD165" s="1174">
        <f>H165/AB165</f>
        <v>43.116531165311656</v>
      </c>
      <c r="AF165" s="1408">
        <f>(AD165/AD158-1)*100</f>
        <v>-4.8566912989620352</v>
      </c>
      <c r="AG165" s="1155" t="s">
        <v>489</v>
      </c>
      <c r="AH165" s="1400"/>
      <c r="AI165" s="1401">
        <f>((F165-('yrP&amp;L'!$X$18/4))/J165)</f>
        <v>1.0400577043044292</v>
      </c>
      <c r="AJ165" s="1402" t="s">
        <v>590</v>
      </c>
      <c r="AK165" s="1224">
        <f>J165/(F165/(365/4))</f>
        <v>69.258404356060609</v>
      </c>
      <c r="AM165" s="1224">
        <f>H165/(F166/(365/4))</f>
        <v>67.587872439478588</v>
      </c>
      <c r="AN165" s="1061"/>
      <c r="AO165" s="1224"/>
      <c r="AP165" s="1064"/>
      <c r="AQ165" s="1174"/>
      <c r="AR165" s="1064"/>
    </row>
    <row r="166" spans="1:44" ht="12" customHeight="1">
      <c r="A166" s="1045" t="str">
        <f>$A$47</f>
        <v>2Q</v>
      </c>
      <c r="B166" s="1045" t="str">
        <f>$B$12</f>
        <v>Jul</v>
      </c>
      <c r="D166" s="1176">
        <f>+'qtrP&amp;L'!CP11</f>
        <v>3575</v>
      </c>
      <c r="F166" s="1176">
        <f>+'qtrP&amp;L'!CP21</f>
        <v>2148</v>
      </c>
      <c r="H166" s="1176">
        <f>+work!CL11</f>
        <v>1668</v>
      </c>
      <c r="J166" s="1176">
        <f>AVERAGE(H165:H166)</f>
        <v>1629.5</v>
      </c>
      <c r="L166" s="1263">
        <f>(D166/D159-1)*100</f>
        <v>5.5818074424099251</v>
      </c>
      <c r="M166" s="1155"/>
      <c r="N166" s="1263">
        <f>(H166/H159-1)*100</f>
        <v>-4.6857142857142815</v>
      </c>
      <c r="O166" s="1155"/>
      <c r="P166" s="1263">
        <f>(H166/H165-1)*100</f>
        <v>4.8397234443745996</v>
      </c>
      <c r="Q166" s="1155"/>
      <c r="R166" s="1177">
        <f>F166/J166</f>
        <v>1.3181957655722614</v>
      </c>
      <c r="T166" s="1177">
        <f>F167/H166</f>
        <v>1.3615107913669064</v>
      </c>
      <c r="V166" s="1594">
        <f>'Store New'!AI167</f>
        <v>3035</v>
      </c>
      <c r="X166" s="1171">
        <f>H166/V166</f>
        <v>0.54958813838550247</v>
      </c>
      <c r="Z166" s="1396">
        <f>(X166/X159-1)*100</f>
        <v>-4.1204236290891982</v>
      </c>
      <c r="AA166" s="1155"/>
      <c r="AB166" s="1597">
        <f>'Store New'!AI172</f>
        <v>36.799999999999997</v>
      </c>
      <c r="AC166" s="1063"/>
      <c r="AD166" s="1174">
        <f>H166/AB166</f>
        <v>45.326086956521742</v>
      </c>
      <c r="AF166" s="1408">
        <f>(AD166/AD159-1)*100</f>
        <v>-2.3546583850931557</v>
      </c>
      <c r="AG166" s="1155"/>
      <c r="AH166" s="1400"/>
      <c r="AI166" s="1401">
        <f>((F166-('yrP&amp;L'!$X$18/4))/J166)</f>
        <v>1.0452362687941086</v>
      </c>
      <c r="AJ166" s="1402"/>
      <c r="AK166" s="1224">
        <f>J166/(F166/(365/4))</f>
        <v>69.223405493482304</v>
      </c>
      <c r="AM166" s="1224">
        <f>H166/(F167/(365/4))</f>
        <v>67.021136063408193</v>
      </c>
      <c r="AN166" s="1061"/>
      <c r="AO166" s="1224"/>
      <c r="AP166" s="1064"/>
      <c r="AQ166" s="1174"/>
      <c r="AR166" s="1064"/>
    </row>
    <row r="167" spans="1:44" ht="12" customHeight="1">
      <c r="A167" s="1045" t="str">
        <f>$A$48</f>
        <v>3Q</v>
      </c>
      <c r="B167" s="1045" t="str">
        <f>$B$13</f>
        <v>Oct</v>
      </c>
      <c r="D167" s="1176">
        <f>+'qtrP&amp;L'!CP12</f>
        <v>3864</v>
      </c>
      <c r="F167" s="1176">
        <f>+'qtrP&amp;L'!CP22</f>
        <v>2271</v>
      </c>
      <c r="H167" s="1176">
        <f>+work!CL12</f>
        <v>2269</v>
      </c>
      <c r="J167" s="1176">
        <f>AVERAGE(H166:H167)</f>
        <v>1968.5</v>
      </c>
      <c r="L167" s="1263">
        <f>(D167/D160-1)*100</f>
        <v>7.7824267782426793</v>
      </c>
      <c r="M167" s="1155"/>
      <c r="N167" s="1263">
        <f>(H167/H160-1)*100</f>
        <v>-2.2825150732127431</v>
      </c>
      <c r="O167" s="1155"/>
      <c r="P167" s="1263">
        <f>(H167/H166-1)*100</f>
        <v>36.031175059952034</v>
      </c>
      <c r="Q167" s="1155"/>
      <c r="R167" s="1177">
        <f>F167/J167</f>
        <v>1.1536703073406147</v>
      </c>
      <c r="T167" s="1177">
        <f>F168/H167</f>
        <v>1.2996914940502424</v>
      </c>
      <c r="V167" s="1594">
        <f>'Store New'!AJ167</f>
        <v>3068</v>
      </c>
      <c r="X167" s="1171">
        <f>H167/V167</f>
        <v>0.7395697522816167</v>
      </c>
      <c r="Z167" s="1396">
        <f>(X167/X160-1)*100</f>
        <v>-2.3780667207943584</v>
      </c>
      <c r="AA167" s="1155"/>
      <c r="AB167" s="1597">
        <f>'Store New'!AJ172</f>
        <v>36.9</v>
      </c>
      <c r="AD167" s="1174">
        <f>H167/AB167</f>
        <v>61.490514905149055</v>
      </c>
      <c r="AF167" s="1408">
        <f>(AD167/AD160-1)*100</f>
        <v>-0.42879584695931783</v>
      </c>
      <c r="AG167" s="1155"/>
      <c r="AH167" s="1400"/>
      <c r="AI167" s="1401">
        <f>((F167-('yrP&amp;L'!$X$18/4))/J167)</f>
        <v>0.92771780543561089</v>
      </c>
      <c r="AJ167" s="1402"/>
      <c r="AK167" s="1224">
        <f>J167/(F167/(365/4))</f>
        <v>79.09538749449581</v>
      </c>
      <c r="AM167" s="1224">
        <f>H167/(F168/(365/4))</f>
        <v>70.208969142082054</v>
      </c>
      <c r="AN167" s="1061"/>
      <c r="AO167" s="1224"/>
      <c r="AP167" s="1064"/>
      <c r="AQ167" s="1174"/>
      <c r="AR167" s="1064"/>
    </row>
    <row r="168" spans="1:44" ht="12" customHeight="1">
      <c r="A168" s="1045" t="str">
        <f>$A$49</f>
        <v>4Q</v>
      </c>
      <c r="B168" s="1045" t="str">
        <f>$B$14</f>
        <v>Jan</v>
      </c>
      <c r="D168" s="1183">
        <f>+'qtrP&amp;L'!CP13</f>
        <v>4725</v>
      </c>
      <c r="F168" s="1183">
        <f>+'qtrP&amp;L'!CP23</f>
        <v>2949</v>
      </c>
      <c r="H168" s="1176">
        <f>+work!CL13</f>
        <v>1758</v>
      </c>
      <c r="J168" s="1183">
        <f>AVERAGE(H167:H168)</f>
        <v>2013.5</v>
      </c>
      <c r="L168" s="1398">
        <f>(D168/D161-1)*100</f>
        <v>10.319869250525326</v>
      </c>
      <c r="M168" s="1155"/>
      <c r="N168" s="1396">
        <f>(H168/H161-1)*100</f>
        <v>8.8544891640866865</v>
      </c>
      <c r="O168" s="1155"/>
      <c r="P168" s="1263">
        <f>(H168/H167-1)*100</f>
        <v>-22.520934332304975</v>
      </c>
      <c r="Q168" s="1155"/>
      <c r="R168" s="1177">
        <f>F168/J168</f>
        <v>1.4646138564688354</v>
      </c>
      <c r="T168" s="1411" t="s">
        <v>644</v>
      </c>
      <c r="V168" s="1594">
        <f>'Store New'!AK167</f>
        <v>3095</v>
      </c>
      <c r="X168" s="1171">
        <f>H168/V168</f>
        <v>0.56801292407108239</v>
      </c>
      <c r="Z168" s="1396">
        <f>(X168/X161-1)*100</f>
        <v>6.7793955095855285</v>
      </c>
      <c r="AA168" s="1155"/>
      <c r="AB168" s="1597">
        <f>'Store New'!AK172</f>
        <v>36.9</v>
      </c>
      <c r="AD168" s="1178">
        <f>H168/AB168</f>
        <v>47.642276422764226</v>
      </c>
      <c r="AF168" s="1408">
        <f>(AD168/AD161-1)*100</f>
        <v>9.7394850109491671</v>
      </c>
      <c r="AG168" s="1155"/>
      <c r="AH168" s="1400"/>
      <c r="AI168" s="1401">
        <f>((F168-('yrP&amp;L'!$X$18/4))/J168)</f>
        <v>1.2437111994040229</v>
      </c>
      <c r="AJ168" s="1400"/>
      <c r="AK168" s="1224">
        <f>J168/(F168/(365/4))</f>
        <v>62.303111224143777</v>
      </c>
      <c r="AM168" s="1409" t="s">
        <v>644</v>
      </c>
      <c r="AN168" s="1061"/>
      <c r="AO168" s="1224"/>
      <c r="AP168" s="1064"/>
      <c r="AQ168" s="1174"/>
      <c r="AR168" s="1064"/>
    </row>
    <row r="169" spans="1:44" ht="11.25" customHeight="1">
      <c r="B169" s="1045" t="str">
        <f>$B$15</f>
        <v>Year</v>
      </c>
      <c r="D169" s="1170">
        <f>+'qtrP&amp;L'!CL21</f>
        <v>2135</v>
      </c>
      <c r="F169" s="1170">
        <f>+'qtrP&amp;L'!CP24</f>
        <v>9480</v>
      </c>
      <c r="J169" s="1170">
        <f>AVERAGE(J165:J168)</f>
        <v>1803.625</v>
      </c>
      <c r="L169" s="1263">
        <f>(D169/D162-1)*100</f>
        <v>-85.325451921094228</v>
      </c>
      <c r="M169" s="1155"/>
      <c r="N169" s="1263"/>
      <c r="O169" s="1155"/>
      <c r="Q169" s="1155"/>
      <c r="R169" s="1399">
        <f>F169/J169</f>
        <v>5.2560815025296277</v>
      </c>
      <c r="S169" s="1395" t="s">
        <v>590</v>
      </c>
      <c r="T169" s="1177"/>
      <c r="V169" s="1594"/>
      <c r="AA169" s="1155"/>
      <c r="AB169" s="1599"/>
      <c r="AG169" s="1155"/>
      <c r="AH169" s="1400"/>
      <c r="AI169" s="1407">
        <f>((F169-('yrP&amp;L'!$X$18))/J169)</f>
        <v>4.2696513964931739</v>
      </c>
      <c r="AJ169" s="1404" t="s">
        <v>590</v>
      </c>
      <c r="AP169" s="1064"/>
      <c r="AR169" s="1064"/>
    </row>
    <row r="170" spans="1:44" ht="11.25" customHeight="1">
      <c r="D170" s="1170"/>
      <c r="F170" s="1170"/>
      <c r="J170" s="1170"/>
      <c r="L170" s="1263"/>
      <c r="M170" s="1155"/>
      <c r="N170" s="1263"/>
      <c r="O170" s="1155"/>
      <c r="Q170" s="1155"/>
      <c r="R170" s="1412"/>
      <c r="S170" s="1062"/>
      <c r="T170" s="1177"/>
      <c r="V170" s="1594"/>
      <c r="AA170" s="1155"/>
      <c r="AB170" s="1599"/>
      <c r="AG170" s="1155"/>
      <c r="AH170" s="1400"/>
      <c r="AI170" s="1401"/>
      <c r="AJ170" s="1400"/>
      <c r="AP170" s="1064"/>
      <c r="AR170" s="1064"/>
    </row>
    <row r="171" spans="1:44" ht="11.25" customHeight="1">
      <c r="B171" s="1204">
        <f>+B164+1</f>
        <v>2013</v>
      </c>
      <c r="D171" s="1170"/>
      <c r="F171" s="1170"/>
      <c r="J171" s="1170"/>
      <c r="L171" s="1263"/>
      <c r="M171" s="1155"/>
      <c r="N171" s="1263"/>
      <c r="O171" s="1155"/>
      <c r="Q171" s="1155"/>
      <c r="R171" s="1412"/>
      <c r="S171" s="1062"/>
      <c r="T171" s="1177"/>
      <c r="V171" s="1594"/>
      <c r="AA171" s="1155"/>
      <c r="AB171" s="1599"/>
      <c r="AG171" s="1155"/>
      <c r="AH171" s="1400"/>
      <c r="AI171" s="1401"/>
      <c r="AJ171" s="1400"/>
      <c r="AP171" s="1064"/>
      <c r="AR171" s="1064"/>
    </row>
    <row r="172" spans="1:44" ht="11.25" customHeight="1">
      <c r="A172" s="1045" t="str">
        <f>$A$46</f>
        <v>1Q</v>
      </c>
      <c r="B172" s="1045" t="str">
        <f>$B$11</f>
        <v>Apr</v>
      </c>
      <c r="D172" s="1170">
        <f>'qtrP&amp;L'!CT10</f>
        <v>3729</v>
      </c>
      <c r="F172" s="1170">
        <f>'qtrP&amp;L'!CT20</f>
        <v>2185</v>
      </c>
      <c r="H172" s="1170">
        <f>+work!CP10</f>
        <v>1723</v>
      </c>
      <c r="J172" s="1170">
        <f>AVERAGE(H172,H168)</f>
        <v>1740.5</v>
      </c>
      <c r="L172" s="1263">
        <f>(D172/D165-1)*100</f>
        <v>6.9400630914826511</v>
      </c>
      <c r="M172" s="1155" t="s">
        <v>489</v>
      </c>
      <c r="N172" s="1263">
        <f>(H172/H165-1)*100</f>
        <v>8.2966687617850319</v>
      </c>
      <c r="O172" s="1155" t="s">
        <v>489</v>
      </c>
      <c r="P172" s="1263">
        <f>(H172/H168-1)*100</f>
        <v>-1.9908987485779295</v>
      </c>
      <c r="Q172" s="1155" t="s">
        <v>489</v>
      </c>
      <c r="R172" s="1177">
        <f>F172/J172</f>
        <v>1.2553863832232117</v>
      </c>
      <c r="S172" s="1045" t="s">
        <v>590</v>
      </c>
      <c r="T172" s="1177">
        <f>F173/H172</f>
        <v>1.3354614045269879</v>
      </c>
      <c r="V172" s="1594">
        <f>'Store New'!AL167</f>
        <v>3105</v>
      </c>
      <c r="X172" s="1171">
        <f>H172/V172</f>
        <v>0.55491143317230274</v>
      </c>
      <c r="Z172" s="1396">
        <f>(X172/X165-1)*100</f>
        <v>5.5412945807283398</v>
      </c>
      <c r="AA172" s="1155" t="s">
        <v>489</v>
      </c>
      <c r="AB172" s="1597">
        <f>'Store New'!AL172</f>
        <v>37</v>
      </c>
      <c r="AD172" s="1174">
        <f>H172/AB172</f>
        <v>46.567567567567565</v>
      </c>
      <c r="AF172" s="1408">
        <f>(AD172/AD165-1)*100</f>
        <v>8.0039750624288466</v>
      </c>
      <c r="AG172" s="1155"/>
      <c r="AH172" s="1400"/>
      <c r="AI172" s="1401">
        <f>((F172-('yrP&amp;L'!$Y$18/4))/J172)</f>
        <v>0.98817150244182705</v>
      </c>
      <c r="AJ172" s="1402" t="s">
        <v>590</v>
      </c>
      <c r="AK172" s="1224">
        <f>J172/(F172/(365/4))</f>
        <v>72.686784897025163</v>
      </c>
      <c r="AM172" s="1224">
        <f>H172/(F173/(365/4))</f>
        <v>68.328444154715342</v>
      </c>
      <c r="AP172" s="1064"/>
      <c r="AR172" s="1064"/>
    </row>
    <row r="173" spans="1:44" ht="11.25" customHeight="1">
      <c r="A173" s="1045" t="str">
        <f>$A$47</f>
        <v>2Q</v>
      </c>
      <c r="B173" s="1045" t="str">
        <f>$B$12</f>
        <v>Jul</v>
      </c>
      <c r="D173" s="1176">
        <f>'qtrP&amp;L'!CT11</f>
        <v>3868</v>
      </c>
      <c r="F173" s="1176">
        <f>'qtrP&amp;L'!CT21</f>
        <v>2301</v>
      </c>
      <c r="H173" s="1176">
        <f>+work!CP11</f>
        <v>1837</v>
      </c>
      <c r="J173" s="1176">
        <f>AVERAGE(H172:H173)</f>
        <v>1780</v>
      </c>
      <c r="L173" s="1263">
        <f>(D173/D166-1)*100</f>
        <v>8.1958041958041896</v>
      </c>
      <c r="M173" s="1155"/>
      <c r="N173" s="1263">
        <f>(H173/H166-1)*100</f>
        <v>10.131894484412474</v>
      </c>
      <c r="O173" s="1155"/>
      <c r="P173" s="1263">
        <f>(H173/H172-1)*100</f>
        <v>6.6163668020893684</v>
      </c>
      <c r="Q173" s="1155"/>
      <c r="R173" s="1177">
        <f>F173/J174</f>
        <v>1.0682451253481895</v>
      </c>
      <c r="T173" s="1177">
        <f>F174/H173</f>
        <v>1.2994011976047903</v>
      </c>
      <c r="V173" s="1594">
        <f>'Store New'!AM167</f>
        <v>3106</v>
      </c>
      <c r="X173" s="1171">
        <f>H173/V173</f>
        <v>0.59143593045717968</v>
      </c>
      <c r="Z173" s="1396">
        <f>(X173/X166-1)*100</f>
        <v>7.6143914231139309</v>
      </c>
      <c r="AA173" s="1155"/>
      <c r="AB173" s="1597">
        <f>'Store New'!AM172</f>
        <v>36.799999999999997</v>
      </c>
      <c r="AD173" s="1174">
        <f>H173/AB173</f>
        <v>49.91847826086957</v>
      </c>
      <c r="AF173" s="1408">
        <f>(AD173/AD166-1)*100</f>
        <v>10.131894484412474</v>
      </c>
      <c r="AG173" s="1155"/>
      <c r="AH173" s="1400"/>
      <c r="AI173" s="1401">
        <f>((F173-('yrP&amp;L'!$Y$18/4))/J173)</f>
        <v>1.0314115168539326</v>
      </c>
      <c r="AJ173" s="1402"/>
      <c r="AK173" s="1224">
        <f>J173/(F173/(365/4))</f>
        <v>70.588874402433717</v>
      </c>
      <c r="AM173" s="1224">
        <f>H173/(F174/(365/4))</f>
        <v>70.224654377880185</v>
      </c>
      <c r="AP173" s="1064"/>
      <c r="AR173" s="1064"/>
    </row>
    <row r="174" spans="1:44" ht="11.25" customHeight="1">
      <c r="A174" s="1045" t="str">
        <f>$A$48</f>
        <v>3Q</v>
      </c>
      <c r="B174" s="1045" t="str">
        <f>$B$13</f>
        <v>Oct</v>
      </c>
      <c r="D174" s="1176">
        <f>'qtrP&amp;L'!CT12</f>
        <v>3976</v>
      </c>
      <c r="F174" s="1176">
        <f>'qtrP&amp;L'!CT22</f>
        <v>2387</v>
      </c>
      <c r="H174" s="1176">
        <f>+work!CP12</f>
        <v>2471</v>
      </c>
      <c r="J174" s="1176">
        <f>AVERAGE(H173:H174)</f>
        <v>2154</v>
      </c>
      <c r="L174" s="1263">
        <f>(D174/D167-1)*100</f>
        <v>2.8985507246376718</v>
      </c>
      <c r="M174" s="1155"/>
      <c r="N174" s="1263">
        <f>(H174/H167-1)*100</f>
        <v>8.9026002644336799</v>
      </c>
      <c r="O174" s="1155"/>
      <c r="P174" s="1263">
        <f>(H174/H173-1)*100</f>
        <v>34.512792596624941</v>
      </c>
      <c r="Q174" s="1155"/>
      <c r="R174" s="1177">
        <f>F174/J174</f>
        <v>1.1081708449396472</v>
      </c>
      <c r="T174" s="1177">
        <f>F175/H174</f>
        <v>1.2067988668555241</v>
      </c>
      <c r="V174" s="1594">
        <f>'Store New'!AN167</f>
        <v>3160</v>
      </c>
      <c r="X174" s="1171">
        <f>H174/V174</f>
        <v>0.78196202531645564</v>
      </c>
      <c r="Z174" s="1396">
        <f>(X174/X167-1)*100</f>
        <v>5.732018231418512</v>
      </c>
      <c r="AA174" s="1155"/>
      <c r="AB174" s="1597">
        <f>'Store New'!AN172</f>
        <v>37.200000000000003</v>
      </c>
      <c r="AD174" s="1174">
        <f>H174/AB174</f>
        <v>66.424731182795696</v>
      </c>
      <c r="AF174" s="1408">
        <f>(AD174/AD167-1)*100</f>
        <v>8.0243534881075718</v>
      </c>
      <c r="AG174" s="1155"/>
      <c r="AH174" s="1400"/>
      <c r="AI174" s="1401">
        <f>((F174-('yrP&amp;L'!$Y$18/4))/J174)</f>
        <v>0.89225278551532028</v>
      </c>
      <c r="AJ174" s="1402"/>
      <c r="AK174" s="1224">
        <f>J174/(F174/(365/4))</f>
        <v>82.34289903644742</v>
      </c>
      <c r="AM174" s="1224">
        <f>H174/(F175/(365/4))</f>
        <v>75.613262910798113</v>
      </c>
      <c r="AP174" s="1064"/>
      <c r="AR174" s="1064"/>
    </row>
    <row r="175" spans="1:44" ht="11.25" customHeight="1">
      <c r="A175" s="1045" t="str">
        <f>$A$49</f>
        <v>4Q</v>
      </c>
      <c r="B175" s="1045" t="str">
        <f>$B$14</f>
        <v>Jan</v>
      </c>
      <c r="D175" s="1183">
        <f>'qtrP&amp;L'!CT13</f>
        <v>4575</v>
      </c>
      <c r="F175" s="1183">
        <f>'qtrP&amp;L'!CT23</f>
        <v>2982</v>
      </c>
      <c r="H175" s="1176">
        <f>+work!CP13</f>
        <v>1928</v>
      </c>
      <c r="J175" s="1183">
        <f>AVERAGE(H174:H175)</f>
        <v>2199.5</v>
      </c>
      <c r="L175" s="1398">
        <f>(D175/D168-1)*100</f>
        <v>-3.1746031746031744</v>
      </c>
      <c r="M175" s="1155"/>
      <c r="N175" s="1396">
        <f>(H175/H168-1)*100</f>
        <v>9.6700796359499464</v>
      </c>
      <c r="O175" s="1155"/>
      <c r="P175" s="1263">
        <f>(H175/H174-1)*100</f>
        <v>-21.974908943747472</v>
      </c>
      <c r="Q175" s="1155"/>
      <c r="R175" s="1177">
        <f>F175/J175</f>
        <v>1.3557626733348489</v>
      </c>
      <c r="T175" s="1411" t="s">
        <v>644</v>
      </c>
      <c r="V175" s="1594">
        <f>'Store New'!AO167</f>
        <v>3164</v>
      </c>
      <c r="X175" s="1171">
        <f>H175/V175</f>
        <v>0.60935524652338813</v>
      </c>
      <c r="Z175" s="1396">
        <f>(X175/X168-1)*100</f>
        <v>7.2784122861141221</v>
      </c>
      <c r="AA175" s="1155"/>
      <c r="AB175" s="1597">
        <f>'Store New'!AO172</f>
        <v>37.200000000000003</v>
      </c>
      <c r="AD175" s="1178">
        <f>H175/AB175</f>
        <v>51.827956989247305</v>
      </c>
      <c r="AF175" s="1408">
        <f>(AD175/AD168-1)*100</f>
        <v>8.785643509853557</v>
      </c>
      <c r="AG175" s="1155"/>
      <c r="AH175" s="1400"/>
      <c r="AI175" s="1401">
        <f>((F175-('yrP&amp;L'!$Y$18/4))/J175)</f>
        <v>1.144311207092521</v>
      </c>
      <c r="AJ175" s="1400"/>
      <c r="AK175" s="1224">
        <f>J175/(F175/(365/4))</f>
        <v>67.305290073775978</v>
      </c>
      <c r="AM175" s="1409" t="s">
        <v>644</v>
      </c>
      <c r="AP175" s="1064"/>
      <c r="AR175" s="1064"/>
    </row>
    <row r="176" spans="1:44" ht="11.25" customHeight="1">
      <c r="B176" s="1045" t="str">
        <f>$B$15</f>
        <v>Year</v>
      </c>
      <c r="D176" s="1170">
        <f>'qtrP&amp;L'!CT14</f>
        <v>16148</v>
      </c>
      <c r="F176" s="1170">
        <f>'qtrP&amp;L'!CT24</f>
        <v>9855</v>
      </c>
      <c r="J176" s="1170">
        <f>AVERAGE(J172:J175)</f>
        <v>1968.5</v>
      </c>
      <c r="L176" s="1263">
        <f>(D176/D169-1)*100</f>
        <v>656.34660421545675</v>
      </c>
      <c r="M176" s="1155"/>
      <c r="N176" s="1263"/>
      <c r="O176" s="1155"/>
      <c r="Q176" s="1155"/>
      <c r="R176" s="1399">
        <f>F176/J176</f>
        <v>5.0063500127000253</v>
      </c>
      <c r="S176" s="1395" t="s">
        <v>590</v>
      </c>
      <c r="T176" s="1177"/>
      <c r="AA176" s="1155"/>
      <c r="AB176" s="1599"/>
      <c r="AF176" s="1243"/>
      <c r="AG176" s="1155"/>
      <c r="AH176" s="1400"/>
      <c r="AI176" s="1407">
        <f>((F176-('yrP&amp;L'!$Y$18))/J176)</f>
        <v>4.0612903225806454</v>
      </c>
      <c r="AJ176" s="1404" t="s">
        <v>590</v>
      </c>
    </row>
    <row r="177" spans="1:44" ht="11.25" customHeight="1">
      <c r="D177" s="1170"/>
      <c r="F177" s="1170"/>
      <c r="J177" s="1170"/>
      <c r="L177" s="1263"/>
      <c r="M177" s="1155"/>
      <c r="N177" s="1263"/>
      <c r="O177" s="1155"/>
      <c r="Q177" s="1155"/>
      <c r="R177" s="1412"/>
      <c r="S177" s="1062"/>
      <c r="T177" s="1177"/>
      <c r="V177" s="1594"/>
      <c r="AA177" s="1155"/>
      <c r="AB177" s="1599"/>
      <c r="AG177" s="1155"/>
      <c r="AH177" s="1400"/>
      <c r="AI177" s="1401"/>
      <c r="AJ177" s="1400"/>
      <c r="AP177" s="1064"/>
      <c r="AR177" s="1064"/>
    </row>
    <row r="178" spans="1:44" ht="11.25" customHeight="1">
      <c r="B178" s="1204">
        <f>+B171+1</f>
        <v>2014</v>
      </c>
      <c r="D178" s="1170"/>
      <c r="F178" s="1170"/>
      <c r="J178" s="1170"/>
      <c r="L178" s="1263"/>
      <c r="M178" s="1155"/>
      <c r="N178" s="1263"/>
      <c r="O178" s="1155"/>
      <c r="Q178" s="1155"/>
      <c r="R178" s="1412"/>
      <c r="S178" s="1062"/>
      <c r="T178" s="1177"/>
      <c r="V178" s="1594"/>
      <c r="AA178" s="1155"/>
      <c r="AB178" s="1599"/>
      <c r="AG178" s="1155"/>
      <c r="AH178" s="1400"/>
      <c r="AI178" s="1401"/>
      <c r="AJ178" s="1400"/>
      <c r="AP178" s="1064"/>
      <c r="AR178" s="1064"/>
    </row>
    <row r="179" spans="1:44" ht="11.25" customHeight="1">
      <c r="A179" s="1045" t="str">
        <f>$A$46</f>
        <v>1Q</v>
      </c>
      <c r="B179" s="1045" t="str">
        <f>$B$11</f>
        <v>Apr</v>
      </c>
      <c r="D179" s="1170">
        <f>'qtrP&amp;L'!CX10</f>
        <v>3774</v>
      </c>
      <c r="F179" s="1170">
        <f>'qtrP&amp;L'!CX20</f>
        <v>2308</v>
      </c>
      <c r="H179" s="1170">
        <f>work!CT10</f>
        <v>1909</v>
      </c>
      <c r="J179" s="1170">
        <f>AVERAGE(H179,H175)</f>
        <v>1918.5</v>
      </c>
      <c r="L179" s="1263">
        <f>(D179/D172-1)*100</f>
        <v>1.2067578439259874</v>
      </c>
      <c r="M179" s="1155" t="s">
        <v>489</v>
      </c>
      <c r="N179" s="1263">
        <f>(H179/H172-1)*100</f>
        <v>10.795124782356357</v>
      </c>
      <c r="O179" s="1155" t="s">
        <v>489</v>
      </c>
      <c r="P179" s="1263">
        <f>(H179/H175-1)*100</f>
        <v>-0.98547717842323301</v>
      </c>
      <c r="Q179" s="1155" t="s">
        <v>489</v>
      </c>
      <c r="R179" s="1177">
        <f>F179/J179</f>
        <v>1.2030231952045869</v>
      </c>
      <c r="S179" s="1045" t="s">
        <v>590</v>
      </c>
      <c r="T179" s="1177">
        <f>F180/H179</f>
        <v>1.2634887375589314</v>
      </c>
      <c r="V179" s="1594">
        <f>'Store New'!AP167</f>
        <v>3179</v>
      </c>
      <c r="X179" s="1171">
        <f>H179/V179</f>
        <v>0.60050330292544829</v>
      </c>
      <c r="Z179" s="1396">
        <f>(X179/X172-1)*100</f>
        <v>8.2160624250445125</v>
      </c>
      <c r="AA179" s="1155" t="s">
        <v>489</v>
      </c>
      <c r="AB179" s="1597">
        <f>'Store New'!AP172</f>
        <v>37.200000000000003</v>
      </c>
      <c r="AD179" s="1174">
        <f>H179/AB179</f>
        <v>51.317204301075265</v>
      </c>
      <c r="AF179" s="1408">
        <f>(AD179/AD172-1)*100</f>
        <v>10.199452068472725</v>
      </c>
      <c r="AG179" s="1155"/>
      <c r="AH179" s="1400"/>
      <c r="AI179" s="1401">
        <f>((F179-('yrP&amp;L'!$Z$18/4))/J179)</f>
        <v>0.95304274172530623</v>
      </c>
      <c r="AJ179" s="1402" t="s">
        <v>590</v>
      </c>
      <c r="AK179" s="1224">
        <f>J179/(F179/(365/4))</f>
        <v>75.850574090121313</v>
      </c>
      <c r="AM179" s="1224">
        <f>H179/(F180/(365/4))</f>
        <v>72.220667495854059</v>
      </c>
      <c r="AP179" s="1064"/>
      <c r="AR179" s="1064"/>
    </row>
    <row r="180" spans="1:44" ht="11.25" customHeight="1">
      <c r="A180" s="1045" t="str">
        <f>$A$47</f>
        <v>2Q</v>
      </c>
      <c r="B180" s="1045" t="str">
        <f>$B$12</f>
        <v>Jul</v>
      </c>
      <c r="D180" s="1176">
        <f>'qtrP&amp;L'!CX11</f>
        <v>3981</v>
      </c>
      <c r="F180" s="1176">
        <f>'qtrP&amp;L'!CX21</f>
        <v>2412</v>
      </c>
      <c r="H180" s="1176">
        <f>work!CT11</f>
        <v>1948</v>
      </c>
      <c r="J180" s="1176">
        <f>AVERAGE(H179:H180)</f>
        <v>1928.5</v>
      </c>
      <c r="L180" s="1263">
        <f>(D180/D173-1)*100</f>
        <v>2.9214064115822058</v>
      </c>
      <c r="M180" s="1155"/>
      <c r="N180" s="1263">
        <f>(H180/H173-1)*100</f>
        <v>6.0424605334784998</v>
      </c>
      <c r="O180" s="1155"/>
      <c r="P180" s="1263">
        <f>(H180/H179-1)*100</f>
        <v>2.0429544264012556</v>
      </c>
      <c r="Q180" s="1155"/>
      <c r="R180" s="1177">
        <f>F180/J180</f>
        <v>1.2507129893699767</v>
      </c>
      <c r="T180" s="1177">
        <f>F181/H180</f>
        <v>1.2197125256673511</v>
      </c>
      <c r="V180" s="1594">
        <f>'Store New'!AQ167</f>
        <v>3200</v>
      </c>
      <c r="X180" s="1171">
        <f>H180/V180</f>
        <v>0.60875000000000001</v>
      </c>
      <c r="Z180" s="1396">
        <f>(X180/X173-1)*100</f>
        <v>2.9274632553075719</v>
      </c>
      <c r="AA180" s="1155"/>
      <c r="AB180" s="1597">
        <f>'Store New'!AQ172</f>
        <v>37.4</v>
      </c>
      <c r="AD180" s="1174">
        <f>H180/AB180</f>
        <v>52.085561497326204</v>
      </c>
      <c r="AF180" s="1408">
        <f>(AD180/AD173-1)*100</f>
        <v>4.3412445890911311</v>
      </c>
      <c r="AG180" s="1155"/>
      <c r="AH180" s="1400"/>
      <c r="AI180" s="1401">
        <f>((F180-('yrP&amp;L'!$Z$18/4))/J180)</f>
        <v>1.0020287788436608</v>
      </c>
      <c r="AJ180" s="1402"/>
      <c r="AK180" s="1224">
        <f>J180/(F180/(365/4))</f>
        <v>72.958385157545607</v>
      </c>
      <c r="AM180" s="1224">
        <f>H180/(F181/(365/4))</f>
        <v>74.812710437710436</v>
      </c>
      <c r="AP180" s="1064"/>
      <c r="AR180" s="1064"/>
    </row>
    <row r="181" spans="1:44" ht="11.25" customHeight="1">
      <c r="A181" s="1045" t="str">
        <f>$A$48</f>
        <v>3Q</v>
      </c>
      <c r="B181" s="1045" t="str">
        <f>$B$13</f>
        <v>Oct</v>
      </c>
      <c r="D181" s="1176">
        <f>'qtrP&amp;L'!CX12</f>
        <v>3972</v>
      </c>
      <c r="F181" s="1176">
        <f>'qtrP&amp;L'!CX22</f>
        <v>2376</v>
      </c>
      <c r="H181" s="1176">
        <f>work!CT12</f>
        <v>2553</v>
      </c>
      <c r="J181" s="1176">
        <f>AVERAGE(H180:H181)</f>
        <v>2250.5</v>
      </c>
      <c r="L181" s="1263">
        <f>(D181/D174-1)*100</f>
        <v>-0.1006036217303774</v>
      </c>
      <c r="M181" s="1155"/>
      <c r="N181" s="1263">
        <f>(H181/H174-1)*100</f>
        <v>3.3184945366248497</v>
      </c>
      <c r="O181" s="1155"/>
      <c r="P181" s="1263">
        <f>(H181/H180-1)*100</f>
        <v>31.05749486652978</v>
      </c>
      <c r="Q181" s="1155"/>
      <c r="R181" s="1177">
        <f>F181/J181</f>
        <v>1.0557653854698956</v>
      </c>
      <c r="T181" s="1177">
        <f>F182/H181</f>
        <v>1.1946729338033686</v>
      </c>
      <c r="V181" s="1594">
        <f>'Store New'!AR167</f>
        <v>3266</v>
      </c>
      <c r="X181" s="1171">
        <f>H181/V181</f>
        <v>0.78169014084507038</v>
      </c>
      <c r="Z181" s="1396">
        <f>(X181/X174-1)*100</f>
        <v>-3.4769523657529611E-2</v>
      </c>
      <c r="AA181" s="1155"/>
      <c r="AB181" s="1597">
        <f>'Store New'!AR172</f>
        <v>38</v>
      </c>
      <c r="AD181" s="1174">
        <f>H181/AB181</f>
        <v>67.184210526315795</v>
      </c>
      <c r="AF181" s="1408">
        <f>(AD181/AD174-1)*100</f>
        <v>1.1433683358538005</v>
      </c>
      <c r="AG181" s="1155"/>
      <c r="AH181" s="1400"/>
      <c r="AI181" s="1401">
        <f>((F181-('yrP&amp;L'!$Z$18/4))/J181)</f>
        <v>0.84266274161297483</v>
      </c>
      <c r="AJ181" s="1402"/>
      <c r="AK181" s="1224">
        <f>J181/(F181/(365/4))</f>
        <v>86.430187289562298</v>
      </c>
      <c r="AM181" s="1224">
        <f>H181/(F182/(365/4))</f>
        <v>76.380737704918033</v>
      </c>
      <c r="AP181" s="1064"/>
      <c r="AR181" s="1064"/>
    </row>
    <row r="182" spans="1:44" ht="11.25" customHeight="1">
      <c r="A182" s="1045" t="str">
        <f>$A$49</f>
        <v>4Q</v>
      </c>
      <c r="B182" s="1045" t="str">
        <f>$B$14</f>
        <v>Jan</v>
      </c>
      <c r="D182" s="1183">
        <f>'qtrP&amp;L'!CX13</f>
        <v>4708</v>
      </c>
      <c r="F182" s="1183">
        <f>'qtrP&amp;L'!CX23</f>
        <v>3050</v>
      </c>
      <c r="H182" s="1176">
        <f>work!CT13</f>
        <v>1889</v>
      </c>
      <c r="J182" s="1183">
        <f>AVERAGE(H181:H182)</f>
        <v>2221</v>
      </c>
      <c r="L182" s="1398">
        <f>(D182/D175-1)*100</f>
        <v>2.9071038251366144</v>
      </c>
      <c r="M182" s="1155"/>
      <c r="N182" s="1396">
        <f>(H182/H175-1)*100</f>
        <v>-2.0228215767634894</v>
      </c>
      <c r="O182" s="1155"/>
      <c r="P182" s="1263">
        <f>(H182/H181-1)*100</f>
        <v>-26.008617312965143</v>
      </c>
      <c r="Q182" s="1155"/>
      <c r="R182" s="1177">
        <f>F182/J182</f>
        <v>1.3732552904097253</v>
      </c>
      <c r="T182" s="1411" t="s">
        <v>644</v>
      </c>
      <c r="V182" s="1594">
        <f>'Store New'!AS167</f>
        <v>3280</v>
      </c>
      <c r="X182" s="1171">
        <f>H182/V182</f>
        <v>0.57591463414634148</v>
      </c>
      <c r="Z182" s="1396">
        <f>(X182/X175-1)*100</f>
        <v>-5.4878681307559907</v>
      </c>
      <c r="AA182" s="1155"/>
      <c r="AB182" s="1597">
        <f>'Store New'!AS172</f>
        <v>38.1</v>
      </c>
      <c r="AD182" s="1178">
        <f>H182/AB182</f>
        <v>49.580052493438316</v>
      </c>
      <c r="AF182" s="1408">
        <f>(AD182/AD175-1)*100</f>
        <v>-4.3372431143202439</v>
      </c>
      <c r="AG182" s="1155"/>
      <c r="AH182" s="1400"/>
      <c r="AI182" s="1401">
        <f>((F182-('yrP&amp;L'!$Z$18/4))/J182)</f>
        <v>1.1573221521837009</v>
      </c>
      <c r="AJ182" s="1400"/>
      <c r="AK182" s="1224">
        <f>J182/(F182/(365/4))</f>
        <v>66.44795081967213</v>
      </c>
      <c r="AM182" s="1409" t="s">
        <v>644</v>
      </c>
      <c r="AP182" s="1064"/>
      <c r="AR182" s="1064"/>
    </row>
    <row r="183" spans="1:44" ht="11.25" customHeight="1">
      <c r="B183" s="1045" t="str">
        <f>$B$15</f>
        <v>Year</v>
      </c>
      <c r="D183" s="1170">
        <f>'qtrP&amp;L'!CX14</f>
        <v>16435</v>
      </c>
      <c r="F183" s="1170">
        <f>'qtrP&amp;L'!CX24</f>
        <v>10146</v>
      </c>
      <c r="J183" s="1170">
        <f>AVERAGE(J179:J182)</f>
        <v>2079.625</v>
      </c>
      <c r="L183" s="1263">
        <f>(D183/D176-1)*100</f>
        <v>1.7773098835769163</v>
      </c>
      <c r="M183" s="1155"/>
      <c r="N183" s="1263"/>
      <c r="O183" s="1155"/>
      <c r="Q183" s="1155"/>
      <c r="R183" s="1399">
        <f>F183/J183</f>
        <v>4.8787642002764917</v>
      </c>
      <c r="S183" s="1395" t="s">
        <v>590</v>
      </c>
      <c r="T183" s="1177"/>
      <c r="AA183" s="1155"/>
      <c r="AB183" s="1599"/>
      <c r="AF183" s="1243"/>
      <c r="AG183" s="1155"/>
      <c r="AH183" s="1400"/>
      <c r="AI183" s="1407">
        <f>((F183-('yrP&amp;L'!$Z$18))/J183)</f>
        <v>3.9563142393460358</v>
      </c>
      <c r="AJ183" s="1404" t="s">
        <v>590</v>
      </c>
    </row>
    <row r="184" spans="1:44">
      <c r="D184" s="1170"/>
      <c r="F184" s="1170"/>
      <c r="J184" s="1170"/>
      <c r="L184" s="1263"/>
      <c r="M184" s="1155"/>
      <c r="N184" s="1263"/>
      <c r="O184" s="1155"/>
      <c r="Q184" s="1155"/>
      <c r="R184" s="1412"/>
      <c r="S184" s="1062"/>
      <c r="T184" s="1177"/>
      <c r="V184" s="1594"/>
      <c r="AA184" s="1155"/>
      <c r="AB184" s="1599"/>
      <c r="AG184" s="1155"/>
      <c r="AH184" s="1400"/>
      <c r="AI184" s="1401"/>
      <c r="AJ184" s="1400"/>
      <c r="AP184" s="1064"/>
      <c r="AR184" s="1064"/>
    </row>
    <row r="185" spans="1:44" ht="11.25" customHeight="1">
      <c r="B185" s="1188">
        <f>+B178+1</f>
        <v>2015</v>
      </c>
      <c r="D185" s="1170"/>
      <c r="F185" s="1170"/>
      <c r="J185" s="1170"/>
      <c r="L185" s="1263"/>
      <c r="M185" s="1155"/>
      <c r="N185" s="1263"/>
      <c r="O185" s="1155"/>
      <c r="Q185" s="1155"/>
      <c r="R185" s="1412"/>
      <c r="S185" s="1062"/>
      <c r="T185" s="1177"/>
      <c r="V185" s="1594"/>
      <c r="AA185" s="1155"/>
      <c r="AB185" s="1599"/>
      <c r="AG185" s="1155"/>
      <c r="AH185" s="1400"/>
      <c r="AI185" s="1401"/>
      <c r="AJ185" s="1400"/>
      <c r="AP185" s="1064"/>
      <c r="AR185" s="1064"/>
    </row>
    <row r="186" spans="1:44" ht="11.25" customHeight="1">
      <c r="A186" s="1045" t="str">
        <f>$A$46</f>
        <v>1Q</v>
      </c>
      <c r="B186" s="1045" t="str">
        <f>$B$11</f>
        <v>Apr</v>
      </c>
      <c r="D186" s="1170">
        <f>'qtrP&amp;L'!DB10</f>
        <v>3657</v>
      </c>
      <c r="F186" s="1170">
        <f>'qtrP&amp;L'!DB20</f>
        <v>2266</v>
      </c>
      <c r="H186" s="1170">
        <f>work!CX10</f>
        <v>2010</v>
      </c>
      <c r="J186" s="1170">
        <f>AVERAGE(H186,H182)</f>
        <v>1949.5</v>
      </c>
      <c r="L186" s="1263">
        <f>(D186/D179-1)*100</f>
        <v>-3.1001589825119247</v>
      </c>
      <c r="M186" s="1155" t="s">
        <v>489</v>
      </c>
      <c r="N186" s="1263">
        <f>(H186/H179-1)*100</f>
        <v>5.2907281299109377</v>
      </c>
      <c r="O186" s="1155" t="s">
        <v>489</v>
      </c>
      <c r="P186" s="1263">
        <f>(H186/H182-1)*100</f>
        <v>6.4055055584965492</v>
      </c>
      <c r="Q186" s="1155" t="s">
        <v>489</v>
      </c>
      <c r="R186" s="1177">
        <f>F186/J186</f>
        <v>1.1623493203385484</v>
      </c>
      <c r="S186" s="1045" t="s">
        <v>590</v>
      </c>
      <c r="T186" s="1177">
        <f>F187/H186</f>
        <v>1.2079601990049751</v>
      </c>
      <c r="V186" s="1594">
        <f>'Store New'!AT167</f>
        <v>3309</v>
      </c>
      <c r="X186" s="1171">
        <f>H186/V186</f>
        <v>0.60743427017225748</v>
      </c>
      <c r="Z186" s="1396">
        <f>(X186/X179-1)*100</f>
        <v>1.1541930265901668</v>
      </c>
      <c r="AA186" s="1155" t="s">
        <v>489</v>
      </c>
      <c r="AB186" s="1597">
        <f>'Store New'!AT172</f>
        <v>38.299999999999997</v>
      </c>
      <c r="AD186" s="1174">
        <f>H186/AB186</f>
        <v>52.480417754569196</v>
      </c>
      <c r="AF186" s="1408">
        <f>(AD186/AD179-1)*100</f>
        <v>2.2667124394957661</v>
      </c>
      <c r="AG186" s="1155"/>
      <c r="AH186" s="1400"/>
      <c r="AI186" s="1401">
        <f>((F186-('yrP&amp;L'!$AA$18/4))/J186)</f>
        <v>0.91745960502693003</v>
      </c>
      <c r="AJ186" s="1402" t="s">
        <v>590</v>
      </c>
      <c r="AK186" s="1224">
        <f>J186/(F186/(365/4))</f>
        <v>78.504799205648723</v>
      </c>
      <c r="AM186" s="1224">
        <f>H186/(F187/(365/4))</f>
        <v>75.540568369028009</v>
      </c>
      <c r="AP186" s="1064"/>
      <c r="AR186" s="1064"/>
    </row>
    <row r="187" spans="1:44" ht="11.25" customHeight="1">
      <c r="A187" s="1045" t="str">
        <f>$A$47</f>
        <v>2Q</v>
      </c>
      <c r="B187" s="1045" t="str">
        <f>$B$12</f>
        <v>Jul</v>
      </c>
      <c r="D187" s="1176">
        <f>'qtrP&amp;L'!DB11</f>
        <v>3898</v>
      </c>
      <c r="F187" s="1176">
        <f>'qtrP&amp;L'!DB21</f>
        <v>2428</v>
      </c>
      <c r="H187" s="1176">
        <f>work!CX11</f>
        <v>2005</v>
      </c>
      <c r="J187" s="1176">
        <f>AVERAGE(H186:H187)</f>
        <v>2007.5</v>
      </c>
      <c r="L187" s="1263">
        <f>(D187/D180-1)*100</f>
        <v>-2.084903290630491</v>
      </c>
      <c r="M187" s="1155"/>
      <c r="N187" s="1263">
        <f>(H187/H180-1)*100</f>
        <v>2.9260780287474253</v>
      </c>
      <c r="O187" s="1155"/>
      <c r="P187" s="1263">
        <f>(H187/H186-1)*100</f>
        <v>-0.24875621890547706</v>
      </c>
      <c r="Q187" s="1155"/>
      <c r="R187" s="1177">
        <f>F187/J187</f>
        <v>1.2094645080946451</v>
      </c>
      <c r="T187" s="1177">
        <f>F188/H187</f>
        <v>1.2024937655860348</v>
      </c>
      <c r="V187" s="1594">
        <f>'Store New'!AU167</f>
        <v>3309</v>
      </c>
      <c r="X187" s="1171">
        <f>H187/V187</f>
        <v>0.60592323964944095</v>
      </c>
      <c r="Z187" s="1396">
        <f>(X187/X180-1)*100</f>
        <v>-0.46435488304871209</v>
      </c>
      <c r="AA187" s="1155"/>
      <c r="AB187" s="1597">
        <f>'Store New'!AU172</f>
        <v>38.200000000000003</v>
      </c>
      <c r="AD187" s="1174">
        <f>H187/AB187</f>
        <v>52.486910994764393</v>
      </c>
      <c r="AF187" s="1408">
        <f>(AD187/AD180-1)*100</f>
        <v>0.77055807003019172</v>
      </c>
      <c r="AG187" s="1155"/>
      <c r="AH187" s="1400"/>
      <c r="AI187" s="1401">
        <f>((F187-('yrP&amp;L'!$AA$18/4))/J187)</f>
        <v>0.97165006226650064</v>
      </c>
      <c r="AJ187" s="1402"/>
      <c r="AK187" s="1224">
        <f>J187/(F187/(365/4))</f>
        <v>75.446612438220754</v>
      </c>
      <c r="AM187" s="1224">
        <f>H187/(F188/(365/4))</f>
        <v>75.88396930734136</v>
      </c>
      <c r="AP187" s="1064"/>
      <c r="AR187" s="1064"/>
    </row>
    <row r="188" spans="1:44" ht="11.25" customHeight="1">
      <c r="A188" s="1045" t="str">
        <f>$A$48</f>
        <v>3Q</v>
      </c>
      <c r="B188" s="1045" t="str">
        <f>$B$13</f>
        <v>Oct</v>
      </c>
      <c r="D188" s="1176">
        <f>'qtrP&amp;L'!DB12</f>
        <v>3857</v>
      </c>
      <c r="F188" s="1176">
        <f>'qtrP&amp;L'!DB22</f>
        <v>2411</v>
      </c>
      <c r="H188" s="1176">
        <f>work!CX12</f>
        <v>2498</v>
      </c>
      <c r="J188" s="1176">
        <f>AVERAGE(H187:H188)</f>
        <v>2251.5</v>
      </c>
      <c r="L188" s="1263">
        <f>(D188/D181-1)*100</f>
        <v>-2.8952668680765403</v>
      </c>
      <c r="M188" s="1155"/>
      <c r="N188" s="1263">
        <f>(H188/H181-1)*100</f>
        <v>-2.1543282412847642</v>
      </c>
      <c r="O188" s="1155"/>
      <c r="P188" s="1263">
        <f>(H188/H187-1)*100</f>
        <v>24.588528678304232</v>
      </c>
      <c r="Q188" s="1155"/>
      <c r="R188" s="1177">
        <f>F188/J188</f>
        <v>1.0708416611148124</v>
      </c>
      <c r="T188" s="1177">
        <f>F189/H188</f>
        <v>1.1765412329863891</v>
      </c>
      <c r="V188" s="1594">
        <f>'Store New'!AV167</f>
        <v>3346</v>
      </c>
      <c r="X188" s="1171">
        <f>H188/V188</f>
        <v>0.74656306037059172</v>
      </c>
      <c r="Z188" s="1396">
        <f>(X188/X181-1)*100</f>
        <v>-4.4937346192576282</v>
      </c>
      <c r="AA188" s="1155"/>
      <c r="AB188" s="1597">
        <f>'Store New'!AV172</f>
        <v>38.6</v>
      </c>
      <c r="AD188" s="1174">
        <f>H188/AB188</f>
        <v>64.715025906735747</v>
      </c>
      <c r="AF188" s="1408">
        <f>(AD188/AD181-1)*100</f>
        <v>-3.6752454188813899</v>
      </c>
      <c r="AG188" s="1155"/>
      <c r="AH188" s="1400"/>
      <c r="AI188" s="1401">
        <f>((F188-('yrP&amp;L'!$AA$18/4))/J188)</f>
        <v>0.85879968909615811</v>
      </c>
      <c r="AJ188" s="1402"/>
      <c r="AK188" s="1224">
        <f>J188/(F188/(365/4))</f>
        <v>85.213345085026958</v>
      </c>
      <c r="AM188" s="1224">
        <f>H188/(F189/(365/4))</f>
        <v>77.557842803674731</v>
      </c>
      <c r="AP188" s="1064"/>
      <c r="AR188" s="1064"/>
    </row>
    <row r="189" spans="1:44" ht="11.25" customHeight="1">
      <c r="A189" s="1045" t="str">
        <f>$A$49</f>
        <v>4Q</v>
      </c>
      <c r="B189" s="1045" t="str">
        <f>$B$14</f>
        <v>Jan</v>
      </c>
      <c r="D189" s="1183">
        <f>'qtrP&amp;L'!DB13</f>
        <v>4385</v>
      </c>
      <c r="F189" s="1183">
        <f>'qtrP&amp;L'!DB23</f>
        <v>2939</v>
      </c>
      <c r="H189" s="1176">
        <f>bal!BC12</f>
        <v>1873</v>
      </c>
      <c r="J189" s="1183">
        <f>AVERAGE(H188:H189)</f>
        <v>2185.5</v>
      </c>
      <c r="L189" s="1398">
        <f>(D189/D182-1)*100</f>
        <v>-6.860662701784193</v>
      </c>
      <c r="M189" s="1155"/>
      <c r="N189" s="1396">
        <f>(H189/H182-1)*100</f>
        <v>-0.84700899947062203</v>
      </c>
      <c r="O189" s="1155"/>
      <c r="P189" s="1263">
        <f>(H189/H188-1)*100</f>
        <v>-25.020016012810252</v>
      </c>
      <c r="Q189" s="1155"/>
      <c r="R189" s="1177">
        <f>F189/J189</f>
        <v>1.344772363303592</v>
      </c>
      <c r="T189" s="1411" t="s">
        <v>644</v>
      </c>
      <c r="V189" s="1594">
        <f>'Store New'!AW167</f>
        <v>3275</v>
      </c>
      <c r="X189" s="1171">
        <f>H189/V189</f>
        <v>0.57190839694656492</v>
      </c>
      <c r="Z189" s="1396">
        <f>(X189/X182-1)*100</f>
        <v>-0.69563038725606319</v>
      </c>
      <c r="AA189" s="1155"/>
      <c r="AB189" s="1597">
        <f>'Store New'!AW172</f>
        <v>37.9</v>
      </c>
      <c r="AD189" s="1178">
        <f>H189/AB189</f>
        <v>49.419525065963064</v>
      </c>
      <c r="AF189" s="1408">
        <f>(AD189/AD182-1)*100</f>
        <v>-0.32377421846516707</v>
      </c>
      <c r="AG189" s="1155"/>
      <c r="AH189" s="1400"/>
      <c r="AI189" s="1401">
        <f>((F189-('yrP&amp;L'!$AA$18/4))/J189)</f>
        <v>1.1263269274765499</v>
      </c>
      <c r="AJ189" s="1400"/>
      <c r="AK189" s="1224">
        <f>J189/(F189/(365/4))</f>
        <v>67.855350459339917</v>
      </c>
      <c r="AM189" s="1409" t="s">
        <v>644</v>
      </c>
      <c r="AP189" s="1064"/>
      <c r="AR189" s="1064"/>
    </row>
    <row r="190" spans="1:44" ht="11.25" customHeight="1">
      <c r="B190" s="1045" t="str">
        <f>$B$15</f>
        <v>Year</v>
      </c>
      <c r="D190" s="1170">
        <f>'qtrP&amp;L'!DB14</f>
        <v>15797</v>
      </c>
      <c r="F190" s="1170">
        <f>'qtrP&amp;L'!DB24</f>
        <v>10044</v>
      </c>
      <c r="J190" s="1170">
        <f>AVERAGE(J186:J189)</f>
        <v>2098.5</v>
      </c>
      <c r="L190" s="1263">
        <f>(D190/D183-1)*100</f>
        <v>-3.8819592333434794</v>
      </c>
      <c r="M190" s="1155"/>
      <c r="N190" s="1263"/>
      <c r="O190" s="1155"/>
      <c r="Q190" s="1155"/>
      <c r="R190" s="1399">
        <f>F190/J190</f>
        <v>4.7862759113652613</v>
      </c>
      <c r="S190" s="1395" t="s">
        <v>590</v>
      </c>
      <c r="T190" s="1177"/>
      <c r="AA190" s="1155"/>
      <c r="AB190" s="1599"/>
      <c r="AF190" s="1243"/>
      <c r="AG190" s="1155"/>
      <c r="AH190" s="1400"/>
      <c r="AI190" s="1407">
        <f>((F190-('yrP&amp;L'!$AA$18))/J190)</f>
        <v>3.8762687634024307</v>
      </c>
      <c r="AJ190" s="1404" t="s">
        <v>590</v>
      </c>
    </row>
    <row r="191" spans="1:44" ht="11.25" customHeight="1">
      <c r="D191" s="1170"/>
      <c r="F191" s="1170"/>
      <c r="J191" s="1170"/>
      <c r="L191" s="1263"/>
      <c r="M191" s="1155"/>
      <c r="N191" s="1263"/>
      <c r="O191" s="1155"/>
      <c r="Q191" s="1155"/>
      <c r="R191" s="1412"/>
      <c r="S191" s="1062"/>
      <c r="T191" s="1177"/>
      <c r="AA191" s="1155"/>
      <c r="AB191" s="1599"/>
      <c r="AF191" s="1243"/>
      <c r="AG191" s="1155"/>
      <c r="AH191" s="1400"/>
      <c r="AI191" s="1401"/>
      <c r="AJ191" s="1400"/>
    </row>
    <row r="192" spans="1:44" ht="11.25" customHeight="1">
      <c r="B192" s="1188">
        <f>+B185+1</f>
        <v>2016</v>
      </c>
      <c r="D192" s="1170"/>
      <c r="F192" s="1170"/>
      <c r="J192" s="1170"/>
      <c r="L192" s="1263"/>
      <c r="M192" s="1155"/>
      <c r="N192" s="1263"/>
      <c r="O192" s="1155"/>
      <c r="Q192" s="1155"/>
      <c r="R192" s="1412"/>
      <c r="S192" s="1062"/>
      <c r="T192" s="1177"/>
      <c r="V192" s="1594"/>
      <c r="AA192" s="1155"/>
      <c r="AB192" s="1599"/>
      <c r="AG192" s="1155"/>
      <c r="AH192" s="1400"/>
      <c r="AI192" s="1401"/>
      <c r="AJ192" s="1400"/>
      <c r="AP192" s="1064"/>
      <c r="AR192" s="1064"/>
    </row>
    <row r="193" spans="1:45" ht="11.25" customHeight="1">
      <c r="A193" s="1045" t="str">
        <f>$A$46</f>
        <v>1Q</v>
      </c>
      <c r="B193" s="1045" t="str">
        <f>$B$11</f>
        <v>Apr</v>
      </c>
      <c r="D193" s="1170">
        <f>'qtrP&amp;L'!DF10</f>
        <v>3438</v>
      </c>
      <c r="F193" s="1170">
        <f>'qtrP&amp;L'!DF20</f>
        <v>2229</v>
      </c>
      <c r="H193" s="1170">
        <f>work!$DB10</f>
        <v>1958</v>
      </c>
      <c r="J193" s="1170">
        <f>AVERAGE(H193,H189)</f>
        <v>1915.5</v>
      </c>
      <c r="L193" s="1263">
        <f>(D193/D186-1)*100</f>
        <v>-5.9885151763740758</v>
      </c>
      <c r="M193" s="1155" t="s">
        <v>489</v>
      </c>
      <c r="N193" s="1263">
        <f>(H193/H186-1)*100</f>
        <v>-2.5870646766169125</v>
      </c>
      <c r="O193" s="1155" t="s">
        <v>489</v>
      </c>
      <c r="P193" s="1263">
        <f>(H193/H189-1)*100</f>
        <v>4.5381740523224856</v>
      </c>
      <c r="Q193" s="1155" t="s">
        <v>489</v>
      </c>
      <c r="R193" s="1177">
        <f>F193/J193</f>
        <v>1.163664839467502</v>
      </c>
      <c r="S193" s="1045" t="s">
        <v>590</v>
      </c>
      <c r="T193" s="1177">
        <f>F194/H193</f>
        <v>1.2252298263534218</v>
      </c>
      <c r="V193" s="1594">
        <f>'Store New'!AX167</f>
        <v>3276</v>
      </c>
      <c r="X193" s="1171">
        <f>H193/V193</f>
        <v>0.59768009768009767</v>
      </c>
      <c r="Z193" s="1396">
        <f>(X193/X186-1)*100</f>
        <v>-1.6057988446048221</v>
      </c>
      <c r="AA193" s="1155" t="s">
        <v>489</v>
      </c>
      <c r="AB193" s="1597">
        <f>'Store New'!AX172</f>
        <v>37.799999999999997</v>
      </c>
      <c r="AD193" s="1174">
        <f>H193/AB193</f>
        <v>51.798941798941804</v>
      </c>
      <c r="AF193" s="1408">
        <f>(AD193/AD186-1)*100</f>
        <v>-1.2985337860959789</v>
      </c>
      <c r="AG193" s="1155"/>
      <c r="AH193" s="1400"/>
      <c r="AI193" s="1401">
        <f>((F193-('yrP&amp;L'!$AA$18/4))/J193)</f>
        <v>0.91442834768989822</v>
      </c>
      <c r="AJ193" s="1402" t="s">
        <v>590</v>
      </c>
      <c r="AK193" s="1224">
        <f>J193/(F193/(365/4))</f>
        <v>78.416049798115736</v>
      </c>
      <c r="AM193" s="1224">
        <f>H193/(F194/(365/4))</f>
        <v>74.475823259691538</v>
      </c>
      <c r="AP193" s="1064"/>
      <c r="AR193" s="1064"/>
    </row>
    <row r="194" spans="1:45" ht="11.25" customHeight="1">
      <c r="A194" s="1045" t="str">
        <f>$A$47</f>
        <v>2Q</v>
      </c>
      <c r="B194" s="1045" t="str">
        <f>$B$12</f>
        <v>Jul</v>
      </c>
      <c r="D194" s="1176">
        <f>'qtrP&amp;L'!DF11</f>
        <v>3851</v>
      </c>
      <c r="F194" s="1176">
        <f>'qtrP&amp;L'!DF21</f>
        <v>2399</v>
      </c>
      <c r="H194" s="1176">
        <f>work!$DB11</f>
        <v>1951</v>
      </c>
      <c r="J194" s="1176">
        <f>AVERAGE(H193:H194)</f>
        <v>1954.5</v>
      </c>
      <c r="L194" s="1263">
        <f>(D194/D187-1)*100</f>
        <v>-1.2057465366854814</v>
      </c>
      <c r="M194" s="1155"/>
      <c r="N194" s="1263">
        <f>(H194/H187-1)*100</f>
        <v>-2.6932668329177067</v>
      </c>
      <c r="O194" s="1155"/>
      <c r="P194" s="1263">
        <f>(H194/H193-1)*100</f>
        <v>-0.35750766087844221</v>
      </c>
      <c r="Q194" s="1155"/>
      <c r="R194" s="1177">
        <f>F194/J194</f>
        <v>1.2274238935789203</v>
      </c>
      <c r="T194" s="1177">
        <f>F195/H194</f>
        <v>1.185033316248078</v>
      </c>
      <c r="V194" s="1594">
        <f>'Store New'!AY167</f>
        <v>3273</v>
      </c>
      <c r="X194" s="1171">
        <f>H194/V194</f>
        <v>0.59608921478765653</v>
      </c>
      <c r="Z194" s="1396">
        <f>(X194/X187-1)*100</f>
        <v>-1.6229819584860139</v>
      </c>
      <c r="AA194" s="1155"/>
      <c r="AB194" s="1597">
        <f>'Store New'!AY172</f>
        <v>37.799999999999997</v>
      </c>
      <c r="AD194" s="1174">
        <f>H194/AB194</f>
        <v>51.613756613756621</v>
      </c>
      <c r="AF194" s="1437">
        <f>(AD194/AD187-1)*100</f>
        <v>-1.6635659528427382</v>
      </c>
      <c r="AG194" s="1155"/>
      <c r="AH194" s="1400"/>
      <c r="AI194" s="1401">
        <f>((F194-('yrP&amp;L'!$AA$18/4))/J194)</f>
        <v>0.98316065489895121</v>
      </c>
      <c r="AJ194" s="1402"/>
      <c r="AK194" s="1224">
        <f>J194/(F194/(365/4))</f>
        <v>74.342694872863689</v>
      </c>
      <c r="AM194" s="1224">
        <f>H194/(F195/(365/4))</f>
        <v>77.002054498269899</v>
      </c>
      <c r="AP194" s="1064"/>
      <c r="AR194" s="1064"/>
    </row>
    <row r="195" spans="1:45" ht="11.25" customHeight="1">
      <c r="A195" s="1045" t="str">
        <f>$A$48</f>
        <v>3Q</v>
      </c>
      <c r="B195" s="1045" t="str">
        <f>$B$13</f>
        <v>Oct</v>
      </c>
      <c r="D195" s="1176">
        <f>'qtrP&amp;L'!DF12</f>
        <v>3798</v>
      </c>
      <c r="F195" s="1176">
        <f>'qtrP&amp;L'!DF22</f>
        <v>2312</v>
      </c>
      <c r="H195" s="1176">
        <f>work!DB12</f>
        <v>2398</v>
      </c>
      <c r="J195" s="1176">
        <f>AVERAGE(H194:H195)</f>
        <v>2174.5</v>
      </c>
      <c r="L195" s="1263">
        <f>(D195/D188-1)*100</f>
        <v>-1.5296862846772119</v>
      </c>
      <c r="M195" s="1155"/>
      <c r="N195" s="1263">
        <f>(H195/H188-1)*100</f>
        <v>-4.0032025620496352</v>
      </c>
      <c r="O195" s="1155"/>
      <c r="P195" s="1263">
        <f>(H195/H194-1)*100</f>
        <v>22.911327524346483</v>
      </c>
      <c r="Q195" s="1155"/>
      <c r="R195" s="1177">
        <f>F195/J195</f>
        <v>1.0632329271096803</v>
      </c>
      <c r="T195" s="1177">
        <f>F196/H195</f>
        <v>1.2210175145954962</v>
      </c>
      <c r="V195" s="1594">
        <f>'Store New'!AZ167</f>
        <v>3281</v>
      </c>
      <c r="X195" s="1171">
        <f>H195/V195</f>
        <v>0.73087473331301434</v>
      </c>
      <c r="Z195" s="1396">
        <f>(X195/X188-1)*100</f>
        <v>-2.1014068188412338</v>
      </c>
      <c r="AA195" s="1155"/>
      <c r="AB195" s="1597">
        <f>'Store New'!AZ172</f>
        <v>37.700000000000003</v>
      </c>
      <c r="AD195" s="1174">
        <f t="shared" ref="AD195" si="0">H195/AB195</f>
        <v>63.607427055702914</v>
      </c>
      <c r="AF195" s="1437">
        <f>(AD195/AD188-1)*100</f>
        <v>-1.7115018274566629</v>
      </c>
      <c r="AG195" s="1155"/>
      <c r="AH195" s="1400"/>
      <c r="AI195" s="1401">
        <f>((F195-('yrP&amp;L'!$AA$18/4))/J195)</f>
        <v>0.84368245573695111</v>
      </c>
      <c r="AJ195" s="1402"/>
      <c r="AK195" s="1224">
        <f>J195/(F195/(365/4))</f>
        <v>85.823150951557096</v>
      </c>
      <c r="AM195" s="1224">
        <f>H195/(F196/(365/4))</f>
        <v>74.732752732240428</v>
      </c>
      <c r="AP195" s="1064"/>
      <c r="AR195" s="1064"/>
    </row>
    <row r="196" spans="1:45" ht="11.25" customHeight="1">
      <c r="A196" s="1045" t="str">
        <f>$A$49</f>
        <v>4Q</v>
      </c>
      <c r="B196" s="1045" t="str">
        <f>$B$14</f>
        <v>Jan</v>
      </c>
      <c r="D196" s="1183">
        <f>'qtrP&amp;L'!DF13</f>
        <v>4429</v>
      </c>
      <c r="F196" s="1183">
        <f>'qtrP&amp;L'!DF23</f>
        <v>2928</v>
      </c>
      <c r="H196" s="1176">
        <f>work!DB13</f>
        <v>1830</v>
      </c>
      <c r="J196" s="1183">
        <f>AVERAGE(H195:H196)</f>
        <v>2114</v>
      </c>
      <c r="L196" s="1398">
        <f>(D196/D189-1)*100</f>
        <v>1.0034207525655647</v>
      </c>
      <c r="M196" s="1155"/>
      <c r="N196" s="1396">
        <f>(H196/H189-1)*100</f>
        <v>-2.2957821676454881</v>
      </c>
      <c r="O196" s="1155"/>
      <c r="P196" s="1263">
        <f>(H196/H195-1)*100</f>
        <v>-23.68640533778148</v>
      </c>
      <c r="Q196" s="1155"/>
      <c r="R196" s="1177">
        <f>F196/J196</f>
        <v>1.3850520340586565</v>
      </c>
      <c r="T196" s="1411" t="s">
        <v>644</v>
      </c>
      <c r="V196" s="1594">
        <f>'Store New'!BA167</f>
        <v>3200</v>
      </c>
      <c r="X196" s="1171">
        <f>H196/V196</f>
        <v>0.57187500000000002</v>
      </c>
      <c r="Z196" s="1396">
        <f>(X196/X189-1)*100</f>
        <v>-5.8395621996831792E-3</v>
      </c>
      <c r="AA196" s="1155"/>
      <c r="AB196" s="1597">
        <f>'Store New'!BA172</f>
        <v>36.700000000000003</v>
      </c>
      <c r="AD196" s="1178">
        <f>H196/AB196</f>
        <v>49.863760217983646</v>
      </c>
      <c r="AF196" s="1408">
        <f>(AD196/AD189-1)*100</f>
        <v>0.8989061538483778</v>
      </c>
      <c r="AG196" s="1155"/>
      <c r="AH196" s="1400"/>
      <c r="AI196" s="1401">
        <f>((F196-('yrP&amp;L'!$AA$18/4))/J196)</f>
        <v>1.1592183065279091</v>
      </c>
      <c r="AJ196" s="1400"/>
      <c r="AK196" s="1224">
        <f>J196/(F196/(365/4))</f>
        <v>65.882001366120207</v>
      </c>
      <c r="AM196" s="1409" t="s">
        <v>644</v>
      </c>
      <c r="AP196" s="1064"/>
      <c r="AR196" s="1064"/>
    </row>
    <row r="197" spans="1:45" ht="11.25" customHeight="1">
      <c r="B197" s="1045" t="str">
        <f>$B$15</f>
        <v>Year</v>
      </c>
      <c r="D197" s="1170">
        <f>'qtrP&amp;L'!DF14</f>
        <v>15516</v>
      </c>
      <c r="F197" s="1170">
        <f>'qtrP&amp;L'!DF24</f>
        <v>9868</v>
      </c>
      <c r="J197" s="1170">
        <f>AVERAGE(J193:J196)</f>
        <v>2039.625</v>
      </c>
      <c r="L197" s="1263">
        <f>(D197/D190-1)*100</f>
        <v>-1.778818763056278</v>
      </c>
      <c r="M197" s="1155"/>
      <c r="N197" s="1263"/>
      <c r="O197" s="1155"/>
      <c r="Q197" s="1155"/>
      <c r="R197" s="1399">
        <f>F197/J197</f>
        <v>4.8381442667156955</v>
      </c>
      <c r="S197" s="1395" t="s">
        <v>590</v>
      </c>
      <c r="T197" s="1177"/>
      <c r="AA197" s="1155"/>
      <c r="AB197" s="1599"/>
      <c r="AF197" s="1243"/>
      <c r="AG197" s="1155"/>
      <c r="AH197" s="1400"/>
      <c r="AI197" s="1407">
        <f>((F197-('yrP&amp;L'!$AA$18))/J197)</f>
        <v>3.9018692161549304</v>
      </c>
      <c r="AJ197" s="1404" t="s">
        <v>590</v>
      </c>
      <c r="AS197" s="1045">
        <v>37.799999999999997</v>
      </c>
    </row>
    <row r="198" spans="1:45" ht="11.25" customHeight="1">
      <c r="D198" s="1170"/>
      <c r="F198" s="1170"/>
      <c r="J198" s="1170"/>
      <c r="L198" s="1263"/>
      <c r="M198" s="1155"/>
      <c r="N198" s="1263"/>
      <c r="O198" s="1155"/>
      <c r="Q198" s="1155"/>
      <c r="R198" s="1412"/>
      <c r="S198" s="1062"/>
      <c r="T198" s="1177"/>
      <c r="AA198" s="1155"/>
      <c r="AB198" s="1599"/>
      <c r="AF198" s="1243"/>
      <c r="AG198" s="1155"/>
      <c r="AH198" s="1400"/>
      <c r="AI198" s="1401"/>
      <c r="AJ198" s="1400"/>
    </row>
    <row r="199" spans="1:45" ht="11.25" customHeight="1">
      <c r="B199" s="1415">
        <f>+B192+1</f>
        <v>2017</v>
      </c>
      <c r="D199" s="1170"/>
      <c r="F199" s="1170"/>
      <c r="J199" s="1170"/>
      <c r="L199" s="1263"/>
      <c r="M199" s="1155"/>
      <c r="N199" s="1263"/>
      <c r="O199" s="1155"/>
      <c r="Q199" s="1155"/>
      <c r="R199" s="1412"/>
      <c r="S199" s="1062"/>
      <c r="T199" s="1177"/>
      <c r="V199" s="1594"/>
      <c r="AA199" s="1155"/>
      <c r="AB199" s="1599"/>
      <c r="AG199" s="1155"/>
      <c r="AH199" s="1400"/>
      <c r="AI199" s="1401"/>
      <c r="AJ199" s="1400"/>
      <c r="AP199" s="1064"/>
      <c r="AR199" s="1064"/>
    </row>
    <row r="200" spans="1:45" ht="11.25" customHeight="1">
      <c r="A200" s="1045" t="str">
        <f>$A$46</f>
        <v>1Q</v>
      </c>
      <c r="B200" s="1045" t="str">
        <f>$B$11</f>
        <v>Apr</v>
      </c>
      <c r="D200" s="1170">
        <f>'qtrP&amp;L'!DJ10</f>
        <v>3440</v>
      </c>
      <c r="F200" s="1170">
        <f>'qtrP&amp;L'!DJ20</f>
        <v>2137</v>
      </c>
      <c r="H200" s="1170">
        <f>work!DF10</f>
        <v>1961</v>
      </c>
      <c r="J200" s="1170">
        <f>AVERAGE(H200,H196)</f>
        <v>1895.5</v>
      </c>
      <c r="L200" s="1263">
        <f>(D200/D193-1)*100</f>
        <v>5.8173356602675419E-2</v>
      </c>
      <c r="M200" s="1155" t="s">
        <v>489</v>
      </c>
      <c r="N200" s="1263">
        <f>(H200/H193-1)*100</f>
        <v>0.15321756894790539</v>
      </c>
      <c r="O200" s="1155" t="s">
        <v>489</v>
      </c>
      <c r="P200" s="1263">
        <f>(H200/H196-1)*100</f>
        <v>7.1584699453551837</v>
      </c>
      <c r="Q200" s="1155" t="s">
        <v>489</v>
      </c>
      <c r="R200" s="1177">
        <f>F200/J200</f>
        <v>1.1274070166183066</v>
      </c>
      <c r="S200" s="1045" t="s">
        <v>590</v>
      </c>
      <c r="T200" s="1177">
        <f>F201/H200</f>
        <v>1.1830698623151454</v>
      </c>
      <c r="V200" s="1594">
        <f>'Store New'!BB167</f>
        <v>3186</v>
      </c>
      <c r="X200" s="1171">
        <f>H200/V200</f>
        <v>0.61550533584431888</v>
      </c>
      <c r="Z200" s="1396">
        <f>(X200/X193-1)*100</f>
        <v>2.9824045059238413</v>
      </c>
      <c r="AA200" s="1155" t="s">
        <v>489</v>
      </c>
      <c r="AB200" s="1597">
        <f>'Store New'!BB172</f>
        <v>36.5</v>
      </c>
      <c r="AD200" s="1174">
        <f>H200/AB200</f>
        <v>53.726027397260275</v>
      </c>
      <c r="AF200" s="1437">
        <f>(AD200/AD193-1)*100</f>
        <v>3.7203184686638524</v>
      </c>
      <c r="AG200" s="1155"/>
      <c r="AH200" s="1400"/>
      <c r="AI200" s="1401">
        <f>((F200-('yrP&amp;L'!$AA$18/4))/J200)</f>
        <v>0.87554075441835932</v>
      </c>
      <c r="AJ200" s="1402" t="s">
        <v>590</v>
      </c>
      <c r="AK200" s="1224">
        <f>J200/(F200/(365/4))</f>
        <v>80.937938699110902</v>
      </c>
      <c r="AM200" s="1224">
        <f>H200/(F201/(365/4))</f>
        <v>77.129849137931032</v>
      </c>
      <c r="AP200" s="1064"/>
      <c r="AR200" s="1064"/>
    </row>
    <row r="201" spans="1:45" ht="11.25" customHeight="1">
      <c r="A201" s="1045" t="str">
        <f>$A$47</f>
        <v>2Q</v>
      </c>
      <c r="B201" s="1045" t="str">
        <f>$B$12</f>
        <v>Jul</v>
      </c>
      <c r="D201" s="1176">
        <f>'qtrP&amp;L'!DJ11</f>
        <v>3799</v>
      </c>
      <c r="F201" s="1176">
        <f>'qtrP&amp;L'!DJ21</f>
        <v>2320</v>
      </c>
      <c r="H201" s="1176">
        <f>work!DF11</f>
        <v>2051</v>
      </c>
      <c r="J201" s="1176">
        <f>AVERAGE(H200:H201)</f>
        <v>2006</v>
      </c>
      <c r="L201" s="1263">
        <f>(D201/D194-1)*100</f>
        <v>-1.3502986237340919</v>
      </c>
      <c r="M201" s="1155"/>
      <c r="N201" s="1263">
        <f>(H201/H194-1)*100</f>
        <v>5.1255766273705872</v>
      </c>
      <c r="O201" s="1155"/>
      <c r="P201" s="1263">
        <f>(H201/H200-1)*100</f>
        <v>4.5894951555328856</v>
      </c>
      <c r="Q201" s="1155"/>
      <c r="R201" s="1177">
        <f>F201/J201</f>
        <v>1.156530408773679</v>
      </c>
      <c r="T201" s="1177">
        <f>F202/H201</f>
        <v>1.1277425646026329</v>
      </c>
      <c r="V201" s="1594">
        <f>'Store New'!BC167</f>
        <v>3179</v>
      </c>
      <c r="X201" s="1171">
        <f>H201/V201</f>
        <v>0.64517143755898076</v>
      </c>
      <c r="Z201" s="1396">
        <f>(X201/X194-1)*100</f>
        <v>8.2340397299100143</v>
      </c>
      <c r="AA201" s="1155"/>
      <c r="AB201" s="1597">
        <f>'Store New'!BC172</f>
        <v>36.5</v>
      </c>
      <c r="AD201" s="1174">
        <f>H201/AB201</f>
        <v>56.19178082191781</v>
      </c>
      <c r="AF201" s="1437">
        <f>(AD201/AD194-1)*100</f>
        <v>8.8697752469755429</v>
      </c>
      <c r="AG201" s="1155"/>
      <c r="AH201" s="1400"/>
      <c r="AI201" s="1401">
        <f>((F201-('yrP&amp;L'!$AA$18/4))/J201)</f>
        <v>0.9185381355932204</v>
      </c>
      <c r="AJ201" s="1402"/>
      <c r="AK201" s="1224">
        <f>J201/(F201/(365/4))</f>
        <v>78.899784482758619</v>
      </c>
      <c r="AM201" s="1224">
        <f>H201/(F202/(365/4))</f>
        <v>80.913856463467354</v>
      </c>
      <c r="AP201" s="1064"/>
      <c r="AR201" s="1064"/>
    </row>
    <row r="202" spans="1:45" ht="11.25" customHeight="1">
      <c r="A202" s="1045" t="str">
        <f>$A$48</f>
        <v>3Q</v>
      </c>
      <c r="B202" s="1045" t="str">
        <f>$B$13</f>
        <v>Oct</v>
      </c>
      <c r="D202" s="1176">
        <f>'qtrP&amp;L'!DJ12</f>
        <v>3838</v>
      </c>
      <c r="F202" s="1176">
        <f>'qtrP&amp;L'!DJ22</f>
        <v>2313</v>
      </c>
      <c r="H202" s="1176">
        <f>work!DF12</f>
        <v>2476</v>
      </c>
      <c r="J202" s="1176">
        <f>AVERAGE(H201:H202)</f>
        <v>2263.5</v>
      </c>
      <c r="L202" s="1263">
        <f>(D202/D195-1)*100</f>
        <v>1.053185887309116</v>
      </c>
      <c r="M202" s="1155"/>
      <c r="N202" s="1263">
        <f>(H202/H195-1)*100</f>
        <v>3.252710592160124</v>
      </c>
      <c r="O202" s="1155"/>
      <c r="P202" s="1263">
        <f>(H202/H201-1)*100</f>
        <v>20.721599219892738</v>
      </c>
      <c r="Q202" s="1155"/>
      <c r="R202" s="1177">
        <f>F202/J202</f>
        <v>1.0218687872763419</v>
      </c>
      <c r="T202" s="1177">
        <f>F203/H202</f>
        <v>1.2193053311793214</v>
      </c>
      <c r="V202" s="1594">
        <f>'Store New'!BD167</f>
        <v>3193</v>
      </c>
      <c r="X202" s="1171">
        <f>H202/V202</f>
        <v>0.77544628875665522</v>
      </c>
      <c r="Z202" s="1396">
        <f>(X202/X195-1)*100</f>
        <v>6.0983850463129929</v>
      </c>
      <c r="AA202" s="1155"/>
      <c r="AB202" s="1597">
        <f>'Store New'!BD172</f>
        <v>36.6</v>
      </c>
      <c r="AD202" s="1174">
        <f>H202/AB202</f>
        <v>67.650273224043715</v>
      </c>
      <c r="AF202" s="1437">
        <f>(AD202/AD195-1)*100</f>
        <v>6.3559341345474696</v>
      </c>
      <c r="AG202" s="1155"/>
      <c r="AH202" s="1400"/>
      <c r="AI202" s="1401">
        <f>((F202-('yrP&amp;L'!$AA$18/4))/J202)</f>
        <v>0.81095096090125918</v>
      </c>
      <c r="AJ202" s="1402"/>
      <c r="AK202" s="1224">
        <f>J202/(F202/(365/4))</f>
        <v>89.297178988326849</v>
      </c>
      <c r="AM202" s="1224">
        <f>H202/(F203/(365/4))</f>
        <v>74.837694600861212</v>
      </c>
      <c r="AP202" s="1064"/>
      <c r="AR202" s="1064"/>
    </row>
    <row r="203" spans="1:45" ht="11.25" customHeight="1">
      <c r="A203" s="1045" t="str">
        <f>$A$49</f>
        <v>4Q</v>
      </c>
      <c r="B203" s="1045" t="str">
        <f>$B$14</f>
        <v>Jan</v>
      </c>
      <c r="D203" s="1183">
        <f>'qtrP&amp;L'!DJ13</f>
        <v>4778</v>
      </c>
      <c r="F203" s="1183">
        <f>'qtrP&amp;L'!DJ23</f>
        <v>3019</v>
      </c>
      <c r="H203" s="1176">
        <f>bal!$BG$12</f>
        <v>1997</v>
      </c>
      <c r="J203" s="1183">
        <f>AVERAGE(H202:H203)</f>
        <v>2236.5</v>
      </c>
      <c r="L203" s="1398">
        <f>(D203/D196-1)*100</f>
        <v>7.8798825920072257</v>
      </c>
      <c r="M203" s="1155"/>
      <c r="N203" s="1396">
        <f>(H203/H196-1)*100</f>
        <v>9.1256830601092798</v>
      </c>
      <c r="O203" s="1155"/>
      <c r="P203" s="1263">
        <f>(H203/H202-1)*100</f>
        <v>-19.345718901453957</v>
      </c>
      <c r="Q203" s="1155"/>
      <c r="R203" s="1177">
        <f>F203/J203</f>
        <v>1.349877040017885</v>
      </c>
      <c r="T203" s="1411" t="s">
        <v>644</v>
      </c>
      <c r="V203" s="1594">
        <f>'Store New'!BE167</f>
        <v>3165</v>
      </c>
      <c r="X203" s="1171">
        <f>H203/V203</f>
        <v>0.63096366508688784</v>
      </c>
      <c r="Z203" s="1396">
        <f>(X203/X196-1)*100</f>
        <v>10.332444168198961</v>
      </c>
      <c r="AA203" s="1155"/>
      <c r="AB203" s="1597">
        <f>'Store New'!BE172</f>
        <v>36.4</v>
      </c>
      <c r="AD203" s="1178">
        <f>H203/AB203</f>
        <v>54.862637362637365</v>
      </c>
      <c r="AF203" s="1408">
        <f>(AD203/AD196-1)*100</f>
        <v>10.025070557857463</v>
      </c>
      <c r="AG203" s="1155"/>
      <c r="AH203" s="1400"/>
      <c r="AI203" s="1401">
        <f>((F203-('yrP&amp;L'!$AA$18/4))/J203)</f>
        <v>1.1364129219763024</v>
      </c>
      <c r="AJ203" s="1400"/>
      <c r="AK203" s="1224">
        <f>J203/(F203/(365/4))</f>
        <v>67.598749585955616</v>
      </c>
      <c r="AM203" s="1409" t="s">
        <v>644</v>
      </c>
      <c r="AP203" s="1064"/>
      <c r="AR203" s="1064"/>
    </row>
    <row r="204" spans="1:45" ht="11.25" customHeight="1">
      <c r="B204" s="1045" t="str">
        <f>$B$15</f>
        <v>Year</v>
      </c>
      <c r="D204" s="1170">
        <f>'qtrP&amp;L'!DJ14</f>
        <v>15855</v>
      </c>
      <c r="F204" s="1170">
        <f>'qtrP&amp;L'!DJ24</f>
        <v>9789</v>
      </c>
      <c r="H204" s="1176"/>
      <c r="J204" s="1170">
        <f>AVERAGE(J200:J203)</f>
        <v>2100.375</v>
      </c>
      <c r="L204" s="1263">
        <f>(D204/D197-1)*100</f>
        <v>2.1848414539829886</v>
      </c>
      <c r="M204" s="1155"/>
      <c r="N204" s="1263"/>
      <c r="O204" s="1155"/>
      <c r="Q204" s="1155"/>
      <c r="R204" s="1399">
        <f>F204/J204</f>
        <v>4.6605963220853415</v>
      </c>
      <c r="S204" s="1395" t="s">
        <v>590</v>
      </c>
      <c r="T204" s="1177"/>
      <c r="AA204" s="1155"/>
      <c r="AB204" s="1599"/>
      <c r="AF204" s="1243"/>
      <c r="AG204" s="1155"/>
      <c r="AH204" s="1400"/>
      <c r="AI204" s="1407">
        <f>((F204-('yrP&amp;L'!$AA$18))/J204)</f>
        <v>3.7514015354401002</v>
      </c>
      <c r="AJ204" s="1404" t="s">
        <v>590</v>
      </c>
      <c r="AS204" s="1045">
        <v>37.799999999999997</v>
      </c>
    </row>
    <row r="205" spans="1:45" ht="11.25" customHeight="1">
      <c r="D205" s="1170"/>
      <c r="F205" s="1170"/>
      <c r="H205" s="1061"/>
      <c r="J205" s="1170"/>
      <c r="L205" s="1263"/>
      <c r="M205" s="1155"/>
      <c r="N205" s="1263"/>
      <c r="O205" s="1155"/>
      <c r="Q205" s="1155"/>
      <c r="R205" s="1412"/>
      <c r="S205" s="1062"/>
      <c r="T205" s="1177"/>
      <c r="AA205" s="1155"/>
      <c r="AB205" s="1599"/>
      <c r="AF205" s="1243"/>
      <c r="AG205" s="1155"/>
      <c r="AH205" s="1400"/>
      <c r="AI205" s="1401"/>
      <c r="AJ205" s="1400"/>
    </row>
    <row r="206" spans="1:45" s="24" customFormat="1" ht="11.25" customHeight="1">
      <c r="B206" s="1620">
        <f>+B199+1</f>
        <v>2018</v>
      </c>
      <c r="D206" s="1590"/>
      <c r="F206" s="1590"/>
      <c r="J206" s="1590"/>
      <c r="L206" s="1621"/>
      <c r="M206" s="30"/>
      <c r="N206" s="1621"/>
      <c r="O206" s="30"/>
      <c r="Q206" s="30"/>
      <c r="R206" s="1623"/>
      <c r="S206" s="35"/>
      <c r="T206" s="1602"/>
      <c r="V206" s="1594"/>
      <c r="AA206" s="30"/>
      <c r="AB206" s="1599"/>
      <c r="AG206" s="30"/>
      <c r="AH206" s="1628"/>
      <c r="AI206" s="1629"/>
      <c r="AJ206" s="1628"/>
      <c r="AP206" s="1630"/>
      <c r="AR206" s="1630"/>
    </row>
    <row r="207" spans="1:45" s="24" customFormat="1" ht="11.25" customHeight="1">
      <c r="A207" s="24" t="str">
        <f>$A$46</f>
        <v>1Q</v>
      </c>
      <c r="B207" s="24" t="str">
        <f>$B$11</f>
        <v>Apr</v>
      </c>
      <c r="D207" s="1590">
        <f>'qtrP&amp;L'!DN10</f>
        <v>3517.4869516677682</v>
      </c>
      <c r="F207" s="1590">
        <f>'qtrP&amp;L'!DJ20</f>
        <v>2137</v>
      </c>
      <c r="H207" s="1603">
        <f t="shared" ref="H207:H209" si="1">AD207*AB207</f>
        <v>1915.7777282191778</v>
      </c>
      <c r="J207" s="1590">
        <f>AVERAGE(H207,H203)</f>
        <v>1956.3888641095889</v>
      </c>
      <c r="L207" s="1621">
        <f>(D207/D200-1)*100</f>
        <v>2.2525276647606951</v>
      </c>
      <c r="M207" s="30" t="s">
        <v>489</v>
      </c>
      <c r="N207" s="1621">
        <f>(H207/H200-1)*100</f>
        <v>-2.3060821917808338</v>
      </c>
      <c r="O207" s="30" t="s">
        <v>489</v>
      </c>
      <c r="P207" s="1621">
        <f>(H207/H203-1)*100</f>
        <v>-4.067214410657094</v>
      </c>
      <c r="Q207" s="30" t="s">
        <v>489</v>
      </c>
      <c r="R207" s="1602">
        <f>F207/J207</f>
        <v>1.0923186280620201</v>
      </c>
      <c r="S207" s="24" t="s">
        <v>590</v>
      </c>
      <c r="T207" s="1602">
        <f>F208/H207</f>
        <v>1.2109964354563039</v>
      </c>
      <c r="V207" s="1594">
        <f>'Store New'!BF167</f>
        <v>3169</v>
      </c>
      <c r="X207" s="1586">
        <f>H207/V207</f>
        <v>0.60453699218023915</v>
      </c>
      <c r="Z207" s="1624">
        <f>(X207/X200-1)*100</f>
        <v>-1.782006267912184</v>
      </c>
      <c r="AA207" s="30" t="s">
        <v>489</v>
      </c>
      <c r="AB207" s="1597">
        <f>'Store New'!BF172</f>
        <v>36.385999999999996</v>
      </c>
      <c r="AD207" s="1591">
        <f t="shared" ref="AD207:AD209" si="2">+AD200*(1+AF207/100)</f>
        <v>52.651506849315069</v>
      </c>
      <c r="AF207" s="1631">
        <v>-2</v>
      </c>
      <c r="AG207" s="30"/>
      <c r="AH207" s="1628"/>
      <c r="AI207" s="1629">
        <f>((F207-('yrP&amp;L'!$AA$18/4))/J207)</f>
        <v>0.8482912218759372</v>
      </c>
      <c r="AJ207" s="1632" t="s">
        <v>590</v>
      </c>
      <c r="AK207" s="1633">
        <f>J207/(F207/(365/4))</f>
        <v>83.537896045858673</v>
      </c>
      <c r="AM207" s="1633">
        <f>H207/(F208/(365/4))</f>
        <v>75.351171422413785</v>
      </c>
      <c r="AP207" s="1630"/>
      <c r="AR207" s="1630"/>
    </row>
    <row r="208" spans="1:45" s="24" customFormat="1" ht="11.25" customHeight="1">
      <c r="A208" s="24" t="str">
        <f>$A$47</f>
        <v>2Q</v>
      </c>
      <c r="B208" s="24" t="str">
        <f>$B$12</f>
        <v>Jul</v>
      </c>
      <c r="D208" s="1603">
        <f>'qtrP&amp;L'!DN11</f>
        <v>3904.5936492187793</v>
      </c>
      <c r="F208" s="1603">
        <f>'qtrP&amp;L'!DJ21</f>
        <v>2320</v>
      </c>
      <c r="H208" s="1603">
        <f t="shared" si="1"/>
        <v>2001.058992876712</v>
      </c>
      <c r="J208" s="1603">
        <f>AVERAGE(H207:H208)</f>
        <v>1958.4183605479448</v>
      </c>
      <c r="L208" s="1621">
        <f>(D208/D201-1)*100</f>
        <v>2.7795116930450003</v>
      </c>
      <c r="M208" s="30"/>
      <c r="N208" s="1621">
        <f>(H208/H201-1)*100</f>
        <v>-2.4349589041096076</v>
      </c>
      <c r="O208" s="30"/>
      <c r="P208" s="1621">
        <f>(H208/H207-1)*100</f>
        <v>4.4515218754948016</v>
      </c>
      <c r="Q208" s="30"/>
      <c r="R208" s="1602">
        <f>F208/J208</f>
        <v>1.184629416643586</v>
      </c>
      <c r="T208" s="1602">
        <f>F209/H208</f>
        <v>1.1558879614412783</v>
      </c>
      <c r="V208" s="1594">
        <f>'Store New'!BG167</f>
        <v>3169</v>
      </c>
      <c r="X208" s="1586">
        <f>H208/V208</f>
        <v>0.63144808863260082</v>
      </c>
      <c r="Z208" s="1624">
        <f>(X208/X201-1)*100</f>
        <v>-2.1270856283257866</v>
      </c>
      <c r="AA208" s="30"/>
      <c r="AB208" s="1597">
        <f>'Store New'!BG172</f>
        <v>36.337999999999994</v>
      </c>
      <c r="AD208" s="1591">
        <f t="shared" si="2"/>
        <v>55.067945205479454</v>
      </c>
      <c r="AF208" s="1631">
        <v>-2</v>
      </c>
      <c r="AG208" s="30"/>
      <c r="AH208" s="1628"/>
      <c r="AI208" s="1629">
        <f>((F208-('yrP&amp;L'!$AA$18/4))/J208)</f>
        <v>0.94085489449989812</v>
      </c>
      <c r="AJ208" s="1632"/>
      <c r="AK208" s="1633">
        <f>J208/(F208/(365/4))</f>
        <v>77.028308362068955</v>
      </c>
      <c r="AM208" s="1633">
        <f>H208/(F209/(365/4))</f>
        <v>78.943637310851699</v>
      </c>
      <c r="AP208" s="1630"/>
      <c r="AR208" s="1630"/>
    </row>
    <row r="209" spans="1:45" s="24" customFormat="1" ht="11.25" customHeight="1">
      <c r="A209" s="24" t="str">
        <f>$A$48</f>
        <v>3Q</v>
      </c>
      <c r="B209" s="24" t="str">
        <f>$B$13</f>
        <v>Oct</v>
      </c>
      <c r="D209" s="1603">
        <f>'qtrP&amp;L'!DN12</f>
        <v>3903.8777607026191</v>
      </c>
      <c r="F209" s="1603">
        <f>'qtrP&amp;L'!DJ22</f>
        <v>2313</v>
      </c>
      <c r="H209" s="1603">
        <f t="shared" si="1"/>
        <v>2397.7069857923498</v>
      </c>
      <c r="J209" s="1603">
        <f>AVERAGE(H208:H209)</f>
        <v>2199.382989334531</v>
      </c>
      <c r="L209" s="1621">
        <f>(D209/D202-1)*100</f>
        <v>1.7164606748988787</v>
      </c>
      <c r="M209" s="30"/>
      <c r="N209" s="1621">
        <f>(H209/H202-1)*100</f>
        <v>-3.1620765027322362</v>
      </c>
      <c r="O209" s="30"/>
      <c r="P209" s="1621">
        <f>(H209/H208-1)*100</f>
        <v>19.821904018202808</v>
      </c>
      <c r="Q209" s="30"/>
      <c r="R209" s="1602">
        <f>F209/J209</f>
        <v>1.0516585838921335</v>
      </c>
      <c r="T209" s="1602">
        <f>F210/H209</f>
        <v>1.2591196580270783</v>
      </c>
      <c r="V209" s="1594">
        <f>'Store New'!BH167</f>
        <v>3155</v>
      </c>
      <c r="X209" s="1586">
        <f>H209/V209</f>
        <v>0.75997051847618058</v>
      </c>
      <c r="Z209" s="1624">
        <f>(X209/X202-1)*100</f>
        <v>-1.9957243338269648</v>
      </c>
      <c r="AA209" s="30"/>
      <c r="AB209" s="1597">
        <f>'Store New'!BH172</f>
        <v>36.165999999999997</v>
      </c>
      <c r="AD209" s="1591">
        <f t="shared" si="2"/>
        <v>66.297267759562843</v>
      </c>
      <c r="AF209" s="1631">
        <v>-2</v>
      </c>
      <c r="AG209" s="30"/>
      <c r="AH209" s="1628"/>
      <c r="AI209" s="1629">
        <f>((F209-('yrP&amp;L'!$AA$18/4))/J209)</f>
        <v>0.83459202371815888</v>
      </c>
      <c r="AJ209" s="1632"/>
      <c r="AK209" s="1633">
        <f>J209/(F209/(365/4))</f>
        <v>86.767703318969282</v>
      </c>
      <c r="AM209" s="1633">
        <f>H209/(F210/(365/4))</f>
        <v>72.471269444700866</v>
      </c>
      <c r="AP209" s="1630"/>
      <c r="AR209" s="1630"/>
    </row>
    <row r="210" spans="1:45" s="24" customFormat="1" ht="11.25" customHeight="1">
      <c r="A210" s="24" t="str">
        <f>$A$49</f>
        <v>4Q</v>
      </c>
      <c r="B210" s="24" t="str">
        <f>$B$14</f>
        <v>Jan</v>
      </c>
      <c r="D210" s="1614">
        <f>'qtrP&amp;L'!DN13</f>
        <v>4681.4158783110033</v>
      </c>
      <c r="F210" s="1614">
        <f>'qtrP&amp;L'!DJ23</f>
        <v>3019</v>
      </c>
      <c r="H210" s="1603">
        <f>bal!BI12</f>
        <v>1904.8775345481201</v>
      </c>
      <c r="J210" s="1614">
        <f>AVERAGE(H209:H210)</f>
        <v>2151.2922601702348</v>
      </c>
      <c r="L210" s="1622">
        <f>(D210/D203-1)*100</f>
        <v>-2.0214341081832732</v>
      </c>
      <c r="M210" s="30"/>
      <c r="N210" s="1624">
        <f>(H210/H203-1)*100</f>
        <v>-4.6130428368492682</v>
      </c>
      <c r="O210" s="30"/>
      <c r="P210" s="1621">
        <f>(H210/H209-1)*100</f>
        <v>-20.554198413922066</v>
      </c>
      <c r="Q210" s="30"/>
      <c r="R210" s="1602">
        <f>F210/J210</f>
        <v>1.4033425657195933</v>
      </c>
      <c r="T210" s="1627" t="s">
        <v>644</v>
      </c>
      <c r="V210" s="1594">
        <f>'Store New'!BI167</f>
        <v>3087</v>
      </c>
      <c r="X210" s="1586">
        <f>H210/V210</f>
        <v>0.61706431310272758</v>
      </c>
      <c r="Z210" s="1624">
        <f>(X210/X203-1)*100</f>
        <v>-2.2028767666433247</v>
      </c>
      <c r="AA210" s="30"/>
      <c r="AB210" s="1597">
        <f>'Store New'!BI172</f>
        <v>35.505999999999993</v>
      </c>
      <c r="AD210" s="1604">
        <f>H210/AB210</f>
        <v>53.649454586495821</v>
      </c>
      <c r="AF210" s="1634">
        <f>(AD210/AD203-1)*100</f>
        <v>-2.2113096170031099</v>
      </c>
      <c r="AG210" s="30"/>
      <c r="AH210" s="1628"/>
      <c r="AI210" s="1629">
        <f>((F210-('yrP&amp;L'!$AA$18/4))/J210)</f>
        <v>1.1814236247932584</v>
      </c>
      <c r="AJ210" s="1628"/>
      <c r="AK210" s="1633">
        <f>J210/(F210/(365/4))</f>
        <v>65.023325187324915</v>
      </c>
      <c r="AM210" s="1635" t="s">
        <v>644</v>
      </c>
      <c r="AP210" s="1630"/>
      <c r="AR210" s="1630"/>
    </row>
    <row r="211" spans="1:45" s="24" customFormat="1" ht="11.25" customHeight="1">
      <c r="B211" s="24" t="str">
        <f>$B$15</f>
        <v>Year</v>
      </c>
      <c r="D211" s="1590">
        <f>'qtrP&amp;L'!DN14</f>
        <v>16007.374239900169</v>
      </c>
      <c r="F211" s="1590">
        <f>'qtrP&amp;L'!DJ24</f>
        <v>9789</v>
      </c>
      <c r="H211" s="1603"/>
      <c r="J211" s="1590">
        <f>AVERAGE(J207:J210)</f>
        <v>2066.3706185405749</v>
      </c>
      <c r="L211" s="1621">
        <f>(D211/D204-1)*100</f>
        <v>0.96104850142018083</v>
      </c>
      <c r="M211" s="30"/>
      <c r="N211" s="1621"/>
      <c r="O211" s="30"/>
      <c r="Q211" s="30"/>
      <c r="R211" s="1625">
        <f>F211/J211</f>
        <v>4.7372915159400213</v>
      </c>
      <c r="S211" s="1626" t="s">
        <v>590</v>
      </c>
      <c r="T211" s="1602"/>
      <c r="AA211" s="30"/>
      <c r="AB211" s="1599"/>
      <c r="AF211" s="1636"/>
      <c r="AG211" s="30"/>
      <c r="AH211" s="1628"/>
      <c r="AI211" s="1637">
        <f>((F211-('yrP&amp;L'!$AA$18))/J211)</f>
        <v>3.8131349377997763</v>
      </c>
      <c r="AJ211" s="1638" t="s">
        <v>590</v>
      </c>
      <c r="AS211" s="24">
        <v>37.799999999999997</v>
      </c>
    </row>
    <row r="212" spans="1:45" ht="11.25" customHeight="1">
      <c r="D212" s="1170"/>
      <c r="F212" s="1170"/>
      <c r="J212" s="1170"/>
      <c r="L212" s="1263"/>
      <c r="M212" s="1155"/>
      <c r="N212" s="1263"/>
      <c r="O212" s="1155"/>
      <c r="Q212" s="1155"/>
      <c r="R212" s="1412"/>
      <c r="S212" s="1062"/>
      <c r="T212" s="1177"/>
      <c r="AA212" s="1155"/>
      <c r="AB212" s="1599"/>
      <c r="AF212" s="1243"/>
      <c r="AG212" s="1155"/>
      <c r="AH212" s="1400"/>
      <c r="AI212" s="1401"/>
      <c r="AJ212" s="1400"/>
    </row>
    <row r="213" spans="1:45" ht="11.25" customHeight="1">
      <c r="D213" s="1170"/>
      <c r="F213" s="1170"/>
      <c r="J213" s="1170"/>
      <c r="L213" s="1263"/>
      <c r="M213" s="1155"/>
      <c r="N213" s="1263"/>
      <c r="O213" s="1155"/>
      <c r="Q213" s="1155"/>
      <c r="R213" s="1412"/>
      <c r="S213" s="1062"/>
      <c r="T213" s="1177"/>
      <c r="AA213" s="1155"/>
      <c r="AB213" s="1599"/>
      <c r="AF213" s="1243"/>
      <c r="AG213" s="1155"/>
      <c r="AH213" s="1400"/>
      <c r="AI213" s="1401"/>
      <c r="AJ213" s="1400"/>
    </row>
    <row r="214" spans="1:45" ht="11.25" customHeight="1">
      <c r="D214" s="1170"/>
      <c r="F214" s="1170"/>
      <c r="J214" s="1170"/>
      <c r="L214" s="1263"/>
      <c r="M214" s="1155"/>
      <c r="N214" s="1263"/>
      <c r="O214" s="1155"/>
      <c r="Q214" s="1155"/>
      <c r="R214" s="1367"/>
      <c r="S214" s="1062"/>
      <c r="T214" s="1177"/>
      <c r="AA214" s="1155"/>
      <c r="AB214" s="1599"/>
      <c r="AF214" s="1243"/>
      <c r="AG214" s="1155"/>
      <c r="AH214" s="1400"/>
      <c r="AI214" s="1401"/>
      <c r="AJ214" s="1400"/>
    </row>
    <row r="215" spans="1:45" ht="10.5" customHeight="1">
      <c r="A215" s="1416" t="s">
        <v>591</v>
      </c>
      <c r="B215" s="1049"/>
      <c r="C215" s="1049"/>
      <c r="D215" s="1049"/>
      <c r="E215" s="1049"/>
      <c r="F215" s="1049"/>
      <c r="G215" s="1049"/>
      <c r="H215" s="1049"/>
      <c r="I215" s="1049"/>
      <c r="J215" s="1049"/>
      <c r="K215" s="1049"/>
      <c r="L215" s="1049"/>
      <c r="M215" s="1049"/>
      <c r="N215" s="1049"/>
      <c r="O215" s="1049"/>
      <c r="P215" s="1049"/>
      <c r="Q215" s="1049"/>
      <c r="R215" s="1049"/>
      <c r="S215" s="1049"/>
      <c r="T215" s="1177"/>
      <c r="U215" s="1049"/>
      <c r="V215" s="1999"/>
      <c r="W215" s="1049"/>
      <c r="X215" s="1417"/>
      <c r="Y215" s="1049"/>
      <c r="Z215" s="1049"/>
      <c r="AA215" s="1049"/>
      <c r="AB215" s="2005"/>
      <c r="AC215" s="1049"/>
      <c r="AD215" s="1417"/>
      <c r="AE215" s="1049"/>
      <c r="AF215" s="1049"/>
      <c r="AG215" s="1049"/>
      <c r="AH215" s="1390"/>
      <c r="AI215" s="1049"/>
      <c r="AJ215" s="1049"/>
      <c r="AK215" s="1049"/>
      <c r="AL215" s="1049"/>
      <c r="AM215" s="1049"/>
      <c r="AN215" s="1049"/>
      <c r="AO215" s="1049"/>
      <c r="AP215" s="1049"/>
      <c r="AQ215" s="1049"/>
      <c r="AR215" s="1049"/>
    </row>
    <row r="216" spans="1:45" ht="10.5" customHeight="1">
      <c r="A216" s="1416" t="s">
        <v>592</v>
      </c>
      <c r="B216" s="1049"/>
      <c r="C216" s="1049"/>
      <c r="D216" s="1049"/>
      <c r="E216" s="1049"/>
      <c r="F216" s="1049"/>
      <c r="G216" s="1049"/>
      <c r="H216" s="1049"/>
      <c r="I216" s="1049"/>
      <c r="J216" s="1049"/>
      <c r="K216" s="1049"/>
      <c r="L216" s="1049"/>
      <c r="M216" s="1049"/>
      <c r="N216" s="1049"/>
      <c r="O216" s="1049"/>
      <c r="P216" s="1049"/>
      <c r="Q216" s="1049"/>
      <c r="R216" s="1418"/>
      <c r="S216" s="1049"/>
      <c r="T216" s="1177"/>
      <c r="U216" s="1049"/>
      <c r="V216" s="1999"/>
      <c r="W216" s="1049"/>
      <c r="X216" s="1417"/>
      <c r="Y216" s="1049"/>
      <c r="Z216" s="1049"/>
      <c r="AA216" s="1049"/>
      <c r="AB216" s="2005"/>
      <c r="AC216" s="1049"/>
      <c r="AD216" s="1419"/>
      <c r="AE216" s="1049"/>
      <c r="AF216" s="1049"/>
      <c r="AG216" s="1049"/>
      <c r="AH216" s="1390"/>
      <c r="AI216" s="1049"/>
      <c r="AJ216" s="1049"/>
      <c r="AK216" s="1049"/>
      <c r="AL216" s="1049"/>
      <c r="AM216" s="1049"/>
      <c r="AN216" s="1049"/>
      <c r="AO216" s="1049"/>
      <c r="AP216" s="1049"/>
      <c r="AQ216" s="1049"/>
      <c r="AR216" s="1049"/>
    </row>
    <row r="217" spans="1:45" ht="10.5" customHeight="1">
      <c r="A217" s="1420"/>
      <c r="B217" s="1421"/>
      <c r="C217" s="1421"/>
      <c r="D217" s="1421"/>
      <c r="E217" s="1421"/>
      <c r="F217" s="1421"/>
      <c r="G217" s="1421"/>
      <c r="H217" s="1421"/>
      <c r="I217" s="1421"/>
      <c r="J217" s="1421"/>
      <c r="K217" s="1421"/>
      <c r="L217" s="1421"/>
      <c r="M217" s="1421"/>
      <c r="N217" s="1421"/>
      <c r="O217" s="1421"/>
      <c r="P217" s="1421"/>
      <c r="Q217" s="1421"/>
      <c r="R217" s="1418"/>
      <c r="S217" s="1421"/>
      <c r="T217" s="1177"/>
      <c r="U217" s="1421"/>
      <c r="V217" s="2001"/>
      <c r="W217" s="1421"/>
      <c r="X217" s="1422"/>
      <c r="Y217" s="1421"/>
      <c r="Z217" s="1421"/>
      <c r="AA217" s="1421"/>
      <c r="AB217" s="2001"/>
      <c r="AC217" s="1421"/>
      <c r="AD217" s="1422"/>
      <c r="AE217" s="1421"/>
      <c r="AF217" s="1421"/>
      <c r="AG217" s="1421"/>
      <c r="AH217" s="1423"/>
      <c r="AI217" s="1421"/>
      <c r="AJ217" s="1421"/>
      <c r="AK217" s="1421"/>
      <c r="AL217" s="1421"/>
      <c r="AM217" s="1421"/>
      <c r="AN217" s="1421"/>
      <c r="AO217" s="1421"/>
      <c r="AP217" s="1421"/>
      <c r="AQ217" s="1421"/>
      <c r="AR217" s="1421"/>
    </row>
    <row r="218" spans="1:45" ht="10.5" customHeight="1">
      <c r="A218" s="1113" t="s">
        <v>520</v>
      </c>
      <c r="B218" s="1421"/>
      <c r="C218" s="1421"/>
      <c r="D218" s="1421"/>
      <c r="E218" s="1421"/>
      <c r="F218" s="1421"/>
      <c r="G218" s="1421"/>
      <c r="H218" s="1421"/>
      <c r="I218" s="1421"/>
      <c r="J218" s="1421"/>
      <c r="K218" s="1421"/>
      <c r="L218" s="1421"/>
      <c r="M218" s="1421"/>
      <c r="N218" s="1421"/>
      <c r="O218" s="1421"/>
      <c r="P218" s="1424"/>
      <c r="Q218" s="1421"/>
      <c r="R218" s="1421"/>
      <c r="S218" s="1421"/>
      <c r="T218" s="1177"/>
      <c r="U218" s="1421"/>
      <c r="V218" s="2001"/>
      <c r="W218" s="1421"/>
      <c r="X218" s="1422"/>
      <c r="Y218" s="1421"/>
      <c r="Z218" s="1421"/>
      <c r="AA218" s="1421"/>
      <c r="AB218" s="2001"/>
      <c r="AC218" s="1421"/>
      <c r="AD218" s="1422"/>
      <c r="AE218" s="1421"/>
      <c r="AF218" s="1421"/>
      <c r="AG218" s="1421"/>
      <c r="AH218" s="1423"/>
      <c r="AI218" s="1421"/>
      <c r="AJ218" s="1421"/>
      <c r="AK218" s="1421"/>
      <c r="AL218" s="1421"/>
      <c r="AM218" s="1421"/>
      <c r="AN218" s="1421"/>
      <c r="AO218" s="1421"/>
      <c r="AP218" s="1421"/>
      <c r="AQ218" s="1421"/>
      <c r="AR218" s="1421"/>
    </row>
  </sheetData>
  <phoneticPr fontId="0" type="noConversion"/>
  <dataValidations count="1">
    <dataValidation type="custom" allowBlank="1" showInputMessage="1" showErrorMessage="1" sqref="B86 AI129:AJ129 AB211:AB214 AI164:AJ164 D164 AB162:AB164 V162:V164 H162:H164 F164 H169:H171 F157 AI157:AJ157 AB155:AB157 V155:V157 D157 H155:H157 D150 F150 H148:H150 AI150:AJ150 AB148:AB150 V148:V150 V141:V143 AI143:AJ143 V134:V136 D142:D143 V127:V129 AD133:AD137 F134:F136 AB134:AB136 D134:D136 H141:H143 B93 AD115:AD116 C82:C106 AB92:AB94 D99:D101 E82:E106 H92:H94 D92:D94 F99:F101 G82:G106 D85:D87 F92:F94 V99:V101 F85:F87 H85:H87 C108:C113 W82:AA106 AB99:AB101 V85:V87 V92:V94 H105:H106 AB85:AB87 A82:A106 B100 V106 D106 F106 AB106 AC82:AC106 H99:H101 AD82:AD102 V108 E108:E113 D108 G108:G113 F108 I82:U106 H108 W108:AA113 AI100:AJ101 AB108 A108:A113 V113 AD108:AD109 D113 H113 AB113 AC108:AC113 F113 AD112:AD113 AI108:AJ108 V115 D115 F115 H115 V120:V122 AB115 F142:F143 AI136:AJ136 AD105 AJ5:AJ8 AE82:AH106 AK82:IV106 AI115:AJ115 AE108:AH113 AK108:IV113 AI86:AJ87 AI93:AJ94 F120:F122 AB120:AB122 D120:D122 AI122:AJ122 AD126:AD131 H119:H122 AD119:AD123 AB141:AB143 I108:U113 F127:F129 AB127:AB129 D127:D129 H134:H136 H126:H129 V169:V171 AB169:AB171 AB176:AB178 V176:V178 H176:H178 H183:H185 AB183:AB185 V183:V185 V190:V192 H190:H192 AB190:AB192 H211:H214 AB197:AB199 V197:V199 H197:H199 AE115:AH214 H204:H206 C115:C214 E115:E214 G115:G214 AC115:AC214 W115:AA214 A115:A214 I115:U214 AK115:IV214 V211:V214 AB204:AB206 V204:V206 AD140:AD214">
      <formula1>-1</formula1>
    </dataValidation>
  </dataValidations>
  <printOptions horizontalCentered="1"/>
  <pageMargins left="0.25" right="0.25" top="0" bottom="0" header="0.5" footer="0.3"/>
  <pageSetup scale="60" orientation="landscape" r:id="rId1"/>
  <headerFooter alignWithMargins="0">
    <oddFooter>&amp;R&amp;8&amp;D/&amp;T
&amp;F/&amp;A</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BI78"/>
  <sheetViews>
    <sheetView zoomScaleNormal="100" workbookViewId="0">
      <pane xSplit="3" ySplit="6" topLeftCell="AO46" activePane="bottomRight" state="frozen"/>
      <selection activeCell="AC33" sqref="AC33"/>
      <selection pane="topRight" activeCell="AC33" sqref="AC33"/>
      <selection pane="bottomLeft" activeCell="AC33" sqref="AC33"/>
      <selection pane="bottomRight" activeCell="BF77" sqref="BF77"/>
    </sheetView>
  </sheetViews>
  <sheetFormatPr defaultRowHeight="12.75" outlineLevelCol="2"/>
  <cols>
    <col min="1" max="1" width="4.28515625" style="1233" customWidth="1"/>
    <col min="2" max="2" width="7" style="1045" customWidth="1"/>
    <col min="3" max="3" width="1.7109375" style="1045" customWidth="1"/>
    <col min="4" max="4" width="11.85546875" style="1045" hidden="1" customWidth="1" outlineLevel="2"/>
    <col min="5" max="5" width="1.7109375" style="1045" hidden="1" customWidth="1" outlineLevel="2"/>
    <col min="6" max="6" width="11.85546875" style="1045" hidden="1" customWidth="1" outlineLevel="2"/>
    <col min="7" max="7" width="1.7109375" style="1045" hidden="1" customWidth="1" outlineLevel="2"/>
    <col min="8" max="8" width="11.85546875" style="1045" hidden="1" customWidth="1" outlineLevel="2"/>
    <col min="9" max="9" width="1.7109375" style="1045" hidden="1" customWidth="1" outlineLevel="2"/>
    <col min="10" max="10" width="11.85546875" style="1045" hidden="1" customWidth="1" outlineLevel="2"/>
    <col min="11" max="11" width="1.7109375" style="1045" hidden="1" customWidth="1" outlineLevel="2"/>
    <col min="12" max="12" width="11.85546875" style="1045" hidden="1" customWidth="1" outlineLevel="2"/>
    <col min="13" max="13" width="1.7109375" style="1045" hidden="1" customWidth="1" outlineLevel="2"/>
    <col min="14" max="14" width="11.85546875" style="1045" hidden="1" customWidth="1" outlineLevel="1" collapsed="1"/>
    <col min="15" max="15" width="1.7109375" style="1045" hidden="1" customWidth="1" outlineLevel="1"/>
    <col min="16" max="16" width="11.85546875" style="1045" hidden="1" customWidth="1" outlineLevel="1"/>
    <col min="17" max="17" width="1.7109375" style="1045" hidden="1" customWidth="1" outlineLevel="1"/>
    <col min="18" max="18" width="11.85546875" style="1045" hidden="1" customWidth="1" outlineLevel="1"/>
    <col min="19" max="19" width="1.7109375" style="1045" hidden="1" customWidth="1" outlineLevel="1"/>
    <col min="20" max="20" width="11.85546875" style="1045" hidden="1" customWidth="1" outlineLevel="1" collapsed="1"/>
    <col min="21" max="21" width="1.7109375" style="1045" hidden="1" customWidth="1" outlineLevel="1"/>
    <col min="22" max="22" width="11.85546875" style="1045" hidden="1" customWidth="1" outlineLevel="1"/>
    <col min="23" max="23" width="1.7109375" style="1045" hidden="1" customWidth="1" outlineLevel="1"/>
    <col min="24" max="24" width="11.85546875" style="1045" hidden="1" customWidth="1" outlineLevel="1"/>
    <col min="25" max="25" width="1.7109375" style="1045" hidden="1" customWidth="1" outlineLevel="1"/>
    <col min="26" max="26" width="11.85546875" style="1045" hidden="1" customWidth="1" outlineLevel="1"/>
    <col min="27" max="27" width="4.28515625" style="1045" hidden="1" customWidth="1" outlineLevel="1"/>
    <col min="28" max="28" width="11.85546875" style="1045" hidden="1" customWidth="1" outlineLevel="1"/>
    <col min="29" max="29" width="9.140625" style="1067" hidden="1" customWidth="1" outlineLevel="1"/>
    <col min="30" max="30" width="11.85546875" style="1045" hidden="1" customWidth="1" outlineLevel="1"/>
    <col min="31" max="31" width="1.7109375" style="1045" hidden="1" customWidth="1" outlineLevel="1"/>
    <col min="32" max="32" width="11.85546875" style="1045" hidden="1" customWidth="1" outlineLevel="1"/>
    <col min="33" max="33" width="1.7109375" style="1045" hidden="1" customWidth="1" outlineLevel="1"/>
    <col min="34" max="34" width="11.85546875" style="1045" hidden="1" customWidth="1" outlineLevel="1"/>
    <col min="35" max="35" width="1.7109375" style="1045" hidden="1" customWidth="1" outlineLevel="1"/>
    <col min="36" max="36" width="11.85546875" style="1045" hidden="1" customWidth="1" outlineLevel="1"/>
    <col min="37" max="37" width="1.7109375" style="1045" hidden="1" customWidth="1" outlineLevel="1"/>
    <col min="38" max="38" width="11.85546875" style="1045" hidden="1" customWidth="1" outlineLevel="1"/>
    <col min="39" max="39" width="1.7109375" style="1045" hidden="1" customWidth="1" outlineLevel="1"/>
    <col min="40" max="40" width="11.85546875" style="1045" hidden="1" customWidth="1" outlineLevel="1"/>
    <col min="41" max="41" width="2.5703125" style="1045" customWidth="1" collapsed="1"/>
    <col min="42" max="42" width="11.85546875" style="1045" customWidth="1"/>
    <col min="43" max="43" width="1.7109375" style="1045" customWidth="1"/>
    <col min="44" max="44" width="11.85546875" style="1045" customWidth="1"/>
    <col min="45" max="45" width="1.42578125" style="1045" customWidth="1"/>
    <col min="46" max="46" width="11.85546875" style="1045" customWidth="1"/>
    <col min="47" max="47" width="1.42578125" style="1045" customWidth="1"/>
    <col min="48" max="48" width="11.85546875" style="1045" customWidth="1"/>
    <col min="49" max="49" width="1.42578125" style="1045" customWidth="1"/>
    <col min="50" max="50" width="11.85546875" style="1045" customWidth="1"/>
    <col min="51" max="51" width="1.42578125" style="1045" customWidth="1"/>
    <col min="52" max="52" width="11.85546875" style="1045" customWidth="1"/>
    <col min="53" max="53" width="1.42578125" style="1045" customWidth="1"/>
    <col min="54" max="54" width="11.85546875" style="1045" customWidth="1"/>
    <col min="55" max="55" width="1.42578125" style="1045" customWidth="1"/>
    <col min="56" max="56" width="11.85546875" style="1045" customWidth="1"/>
    <col min="57" max="57" width="1.28515625" style="1045" customWidth="1"/>
    <col min="58" max="58" width="11" style="1045" customWidth="1"/>
    <col min="59" max="59" width="1.28515625" style="1045" hidden="1" customWidth="1" outlineLevel="1"/>
    <col min="60" max="60" width="11" style="1045" hidden="1" customWidth="1" outlineLevel="1"/>
    <col min="61" max="61" width="9.140625" style="1045" collapsed="1"/>
    <col min="62" max="16384" width="9.140625" style="1045"/>
  </cols>
  <sheetData>
    <row r="1" spans="1:60">
      <c r="A1" s="1041" t="str">
        <f>'qtrP&amp;L'!A1</f>
        <v>The Gap, Inc.</v>
      </c>
    </row>
    <row r="2" spans="1:60">
      <c r="A2" s="1237" t="s">
        <v>32</v>
      </c>
      <c r="B2" s="1065"/>
      <c r="C2" s="1065"/>
      <c r="D2" s="1065"/>
      <c r="E2" s="1065"/>
      <c r="F2" s="1065"/>
      <c r="G2" s="1065"/>
      <c r="H2" s="1065"/>
      <c r="I2" s="1065"/>
      <c r="J2" s="1065"/>
      <c r="K2" s="1065"/>
      <c r="L2" s="1065"/>
      <c r="M2" s="1065"/>
      <c r="N2" s="1065"/>
      <c r="O2" s="1065"/>
      <c r="P2" s="1065"/>
      <c r="Q2" s="1065"/>
      <c r="R2" s="1065"/>
      <c r="S2" s="1065"/>
      <c r="T2" s="1065"/>
      <c r="U2" s="1065"/>
      <c r="V2" s="1065"/>
      <c r="W2" s="1065"/>
      <c r="X2" s="1065"/>
      <c r="Y2" s="1065"/>
      <c r="Z2" s="1065"/>
      <c r="AA2" s="1065"/>
      <c r="AB2" s="1065"/>
      <c r="AD2" s="1065"/>
      <c r="AE2" s="1065"/>
      <c r="AF2" s="1065"/>
      <c r="AH2" s="1065"/>
      <c r="AJ2" s="1065"/>
      <c r="AL2" s="1065"/>
      <c r="AN2" s="1065"/>
      <c r="AP2" s="1065"/>
      <c r="AQ2" s="1065"/>
      <c r="AR2" s="1065"/>
      <c r="AT2" s="1065"/>
      <c r="AV2" s="1065"/>
      <c r="AX2" s="1065"/>
      <c r="AZ2" s="1065"/>
      <c r="BB2" s="1065"/>
      <c r="BD2" s="1065"/>
      <c r="BF2" s="1065"/>
      <c r="BH2" s="1065"/>
    </row>
    <row r="3" spans="1:60">
      <c r="A3" s="1070" t="str">
        <f>bal!A3</f>
        <v>At January 31 of the following year</v>
      </c>
    </row>
    <row r="4" spans="1:60">
      <c r="A4" s="1238" t="s">
        <v>569</v>
      </c>
    </row>
    <row r="6" spans="1:60">
      <c r="D6" s="1054">
        <v>1990</v>
      </c>
      <c r="F6" s="1054">
        <v>1991</v>
      </c>
      <c r="H6" s="1054">
        <v>1992</v>
      </c>
      <c r="J6" s="1054">
        <v>1993</v>
      </c>
      <c r="L6" s="1054">
        <v>1994</v>
      </c>
      <c r="N6" s="1054">
        <f>work!V7</f>
        <v>1995</v>
      </c>
      <c r="P6" s="1054">
        <f>work!Z7</f>
        <v>1996</v>
      </c>
      <c r="R6" s="1054">
        <f>work!AD7</f>
        <v>1997</v>
      </c>
      <c r="T6" s="1054">
        <f>work!AH7</f>
        <v>1998</v>
      </c>
      <c r="V6" s="1054">
        <f>work!AL7</f>
        <v>1999</v>
      </c>
      <c r="X6" s="1054">
        <f>work!AP7</f>
        <v>2000</v>
      </c>
      <c r="Z6" s="1054">
        <f>work!AT7</f>
        <v>2001</v>
      </c>
      <c r="AB6" s="1054">
        <f>work!AX7</f>
        <v>2002</v>
      </c>
      <c r="AD6" s="1054">
        <f>work!BB7</f>
        <v>2003</v>
      </c>
      <c r="AF6" s="1054">
        <f>work!BF7</f>
        <v>2004</v>
      </c>
      <c r="AH6" s="1054">
        <f>work!BJ7</f>
        <v>2005</v>
      </c>
      <c r="AJ6" s="1054">
        <f>work!BN7</f>
        <v>2006</v>
      </c>
      <c r="AL6" s="1054">
        <v>2007</v>
      </c>
      <c r="AN6" s="1054">
        <v>2008</v>
      </c>
      <c r="AP6" s="1054">
        <v>2009</v>
      </c>
      <c r="AR6" s="1054">
        <v>2010</v>
      </c>
      <c r="AT6" s="1054">
        <v>2011</v>
      </c>
      <c r="AV6" s="1054">
        <v>2012</v>
      </c>
      <c r="AX6" s="1054">
        <v>2013</v>
      </c>
      <c r="AZ6" s="1054">
        <v>2014</v>
      </c>
      <c r="BB6" s="1054">
        <v>2015</v>
      </c>
      <c r="BD6" s="1050">
        <v>2016</v>
      </c>
      <c r="BF6" s="1050">
        <v>2017</v>
      </c>
      <c r="BH6" s="1050">
        <v>2018</v>
      </c>
    </row>
    <row r="7" spans="1:60">
      <c r="D7" s="1058"/>
      <c r="F7" s="1058"/>
      <c r="H7" s="1058"/>
      <c r="J7" s="1058"/>
      <c r="L7" s="1058"/>
      <c r="N7" s="1058"/>
      <c r="P7" s="1058"/>
      <c r="R7" s="1058"/>
      <c r="T7" s="1058"/>
      <c r="V7" s="1058"/>
      <c r="X7" s="1058"/>
      <c r="Z7" s="1058"/>
      <c r="AB7" s="1058"/>
      <c r="AD7" s="1058"/>
      <c r="AF7" s="1058"/>
      <c r="AH7" s="1058"/>
      <c r="AJ7" s="1058"/>
      <c r="AL7" s="1058"/>
      <c r="AN7" s="1058"/>
      <c r="AP7" s="1058"/>
      <c r="AR7" s="1058"/>
      <c r="AT7" s="1058"/>
      <c r="AV7" s="1058"/>
    </row>
    <row r="8" spans="1:60">
      <c r="A8" s="1253"/>
      <c r="D8" s="1239"/>
      <c r="F8" s="1239"/>
      <c r="H8" s="1239"/>
      <c r="J8" s="1239"/>
      <c r="L8" s="1239"/>
      <c r="N8" s="1239"/>
      <c r="P8" s="1239"/>
      <c r="R8" s="1239"/>
      <c r="T8" s="1239"/>
      <c r="V8" s="1239"/>
      <c r="W8" s="1239"/>
      <c r="Y8" s="1239"/>
      <c r="AA8" s="1239"/>
      <c r="AE8" s="1239"/>
      <c r="AL8" s="1229"/>
      <c r="AN8" s="1229"/>
      <c r="AP8" s="1229"/>
      <c r="AQ8" s="1239" t="s">
        <v>33</v>
      </c>
      <c r="AR8" s="1229"/>
      <c r="AT8" s="1229"/>
      <c r="AV8" s="1229"/>
    </row>
    <row r="9" spans="1:60">
      <c r="A9" s="1233" t="str">
        <f>work!A10</f>
        <v>1Q</v>
      </c>
      <c r="B9" s="1045" t="str">
        <f>work!B10</f>
        <v>Apr</v>
      </c>
      <c r="D9" s="1240" t="s">
        <v>590</v>
      </c>
      <c r="F9" s="1240" t="s">
        <v>590</v>
      </c>
      <c r="H9" s="1240">
        <v>131.53899999999999</v>
      </c>
      <c r="J9" s="1240">
        <v>216.74700000000001</v>
      </c>
      <c r="L9" s="1240">
        <v>323.13900000000001</v>
      </c>
      <c r="N9" s="1240">
        <v>298.21800000000002</v>
      </c>
      <c r="P9" s="1240">
        <v>522.72900000000004</v>
      </c>
      <c r="R9" s="1240">
        <v>244.643</v>
      </c>
      <c r="T9" s="1240">
        <v>836.31399999999996</v>
      </c>
      <c r="V9" s="1240">
        <v>456.10700000000003</v>
      </c>
      <c r="X9" s="1240">
        <v>436.17200000000003</v>
      </c>
      <c r="Z9" s="1240">
        <v>663.08900000000006</v>
      </c>
      <c r="AB9" s="1240">
        <v>2319.1909999999998</v>
      </c>
      <c r="AD9" s="1240">
        <v>2817.8710000000001</v>
      </c>
      <c r="AF9" s="1240">
        <f>3281.113+1361.447</f>
        <v>4642.5599999999995</v>
      </c>
      <c r="AH9" s="1240">
        <f>2607.69+1008.265</f>
        <v>3615.9549999999999</v>
      </c>
      <c r="AJ9" s="1240">
        <f>2820.773+48.992</f>
        <v>2869.7650000000003</v>
      </c>
      <c r="AL9" s="1240">
        <f>2222+522</f>
        <v>2744</v>
      </c>
      <c r="AN9" s="1240">
        <f>1744+36</f>
        <v>1780</v>
      </c>
      <c r="AO9" s="1063"/>
      <c r="AP9" s="1241">
        <f>1708+21</f>
        <v>1729</v>
      </c>
      <c r="AQ9" s="1072"/>
      <c r="AR9" s="1241">
        <f>2056+425+17</f>
        <v>2498</v>
      </c>
      <c r="AS9" s="1072"/>
      <c r="AT9" s="1241">
        <f>2417+50</f>
        <v>2467</v>
      </c>
      <c r="AU9" s="1072"/>
      <c r="AV9" s="1241">
        <v>2047</v>
      </c>
      <c r="AW9" s="1072"/>
      <c r="AX9" s="1241">
        <v>1610</v>
      </c>
      <c r="AY9" s="1072"/>
      <c r="AZ9" s="1241">
        <v>1544</v>
      </c>
      <c r="BB9" s="1241">
        <v>1234</v>
      </c>
      <c r="BD9" s="1241">
        <v>1313</v>
      </c>
      <c r="BF9" s="1241">
        <v>1583</v>
      </c>
      <c r="BH9" s="1241"/>
    </row>
    <row r="10" spans="1:60">
      <c r="A10" s="1233" t="str">
        <f>work!A11</f>
        <v>2Q</v>
      </c>
      <c r="B10" s="1045" t="str">
        <f>work!B11</f>
        <v>Jul</v>
      </c>
      <c r="D10" s="1242" t="s">
        <v>590</v>
      </c>
      <c r="F10" s="1242">
        <v>65.516000000000005</v>
      </c>
      <c r="H10" s="1242">
        <v>39.545999999999999</v>
      </c>
      <c r="J10" s="1242">
        <v>215.57</v>
      </c>
      <c r="L10" s="1242">
        <v>261.22800000000001</v>
      </c>
      <c r="N10" s="1242">
        <v>249.21700000000001</v>
      </c>
      <c r="P10" s="1242">
        <v>514.21299999999997</v>
      </c>
      <c r="R10" s="1242">
        <v>220.148</v>
      </c>
      <c r="T10" s="1242">
        <v>515.20699999999999</v>
      </c>
      <c r="V10" s="1242">
        <v>420.95400000000001</v>
      </c>
      <c r="X10" s="1242">
        <v>327.86</v>
      </c>
      <c r="Z10" s="1242">
        <v>722.952</v>
      </c>
      <c r="AB10" s="1242">
        <v>2386.8290000000002</v>
      </c>
      <c r="AD10" s="1242">
        <f>1908.413+1236</f>
        <v>3144.413</v>
      </c>
      <c r="AF10" s="1242">
        <f>2982.605+1361.773</f>
        <v>4344.3779999999997</v>
      </c>
      <c r="AH10" s="1242">
        <f>2438.494+97.135</f>
        <v>2535.6290000000004</v>
      </c>
      <c r="AJ10" s="1242">
        <f>2726.513+62.683</f>
        <v>2789.1959999999999</v>
      </c>
      <c r="AL10" s="1242">
        <f>2209+487</f>
        <v>2696</v>
      </c>
      <c r="AN10" s="1242">
        <f>1606+74</f>
        <v>1680</v>
      </c>
      <c r="AP10" s="1241">
        <f>2031+100+21</f>
        <v>2152</v>
      </c>
      <c r="AQ10" s="1072"/>
      <c r="AR10" s="1241">
        <f>1353+350</f>
        <v>1703</v>
      </c>
      <c r="AS10" s="1072"/>
      <c r="AT10" s="1241">
        <f>2104+75</f>
        <v>2179</v>
      </c>
      <c r="AU10" s="1072"/>
      <c r="AV10" s="1241">
        <v>2114</v>
      </c>
      <c r="AW10" s="1072"/>
      <c r="AX10" s="1241">
        <v>1925</v>
      </c>
      <c r="AY10" s="1072"/>
      <c r="AZ10" s="1241">
        <v>1518</v>
      </c>
      <c r="BB10" s="1242">
        <v>1043</v>
      </c>
      <c r="BD10" s="1557">
        <v>1681</v>
      </c>
      <c r="BF10" s="1557">
        <v>1609</v>
      </c>
      <c r="BH10" s="1557"/>
    </row>
    <row r="11" spans="1:60">
      <c r="A11" s="1233" t="str">
        <f>work!A12</f>
        <v>3Q</v>
      </c>
      <c r="B11" s="1045" t="str">
        <f>work!B12</f>
        <v>Oct</v>
      </c>
      <c r="D11" s="1242" t="s">
        <v>590</v>
      </c>
      <c r="F11" s="1242">
        <v>90.938000000000002</v>
      </c>
      <c r="H11" s="1242">
        <v>50.276000000000003</v>
      </c>
      <c r="J11" s="1242">
        <v>267.44099999999997</v>
      </c>
      <c r="L11" s="1242">
        <v>223.654</v>
      </c>
      <c r="N11" s="1242">
        <v>324.18200000000002</v>
      </c>
      <c r="P11" s="1242">
        <v>477.27199999999999</v>
      </c>
      <c r="R11" s="1242">
        <v>627.76</v>
      </c>
      <c r="T11" s="1242">
        <v>271.51799999999997</v>
      </c>
      <c r="V11" s="1242">
        <v>485.68</v>
      </c>
      <c r="X11" s="1242">
        <v>352.20100000000002</v>
      </c>
      <c r="Z11" s="1242">
        <v>799.51</v>
      </c>
      <c r="AB11" s="1242">
        <v>2501.1179999999999</v>
      </c>
      <c r="AD11" s="1242">
        <f>2037.149+1354.483</f>
        <v>3391.6319999999996</v>
      </c>
      <c r="AF11" s="1242">
        <f>2727.199+1015.435</f>
        <v>3742.634</v>
      </c>
      <c r="AH11" s="1242">
        <f>2211.838+74.697</f>
        <v>2286.5350000000003</v>
      </c>
      <c r="AJ11" s="1242">
        <f>2366.38+59.667</f>
        <v>2426.047</v>
      </c>
      <c r="AL11" s="1242">
        <f>1491+165+43</f>
        <v>1699</v>
      </c>
      <c r="AN11" s="1242">
        <f>1480+75</f>
        <v>1555</v>
      </c>
      <c r="AP11" s="1241">
        <f>2173+225+21</f>
        <v>2419</v>
      </c>
      <c r="AQ11" s="1072"/>
      <c r="AR11" s="1241">
        <f>1403+251</f>
        <v>1654</v>
      </c>
      <c r="AS11" s="1072"/>
      <c r="AT11" s="1241">
        <f>1392+25</f>
        <v>1417</v>
      </c>
      <c r="AU11" s="1072"/>
      <c r="AV11" s="1241">
        <v>1770</v>
      </c>
      <c r="AW11" s="1072"/>
      <c r="AX11" s="1241">
        <v>996</v>
      </c>
      <c r="AY11" s="1072"/>
      <c r="AZ11" s="1241">
        <v>954</v>
      </c>
      <c r="BB11" s="1242">
        <v>1042</v>
      </c>
      <c r="BD11" s="1557">
        <v>1522</v>
      </c>
      <c r="BE11" s="1243"/>
      <c r="BF11" s="1242">
        <v>1353</v>
      </c>
      <c r="BG11" s="1243"/>
      <c r="BH11" s="1242"/>
    </row>
    <row r="12" spans="1:60">
      <c r="A12" s="1233" t="str">
        <f>work!A13</f>
        <v>4Q</v>
      </c>
      <c r="B12" s="1045" t="str">
        <f>work!B13</f>
        <v>Jan</v>
      </c>
      <c r="D12" s="1242" t="s">
        <v>590</v>
      </c>
      <c r="F12" s="1242">
        <v>192.58500000000001</v>
      </c>
      <c r="H12" s="1242">
        <v>243.30199999999999</v>
      </c>
      <c r="J12" s="1242">
        <v>460.33199999999999</v>
      </c>
      <c r="L12" s="1242">
        <v>414.48700000000002</v>
      </c>
      <c r="N12" s="1242">
        <v>579.56600000000003</v>
      </c>
      <c r="P12" s="1242">
        <v>485.64400000000001</v>
      </c>
      <c r="R12" s="1242">
        <v>913.16899999999998</v>
      </c>
      <c r="T12" s="1242">
        <v>565.25300000000004</v>
      </c>
      <c r="V12" s="1242">
        <v>450.35199999999998</v>
      </c>
      <c r="X12" s="1242">
        <v>408.79399999999998</v>
      </c>
      <c r="Z12" s="1242">
        <v>1035.749</v>
      </c>
      <c r="AB12" s="1242">
        <v>3388.5140000000001</v>
      </c>
      <c r="AD12" s="1242">
        <f>3333.572+1351.347</f>
        <v>4684.9189999999999</v>
      </c>
      <c r="AF12" s="1242">
        <f>3061.617+1014.781</f>
        <v>4076.3980000000001</v>
      </c>
      <c r="AH12" s="1242">
        <f>2987.257+55.399</f>
        <v>3042.6559999999999</v>
      </c>
      <c r="AJ12" s="1242">
        <f>2030+0.614</f>
        <v>2030.614</v>
      </c>
      <c r="AL12" s="1242">
        <f>1724+177+38</f>
        <v>1939</v>
      </c>
      <c r="AN12" s="1242">
        <f>1715+41</f>
        <v>1756</v>
      </c>
      <c r="AO12" s="1063"/>
      <c r="AP12" s="1241">
        <f>2348+225+18</f>
        <v>2591</v>
      </c>
      <c r="AQ12" s="1072"/>
      <c r="AR12" s="1241">
        <f>1561+100</f>
        <v>1661</v>
      </c>
      <c r="AS12" s="1072"/>
      <c r="AT12" s="1241">
        <v>1885</v>
      </c>
      <c r="AU12" s="1072"/>
      <c r="AV12" s="1241">
        <v>1510</v>
      </c>
      <c r="AW12" s="1072"/>
      <c r="AX12" s="1241">
        <v>1510</v>
      </c>
      <c r="AY12" s="1072"/>
      <c r="AZ12" s="1241">
        <v>1515</v>
      </c>
      <c r="BB12" s="1241">
        <v>1370</v>
      </c>
      <c r="BD12" s="1241">
        <v>1783</v>
      </c>
      <c r="BE12" s="1072"/>
      <c r="BF12" s="1241">
        <v>1783</v>
      </c>
      <c r="BG12" s="1072"/>
      <c r="BH12" s="1241"/>
    </row>
    <row r="13" spans="1:60">
      <c r="X13" s="1072"/>
      <c r="Z13" s="1072"/>
      <c r="AB13" s="1072"/>
      <c r="AD13" s="1072"/>
      <c r="AF13" s="1072"/>
      <c r="AH13" s="1072"/>
      <c r="AJ13" s="1072"/>
      <c r="AL13" s="1072"/>
      <c r="AN13" s="1072"/>
      <c r="AP13" s="1072"/>
      <c r="AR13" s="1072"/>
      <c r="AT13" s="1072"/>
      <c r="AV13" s="1072"/>
    </row>
    <row r="14" spans="1:60">
      <c r="D14" s="1239"/>
      <c r="F14" s="1239"/>
      <c r="H14" s="1239"/>
      <c r="J14" s="1239"/>
      <c r="L14" s="1239"/>
      <c r="N14" s="1239"/>
      <c r="P14" s="1239"/>
      <c r="R14" s="1239"/>
      <c r="T14" s="1239"/>
      <c r="V14" s="1239"/>
      <c r="W14" s="1239"/>
      <c r="X14" s="1072"/>
      <c r="Y14" s="1239"/>
      <c r="Z14" s="1072"/>
      <c r="AA14" s="1239"/>
      <c r="AB14" s="1072"/>
      <c r="AD14" s="1072"/>
      <c r="AE14" s="1239"/>
      <c r="AF14" s="1072"/>
      <c r="AH14" s="1072"/>
      <c r="AJ14" s="1072"/>
      <c r="AL14" s="1072"/>
      <c r="AN14" s="1072"/>
      <c r="AP14" s="1072"/>
      <c r="AQ14" s="1239" t="s">
        <v>34</v>
      </c>
      <c r="AR14" s="1072"/>
      <c r="AT14" s="1072"/>
      <c r="AV14" s="1072"/>
    </row>
    <row r="15" spans="1:60">
      <c r="A15" s="1233" t="str">
        <f t="shared" ref="A15:B18" si="0">A9</f>
        <v>1Q</v>
      </c>
      <c r="B15" s="1045" t="str">
        <f t="shared" si="0"/>
        <v>Apr</v>
      </c>
      <c r="D15" s="1240" t="s">
        <v>590</v>
      </c>
      <c r="F15" s="1240" t="s">
        <v>590</v>
      </c>
      <c r="H15" s="1240">
        <v>2.5</v>
      </c>
      <c r="J15" s="1240">
        <v>0</v>
      </c>
      <c r="L15" s="1240">
        <f>75+4.516</f>
        <v>79.516000000000005</v>
      </c>
      <c r="N15" s="1240">
        <v>0</v>
      </c>
      <c r="P15" s="1240">
        <v>46.835999999999999</v>
      </c>
      <c r="R15" s="1240">
        <v>86.241</v>
      </c>
      <c r="T15" s="1240">
        <v>97.263999999999996</v>
      </c>
      <c r="V15" s="1240">
        <v>97.834000000000003</v>
      </c>
      <c r="X15" s="1240">
        <v>631.46100000000001</v>
      </c>
      <c r="Z15" s="1240">
        <f>250+781.224</f>
        <v>1031.2240000000002</v>
      </c>
      <c r="AB15" s="1240">
        <v>0</v>
      </c>
      <c r="AD15" s="1240">
        <v>0</v>
      </c>
      <c r="AF15" s="1240">
        <v>271.488</v>
      </c>
      <c r="AH15" s="1240">
        <v>0</v>
      </c>
      <c r="AJ15" s="1240">
        <v>0</v>
      </c>
      <c r="AL15" s="1240">
        <v>326</v>
      </c>
      <c r="AN15" s="1240">
        <v>188</v>
      </c>
      <c r="AP15" s="1241">
        <v>0</v>
      </c>
      <c r="AQ15" s="1072"/>
      <c r="AR15" s="1241">
        <v>0</v>
      </c>
      <c r="AS15" s="1072"/>
      <c r="AT15" s="1241">
        <v>0</v>
      </c>
      <c r="AU15" s="1072"/>
      <c r="AV15" s="1241">
        <v>59</v>
      </c>
      <c r="AW15" s="1072"/>
      <c r="AX15" s="1241">
        <v>0</v>
      </c>
      <c r="AY15" s="1072"/>
      <c r="AZ15" s="1241">
        <v>24</v>
      </c>
      <c r="BA15" s="1072"/>
      <c r="BB15" s="1241">
        <v>21</v>
      </c>
      <c r="BC15" s="1072"/>
      <c r="BD15" s="1241">
        <v>424</v>
      </c>
      <c r="BE15" s="1243"/>
      <c r="BF15" s="1241">
        <v>67</v>
      </c>
      <c r="BG15" s="1243"/>
      <c r="BH15" s="1241"/>
    </row>
    <row r="16" spans="1:60">
      <c r="A16" s="1233" t="str">
        <f t="shared" si="0"/>
        <v>2Q</v>
      </c>
      <c r="B16" s="1045" t="str">
        <f t="shared" si="0"/>
        <v>Jul</v>
      </c>
      <c r="D16" s="1242" t="s">
        <v>590</v>
      </c>
      <c r="F16" s="1242">
        <f>68.3+12.5</f>
        <v>80.8</v>
      </c>
      <c r="H16" s="1242">
        <v>12</v>
      </c>
      <c r="J16" s="1242">
        <v>5.8250000000000002</v>
      </c>
      <c r="L16" s="1242">
        <v>13.773</v>
      </c>
      <c r="N16" s="1242">
        <v>0</v>
      </c>
      <c r="P16" s="1242">
        <v>67.195999999999998</v>
      </c>
      <c r="R16" s="1242">
        <v>90.245000000000005</v>
      </c>
      <c r="T16" s="1242">
        <v>90.69</v>
      </c>
      <c r="V16" s="1242">
        <v>413.495</v>
      </c>
      <c r="X16" s="1242">
        <v>859.44799999999998</v>
      </c>
      <c r="Z16" s="1242">
        <f>691.67+250</f>
        <v>941.67</v>
      </c>
      <c r="AB16" s="1242">
        <v>500</v>
      </c>
      <c r="AD16" s="1242">
        <v>0</v>
      </c>
      <c r="AF16" s="1242">
        <v>272.45800000000003</v>
      </c>
      <c r="AH16" s="1242">
        <v>0</v>
      </c>
      <c r="AJ16" s="1242">
        <v>0</v>
      </c>
      <c r="AL16" s="1242">
        <v>326</v>
      </c>
      <c r="AN16" s="1242">
        <v>188</v>
      </c>
      <c r="AP16" s="1241">
        <v>0</v>
      </c>
      <c r="AQ16" s="1072"/>
      <c r="AR16" s="1241">
        <v>0</v>
      </c>
      <c r="AS16" s="1072"/>
      <c r="AT16" s="1241">
        <v>40</v>
      </c>
      <c r="AU16" s="1072"/>
      <c r="AV16" s="1241">
        <v>48</v>
      </c>
      <c r="AW16" s="1072"/>
      <c r="AX16" s="1241">
        <v>0</v>
      </c>
      <c r="AY16" s="1072"/>
      <c r="AZ16" s="1241">
        <v>24</v>
      </c>
      <c r="BA16" s="1072"/>
      <c r="BB16" s="1241">
        <v>20</v>
      </c>
      <c r="BC16" s="1072"/>
      <c r="BD16" s="1241">
        <v>424</v>
      </c>
      <c r="BF16" s="1241">
        <v>0</v>
      </c>
      <c r="BH16" s="1241"/>
    </row>
    <row r="17" spans="1:60">
      <c r="A17" s="1233" t="str">
        <f t="shared" si="0"/>
        <v>3Q</v>
      </c>
      <c r="B17" s="1045" t="str">
        <f t="shared" si="0"/>
        <v>Oct</v>
      </c>
      <c r="D17" s="1242" t="s">
        <v>590</v>
      </c>
      <c r="F17" s="1242">
        <f>42.4+2.5</f>
        <v>44.9</v>
      </c>
      <c r="H17" s="1242">
        <v>15</v>
      </c>
      <c r="J17" s="1242">
        <v>19.024000000000001</v>
      </c>
      <c r="L17" s="1242">
        <v>2.9359999999999999</v>
      </c>
      <c r="N17" s="1242">
        <v>17.780999999999999</v>
      </c>
      <c r="P17" s="1242">
        <v>86.332999999999998</v>
      </c>
      <c r="R17" s="1242">
        <v>115.245</v>
      </c>
      <c r="T17" s="1242">
        <v>526.428</v>
      </c>
      <c r="V17" s="1242">
        <v>636.53399999999999</v>
      </c>
      <c r="X17" s="1242">
        <v>1482.356</v>
      </c>
      <c r="Z17" s="1242">
        <f>1029.25+250</f>
        <v>1279.25</v>
      </c>
      <c r="AB17" s="1242">
        <v>499.959</v>
      </c>
      <c r="AD17" s="1242">
        <v>262.488</v>
      </c>
      <c r="AF17" s="1242">
        <v>0</v>
      </c>
      <c r="AH17" s="1242">
        <v>0</v>
      </c>
      <c r="AJ17" s="1242">
        <v>325.39400000000001</v>
      </c>
      <c r="AL17" s="1242">
        <v>0</v>
      </c>
      <c r="AN17" s="1242">
        <v>188</v>
      </c>
      <c r="AP17" s="1241">
        <v>0</v>
      </c>
      <c r="AQ17" s="1072"/>
      <c r="AR17" s="1241">
        <v>0</v>
      </c>
      <c r="AS17" s="1072"/>
      <c r="AT17" s="1241">
        <v>52</v>
      </c>
      <c r="AU17" s="1072"/>
      <c r="AV17" s="1241">
        <v>2</v>
      </c>
      <c r="AW17" s="1072"/>
      <c r="AX17" s="1241">
        <v>0</v>
      </c>
      <c r="AY17" s="1072"/>
      <c r="AZ17" s="1241">
        <v>22</v>
      </c>
      <c r="BA17" s="1072"/>
      <c r="BB17" s="1241">
        <v>421</v>
      </c>
      <c r="BC17" s="1072"/>
      <c r="BD17" s="1241">
        <v>424</v>
      </c>
      <c r="BF17" s="1241">
        <v>0</v>
      </c>
      <c r="BH17" s="1241"/>
    </row>
    <row r="18" spans="1:60">
      <c r="A18" s="1233" t="str">
        <f t="shared" si="0"/>
        <v>4Q</v>
      </c>
      <c r="B18" s="1045" t="str">
        <f t="shared" si="0"/>
        <v>Jan</v>
      </c>
      <c r="D18" s="1242" t="s">
        <v>590</v>
      </c>
      <c r="F18" s="1242">
        <v>2.5</v>
      </c>
      <c r="H18" s="1242">
        <v>0</v>
      </c>
      <c r="J18" s="1242">
        <v>7.6029999999999998</v>
      </c>
      <c r="L18" s="1242">
        <v>2.4780000000000002</v>
      </c>
      <c r="N18" s="1242">
        <v>21.815000000000001</v>
      </c>
      <c r="P18" s="1242">
        <v>40.049999999999997</v>
      </c>
      <c r="R18" s="1242">
        <v>84.793999999999997</v>
      </c>
      <c r="T18" s="1242">
        <v>90.69</v>
      </c>
      <c r="V18" s="1242">
        <v>168.96100000000001</v>
      </c>
      <c r="X18" s="1242">
        <f>779.904+250</f>
        <v>1029.904</v>
      </c>
      <c r="Z18" s="1242">
        <v>41.889000000000003</v>
      </c>
      <c r="AB18" s="1242">
        <v>499.97899999999998</v>
      </c>
      <c r="AD18" s="1242">
        <v>282.68700000000001</v>
      </c>
      <c r="AF18" s="1242">
        <v>0</v>
      </c>
      <c r="AH18" s="1242">
        <v>0</v>
      </c>
      <c r="AJ18" s="1242">
        <v>325</v>
      </c>
      <c r="AL18" s="1242">
        <v>138</v>
      </c>
      <c r="AN18" s="1242">
        <v>50</v>
      </c>
      <c r="AP18" s="1241">
        <v>0</v>
      </c>
      <c r="AQ18" s="1072"/>
      <c r="AR18" s="1241">
        <v>0</v>
      </c>
      <c r="AS18" s="1072"/>
      <c r="AT18" s="1241">
        <v>59</v>
      </c>
      <c r="AU18" s="1072"/>
      <c r="AV18" s="1241">
        <v>0</v>
      </c>
      <c r="AW18" s="1072"/>
      <c r="AX18" s="1241">
        <v>25</v>
      </c>
      <c r="AY18" s="1072"/>
      <c r="AZ18" s="1241">
        <v>21</v>
      </c>
      <c r="BA18" s="1072"/>
      <c r="BB18" s="1241">
        <v>421</v>
      </c>
      <c r="BC18" s="1072"/>
      <c r="BD18" s="1241">
        <v>65</v>
      </c>
      <c r="BF18" s="1241">
        <v>0</v>
      </c>
      <c r="BH18" s="1241"/>
    </row>
    <row r="19" spans="1:60">
      <c r="D19" s="1242"/>
      <c r="F19" s="1242"/>
      <c r="H19" s="1242"/>
      <c r="J19" s="1242"/>
      <c r="L19" s="1242"/>
      <c r="N19" s="1242"/>
      <c r="P19" s="1242"/>
      <c r="R19" s="1242"/>
      <c r="T19" s="1242"/>
      <c r="V19" s="1242"/>
      <c r="X19" s="1072"/>
      <c r="Z19" s="1072"/>
      <c r="AB19" s="1072"/>
      <c r="AD19" s="1072"/>
      <c r="AF19" s="1072"/>
      <c r="AH19" s="1072"/>
      <c r="AJ19" s="1072"/>
      <c r="AL19" s="1072"/>
      <c r="AN19" s="1072"/>
      <c r="AP19" s="1072"/>
      <c r="AR19" s="1072"/>
      <c r="AT19" s="1072"/>
      <c r="AV19" s="1072"/>
    </row>
    <row r="20" spans="1:60">
      <c r="D20" s="1239"/>
      <c r="F20" s="1239"/>
      <c r="H20" s="1239"/>
      <c r="J20" s="1239"/>
      <c r="L20" s="1239"/>
      <c r="N20" s="1239"/>
      <c r="P20" s="1239"/>
      <c r="R20" s="1239"/>
      <c r="T20" s="1239"/>
      <c r="V20" s="1239"/>
      <c r="W20" s="1239"/>
      <c r="X20" s="1072"/>
      <c r="Y20" s="1239"/>
      <c r="Z20" s="1072"/>
      <c r="AA20" s="1239"/>
      <c r="AB20" s="1072"/>
      <c r="AD20" s="1072"/>
      <c r="AE20" s="1239"/>
      <c r="AF20" s="1072"/>
      <c r="AH20" s="1072"/>
      <c r="AJ20" s="1072"/>
      <c r="AL20" s="1072"/>
      <c r="AN20" s="1072"/>
      <c r="AP20" s="1072"/>
      <c r="AQ20" s="1239" t="s">
        <v>35</v>
      </c>
      <c r="AR20" s="1072"/>
      <c r="AT20" s="1072"/>
      <c r="AV20" s="1072"/>
    </row>
    <row r="21" spans="1:60">
      <c r="A21" s="1233" t="str">
        <f t="shared" ref="A21:B24" si="1">A15</f>
        <v>1Q</v>
      </c>
      <c r="B21" s="1045" t="str">
        <f t="shared" si="1"/>
        <v>Apr</v>
      </c>
      <c r="D21" s="1240" t="s">
        <v>590</v>
      </c>
      <c r="F21" s="1240" t="s">
        <v>590</v>
      </c>
      <c r="H21" s="1240">
        <v>77.5</v>
      </c>
      <c r="J21" s="1240">
        <v>75</v>
      </c>
      <c r="L21" s="1240">
        <v>0</v>
      </c>
      <c r="N21" s="1240">
        <v>0</v>
      </c>
      <c r="P21" s="1240">
        <v>0</v>
      </c>
      <c r="R21" s="1240">
        <v>0</v>
      </c>
      <c r="T21" s="1240">
        <v>496.14699999999999</v>
      </c>
      <c r="V21" s="1240">
        <v>545.04499999999996</v>
      </c>
      <c r="X21" s="1240">
        <v>769.28700000000003</v>
      </c>
      <c r="Z21" s="1240">
        <v>1270.289</v>
      </c>
      <c r="AB21" s="1240">
        <v>3355.337</v>
      </c>
      <c r="AD21" s="1240">
        <f>1527.545+1380</f>
        <v>2907.5450000000001</v>
      </c>
      <c r="AF21" s="1240">
        <v>2317.39</v>
      </c>
      <c r="AH21" s="1240">
        <v>512.72199999999998</v>
      </c>
      <c r="AJ21" s="1240">
        <v>513.05399999999997</v>
      </c>
      <c r="AL21" s="1240">
        <v>188</v>
      </c>
      <c r="AN21" s="1240">
        <v>0</v>
      </c>
      <c r="AP21" s="1241">
        <v>0</v>
      </c>
      <c r="AQ21" s="1072"/>
      <c r="AR21" s="1241">
        <v>0</v>
      </c>
      <c r="AS21" s="1072"/>
      <c r="AT21" s="1241">
        <v>1246</v>
      </c>
      <c r="AU21" s="1072"/>
      <c r="AV21" s="1241">
        <v>1566</v>
      </c>
      <c r="AW21" s="1072"/>
      <c r="AX21" s="1241">
        <v>1247</v>
      </c>
      <c r="AY21" s="1072"/>
      <c r="AZ21" s="1241">
        <v>1369</v>
      </c>
      <c r="BA21" s="1072"/>
      <c r="BB21" s="1241">
        <v>1331</v>
      </c>
      <c r="BC21" s="1072"/>
      <c r="BD21" s="1241">
        <v>1318</v>
      </c>
      <c r="BF21" s="1241">
        <v>1248</v>
      </c>
      <c r="BH21" s="1241"/>
    </row>
    <row r="22" spans="1:60">
      <c r="A22" s="1233" t="str">
        <f t="shared" si="1"/>
        <v>2Q</v>
      </c>
      <c r="B22" s="1045" t="str">
        <f t="shared" si="1"/>
        <v>Jul</v>
      </c>
      <c r="D22" s="1242" t="s">
        <v>590</v>
      </c>
      <c r="F22" s="1242">
        <v>77.5</v>
      </c>
      <c r="H22" s="1242">
        <v>75</v>
      </c>
      <c r="J22" s="1242">
        <v>75</v>
      </c>
      <c r="L22" s="1242">
        <v>0</v>
      </c>
      <c r="N22" s="1242">
        <v>0</v>
      </c>
      <c r="P22" s="1242">
        <v>0</v>
      </c>
      <c r="R22" s="1242">
        <v>0</v>
      </c>
      <c r="T22" s="1242">
        <v>496.25</v>
      </c>
      <c r="V22" s="1242">
        <v>542.279</v>
      </c>
      <c r="X22" s="1242">
        <v>1022.871</v>
      </c>
      <c r="Z22" s="1242">
        <v>1268.0360000000001</v>
      </c>
      <c r="AB22" s="1242">
        <v>2873.1320000000001</v>
      </c>
      <c r="AD22" s="1242">
        <f>1528.577+1380</f>
        <v>2908.5770000000002</v>
      </c>
      <c r="AF22" s="1242">
        <v>2014.7439999999999</v>
      </c>
      <c r="AH22" s="1242">
        <v>512.80499999999995</v>
      </c>
      <c r="AJ22" s="1242">
        <v>513.14200000000005</v>
      </c>
      <c r="AL22" s="1242">
        <v>188</v>
      </c>
      <c r="AN22" s="1242">
        <v>0</v>
      </c>
      <c r="AP22" s="1241">
        <v>0</v>
      </c>
      <c r="AQ22" s="1072"/>
      <c r="AR22" s="1241">
        <v>0</v>
      </c>
      <c r="AS22" s="1072"/>
      <c r="AT22" s="1241">
        <v>1606</v>
      </c>
      <c r="AU22" s="1072"/>
      <c r="AV22" s="1241">
        <v>1566</v>
      </c>
      <c r="AW22" s="1072"/>
      <c r="AX22" s="1241">
        <v>1247</v>
      </c>
      <c r="AY22" s="1072"/>
      <c r="AZ22" s="1241">
        <v>1369</v>
      </c>
      <c r="BA22" s="1072"/>
      <c r="BB22" s="1241">
        <v>1328</v>
      </c>
      <c r="BC22" s="1072"/>
      <c r="BD22" s="1241">
        <v>1321</v>
      </c>
      <c r="BF22" s="1241">
        <v>1248</v>
      </c>
      <c r="BH22" s="1241"/>
    </row>
    <row r="23" spans="1:60">
      <c r="A23" s="1233" t="str">
        <f t="shared" si="1"/>
        <v>3Q</v>
      </c>
      <c r="B23" s="1045" t="str">
        <f t="shared" si="1"/>
        <v>Oct</v>
      </c>
      <c r="D23" s="1242" t="s">
        <v>590</v>
      </c>
      <c r="F23" s="1242">
        <v>77.5</v>
      </c>
      <c r="H23" s="1242">
        <v>75</v>
      </c>
      <c r="J23" s="1242">
        <v>75</v>
      </c>
      <c r="L23" s="1242">
        <v>0</v>
      </c>
      <c r="N23" s="1242">
        <v>0</v>
      </c>
      <c r="P23" s="1242">
        <v>0</v>
      </c>
      <c r="R23" s="1242">
        <v>495.94099999999997</v>
      </c>
      <c r="T23" s="1242">
        <v>496.35199999999998</v>
      </c>
      <c r="V23" s="1242">
        <v>808.93700000000001</v>
      </c>
      <c r="X23" s="1242">
        <v>1003.542</v>
      </c>
      <c r="Z23" s="1242">
        <v>1273.0250000000001</v>
      </c>
      <c r="AB23" s="1242">
        <v>2875.683</v>
      </c>
      <c r="AD23" s="1242">
        <f>1247.174+1379.995</f>
        <v>2627.1689999999999</v>
      </c>
      <c r="AF23" s="1242">
        <v>1892.547</v>
      </c>
      <c r="AH23" s="1242">
        <v>512.88900000000001</v>
      </c>
      <c r="AJ23" s="1242">
        <v>187.833</v>
      </c>
      <c r="AL23" s="1242">
        <v>188</v>
      </c>
      <c r="AN23" s="1242">
        <v>0</v>
      </c>
      <c r="AP23" s="1241">
        <v>0</v>
      </c>
      <c r="AQ23" s="1072"/>
      <c r="AR23" s="1241">
        <v>0</v>
      </c>
      <c r="AS23" s="1072"/>
      <c r="AT23" s="1241">
        <v>1606</v>
      </c>
      <c r="AU23" s="1072"/>
      <c r="AV23" s="1241">
        <v>1246</v>
      </c>
      <c r="AW23" s="1072"/>
      <c r="AX23" s="1241">
        <v>1247</v>
      </c>
      <c r="AY23" s="1072"/>
      <c r="AZ23" s="1241">
        <v>1358</v>
      </c>
      <c r="BA23" s="1072"/>
      <c r="BB23" s="1241">
        <v>1331</v>
      </c>
      <c r="BC23" s="1072"/>
      <c r="BD23" s="1241">
        <v>1320</v>
      </c>
      <c r="BF23" s="1241">
        <v>1248</v>
      </c>
      <c r="BH23" s="1241"/>
    </row>
    <row r="24" spans="1:60">
      <c r="A24" s="1233" t="str">
        <f t="shared" si="1"/>
        <v>4Q</v>
      </c>
      <c r="B24" s="1045" t="str">
        <f t="shared" si="1"/>
        <v>Jan</v>
      </c>
      <c r="D24" s="1242" t="s">
        <v>590</v>
      </c>
      <c r="F24" s="1242">
        <v>77.5</v>
      </c>
      <c r="H24" s="1242">
        <v>75</v>
      </c>
      <c r="J24" s="1242">
        <v>75</v>
      </c>
      <c r="L24" s="1242">
        <v>0</v>
      </c>
      <c r="N24" s="1242">
        <v>0</v>
      </c>
      <c r="P24" s="1242">
        <v>0</v>
      </c>
      <c r="R24" s="1242">
        <v>496.04399999999998</v>
      </c>
      <c r="T24" s="1242">
        <v>496.45499999999998</v>
      </c>
      <c r="V24" s="1242">
        <v>784.92499999999995</v>
      </c>
      <c r="X24" s="1242">
        <v>780.24599999999998</v>
      </c>
      <c r="Z24" s="1242">
        <v>1961.3969999999999</v>
      </c>
      <c r="AB24" s="1242">
        <v>2895.7939999999999</v>
      </c>
      <c r="AD24" s="1242">
        <f>1107.096+1379.995</f>
        <v>2487.0909999999999</v>
      </c>
      <c r="AF24" s="1242">
        <v>1885.6310000000001</v>
      </c>
      <c r="AH24" s="1242">
        <v>512.97</v>
      </c>
      <c r="AJ24" s="1242">
        <v>188</v>
      </c>
      <c r="AL24" s="1242">
        <v>50</v>
      </c>
      <c r="AN24" s="1242">
        <v>0</v>
      </c>
      <c r="AP24" s="1241">
        <v>0</v>
      </c>
      <c r="AQ24" s="1072"/>
      <c r="AR24" s="1241">
        <v>0</v>
      </c>
      <c r="AS24" s="1072"/>
      <c r="AT24" s="1241">
        <v>1606</v>
      </c>
      <c r="AU24" s="1072"/>
      <c r="AV24" s="1241">
        <v>1246</v>
      </c>
      <c r="AW24" s="1072"/>
      <c r="AX24" s="1241">
        <v>1369</v>
      </c>
      <c r="AY24" s="1072"/>
      <c r="AZ24" s="1241">
        <v>1332</v>
      </c>
      <c r="BA24" s="1072"/>
      <c r="BB24" s="1241">
        <v>1310</v>
      </c>
      <c r="BC24" s="1072"/>
      <c r="BD24" s="1241">
        <v>1248</v>
      </c>
      <c r="BF24" s="1241">
        <v>1249</v>
      </c>
      <c r="BH24" s="1241"/>
    </row>
    <row r="26" spans="1:60">
      <c r="D26" s="1059"/>
      <c r="F26" s="1059"/>
      <c r="H26" s="1059"/>
      <c r="J26" s="1059"/>
      <c r="L26" s="1059"/>
      <c r="N26" s="1059"/>
      <c r="P26" s="1059"/>
      <c r="R26" s="1059"/>
      <c r="T26" s="1059"/>
      <c r="V26" s="1059"/>
      <c r="W26" s="1059"/>
      <c r="Y26" s="1059"/>
      <c r="AA26" s="1059"/>
      <c r="AE26" s="1059"/>
      <c r="AQ26" s="1059" t="s">
        <v>36</v>
      </c>
    </row>
    <row r="27" spans="1:60">
      <c r="A27" s="1233" t="str">
        <f t="shared" ref="A27:B30" si="2">A21</f>
        <v>1Q</v>
      </c>
      <c r="B27" s="1045" t="str">
        <f t="shared" si="2"/>
        <v>Apr</v>
      </c>
      <c r="D27" s="1244"/>
      <c r="F27" s="1244" t="e">
        <f>F21+F15</f>
        <v>#VALUE!</v>
      </c>
      <c r="H27" s="1244">
        <f>H21+H15</f>
        <v>80</v>
      </c>
      <c r="J27" s="1244">
        <f>J21+J15</f>
        <v>75</v>
      </c>
      <c r="L27" s="1244">
        <f>L21+L15</f>
        <v>79.516000000000005</v>
      </c>
      <c r="N27" s="1244">
        <f>N21+N15</f>
        <v>0</v>
      </c>
      <c r="P27" s="1244">
        <f>P21+P15</f>
        <v>46.835999999999999</v>
      </c>
      <c r="R27" s="1244">
        <f>R21+R15</f>
        <v>86.241</v>
      </c>
      <c r="T27" s="1244">
        <f>T21+T15</f>
        <v>593.41099999999994</v>
      </c>
      <c r="V27" s="1244">
        <f>V21+V15</f>
        <v>642.87899999999991</v>
      </c>
      <c r="X27" s="1244">
        <f>X21+X15</f>
        <v>1400.748</v>
      </c>
      <c r="Z27" s="1244">
        <f>Z21+Z15</f>
        <v>2301.5129999999999</v>
      </c>
      <c r="AB27" s="1244">
        <f>AB21+AB15</f>
        <v>3355.337</v>
      </c>
      <c r="AD27" s="1244">
        <f>AD21+AD15</f>
        <v>2907.5450000000001</v>
      </c>
      <c r="AF27" s="1244">
        <f>AF21+AF15</f>
        <v>2588.8779999999997</v>
      </c>
      <c r="AH27" s="1244">
        <f>AH21+AH15</f>
        <v>512.72199999999998</v>
      </c>
      <c r="AJ27" s="1244">
        <f>AJ21+AJ15</f>
        <v>513.05399999999997</v>
      </c>
      <c r="AL27" s="1244">
        <f>AL21+AL15</f>
        <v>514</v>
      </c>
      <c r="AN27" s="1244">
        <f>AN21+AN15</f>
        <v>188</v>
      </c>
      <c r="AP27" s="1244">
        <f>AP21+AP15</f>
        <v>0</v>
      </c>
      <c r="AR27" s="1244">
        <f>AR21+AR15</f>
        <v>0</v>
      </c>
      <c r="AT27" s="1244">
        <f>AT21+AT15</f>
        <v>1246</v>
      </c>
      <c r="AV27" s="1244">
        <f>AV21+AV15</f>
        <v>1625</v>
      </c>
      <c r="AX27" s="1244">
        <f>AX21+AX15</f>
        <v>1247</v>
      </c>
      <c r="AZ27" s="1244">
        <f>AZ21+AZ15</f>
        <v>1393</v>
      </c>
      <c r="BB27" s="1244">
        <f>BB21+BB15</f>
        <v>1352</v>
      </c>
      <c r="BD27" s="1244">
        <f>BD21+BD15</f>
        <v>1742</v>
      </c>
      <c r="BF27" s="1244">
        <f>BF21+BF15</f>
        <v>1315</v>
      </c>
      <c r="BH27" s="1244">
        <f>BH21+BH15</f>
        <v>0</v>
      </c>
    </row>
    <row r="28" spans="1:60">
      <c r="A28" s="1233" t="str">
        <f t="shared" si="2"/>
        <v>2Q</v>
      </c>
      <c r="B28" s="1045" t="str">
        <f t="shared" si="2"/>
        <v>Jul</v>
      </c>
      <c r="D28" s="1243"/>
      <c r="F28" s="1243">
        <f>F22+F16</f>
        <v>158.30000000000001</v>
      </c>
      <c r="H28" s="1243">
        <f>H22+H16</f>
        <v>87</v>
      </c>
      <c r="J28" s="1243">
        <f>J22+J16</f>
        <v>80.825000000000003</v>
      </c>
      <c r="L28" s="1243">
        <f>L22+L16</f>
        <v>13.773</v>
      </c>
      <c r="N28" s="1243">
        <f>N22+N16</f>
        <v>0</v>
      </c>
      <c r="P28" s="1243">
        <f>P22+P16</f>
        <v>67.195999999999998</v>
      </c>
      <c r="R28" s="1243">
        <f>R22+R16</f>
        <v>90.245000000000005</v>
      </c>
      <c r="T28" s="1243">
        <f>T22+T16</f>
        <v>586.94000000000005</v>
      </c>
      <c r="V28" s="1243">
        <f>V22+V16</f>
        <v>955.774</v>
      </c>
      <c r="X28" s="1243">
        <f>X22+X16</f>
        <v>1882.319</v>
      </c>
      <c r="Z28" s="1243">
        <f>Z22+Z16</f>
        <v>2209.7060000000001</v>
      </c>
      <c r="AB28" s="1243">
        <f>AB22+AB16</f>
        <v>3373.1320000000001</v>
      </c>
      <c r="AD28" s="1243">
        <f>AD22+AD16</f>
        <v>2908.5770000000002</v>
      </c>
      <c r="AF28" s="1243">
        <f>AF22+AF16</f>
        <v>2287.2019999999998</v>
      </c>
      <c r="AH28" s="1243">
        <f>AH22+AH16</f>
        <v>512.80499999999995</v>
      </c>
      <c r="AJ28" s="1243">
        <f>AJ22+AJ16</f>
        <v>513.14200000000005</v>
      </c>
      <c r="AL28" s="1243">
        <f>AL22+AL16</f>
        <v>514</v>
      </c>
      <c r="AN28" s="1243">
        <f>AN22+AN16</f>
        <v>188</v>
      </c>
      <c r="AP28" s="1243">
        <f>AP22+AP16</f>
        <v>0</v>
      </c>
      <c r="AR28" s="1243">
        <f>AR22+AR16</f>
        <v>0</v>
      </c>
      <c r="AT28" s="1243">
        <f>AT22+AT16</f>
        <v>1646</v>
      </c>
      <c r="AV28" s="1243">
        <f>AV22+AV16</f>
        <v>1614</v>
      </c>
      <c r="AX28" s="1243">
        <f>AX22+AX16</f>
        <v>1247</v>
      </c>
      <c r="AZ28" s="1243">
        <f>AZ22+AZ16</f>
        <v>1393</v>
      </c>
      <c r="BB28" s="1244">
        <f>BB22+BB16</f>
        <v>1348</v>
      </c>
      <c r="BD28" s="1244">
        <f>BD22+BD16</f>
        <v>1745</v>
      </c>
      <c r="BF28" s="1243">
        <f>BF22+BF16</f>
        <v>1248</v>
      </c>
      <c r="BH28" s="1243">
        <f>BH22+BH16</f>
        <v>0</v>
      </c>
    </row>
    <row r="29" spans="1:60">
      <c r="A29" s="1233" t="str">
        <f t="shared" si="2"/>
        <v>3Q</v>
      </c>
      <c r="B29" s="1045" t="str">
        <f t="shared" si="2"/>
        <v>Oct</v>
      </c>
      <c r="D29" s="1243"/>
      <c r="F29" s="1243">
        <f>F23+F17</f>
        <v>122.4</v>
      </c>
      <c r="H29" s="1243">
        <f>H23+H17</f>
        <v>90</v>
      </c>
      <c r="J29" s="1243">
        <f>J23+J17</f>
        <v>94.024000000000001</v>
      </c>
      <c r="L29" s="1243">
        <f>L23+L17</f>
        <v>2.9359999999999999</v>
      </c>
      <c r="N29" s="1243">
        <f>N23+N17</f>
        <v>17.780999999999999</v>
      </c>
      <c r="P29" s="1243">
        <f>P23+P17</f>
        <v>86.332999999999998</v>
      </c>
      <c r="R29" s="1243">
        <f>R23+R17</f>
        <v>611.18599999999992</v>
      </c>
      <c r="T29" s="1243">
        <f>T23+T17</f>
        <v>1022.78</v>
      </c>
      <c r="V29" s="1243">
        <f>V23+V17</f>
        <v>1445.471</v>
      </c>
      <c r="X29" s="1243">
        <f>X23+X17</f>
        <v>2485.8980000000001</v>
      </c>
      <c r="Z29" s="1243">
        <f>Z23+Z17</f>
        <v>2552.2750000000001</v>
      </c>
      <c r="AB29" s="1243">
        <f>AB23+AB17</f>
        <v>3375.6419999999998</v>
      </c>
      <c r="AD29" s="1243">
        <f>AD23+AD17</f>
        <v>2889.6569999999997</v>
      </c>
      <c r="AF29" s="1243">
        <f>AF23+AF17</f>
        <v>1892.547</v>
      </c>
      <c r="AH29" s="1243">
        <f>AH23+AH17</f>
        <v>512.88900000000001</v>
      </c>
      <c r="AJ29" s="1243">
        <f>AJ23+AJ17</f>
        <v>513.22699999999998</v>
      </c>
      <c r="AL29" s="1243">
        <f>AL23+AL17</f>
        <v>188</v>
      </c>
      <c r="AN29" s="1243">
        <f>AN23+AN17</f>
        <v>188</v>
      </c>
      <c r="AP29" s="1243">
        <f>AP23+AP17</f>
        <v>0</v>
      </c>
      <c r="AR29" s="1243">
        <f>AR23+AR17</f>
        <v>0</v>
      </c>
      <c r="AT29" s="1243">
        <f>AT23+AT17</f>
        <v>1658</v>
      </c>
      <c r="AV29" s="1243">
        <f>AV23+AV17</f>
        <v>1248</v>
      </c>
      <c r="AX29" s="1243">
        <f>AX23+AX17</f>
        <v>1247</v>
      </c>
      <c r="AZ29" s="1243">
        <f>AZ23+AZ17</f>
        <v>1380</v>
      </c>
      <c r="BB29" s="1244">
        <f>BB23+BB17</f>
        <v>1752</v>
      </c>
      <c r="BD29" s="1244">
        <f>BD23+BD17</f>
        <v>1744</v>
      </c>
      <c r="BF29" s="1243">
        <f>BF23+BF17</f>
        <v>1248</v>
      </c>
      <c r="BH29" s="1243">
        <f>BH23+BH17</f>
        <v>0</v>
      </c>
    </row>
    <row r="30" spans="1:60">
      <c r="A30" s="1233" t="str">
        <f t="shared" si="2"/>
        <v>4Q</v>
      </c>
      <c r="B30" s="1045" t="str">
        <f t="shared" si="2"/>
        <v>Jan</v>
      </c>
      <c r="D30" s="1243"/>
      <c r="F30" s="1243">
        <f>F24+F18</f>
        <v>80</v>
      </c>
      <c r="H30" s="1243">
        <f>H24+H18</f>
        <v>75</v>
      </c>
      <c r="J30" s="1243">
        <f>J24+J18</f>
        <v>82.602999999999994</v>
      </c>
      <c r="L30" s="1243">
        <f>L24+L18</f>
        <v>2.4780000000000002</v>
      </c>
      <c r="N30" s="1243">
        <f>N24+N18</f>
        <v>21.815000000000001</v>
      </c>
      <c r="P30" s="1243">
        <f>P24+P18</f>
        <v>40.049999999999997</v>
      </c>
      <c r="R30" s="1243">
        <f>R24+R18</f>
        <v>580.83799999999997</v>
      </c>
      <c r="T30" s="1243">
        <f>T24+T18</f>
        <v>587.14499999999998</v>
      </c>
      <c r="V30" s="1243">
        <f>V24+V18</f>
        <v>953.88599999999997</v>
      </c>
      <c r="X30" s="1243">
        <f>X24+X18</f>
        <v>1810.15</v>
      </c>
      <c r="Z30" s="1243">
        <f>Z24+Z18</f>
        <v>2003.2859999999998</v>
      </c>
      <c r="AB30" s="1243">
        <f>AB24+AB18</f>
        <v>3395.7729999999997</v>
      </c>
      <c r="AD30" s="1243">
        <f>AD24+AD18</f>
        <v>2769.7779999999998</v>
      </c>
      <c r="AF30" s="1243">
        <f>AF24+AF18</f>
        <v>1885.6310000000001</v>
      </c>
      <c r="AH30" s="1243">
        <f>AH24+AH18</f>
        <v>512.97</v>
      </c>
      <c r="AJ30" s="1243">
        <f>AJ24+AJ18</f>
        <v>513</v>
      </c>
      <c r="AL30" s="1243">
        <f>AL24+AL18</f>
        <v>188</v>
      </c>
      <c r="AN30" s="1243">
        <f>AN24+AN18</f>
        <v>50</v>
      </c>
      <c r="AP30" s="1243">
        <f>AP24+AP18</f>
        <v>0</v>
      </c>
      <c r="AR30" s="1243">
        <f>AR24+AR18</f>
        <v>0</v>
      </c>
      <c r="AT30" s="1243">
        <f>AT24+AT18</f>
        <v>1665</v>
      </c>
      <c r="AV30" s="1243">
        <f>AV24+AV18</f>
        <v>1246</v>
      </c>
      <c r="AX30" s="1243">
        <f>AX24+AX18</f>
        <v>1394</v>
      </c>
      <c r="AZ30" s="1243">
        <f>AZ24+AZ18</f>
        <v>1353</v>
      </c>
      <c r="BB30" s="1243">
        <f>BB24+BB18</f>
        <v>1731</v>
      </c>
      <c r="BD30" s="1243">
        <f>BD24+BD18</f>
        <v>1313</v>
      </c>
      <c r="BF30" s="1243">
        <f>BF24+BF18</f>
        <v>1249</v>
      </c>
    </row>
    <row r="32" spans="1:60">
      <c r="D32" s="1059"/>
      <c r="F32" s="1059"/>
      <c r="H32" s="1059"/>
      <c r="J32" s="1059"/>
      <c r="L32" s="1059"/>
      <c r="N32" s="1059"/>
      <c r="P32" s="1059"/>
      <c r="R32" s="1059"/>
      <c r="T32" s="1059"/>
      <c r="V32" s="1059"/>
      <c r="W32" s="1059"/>
      <c r="Y32" s="1059"/>
      <c r="AA32" s="1059"/>
      <c r="AE32" s="1059"/>
      <c r="AQ32" s="1059" t="s">
        <v>37</v>
      </c>
    </row>
    <row r="33" spans="1:60">
      <c r="A33" s="1233" t="str">
        <f t="shared" ref="A33:B36" si="3">A27</f>
        <v>1Q</v>
      </c>
      <c r="B33" s="1045" t="str">
        <f t="shared" si="3"/>
        <v>Apr</v>
      </c>
      <c r="D33" s="1245"/>
      <c r="F33" s="1245" t="e">
        <f>F27-F9</f>
        <v>#VALUE!</v>
      </c>
      <c r="H33" s="1245">
        <f>H27-H9</f>
        <v>-51.538999999999987</v>
      </c>
      <c r="J33" s="1245">
        <f>J27-J9</f>
        <v>-141.74700000000001</v>
      </c>
      <c r="L33" s="1245">
        <f>L27-L9</f>
        <v>-243.62299999999999</v>
      </c>
      <c r="N33" s="1245">
        <f>N27-N9</f>
        <v>-298.21800000000002</v>
      </c>
      <c r="P33" s="1245">
        <f>P27-P9</f>
        <v>-475.89300000000003</v>
      </c>
      <c r="R33" s="1245">
        <f>R27-R9</f>
        <v>-158.40199999999999</v>
      </c>
      <c r="T33" s="1245">
        <f>T27-T9</f>
        <v>-242.90300000000002</v>
      </c>
      <c r="V33" s="1245">
        <f>V27-V9</f>
        <v>186.77199999999988</v>
      </c>
      <c r="X33" s="1245">
        <f>X27-X9</f>
        <v>964.57600000000002</v>
      </c>
      <c r="Z33" s="1245">
        <f>Z27-Z9</f>
        <v>1638.424</v>
      </c>
      <c r="AB33" s="1245">
        <f>AB27-AB9</f>
        <v>1036.1460000000002</v>
      </c>
      <c r="AD33" s="1245">
        <f>AD27-AD9</f>
        <v>89.673999999999978</v>
      </c>
      <c r="AF33" s="1245">
        <f>AF27-AF9</f>
        <v>-2053.6819999999998</v>
      </c>
      <c r="AH33" s="1245">
        <f>AH27-AH9</f>
        <v>-3103.2330000000002</v>
      </c>
      <c r="AJ33" s="1245">
        <f>AJ27-AJ9</f>
        <v>-2356.7110000000002</v>
      </c>
      <c r="AL33" s="1245">
        <f>AL27-AL9</f>
        <v>-2230</v>
      </c>
      <c r="AN33" s="1245">
        <f>AN27-AN9</f>
        <v>-1592</v>
      </c>
      <c r="AP33" s="1245">
        <f>AP27-AP9</f>
        <v>-1729</v>
      </c>
      <c r="AR33" s="1245">
        <f>AR27-AR9</f>
        <v>-2498</v>
      </c>
      <c r="AT33" s="1245">
        <f>AT27-AT9</f>
        <v>-1221</v>
      </c>
      <c r="AV33" s="1245">
        <f>AV27-AV9</f>
        <v>-422</v>
      </c>
      <c r="AX33" s="1245">
        <f>AX27-AX9</f>
        <v>-363</v>
      </c>
      <c r="AZ33" s="1245">
        <f>AZ27-AZ9</f>
        <v>-151</v>
      </c>
      <c r="BB33" s="1245">
        <f>BB27-BB9</f>
        <v>118</v>
      </c>
      <c r="BD33" s="1245">
        <f>BD27-BD9</f>
        <v>429</v>
      </c>
      <c r="BF33" s="1245">
        <f>BF27-BF9</f>
        <v>-268</v>
      </c>
      <c r="BH33" s="1245">
        <f>BH27-BH9</f>
        <v>0</v>
      </c>
    </row>
    <row r="34" spans="1:60">
      <c r="A34" s="1233" t="str">
        <f t="shared" si="3"/>
        <v>2Q</v>
      </c>
      <c r="B34" s="1045" t="str">
        <f t="shared" si="3"/>
        <v>Jul</v>
      </c>
      <c r="D34" s="1243"/>
      <c r="F34" s="1243">
        <f>F28-F10</f>
        <v>92.784000000000006</v>
      </c>
      <c r="H34" s="1243">
        <f>H28-H10</f>
        <v>47.454000000000001</v>
      </c>
      <c r="J34" s="1243">
        <f>J28-J10</f>
        <v>-134.745</v>
      </c>
      <c r="L34" s="1243">
        <f>L28-L10</f>
        <v>-247.45500000000001</v>
      </c>
      <c r="N34" s="1243">
        <f>N28-N10</f>
        <v>-249.21700000000001</v>
      </c>
      <c r="P34" s="1243">
        <f>P28-P10</f>
        <v>-447.01699999999994</v>
      </c>
      <c r="R34" s="1243">
        <f>R28-R10</f>
        <v>-129.90299999999999</v>
      </c>
      <c r="T34" s="1243">
        <f>T28-T10</f>
        <v>71.733000000000061</v>
      </c>
      <c r="V34" s="1243">
        <f>V28-V10</f>
        <v>534.81999999999994</v>
      </c>
      <c r="X34" s="1243">
        <f>X28-X10</f>
        <v>1554.4589999999998</v>
      </c>
      <c r="Z34" s="1243">
        <f>Z28-Z10</f>
        <v>1486.7540000000001</v>
      </c>
      <c r="AB34" s="1243">
        <f>AB28-AB10</f>
        <v>986.30299999999988</v>
      </c>
      <c r="AD34" s="1243">
        <f>AD28-AD10</f>
        <v>-235.83599999999979</v>
      </c>
      <c r="AF34" s="1243">
        <f>AF28-AF10</f>
        <v>-2057.1759999999999</v>
      </c>
      <c r="AH34" s="1243">
        <f>AH28-AH10</f>
        <v>-2022.8240000000005</v>
      </c>
      <c r="AJ34" s="1243">
        <f>AJ28-AJ10</f>
        <v>-2276.0540000000001</v>
      </c>
      <c r="AL34" s="1243">
        <f>AL28-AL10</f>
        <v>-2182</v>
      </c>
      <c r="AN34" s="1243">
        <f>AN28-AN10</f>
        <v>-1492</v>
      </c>
      <c r="AP34" s="1243">
        <f>AP28-AP10</f>
        <v>-2152</v>
      </c>
      <c r="AR34" s="1243">
        <f>AR28-AR10</f>
        <v>-1703</v>
      </c>
      <c r="AT34" s="1243">
        <f>AT28-AT10</f>
        <v>-533</v>
      </c>
      <c r="AV34" s="1243">
        <f>AV28-AV10</f>
        <v>-500</v>
      </c>
      <c r="AX34" s="1243">
        <f>AX28-AX10</f>
        <v>-678</v>
      </c>
      <c r="AZ34" s="1243">
        <f>AZ28-AZ10</f>
        <v>-125</v>
      </c>
      <c r="BB34" s="1245">
        <f>BB28-BB10</f>
        <v>305</v>
      </c>
      <c r="BD34" s="1245">
        <f>BD28-BD10</f>
        <v>64</v>
      </c>
      <c r="BF34" s="1243">
        <f>BF28-BF10</f>
        <v>-361</v>
      </c>
      <c r="BH34" s="1243">
        <f>BH28-BH10</f>
        <v>0</v>
      </c>
    </row>
    <row r="35" spans="1:60">
      <c r="A35" s="1233" t="str">
        <f t="shared" si="3"/>
        <v>3Q</v>
      </c>
      <c r="B35" s="1045" t="str">
        <f t="shared" si="3"/>
        <v>Oct</v>
      </c>
      <c r="D35" s="1243"/>
      <c r="F35" s="1243">
        <f>F29-F11</f>
        <v>31.462000000000003</v>
      </c>
      <c r="H35" s="1243">
        <f>H29-H11</f>
        <v>39.723999999999997</v>
      </c>
      <c r="J35" s="1243">
        <f>J29-J11</f>
        <v>-173.41699999999997</v>
      </c>
      <c r="L35" s="1243">
        <f>L29-L11</f>
        <v>-220.71799999999999</v>
      </c>
      <c r="N35" s="1243">
        <f>N29-N11</f>
        <v>-306.40100000000001</v>
      </c>
      <c r="P35" s="1243">
        <f>P29-P11</f>
        <v>-390.93899999999996</v>
      </c>
      <c r="R35" s="1243">
        <f>R29-R11</f>
        <v>-16.574000000000069</v>
      </c>
      <c r="T35" s="1243">
        <f>T29-T11</f>
        <v>751.26199999999994</v>
      </c>
      <c r="V35" s="1243">
        <f>V29-V11</f>
        <v>959.79099999999994</v>
      </c>
      <c r="X35" s="1243">
        <f>X29-X11</f>
        <v>2133.6970000000001</v>
      </c>
      <c r="Z35" s="1243">
        <f>Z29-Z11</f>
        <v>1752.7650000000001</v>
      </c>
      <c r="AB35" s="1243">
        <f>AB29-AB11</f>
        <v>874.52399999999989</v>
      </c>
      <c r="AD35" s="1243">
        <f>AD29-AD11</f>
        <v>-501.97499999999991</v>
      </c>
      <c r="AF35" s="1243">
        <f>AF29-AF11</f>
        <v>-1850.087</v>
      </c>
      <c r="AH35" s="1243">
        <f>AH29-AH11</f>
        <v>-1773.6460000000002</v>
      </c>
      <c r="AJ35" s="1243">
        <f>AJ29-AJ11</f>
        <v>-1912.8200000000002</v>
      </c>
      <c r="AL35" s="1243">
        <f>AL29-AL11</f>
        <v>-1511</v>
      </c>
      <c r="AN35" s="1243">
        <f>AN29-AN11</f>
        <v>-1367</v>
      </c>
      <c r="AP35" s="1243">
        <f>AP29-AP11</f>
        <v>-2419</v>
      </c>
      <c r="AR35" s="1243">
        <f>AR29-AR11</f>
        <v>-1654</v>
      </c>
      <c r="AT35" s="1243">
        <f>AT29-AT11</f>
        <v>241</v>
      </c>
      <c r="AV35" s="1243">
        <f>AV29-AV11</f>
        <v>-522</v>
      </c>
      <c r="AX35" s="1243">
        <f>AX29-AX11</f>
        <v>251</v>
      </c>
      <c r="AZ35" s="1243">
        <f>AZ29-AZ11</f>
        <v>426</v>
      </c>
      <c r="BB35" s="1245">
        <f>BB29-BB11</f>
        <v>710</v>
      </c>
      <c r="BD35" s="1245">
        <f>BD29-BD11</f>
        <v>222</v>
      </c>
      <c r="BF35" s="1243">
        <f>BF29-BF11</f>
        <v>-105</v>
      </c>
      <c r="BH35" s="1243">
        <f>BH29-BH11</f>
        <v>0</v>
      </c>
    </row>
    <row r="36" spans="1:60">
      <c r="A36" s="1233" t="str">
        <f t="shared" si="3"/>
        <v>4Q</v>
      </c>
      <c r="B36" s="1045" t="str">
        <f t="shared" si="3"/>
        <v>Jan</v>
      </c>
      <c r="D36" s="1243"/>
      <c r="F36" s="1243">
        <f>F30-F12</f>
        <v>-112.58500000000001</v>
      </c>
      <c r="H36" s="1243">
        <f>H30-H12</f>
        <v>-168.30199999999999</v>
      </c>
      <c r="J36" s="1243">
        <f>J30-J12</f>
        <v>-377.72899999999998</v>
      </c>
      <c r="L36" s="1243">
        <f>L30-L12</f>
        <v>-412.00900000000001</v>
      </c>
      <c r="N36" s="1243">
        <f>N30-N12</f>
        <v>-557.75099999999998</v>
      </c>
      <c r="P36" s="1243">
        <f>P30-P12</f>
        <v>-445.59399999999999</v>
      </c>
      <c r="R36" s="1243">
        <f>R30-R12</f>
        <v>-332.33100000000002</v>
      </c>
      <c r="T36" s="1243">
        <f>T30-T12</f>
        <v>21.891999999999939</v>
      </c>
      <c r="V36" s="1243">
        <f>V30-V12</f>
        <v>503.53399999999999</v>
      </c>
      <c r="X36" s="1243">
        <f>X30-X12</f>
        <v>1401.3560000000002</v>
      </c>
      <c r="Z36" s="1243">
        <f>Z30-Z12</f>
        <v>967.53699999999981</v>
      </c>
      <c r="AB36" s="1243">
        <f>AB30-AB12</f>
        <v>7.2589999999995598</v>
      </c>
      <c r="AD36" s="1243">
        <f>AD30-AD12</f>
        <v>-1915.1410000000001</v>
      </c>
      <c r="AF36" s="1243">
        <f>AF30-AF12</f>
        <v>-2190.7669999999998</v>
      </c>
      <c r="AH36" s="1243">
        <f>AH30-AH12</f>
        <v>-2529.6859999999997</v>
      </c>
      <c r="AJ36" s="1243">
        <f>AJ30-AJ12</f>
        <v>-1517.614</v>
      </c>
      <c r="AL36" s="1243">
        <f>AL30-AL12</f>
        <v>-1751</v>
      </c>
      <c r="AN36" s="1243">
        <f>AN30-AN12</f>
        <v>-1706</v>
      </c>
      <c r="AP36" s="1243">
        <f>AP30-AP12</f>
        <v>-2591</v>
      </c>
      <c r="AR36" s="1243">
        <f>AR30-AR12</f>
        <v>-1661</v>
      </c>
      <c r="AT36" s="1243">
        <f>AT30-AT12</f>
        <v>-220</v>
      </c>
      <c r="AV36" s="1243">
        <f>AV30-AV12</f>
        <v>-264</v>
      </c>
      <c r="AX36" s="1243">
        <f>AX30-AX12</f>
        <v>-116</v>
      </c>
      <c r="AZ36" s="1243">
        <f>AZ30-AZ12</f>
        <v>-162</v>
      </c>
      <c r="BB36" s="1243">
        <f>BB30-BB12</f>
        <v>361</v>
      </c>
      <c r="BD36" s="1243">
        <f>BD30-BD12</f>
        <v>-470</v>
      </c>
      <c r="BF36" s="1243">
        <f>BF30-BF12</f>
        <v>-534</v>
      </c>
    </row>
    <row r="38" spans="1:60">
      <c r="D38" s="1239"/>
      <c r="F38" s="1239"/>
      <c r="H38" s="1239"/>
      <c r="J38" s="1239"/>
      <c r="L38" s="1239"/>
      <c r="N38" s="1239"/>
      <c r="P38" s="1239"/>
      <c r="R38" s="1239"/>
      <c r="T38" s="1239"/>
      <c r="V38" s="1239"/>
      <c r="W38" s="1239"/>
      <c r="Y38" s="1239"/>
      <c r="AA38" s="1239"/>
      <c r="AE38" s="1239"/>
      <c r="AQ38" s="1239" t="s">
        <v>38</v>
      </c>
    </row>
    <row r="39" spans="1:60">
      <c r="A39" s="1233" t="str">
        <f t="shared" ref="A39:B42" si="4">A33</f>
        <v>1Q</v>
      </c>
      <c r="B39" s="1045" t="str">
        <f t="shared" si="4"/>
        <v>Apr</v>
      </c>
      <c r="D39" s="1240" t="s">
        <v>590</v>
      </c>
      <c r="F39" s="1240" t="s">
        <v>590</v>
      </c>
      <c r="H39" s="1240">
        <v>735.428</v>
      </c>
      <c r="J39" s="1240">
        <v>933.98099999999999</v>
      </c>
      <c r="L39" s="1240">
        <v>1192.876</v>
      </c>
      <c r="N39" s="1240">
        <v>1384.146</v>
      </c>
      <c r="P39" s="1240">
        <v>1729.597</v>
      </c>
      <c r="R39" s="1240">
        <v>1618.6420000000001</v>
      </c>
      <c r="T39" s="1240">
        <v>1694.556</v>
      </c>
      <c r="V39" s="1240">
        <v>1837.771</v>
      </c>
      <c r="X39" s="1240">
        <v>2427.7939999999999</v>
      </c>
      <c r="Z39" s="1240">
        <v>2958.538</v>
      </c>
      <c r="AB39" s="1240">
        <v>2947.8449999999998</v>
      </c>
      <c r="AD39" s="1240">
        <v>2741.4029999999998</v>
      </c>
      <c r="AF39" s="1240">
        <v>4972.5770000000002</v>
      </c>
      <c r="AH39" s="1240">
        <v>6022.9930000000004</v>
      </c>
      <c r="AJ39" s="1240">
        <v>5278.6210000000001</v>
      </c>
      <c r="AL39" s="1240">
        <v>5327</v>
      </c>
      <c r="AN39" s="1240">
        <v>4313</v>
      </c>
      <c r="AP39" s="1241">
        <v>4540</v>
      </c>
      <c r="AQ39" s="1072"/>
      <c r="AR39" s="1241">
        <v>4907</v>
      </c>
      <c r="AS39" s="1072"/>
      <c r="AT39" s="1241">
        <v>3771</v>
      </c>
      <c r="AU39" s="1072"/>
      <c r="AV39" s="1241">
        <v>3017</v>
      </c>
      <c r="AW39" s="1072"/>
      <c r="AX39" s="1241">
        <v>3161</v>
      </c>
      <c r="AY39" s="1072"/>
      <c r="AZ39" s="1241">
        <v>3036</v>
      </c>
      <c r="BA39" s="1072"/>
      <c r="BB39" s="1241">
        <v>2879</v>
      </c>
      <c r="BC39" s="1072"/>
      <c r="BD39" s="1241">
        <v>2522</v>
      </c>
      <c r="BF39" s="1241">
        <v>2862</v>
      </c>
      <c r="BH39" s="1241"/>
    </row>
    <row r="40" spans="1:60">
      <c r="A40" s="1233" t="str">
        <f t="shared" si="4"/>
        <v>2Q</v>
      </c>
      <c r="B40" s="1045" t="str">
        <f t="shared" si="4"/>
        <v>Jul</v>
      </c>
      <c r="D40" s="1242" t="s">
        <v>590</v>
      </c>
      <c r="F40" s="1242">
        <v>523.26900000000001</v>
      </c>
      <c r="H40" s="1242">
        <v>769.56299999999999</v>
      </c>
      <c r="J40" s="1242">
        <v>953.43499999999995</v>
      </c>
      <c r="L40" s="1242">
        <v>1227.713</v>
      </c>
      <c r="N40" s="1242">
        <v>1410.36</v>
      </c>
      <c r="P40" s="1242">
        <v>1651.4090000000001</v>
      </c>
      <c r="R40" s="1242">
        <v>1559.961</v>
      </c>
      <c r="T40" s="1242">
        <v>1529.299</v>
      </c>
      <c r="V40" s="1242">
        <v>1927.48</v>
      </c>
      <c r="X40" s="1242">
        <v>2499.1410000000001</v>
      </c>
      <c r="Z40" s="1242">
        <v>3128.0059999999999</v>
      </c>
      <c r="AB40" s="1242">
        <v>3031.902</v>
      </c>
      <c r="AD40" s="1242">
        <v>3975.6129999999998</v>
      </c>
      <c r="AF40" s="1242">
        <v>5226.2129999999997</v>
      </c>
      <c r="AH40" s="1242">
        <v>5379.9750000000004</v>
      </c>
      <c r="AJ40" s="1242">
        <v>5283.1859999999997</v>
      </c>
      <c r="AL40" s="1242">
        <v>5251</v>
      </c>
      <c r="AN40" s="1242">
        <v>4224</v>
      </c>
      <c r="AP40" s="1241">
        <v>4745</v>
      </c>
      <c r="AQ40" s="1072"/>
      <c r="AR40" s="1241">
        <v>4327</v>
      </c>
      <c r="AS40" s="1072"/>
      <c r="AT40" s="1241">
        <v>3124</v>
      </c>
      <c r="AU40" s="1072"/>
      <c r="AV40" s="1241">
        <v>2898</v>
      </c>
      <c r="AW40" s="1072"/>
      <c r="AX40" s="1241">
        <v>3458</v>
      </c>
      <c r="AY40" s="1072"/>
      <c r="AZ40" s="1241">
        <v>2946</v>
      </c>
      <c r="BA40" s="1072"/>
      <c r="BB40" s="1241">
        <v>2671</v>
      </c>
      <c r="BC40" s="1072"/>
      <c r="BD40" s="1241">
        <v>2559</v>
      </c>
      <c r="BF40" s="1241">
        <v>2945</v>
      </c>
      <c r="BH40" s="1241"/>
    </row>
    <row r="41" spans="1:60">
      <c r="A41" s="1233" t="str">
        <f t="shared" si="4"/>
        <v>3Q</v>
      </c>
      <c r="B41" s="1045" t="str">
        <f t="shared" si="4"/>
        <v>Oct</v>
      </c>
      <c r="D41" s="1242" t="s">
        <v>590</v>
      </c>
      <c r="F41" s="1242">
        <v>586.75</v>
      </c>
      <c r="H41" s="1242">
        <v>819.1</v>
      </c>
      <c r="J41" s="1242">
        <v>1023.647</v>
      </c>
      <c r="L41" s="1242">
        <v>1316.67</v>
      </c>
      <c r="N41" s="1242">
        <v>1487.675</v>
      </c>
      <c r="P41" s="1242">
        <v>1632.2260000000001</v>
      </c>
      <c r="R41" s="1242">
        <v>1472.8620000000001</v>
      </c>
      <c r="T41" s="1242">
        <v>1255.9960000000001</v>
      </c>
      <c r="V41" s="1242">
        <v>1918.125</v>
      </c>
      <c r="X41" s="1242">
        <v>2620.1660000000002</v>
      </c>
      <c r="Z41" s="1242">
        <v>2928.18</v>
      </c>
      <c r="AB41" s="1242">
        <v>3256.8409999999999</v>
      </c>
      <c r="AD41" s="1242">
        <v>4267.8429999999998</v>
      </c>
      <c r="AF41" s="1242">
        <v>5162.7079999999996</v>
      </c>
      <c r="AH41" s="1242">
        <v>5389.1859999999997</v>
      </c>
      <c r="AJ41" s="1242">
        <v>5193.3540000000003</v>
      </c>
      <c r="AL41" s="1242">
        <v>4610</v>
      </c>
      <c r="AN41" s="1242">
        <v>4325</v>
      </c>
      <c r="AP41" s="1241">
        <v>4981</v>
      </c>
      <c r="AQ41" s="1072"/>
      <c r="AR41" s="1241">
        <v>4344</v>
      </c>
      <c r="AS41" s="1072"/>
      <c r="AT41" s="1241">
        <v>2659</v>
      </c>
      <c r="AU41" s="1072"/>
      <c r="AV41" s="1241">
        <v>3161</v>
      </c>
      <c r="AW41" s="1072"/>
      <c r="AX41" s="1241">
        <v>2956</v>
      </c>
      <c r="AY41" s="1072"/>
      <c r="AZ41" s="1241">
        <v>2855</v>
      </c>
      <c r="BA41" s="1072"/>
      <c r="BB41" s="1241">
        <v>2609</v>
      </c>
      <c r="BC41" s="1072"/>
      <c r="BD41" s="1241">
        <v>2726</v>
      </c>
      <c r="BF41" s="1241">
        <v>3024</v>
      </c>
      <c r="BH41" s="1241"/>
    </row>
    <row r="42" spans="1:60">
      <c r="A42" s="1233" t="str">
        <f t="shared" si="4"/>
        <v>4Q</v>
      </c>
      <c r="B42" s="1045" t="str">
        <f t="shared" si="4"/>
        <v>Jan</v>
      </c>
      <c r="D42" s="1242" t="s">
        <v>590</v>
      </c>
      <c r="F42" s="1242">
        <v>677.78800000000001</v>
      </c>
      <c r="H42" s="1242">
        <v>887.83900000000006</v>
      </c>
      <c r="J42" s="1242">
        <v>1126.4749999999999</v>
      </c>
      <c r="L42" s="1242">
        <v>1375.232</v>
      </c>
      <c r="N42" s="1242">
        <v>1640.473</v>
      </c>
      <c r="P42" s="1242">
        <v>1654.47</v>
      </c>
      <c r="R42" s="1242">
        <v>1583.9860000000001</v>
      </c>
      <c r="T42" s="1242">
        <v>1573.6790000000001</v>
      </c>
      <c r="V42" s="1242">
        <v>2233.0450000000001</v>
      </c>
      <c r="X42" s="1242">
        <v>2928.239</v>
      </c>
      <c r="Z42" s="1242">
        <v>2880.8910000000001</v>
      </c>
      <c r="AB42" s="1242">
        <v>3526.0010000000002</v>
      </c>
      <c r="AD42" s="1242">
        <v>4646.8180000000002</v>
      </c>
      <c r="AF42" s="1242">
        <v>4935.2139999999999</v>
      </c>
      <c r="AH42" s="1242">
        <v>5425.7190000000001</v>
      </c>
      <c r="AJ42" s="1242">
        <v>5174</v>
      </c>
      <c r="AL42" s="1242">
        <v>4274</v>
      </c>
      <c r="AN42" s="1242">
        <v>4387</v>
      </c>
      <c r="AP42" s="1241">
        <v>4891</v>
      </c>
      <c r="AQ42" s="1072"/>
      <c r="AR42" s="1241">
        <v>4080</v>
      </c>
      <c r="AS42" s="1072"/>
      <c r="AT42" s="1241">
        <v>2755</v>
      </c>
      <c r="AU42" s="1072"/>
      <c r="AV42" s="1241">
        <v>3161</v>
      </c>
      <c r="AW42" s="1072"/>
      <c r="AX42" s="1241">
        <v>3062</v>
      </c>
      <c r="AY42" s="1072"/>
      <c r="AZ42" s="1241">
        <v>2983</v>
      </c>
      <c r="BA42" s="1072"/>
      <c r="BB42" s="1241">
        <v>2545</v>
      </c>
      <c r="BC42" s="1072"/>
      <c r="BD42" s="1241">
        <v>2904</v>
      </c>
      <c r="BF42" s="1241">
        <v>3144</v>
      </c>
    </row>
    <row r="43" spans="1:60">
      <c r="AP43" s="1072"/>
      <c r="AQ43" s="1072"/>
      <c r="AR43" s="1072"/>
      <c r="AS43" s="1072"/>
      <c r="AT43" s="1072"/>
      <c r="AU43" s="1072"/>
      <c r="AV43" s="1072"/>
      <c r="AW43" s="1072"/>
      <c r="AX43" s="1072"/>
      <c r="AY43" s="1072"/>
      <c r="AZ43" s="1072"/>
      <c r="BA43" s="1072"/>
      <c r="BB43" s="1072"/>
      <c r="BC43" s="1072"/>
      <c r="BD43" s="1072"/>
    </row>
    <row r="44" spans="1:60">
      <c r="D44" s="1059"/>
      <c r="F44" s="1059"/>
      <c r="H44" s="1059"/>
      <c r="J44" s="1059"/>
      <c r="L44" s="1059"/>
      <c r="N44" s="1059"/>
      <c r="P44" s="1059"/>
      <c r="R44" s="1059"/>
      <c r="T44" s="1059"/>
      <c r="V44" s="1059"/>
      <c r="W44" s="1059"/>
      <c r="Y44" s="1059"/>
      <c r="AA44" s="1059"/>
      <c r="AE44" s="1059"/>
      <c r="AQ44" s="1059" t="s">
        <v>39</v>
      </c>
    </row>
    <row r="45" spans="1:60">
      <c r="A45" s="1233" t="str">
        <f t="shared" ref="A45:B48" si="5">A39</f>
        <v>1Q</v>
      </c>
      <c r="B45" s="1045" t="str">
        <f t="shared" si="5"/>
        <v>Apr</v>
      </c>
      <c r="D45" s="1245"/>
      <c r="F45" s="1245" t="e">
        <f>F39+F27</f>
        <v>#VALUE!</v>
      </c>
      <c r="H45" s="1245">
        <f>H39+H27</f>
        <v>815.428</v>
      </c>
      <c r="J45" s="1245">
        <f>J39+J27</f>
        <v>1008.981</v>
      </c>
      <c r="L45" s="1245">
        <f>L39+L27</f>
        <v>1272.3920000000001</v>
      </c>
      <c r="N45" s="1245">
        <f>N39+N27</f>
        <v>1384.146</v>
      </c>
      <c r="P45" s="1245">
        <f>P39+P27</f>
        <v>1776.433</v>
      </c>
      <c r="R45" s="1245">
        <f>R39+R27</f>
        <v>1704.883</v>
      </c>
      <c r="T45" s="1245">
        <f>T39+T27</f>
        <v>2287.9670000000001</v>
      </c>
      <c r="V45" s="1245">
        <f>V39+V27</f>
        <v>2480.6499999999996</v>
      </c>
      <c r="X45" s="1245">
        <f>X39+X27</f>
        <v>3828.5419999999999</v>
      </c>
      <c r="Z45" s="1245">
        <f>Z39+Z27</f>
        <v>5260.0509999999995</v>
      </c>
      <c r="AB45" s="1245">
        <f>AB39+AB27</f>
        <v>6303.1819999999998</v>
      </c>
      <c r="AD45" s="1245">
        <f>AD39+AD27</f>
        <v>5648.9480000000003</v>
      </c>
      <c r="AF45" s="1245">
        <f>AF39+AF27</f>
        <v>7561.4549999999999</v>
      </c>
      <c r="AH45" s="1245">
        <f>AH39+AH27</f>
        <v>6535.7150000000001</v>
      </c>
      <c r="AJ45" s="1245">
        <f>AJ39+AJ27</f>
        <v>5791.6750000000002</v>
      </c>
      <c r="AL45" s="1245">
        <f>AL39+AL27</f>
        <v>5841</v>
      </c>
      <c r="AN45" s="1245">
        <f>AN39+AN27</f>
        <v>4501</v>
      </c>
      <c r="AP45" s="1072">
        <f>AP39+AP27</f>
        <v>4540</v>
      </c>
      <c r="AQ45" s="1072"/>
      <c r="AR45" s="1072">
        <f>AR39+AR27</f>
        <v>4907</v>
      </c>
      <c r="AS45" s="1072"/>
      <c r="AT45" s="1072">
        <f>AT39+AT27</f>
        <v>5017</v>
      </c>
      <c r="AU45" s="1072"/>
      <c r="AV45" s="1072">
        <f>AV39+AV27</f>
        <v>4642</v>
      </c>
      <c r="AW45" s="1072"/>
      <c r="AX45" s="1072">
        <f>AX39+AX27</f>
        <v>4408</v>
      </c>
      <c r="AY45" s="1072"/>
      <c r="AZ45" s="1072">
        <f>AZ39+AZ27</f>
        <v>4429</v>
      </c>
      <c r="BA45" s="1072"/>
      <c r="BB45" s="1072">
        <f>BB39+BB27</f>
        <v>4231</v>
      </c>
      <c r="BC45" s="1072"/>
      <c r="BD45" s="1072">
        <f>BD39+BD27</f>
        <v>4264</v>
      </c>
      <c r="BF45" s="1072">
        <f>BF39+BF27</f>
        <v>4177</v>
      </c>
      <c r="BH45" s="1072">
        <f>BH39+BH27</f>
        <v>0</v>
      </c>
    </row>
    <row r="46" spans="1:60">
      <c r="A46" s="1233" t="str">
        <f t="shared" si="5"/>
        <v>2Q</v>
      </c>
      <c r="B46" s="1045" t="str">
        <f t="shared" si="5"/>
        <v>Jul</v>
      </c>
      <c r="D46" s="1243"/>
      <c r="F46" s="1243">
        <f>F40+F28</f>
        <v>681.56899999999996</v>
      </c>
      <c r="H46" s="1243">
        <f>H40+H28</f>
        <v>856.56299999999999</v>
      </c>
      <c r="J46" s="1243">
        <f>J40+J28</f>
        <v>1034.26</v>
      </c>
      <c r="L46" s="1243">
        <f>L40+L28</f>
        <v>1241.4859999999999</v>
      </c>
      <c r="N46" s="1243">
        <f>N40+N28</f>
        <v>1410.36</v>
      </c>
      <c r="P46" s="1243">
        <f>P40+P28</f>
        <v>1718.605</v>
      </c>
      <c r="R46" s="1243">
        <f>R40+R28</f>
        <v>1650.2060000000001</v>
      </c>
      <c r="T46" s="1243">
        <f>T40+T28</f>
        <v>2116.239</v>
      </c>
      <c r="V46" s="1243">
        <f>V40+V28</f>
        <v>2883.2539999999999</v>
      </c>
      <c r="X46" s="1243">
        <f>X40+X28</f>
        <v>4381.46</v>
      </c>
      <c r="Z46" s="1243">
        <f>Z40+Z28</f>
        <v>5337.7119999999995</v>
      </c>
      <c r="AB46" s="1243">
        <f>AB40+AB28</f>
        <v>6405.0339999999997</v>
      </c>
      <c r="AD46" s="1243">
        <f>AD40+AD28</f>
        <v>6884.1900000000005</v>
      </c>
      <c r="AF46" s="1243">
        <f>AF40+AF28</f>
        <v>7513.4149999999991</v>
      </c>
      <c r="AH46" s="1243">
        <f>AH40+AH28</f>
        <v>5892.7800000000007</v>
      </c>
      <c r="AJ46" s="1243">
        <f>AJ40+AJ28</f>
        <v>5796.3279999999995</v>
      </c>
      <c r="AL46" s="1243">
        <f>AL40+AL28</f>
        <v>5765</v>
      </c>
      <c r="AN46" s="1243">
        <f>AN40+AN28</f>
        <v>4412</v>
      </c>
      <c r="AP46" s="1072">
        <f>AP40+AP28</f>
        <v>4745</v>
      </c>
      <c r="AQ46" s="1072"/>
      <c r="AR46" s="1072">
        <f>AR40+AR28</f>
        <v>4327</v>
      </c>
      <c r="AS46" s="1072"/>
      <c r="AT46" s="1072">
        <f>AT40+AT28</f>
        <v>4770</v>
      </c>
      <c r="AU46" s="1072"/>
      <c r="AV46" s="1072">
        <f>AV40+AV28</f>
        <v>4512</v>
      </c>
      <c r="AW46" s="1072"/>
      <c r="AX46" s="1072">
        <f>AX40+AX28</f>
        <v>4705</v>
      </c>
      <c r="AY46" s="1072"/>
      <c r="AZ46" s="1072">
        <f>AZ40+AZ28</f>
        <v>4339</v>
      </c>
      <c r="BA46" s="1072"/>
      <c r="BB46" s="1072">
        <f>BB40+BB28</f>
        <v>4019</v>
      </c>
      <c r="BC46" s="1072"/>
      <c r="BD46" s="1072">
        <f>BD40+BD28</f>
        <v>4304</v>
      </c>
      <c r="BF46" s="1072">
        <f>BF40+BF28</f>
        <v>4193</v>
      </c>
      <c r="BH46" s="1072">
        <f>BH40+BH28</f>
        <v>0</v>
      </c>
    </row>
    <row r="47" spans="1:60">
      <c r="A47" s="1233" t="str">
        <f t="shared" si="5"/>
        <v>3Q</v>
      </c>
      <c r="B47" s="1045" t="str">
        <f t="shared" si="5"/>
        <v>Oct</v>
      </c>
      <c r="D47" s="1243"/>
      <c r="F47" s="1243">
        <f>F41+F29</f>
        <v>709.15</v>
      </c>
      <c r="H47" s="1243">
        <f>H41+H29</f>
        <v>909.1</v>
      </c>
      <c r="J47" s="1243">
        <f>J41+J29</f>
        <v>1117.671</v>
      </c>
      <c r="L47" s="1243">
        <f>L41+L29</f>
        <v>1319.606</v>
      </c>
      <c r="N47" s="1243">
        <f>N41+N29</f>
        <v>1505.4559999999999</v>
      </c>
      <c r="P47" s="1243">
        <f>P41+P29</f>
        <v>1718.5590000000002</v>
      </c>
      <c r="R47" s="1243">
        <f>R41+R29</f>
        <v>2084.0479999999998</v>
      </c>
      <c r="T47" s="1243">
        <f>T41+T29</f>
        <v>2278.7759999999998</v>
      </c>
      <c r="V47" s="1243">
        <f>V41+V29</f>
        <v>3363.596</v>
      </c>
      <c r="X47" s="1243">
        <f>X41+X29</f>
        <v>5106.0640000000003</v>
      </c>
      <c r="Z47" s="1243">
        <f>Z41+Z29</f>
        <v>5480.4549999999999</v>
      </c>
      <c r="AB47" s="1243">
        <f>AB41+AB29</f>
        <v>6632.4830000000002</v>
      </c>
      <c r="AD47" s="1243">
        <f>AD41+AD29</f>
        <v>7157.5</v>
      </c>
      <c r="AF47" s="1243">
        <f>AF41+AF29</f>
        <v>7055.2549999999992</v>
      </c>
      <c r="AH47" s="1243">
        <f>AH41+AH29</f>
        <v>5902.0749999999998</v>
      </c>
      <c r="AJ47" s="1243">
        <f>AJ41+AJ29</f>
        <v>5706.5810000000001</v>
      </c>
      <c r="AL47" s="1243">
        <f>AL41+AL29</f>
        <v>4798</v>
      </c>
      <c r="AN47" s="1243">
        <f>AN41+AN29</f>
        <v>4513</v>
      </c>
      <c r="AP47" s="1072">
        <f>AP41+AP29</f>
        <v>4981</v>
      </c>
      <c r="AQ47" s="1072"/>
      <c r="AR47" s="1072">
        <f>AR41+AR29</f>
        <v>4344</v>
      </c>
      <c r="AS47" s="1072"/>
      <c r="AT47" s="1072">
        <f>AT41+AT29</f>
        <v>4317</v>
      </c>
      <c r="AU47" s="1072"/>
      <c r="AV47" s="1072">
        <f>AV41+AV29</f>
        <v>4409</v>
      </c>
      <c r="AW47" s="1072"/>
      <c r="AX47" s="1072">
        <f>AX41+AX29</f>
        <v>4203</v>
      </c>
      <c r="AY47" s="1072"/>
      <c r="AZ47" s="1072">
        <f>AZ41+AZ29</f>
        <v>4235</v>
      </c>
      <c r="BA47" s="1072"/>
      <c r="BB47" s="1072">
        <f>BB41+BB29</f>
        <v>4361</v>
      </c>
      <c r="BC47" s="1072"/>
      <c r="BD47" s="1072">
        <f>BD41+BD29</f>
        <v>4470</v>
      </c>
      <c r="BF47" s="1072">
        <f>BF41+BF29</f>
        <v>4272</v>
      </c>
      <c r="BH47" s="1072">
        <f>BH41+BH29</f>
        <v>0</v>
      </c>
    </row>
    <row r="48" spans="1:60">
      <c r="A48" s="1233" t="str">
        <f t="shared" si="5"/>
        <v>4Q</v>
      </c>
      <c r="B48" s="1045" t="str">
        <f t="shared" si="5"/>
        <v>Jan</v>
      </c>
      <c r="D48" s="1243"/>
      <c r="F48" s="1243">
        <f>F42+F30</f>
        <v>757.78800000000001</v>
      </c>
      <c r="H48" s="1243">
        <f>H42+H30</f>
        <v>962.83900000000006</v>
      </c>
      <c r="J48" s="1243">
        <f>J42+J30</f>
        <v>1209.078</v>
      </c>
      <c r="L48" s="1243">
        <f>L42+L30</f>
        <v>1377.71</v>
      </c>
      <c r="N48" s="1243">
        <f>N42+N30</f>
        <v>1662.288</v>
      </c>
      <c r="P48" s="1243">
        <f>P42+P30</f>
        <v>1694.52</v>
      </c>
      <c r="R48" s="1243">
        <f>R42+R30</f>
        <v>2164.8240000000001</v>
      </c>
      <c r="T48" s="1243">
        <f>T42+T30</f>
        <v>2160.8240000000001</v>
      </c>
      <c r="V48" s="1243">
        <f>V42+V30</f>
        <v>3186.931</v>
      </c>
      <c r="X48" s="1243">
        <f>X42+X30</f>
        <v>4738.3890000000001</v>
      </c>
      <c r="Z48" s="1243">
        <f>Z42+Z30</f>
        <v>4884.1769999999997</v>
      </c>
      <c r="AB48" s="1243">
        <f>AB42+AB30</f>
        <v>6921.7739999999994</v>
      </c>
      <c r="AD48" s="1243">
        <f>AD42+AD30</f>
        <v>7416.5959999999995</v>
      </c>
      <c r="AF48" s="1243">
        <f>AF42+AF30</f>
        <v>6820.8450000000003</v>
      </c>
      <c r="AH48" s="1243">
        <f>AH42+AH30</f>
        <v>5938.6890000000003</v>
      </c>
      <c r="AJ48" s="1243">
        <f>AJ42+AJ30</f>
        <v>5687</v>
      </c>
      <c r="AL48" s="1243">
        <f>AL42+AL30</f>
        <v>4462</v>
      </c>
      <c r="AN48" s="1243">
        <f>AN42+AN30</f>
        <v>4437</v>
      </c>
      <c r="AP48" s="1072">
        <f>AP42+AP30</f>
        <v>4891</v>
      </c>
      <c r="AQ48" s="1072"/>
      <c r="AR48" s="1072">
        <f>AR42+AR30</f>
        <v>4080</v>
      </c>
      <c r="AS48" s="1072"/>
      <c r="AT48" s="1072">
        <f>AT42+AT30</f>
        <v>4420</v>
      </c>
      <c r="AU48" s="1072"/>
      <c r="AV48" s="1072">
        <f>AV42+AV30</f>
        <v>4407</v>
      </c>
      <c r="AW48" s="1072"/>
      <c r="AX48" s="1072">
        <f>AX42+AX30</f>
        <v>4456</v>
      </c>
      <c r="AY48" s="1072"/>
      <c r="AZ48" s="1072">
        <f>AZ42+AZ30</f>
        <v>4336</v>
      </c>
      <c r="BA48" s="1072"/>
      <c r="BB48" s="1072">
        <f>BB42+BB30</f>
        <v>4276</v>
      </c>
      <c r="BC48" s="1072"/>
      <c r="BD48" s="1072">
        <f>BD42+BD30</f>
        <v>4217</v>
      </c>
      <c r="BF48" s="1072">
        <f>BF42+BF30</f>
        <v>4393</v>
      </c>
    </row>
    <row r="50" spans="1:60">
      <c r="D50" s="1059"/>
      <c r="F50" s="1059"/>
      <c r="H50" s="1059"/>
      <c r="J50" s="1059"/>
      <c r="L50" s="1059"/>
      <c r="N50" s="1059"/>
      <c r="P50" s="1059"/>
      <c r="R50" s="1059"/>
      <c r="T50" s="1059"/>
      <c r="V50" s="1059"/>
      <c r="W50" s="1059"/>
      <c r="Y50" s="1059"/>
      <c r="AA50" s="1059"/>
      <c r="AE50" s="1059"/>
      <c r="AQ50" s="1059" t="s">
        <v>40</v>
      </c>
    </row>
    <row r="51" spans="1:60">
      <c r="A51" s="1233" t="str">
        <f t="shared" ref="A51:B54" si="6">A45</f>
        <v>1Q</v>
      </c>
      <c r="B51" s="1045" t="str">
        <f t="shared" si="6"/>
        <v>Apr</v>
      </c>
      <c r="D51" s="1061"/>
      <c r="F51" s="1061" t="e">
        <f>F27/F45</f>
        <v>#VALUE!</v>
      </c>
      <c r="H51" s="1061">
        <f>H27/H45</f>
        <v>9.8107987461799204E-2</v>
      </c>
      <c r="J51" s="1061">
        <f>J27/J45</f>
        <v>7.4332420531209212E-2</v>
      </c>
      <c r="L51" s="1061">
        <f>L27/L45</f>
        <v>6.2493319668781321E-2</v>
      </c>
      <c r="N51" s="1061">
        <f>N27/N45</f>
        <v>0</v>
      </c>
      <c r="P51" s="1061">
        <f>P27/P45</f>
        <v>2.6365193621149797E-2</v>
      </c>
      <c r="R51" s="1061">
        <f>R27/R45</f>
        <v>5.0584702879904367E-2</v>
      </c>
      <c r="T51" s="1061">
        <f>T27/T45</f>
        <v>0.25936169533913728</v>
      </c>
      <c r="V51" s="1061">
        <f>V27/V45</f>
        <v>0.25915747888658214</v>
      </c>
      <c r="X51" s="1061">
        <f>X27/X45</f>
        <v>0.36586982720837335</v>
      </c>
      <c r="Z51" s="1061">
        <f>Z27/Z45</f>
        <v>0.43754575763619025</v>
      </c>
      <c r="AB51" s="1061">
        <f>AB27/AB45</f>
        <v>0.53232430857938107</v>
      </c>
      <c r="AD51" s="1061">
        <f>AD27/AD45</f>
        <v>0.51470556995745043</v>
      </c>
      <c r="AF51" s="1061">
        <f>AF27/AF45</f>
        <v>0.34237828566063011</v>
      </c>
      <c r="AH51" s="1061">
        <f>AH27/AH45</f>
        <v>7.844925918587331E-2</v>
      </c>
      <c r="AJ51" s="1061">
        <f>AJ27/AJ45</f>
        <v>8.8584735849300933E-2</v>
      </c>
      <c r="AL51" s="1061">
        <f>AL27/AL45</f>
        <v>8.7998630371511732E-2</v>
      </c>
      <c r="AN51" s="1061">
        <f>AN27/AN45</f>
        <v>4.1768495889802269E-2</v>
      </c>
      <c r="AP51" s="1061">
        <f>AP27/AP45</f>
        <v>0</v>
      </c>
      <c r="AR51" s="1061">
        <f>AR27/AR45</f>
        <v>0</v>
      </c>
      <c r="AT51" s="1061">
        <f>AT27/AT45</f>
        <v>0.24835559099063184</v>
      </c>
      <c r="AV51" s="1061">
        <f>AV27/AV45</f>
        <v>0.35006462731581217</v>
      </c>
      <c r="AX51" s="1061">
        <f>AX27/AX45</f>
        <v>0.28289473684210525</v>
      </c>
      <c r="AZ51" s="1061">
        <f>AZ27/AZ45</f>
        <v>0.31451794987581849</v>
      </c>
      <c r="BB51" s="1061">
        <f>BB27/BB45</f>
        <v>0.31954620657055072</v>
      </c>
      <c r="BD51" s="1061">
        <f>BD27/BD45</f>
        <v>0.40853658536585363</v>
      </c>
      <c r="BF51" s="1061">
        <f>BF27/BF45</f>
        <v>0.31481924826430452</v>
      </c>
      <c r="BH51" s="1061" t="e">
        <f>BH27/BH45</f>
        <v>#DIV/0!</v>
      </c>
    </row>
    <row r="52" spans="1:60">
      <c r="A52" s="1233" t="str">
        <f t="shared" si="6"/>
        <v>2Q</v>
      </c>
      <c r="B52" s="1045" t="str">
        <f t="shared" si="6"/>
        <v>Jul</v>
      </c>
      <c r="D52" s="1061"/>
      <c r="F52" s="1061">
        <f>F28/F46</f>
        <v>0.23225821596932963</v>
      </c>
      <c r="H52" s="1061">
        <f>H28/H46</f>
        <v>0.10156871123314923</v>
      </c>
      <c r="J52" s="1061">
        <f>J28/J46</f>
        <v>7.8147661129696594E-2</v>
      </c>
      <c r="L52" s="1061">
        <f>L28/L46</f>
        <v>1.109396320216257E-2</v>
      </c>
      <c r="N52" s="1061">
        <f>N28/N46</f>
        <v>0</v>
      </c>
      <c r="P52" s="1061">
        <f>P28/P46</f>
        <v>3.9099153092188137E-2</v>
      </c>
      <c r="R52" s="1061">
        <f>R28/R46</f>
        <v>5.4687111790891557E-2</v>
      </c>
      <c r="T52" s="1061">
        <f>T28/T46</f>
        <v>0.27735052609842276</v>
      </c>
      <c r="V52" s="1061">
        <f>V28/V46</f>
        <v>0.33149143294347289</v>
      </c>
      <c r="X52" s="1061">
        <f>X28/X46</f>
        <v>0.42960999301602659</v>
      </c>
      <c r="Z52" s="1061">
        <f>Z28/Z46</f>
        <v>0.4139799974221165</v>
      </c>
      <c r="AB52" s="1061">
        <f>AB28/AB46</f>
        <v>0.52663764158004478</v>
      </c>
      <c r="AD52" s="1061">
        <f>AD28/AD46</f>
        <v>0.42250097687600141</v>
      </c>
      <c r="AF52" s="1061">
        <f>AF28/AF46</f>
        <v>0.30441576832904876</v>
      </c>
      <c r="AH52" s="1061">
        <f>AH28/AH46</f>
        <v>8.7022593750318164E-2</v>
      </c>
      <c r="AJ52" s="1061">
        <f>AJ28/AJ46</f>
        <v>8.8528806513365033E-2</v>
      </c>
      <c r="AL52" s="1061">
        <f>AL28/AL46</f>
        <v>8.9158716392020818E-2</v>
      </c>
      <c r="AN52" s="1061">
        <f>AN28/AN46</f>
        <v>4.2611060743427021E-2</v>
      </c>
      <c r="AP52" s="1061">
        <f>AP28/AP46</f>
        <v>0</v>
      </c>
      <c r="AR52" s="1061">
        <f>AR28/AR46</f>
        <v>0</v>
      </c>
      <c r="AT52" s="1061">
        <f>AT28/AT46</f>
        <v>0.3450733752620545</v>
      </c>
      <c r="AV52" s="1061">
        <f>AV28/AV46</f>
        <v>0.35771276595744683</v>
      </c>
      <c r="AX52" s="1061">
        <f>AX28/AX46</f>
        <v>0.26503719447396384</v>
      </c>
      <c r="AZ52" s="1061">
        <f>AZ28/AZ46</f>
        <v>0.321041714680802</v>
      </c>
      <c r="BB52" s="1061">
        <f>BB28/BB46</f>
        <v>0.33540681761632246</v>
      </c>
      <c r="BD52" s="1061">
        <f>BD28/BD46</f>
        <v>0.40543680297397772</v>
      </c>
      <c r="BF52" s="1061">
        <f>BF28/BF46</f>
        <v>0.29763892201287862</v>
      </c>
      <c r="BH52" s="1061" t="e">
        <f>BH28/BH46</f>
        <v>#DIV/0!</v>
      </c>
    </row>
    <row r="53" spans="1:60">
      <c r="A53" s="1233" t="str">
        <f t="shared" si="6"/>
        <v>3Q</v>
      </c>
      <c r="B53" s="1045" t="str">
        <f t="shared" si="6"/>
        <v>Oct</v>
      </c>
      <c r="D53" s="1061"/>
      <c r="F53" s="1061">
        <f>F29/F47</f>
        <v>0.17260100119861807</v>
      </c>
      <c r="H53" s="1061">
        <f>H29/H47</f>
        <v>9.8999010009899899E-2</v>
      </c>
      <c r="J53" s="1061">
        <f>J29/J47</f>
        <v>8.4124934797449341E-2</v>
      </c>
      <c r="L53" s="1061">
        <f>L29/L47</f>
        <v>2.2249065251294703E-3</v>
      </c>
      <c r="N53" s="1061">
        <f>N29/N47</f>
        <v>1.1811039313005495E-2</v>
      </c>
      <c r="P53" s="1061">
        <f>P29/P47</f>
        <v>5.0235691646315306E-2</v>
      </c>
      <c r="R53" s="1061">
        <f>R29/R47</f>
        <v>0.29326867711300314</v>
      </c>
      <c r="T53" s="1061">
        <f>T29/T47</f>
        <v>0.44882866942604277</v>
      </c>
      <c r="V53" s="1061">
        <f>V29/V47</f>
        <v>0.42973977849896361</v>
      </c>
      <c r="X53" s="1061">
        <f>X29/X47</f>
        <v>0.48685210369474413</v>
      </c>
      <c r="Z53" s="1061">
        <f>Z29/Z47</f>
        <v>0.46570494603094087</v>
      </c>
      <c r="AB53" s="1061">
        <f>AB29/AB47</f>
        <v>0.50895599732407903</v>
      </c>
      <c r="AD53" s="1061">
        <f>AD29/AD47</f>
        <v>0.40372434509256022</v>
      </c>
      <c r="AF53" s="1061">
        <f>AF29/AF47</f>
        <v>0.26824643474970078</v>
      </c>
      <c r="AH53" s="1061">
        <f>AH29/AH47</f>
        <v>8.6899776773422907E-2</v>
      </c>
      <c r="AJ53" s="1061">
        <f>AJ29/AJ47</f>
        <v>8.9935987940940459E-2</v>
      </c>
      <c r="AL53" s="1061">
        <f>AL29/AL47</f>
        <v>3.9182992913714049E-2</v>
      </c>
      <c r="AN53" s="1061">
        <f>AN29/AN47</f>
        <v>4.1657434079326393E-2</v>
      </c>
      <c r="AP53" s="1061">
        <f>AP29/AP47</f>
        <v>0</v>
      </c>
      <c r="AR53" s="1061">
        <f>AR29/AR47</f>
        <v>0</v>
      </c>
      <c r="AT53" s="1061">
        <f>AT29/AT47</f>
        <v>0.384063006717628</v>
      </c>
      <c r="AV53" s="1061">
        <f>AV29/AV47</f>
        <v>0.28305738262644592</v>
      </c>
      <c r="AX53" s="1061">
        <f>AX29/AX47</f>
        <v>0.29669283844872713</v>
      </c>
      <c r="AZ53" s="1061">
        <f>AZ29/AZ47</f>
        <v>0.32585596221959856</v>
      </c>
      <c r="BB53" s="1061">
        <f>BB29/BB47</f>
        <v>0.40174271955973401</v>
      </c>
      <c r="BD53" s="1061">
        <f>BD29/BD47</f>
        <v>0.3901565995525727</v>
      </c>
      <c r="BF53" s="1061">
        <f>BF29/BF47</f>
        <v>0.29213483146067415</v>
      </c>
      <c r="BH53" s="1061" t="e">
        <f>BH29/BH47</f>
        <v>#DIV/0!</v>
      </c>
    </row>
    <row r="54" spans="1:60">
      <c r="A54" s="1233" t="str">
        <f t="shared" si="6"/>
        <v>4Q</v>
      </c>
      <c r="B54" s="1045" t="str">
        <f t="shared" si="6"/>
        <v>Jan</v>
      </c>
      <c r="D54" s="1061"/>
      <c r="F54" s="1061">
        <f>F30/F48</f>
        <v>0.10557042339018301</v>
      </c>
      <c r="H54" s="1061">
        <f>H30/H48</f>
        <v>7.7894642821904794E-2</v>
      </c>
      <c r="J54" s="1061">
        <f>J30/J48</f>
        <v>6.831900009759502E-2</v>
      </c>
      <c r="L54" s="1061">
        <f>L30/L48</f>
        <v>1.7986368684265921E-3</v>
      </c>
      <c r="N54" s="1061">
        <f>N30/N48</f>
        <v>1.3123478001405293E-2</v>
      </c>
      <c r="P54" s="1061">
        <f>P30/P48</f>
        <v>2.3635011684724875E-2</v>
      </c>
      <c r="R54" s="1061">
        <f>R30/R48</f>
        <v>0.26830726192983817</v>
      </c>
      <c r="T54" s="1061">
        <f>T30/T48</f>
        <v>0.2717227316986483</v>
      </c>
      <c r="V54" s="1061">
        <f>V30/V48</f>
        <v>0.29931178302887634</v>
      </c>
      <c r="X54" s="1061">
        <f>X30/X48</f>
        <v>0.3820180234252612</v>
      </c>
      <c r="Z54" s="1061">
        <f>Z30/Z48</f>
        <v>0.41015835421197877</v>
      </c>
      <c r="AB54" s="1061">
        <f>AB30/AB48</f>
        <v>0.49059287402333562</v>
      </c>
      <c r="AD54" s="1061">
        <f>AD30/AD48</f>
        <v>0.37345677181283704</v>
      </c>
      <c r="AF54" s="1061">
        <f>AF30/AF48</f>
        <v>0.27645123148231632</v>
      </c>
      <c r="AH54" s="1061">
        <f>AH30/AH48</f>
        <v>8.6377650016695603E-2</v>
      </c>
      <c r="AJ54" s="1061">
        <f>AJ30/AJ48</f>
        <v>9.0205732372076672E-2</v>
      </c>
      <c r="AL54" s="1061">
        <f>AL30/AL48</f>
        <v>4.2133572389063199E-2</v>
      </c>
      <c r="AN54" s="1061">
        <f>AN30/AN48</f>
        <v>1.1268875366238449E-2</v>
      </c>
      <c r="AP54" s="1061">
        <f>AP30/AP48</f>
        <v>0</v>
      </c>
      <c r="AR54" s="1061">
        <f>AR30/AR48</f>
        <v>0</v>
      </c>
      <c r="AT54" s="1061">
        <f>AT30/AT48</f>
        <v>0.37669683257918551</v>
      </c>
      <c r="AV54" s="1061">
        <f>AV30/AV48</f>
        <v>0.28273201724529157</v>
      </c>
      <c r="AX54" s="1061">
        <f>AX30/AX48</f>
        <v>0.31283662477558349</v>
      </c>
      <c r="AZ54" s="1061">
        <f>AZ30/AZ48</f>
        <v>0.31203874538745385</v>
      </c>
      <c r="BB54" s="1061">
        <f>BB30/BB48</f>
        <v>0.40481758652946681</v>
      </c>
      <c r="BD54" s="1061">
        <f>BD30/BD48</f>
        <v>0.31135878586672988</v>
      </c>
      <c r="BF54" s="1061">
        <f>BF30/BF48</f>
        <v>0.28431595720464375</v>
      </c>
    </row>
    <row r="56" spans="1:60">
      <c r="D56" s="1059"/>
      <c r="F56" s="1059"/>
      <c r="H56" s="1059"/>
      <c r="J56" s="1059"/>
      <c r="L56" s="1059"/>
      <c r="N56" s="1059"/>
      <c r="P56" s="1059"/>
      <c r="R56" s="1059"/>
      <c r="T56" s="1059"/>
      <c r="V56" s="1059"/>
      <c r="W56" s="1059"/>
      <c r="Y56" s="1059"/>
      <c r="AA56" s="1059"/>
      <c r="AE56" s="1059"/>
      <c r="AQ56" s="1059" t="s">
        <v>41</v>
      </c>
    </row>
    <row r="57" spans="1:60">
      <c r="A57" s="1233" t="str">
        <f t="shared" ref="A57:B60" si="7">A51</f>
        <v>1Q</v>
      </c>
      <c r="B57" s="1045" t="str">
        <f t="shared" si="7"/>
        <v>Apr</v>
      </c>
      <c r="D57" s="1246"/>
      <c r="F57" s="1246" t="e">
        <f>F33/F45</f>
        <v>#VALUE!</v>
      </c>
      <c r="H57" s="1246">
        <f>H33/H45</f>
        <v>-6.3204844572420843E-2</v>
      </c>
      <c r="J57" s="1246">
        <f>J33/J45</f>
        <v>-0.14048530150716418</v>
      </c>
      <c r="L57" s="1246">
        <f>L33/L45</f>
        <v>-0.19146850970455645</v>
      </c>
      <c r="N57" s="1246">
        <f>N33/N45</f>
        <v>-0.21545270513370701</v>
      </c>
      <c r="P57" s="1246">
        <f>P33/P45</f>
        <v>-0.2678924563999881</v>
      </c>
      <c r="R57" s="1246">
        <f>R33/R45</f>
        <v>-9.2910774522357242E-2</v>
      </c>
      <c r="T57" s="1246">
        <f>T33/T45</f>
        <v>-0.10616542983355967</v>
      </c>
      <c r="V57" s="1246">
        <f>V33/V45</f>
        <v>7.5291556648459032E-2</v>
      </c>
      <c r="W57" s="1246"/>
      <c r="X57" s="1246">
        <f>X33/X45</f>
        <v>0.25194342911740292</v>
      </c>
      <c r="Y57" s="1246"/>
      <c r="Z57" s="1246">
        <f>Z33/Z45</f>
        <v>0.31148443237527546</v>
      </c>
      <c r="AA57" s="1246"/>
      <c r="AB57" s="1246">
        <f>AB33/AB45</f>
        <v>0.1643845917823728</v>
      </c>
      <c r="AD57" s="1246">
        <f>AD33/AD45</f>
        <v>1.5874460164972307E-2</v>
      </c>
      <c r="AE57" s="1246"/>
      <c r="AF57" s="1246">
        <f>AF33/AF45</f>
        <v>-0.27159878621244188</v>
      </c>
      <c r="AH57" s="1246">
        <f>AH33/AH45</f>
        <v>-0.47481155466540387</v>
      </c>
      <c r="AJ57" s="1246">
        <f>AJ33/AJ45</f>
        <v>-0.4069135440092892</v>
      </c>
      <c r="AL57" s="1246">
        <f>AL33/AL45</f>
        <v>-0.38178394110597502</v>
      </c>
      <c r="AN57" s="1246">
        <f>AN33/AN45</f>
        <v>-0.35369917796045325</v>
      </c>
      <c r="AP57" s="1246">
        <f>AP33/AP45</f>
        <v>-0.38083700440528634</v>
      </c>
      <c r="AQ57" s="1246"/>
      <c r="AR57" s="1246">
        <f>AR33/AR45</f>
        <v>-0.50906867739963313</v>
      </c>
      <c r="AT57" s="1246">
        <f>AT33/AT45</f>
        <v>-0.24337253338648596</v>
      </c>
      <c r="AV57" s="1246">
        <f>AV33/AV45</f>
        <v>-9.0909090909090912E-2</v>
      </c>
      <c r="AX57" s="1246">
        <f>AX33/AX45</f>
        <v>-8.23502722323049E-2</v>
      </c>
      <c r="AZ57" s="1246">
        <f>AZ33/AZ45</f>
        <v>-3.4093474825016935E-2</v>
      </c>
      <c r="BB57" s="1246">
        <f>BB33/BB45</f>
        <v>2.7889387851571731E-2</v>
      </c>
      <c r="BD57" s="1246">
        <f>BD33/BD45</f>
        <v>0.10060975609756098</v>
      </c>
      <c r="BF57" s="1246">
        <f>BF33/BF45</f>
        <v>-6.4160881015082591E-2</v>
      </c>
      <c r="BH57" s="1246" t="e">
        <f>BH33/BH45</f>
        <v>#DIV/0!</v>
      </c>
    </row>
    <row r="58" spans="1:60">
      <c r="A58" s="1233" t="str">
        <f t="shared" si="7"/>
        <v>2Q</v>
      </c>
      <c r="B58" s="1045" t="str">
        <f t="shared" si="7"/>
        <v>Jul</v>
      </c>
      <c r="D58" s="1246"/>
      <c r="F58" s="1246">
        <f>F34/F46</f>
        <v>0.13613295205621148</v>
      </c>
      <c r="H58" s="1246">
        <f>H34/H46</f>
        <v>5.5400478423653601E-2</v>
      </c>
      <c r="J58" s="1246">
        <f>J34/J46</f>
        <v>-0.13028155396128632</v>
      </c>
      <c r="L58" s="1246">
        <f>L34/L46</f>
        <v>-0.19932161941415372</v>
      </c>
      <c r="N58" s="1246">
        <f>N34/N46</f>
        <v>-0.17670452934002667</v>
      </c>
      <c r="P58" s="1246">
        <f>P34/P46</f>
        <v>-0.26010456154846512</v>
      </c>
      <c r="R58" s="1246">
        <f>R34/R46</f>
        <v>-7.8719262928385894E-2</v>
      </c>
      <c r="T58" s="1246">
        <f>T34/T46</f>
        <v>3.3896454984526821E-2</v>
      </c>
      <c r="V58" s="1246">
        <f>V34/V46</f>
        <v>0.18549180890757455</v>
      </c>
      <c r="W58" s="1246"/>
      <c r="X58" s="1246">
        <f>X34/X46</f>
        <v>0.35478105471692079</v>
      </c>
      <c r="Y58" s="1246"/>
      <c r="Z58" s="1246">
        <f>Z34/Z46</f>
        <v>0.2785376955519519</v>
      </c>
      <c r="AA58" s="1246"/>
      <c r="AB58" s="1246">
        <f>AB34/AB46</f>
        <v>0.15398872199585512</v>
      </c>
      <c r="AD58" s="1246">
        <f>AD34/AD46</f>
        <v>-3.4257625080074745E-2</v>
      </c>
      <c r="AE58" s="1246"/>
      <c r="AF58" s="1246">
        <f>AF34/AF46</f>
        <v>-0.27380039569223852</v>
      </c>
      <c r="AH58" s="1246">
        <f>AH34/AH46</f>
        <v>-0.34327159676756985</v>
      </c>
      <c r="AJ58" s="1246">
        <f>AJ34/AJ46</f>
        <v>-0.3926717052589157</v>
      </c>
      <c r="AL58" s="1246">
        <f>AL34/AL46</f>
        <v>-0.37849089332176927</v>
      </c>
      <c r="AN58" s="1246">
        <f>AN34/AN46</f>
        <v>-0.33816863100634631</v>
      </c>
      <c r="AP58" s="1246">
        <f>AP34/AP46</f>
        <v>-0.45353003161222338</v>
      </c>
      <c r="AQ58" s="1246"/>
      <c r="AR58" s="1246">
        <f>AR34/AR46</f>
        <v>-0.39357522532932748</v>
      </c>
      <c r="AT58" s="1246">
        <f>AT34/AT46</f>
        <v>-0.11174004192872117</v>
      </c>
      <c r="AV58" s="1246">
        <f>AV34/AV46</f>
        <v>-0.11081560283687943</v>
      </c>
      <c r="AX58" s="1246">
        <f>AX34/AX46</f>
        <v>-0.14410201912858661</v>
      </c>
      <c r="AZ58" s="1246">
        <f>AZ34/AZ46</f>
        <v>-2.8808481216870248E-2</v>
      </c>
      <c r="BB58" s="1246">
        <f>BB34/BB46</f>
        <v>7.5889524757402335E-2</v>
      </c>
      <c r="BD58" s="1246">
        <f>BD34/BD46</f>
        <v>1.4869888475836431E-2</v>
      </c>
      <c r="BF58" s="1246">
        <f>BF34/BF46</f>
        <v>-8.6095874075840684E-2</v>
      </c>
      <c r="BH58" s="1246" t="e">
        <f>BH34/BH46</f>
        <v>#DIV/0!</v>
      </c>
    </row>
    <row r="59" spans="1:60">
      <c r="A59" s="1233" t="str">
        <f t="shared" si="7"/>
        <v>3Q</v>
      </c>
      <c r="B59" s="1045" t="str">
        <f t="shared" si="7"/>
        <v>Oct</v>
      </c>
      <c r="D59" s="1246"/>
      <c r="F59" s="1246">
        <f>F35/F47</f>
        <v>4.4365790030317993E-2</v>
      </c>
      <c r="H59" s="1246">
        <f>H35/H47</f>
        <v>4.3695963040369594E-2</v>
      </c>
      <c r="J59" s="1246">
        <f>J35/J47</f>
        <v>-0.15515925527279492</v>
      </c>
      <c r="L59" s="1246">
        <f>L35/L47</f>
        <v>-0.16726053079479783</v>
      </c>
      <c r="N59" s="1246">
        <f>N35/N47</f>
        <v>-0.2035270376550361</v>
      </c>
      <c r="P59" s="1246">
        <f>P35/P47</f>
        <v>-0.22748069749132843</v>
      </c>
      <c r="R59" s="1246">
        <f>R35/R47</f>
        <v>-7.9527918742754826E-3</v>
      </c>
      <c r="T59" s="1246">
        <f>T35/T47</f>
        <v>0.329677862150558</v>
      </c>
      <c r="V59" s="1246">
        <f>V35/V47</f>
        <v>0.2853466944306034</v>
      </c>
      <c r="W59" s="1246"/>
      <c r="X59" s="1246">
        <f>X35/X47</f>
        <v>0.41787509909785697</v>
      </c>
      <c r="Y59" s="1246"/>
      <c r="Z59" s="1246">
        <f>Z35/Z47</f>
        <v>0.31982107325030495</v>
      </c>
      <c r="AA59" s="1246"/>
      <c r="AB59" s="1246">
        <f>AB35/AB47</f>
        <v>0.13185469152352142</v>
      </c>
      <c r="AD59" s="1246">
        <f>AD35/AD47</f>
        <v>-7.0132727907789016E-2</v>
      </c>
      <c r="AE59" s="1246"/>
      <c r="AF59" s="1246">
        <f>AF35/AF47</f>
        <v>-0.26222822562756415</v>
      </c>
      <c r="AH59" s="1246">
        <f>AH35/AH47</f>
        <v>-0.3005122774617402</v>
      </c>
      <c r="AJ59" s="1246">
        <f>AJ35/AJ47</f>
        <v>-0.33519545240836851</v>
      </c>
      <c r="AL59" s="1246">
        <f>AL35/AL47</f>
        <v>-0.31492288453522299</v>
      </c>
      <c r="AN59" s="1246">
        <f>AN35/AN47</f>
        <v>-0.30290272545978286</v>
      </c>
      <c r="AP59" s="1246">
        <f>AP35/AP47</f>
        <v>-0.48564545272033727</v>
      </c>
      <c r="AQ59" s="1246"/>
      <c r="AR59" s="1246">
        <f>AR35/AR47</f>
        <v>-0.38075506445672191</v>
      </c>
      <c r="AT59" s="1246">
        <f>AT35/AT47</f>
        <v>5.5825804957146168E-2</v>
      </c>
      <c r="AV59" s="1246">
        <f>AV35/AV47</f>
        <v>-0.11839419369471535</v>
      </c>
      <c r="AX59" s="1246">
        <f>AX35/AX47</f>
        <v>5.9719248156078993E-2</v>
      </c>
      <c r="AZ59" s="1246">
        <f>AZ35/AZ47</f>
        <v>0.10059031877213695</v>
      </c>
      <c r="BB59" s="1246">
        <f>BB35/BB47</f>
        <v>0.16280669571199266</v>
      </c>
      <c r="BD59" s="1246">
        <f>BD35/BD47</f>
        <v>4.9664429530201344E-2</v>
      </c>
      <c r="BF59" s="1246">
        <f>BF35/BF47</f>
        <v>-2.4578651685393259E-2</v>
      </c>
      <c r="BH59" s="1246" t="e">
        <f>BH35/BH47</f>
        <v>#DIV/0!</v>
      </c>
    </row>
    <row r="60" spans="1:60">
      <c r="A60" s="1233" t="str">
        <f t="shared" si="7"/>
        <v>4Q</v>
      </c>
      <c r="B60" s="1045" t="str">
        <f t="shared" si="7"/>
        <v>Jan</v>
      </c>
      <c r="D60" s="1246"/>
      <c r="F60" s="1246">
        <f>F36/F48</f>
        <v>-0.14857057646729693</v>
      </c>
      <c r="H60" s="1246">
        <f>H36/H48</f>
        <v>-0.17479765568282962</v>
      </c>
      <c r="J60" s="1246">
        <f>J36/J48</f>
        <v>-0.31241077912260418</v>
      </c>
      <c r="L60" s="1246">
        <f>L36/L48</f>
        <v>-0.29905350182549301</v>
      </c>
      <c r="N60" s="1246">
        <f>N36/N48</f>
        <v>-0.33553210995928501</v>
      </c>
      <c r="P60" s="1246">
        <f>P36/P48</f>
        <v>-0.2629617826877228</v>
      </c>
      <c r="R60" s="1246">
        <f>R36/R48</f>
        <v>-0.15351409629604992</v>
      </c>
      <c r="T60" s="1246">
        <f>T36/T48</f>
        <v>1.0131320274117624E-2</v>
      </c>
      <c r="V60" s="1246">
        <f>V36/V48</f>
        <v>0.15799965546790939</v>
      </c>
      <c r="W60" s="1246"/>
      <c r="X60" s="1246">
        <f>X36/X48</f>
        <v>0.29574524168446281</v>
      </c>
      <c r="Y60" s="1246"/>
      <c r="Z60" s="1246">
        <f>Z36/Z48</f>
        <v>0.19809621969064592</v>
      </c>
      <c r="AA60" s="1246"/>
      <c r="AB60" s="1246">
        <f>AB36/AB48</f>
        <v>1.0487195912492319E-3</v>
      </c>
      <c r="AD60" s="1246">
        <f>AD36/AD48</f>
        <v>-0.25822371880577022</v>
      </c>
      <c r="AE60" s="1246"/>
      <c r="AF60" s="1246">
        <f>AF36/AF48</f>
        <v>-0.32118703767641688</v>
      </c>
      <c r="AH60" s="1246">
        <f>AH36/AH48</f>
        <v>-0.42596707791904909</v>
      </c>
      <c r="AJ60" s="1246">
        <f>AJ36/AJ48</f>
        <v>-0.26685669069808338</v>
      </c>
      <c r="AL60" s="1246">
        <f>AL36/AL48</f>
        <v>-0.39242492155983866</v>
      </c>
      <c r="AN60" s="1246">
        <f>AN36/AN48</f>
        <v>-0.38449402749605588</v>
      </c>
      <c r="AP60" s="1246">
        <f>AP36/AP48</f>
        <v>-0.52974851768554487</v>
      </c>
      <c r="AQ60" s="1246"/>
      <c r="AR60" s="1246">
        <f>AR36/AR48</f>
        <v>-0.4071078431372549</v>
      </c>
      <c r="AT60" s="1246">
        <f>AT36/AT48</f>
        <v>-4.9773755656108594E-2</v>
      </c>
      <c r="AV60" s="1246">
        <f>AV36/AV48</f>
        <v>-5.9904697072838665E-2</v>
      </c>
      <c r="AX60" s="1246">
        <f>AX36/AX48</f>
        <v>-2.6032315978456014E-2</v>
      </c>
      <c r="AZ60" s="1246">
        <f>AZ36/AZ48</f>
        <v>-3.7361623616236163E-2</v>
      </c>
      <c r="BB60" s="1246">
        <f>BB36/BB48</f>
        <v>8.4424695977549105E-2</v>
      </c>
      <c r="BD60" s="1246">
        <f>BD36/BD48</f>
        <v>-0.11145364002845624</v>
      </c>
      <c r="BF60" s="1246">
        <f>BF36/BF48</f>
        <v>-0.12155702253585249</v>
      </c>
    </row>
    <row r="62" spans="1:60">
      <c r="A62" s="1553" t="s">
        <v>520</v>
      </c>
    </row>
    <row r="63" spans="1:60">
      <c r="BB63" s="1045">
        <f>'yrP&amp;L'!$AA$14</f>
        <v>1317</v>
      </c>
      <c r="BD63" s="1045">
        <f>'yrP&amp;L'!$AA$14</f>
        <v>1317</v>
      </c>
    </row>
    <row r="64" spans="1:60">
      <c r="BB64" s="1045">
        <f>BB63*8</f>
        <v>10536</v>
      </c>
      <c r="BD64" s="1045">
        <f>BD63*8</f>
        <v>10536</v>
      </c>
    </row>
    <row r="65" spans="52:56">
      <c r="AZ65" s="1045" t="s">
        <v>699</v>
      </c>
      <c r="BB65" s="1245">
        <f>BB64+BD33</f>
        <v>10965</v>
      </c>
      <c r="BD65" s="1245">
        <f>BD64+BD35</f>
        <v>10758</v>
      </c>
    </row>
    <row r="66" spans="52:56">
      <c r="AZ66" s="1045" t="s">
        <v>700</v>
      </c>
      <c r="BB66" s="1045">
        <f>BB63</f>
        <v>1317</v>
      </c>
      <c r="BD66" s="1045">
        <f>BD63</f>
        <v>1317</v>
      </c>
    </row>
    <row r="67" spans="52:56">
      <c r="AZ67" s="1045" t="s">
        <v>663</v>
      </c>
      <c r="BB67" s="1072">
        <f>SUM(sumry!CJ33,sumry!CH33,sumry!CG33,sumry!CF33)</f>
        <v>2007</v>
      </c>
      <c r="BD67" s="1072">
        <f>SUM(sumry!CG33:CN33,sumry!CE33)</f>
        <v>3526</v>
      </c>
    </row>
    <row r="69" spans="52:56">
      <c r="BB69" s="1072">
        <f>BB66+BB67</f>
        <v>3324</v>
      </c>
      <c r="BD69" s="1072">
        <f>BD66+BD67</f>
        <v>4843</v>
      </c>
    </row>
    <row r="70" spans="52:56">
      <c r="BB70" s="1229">
        <f>BB65/BB69</f>
        <v>3.2987364620938626</v>
      </c>
      <c r="BD70" s="1229">
        <f>BD65/BD69</f>
        <v>2.2213504026429898</v>
      </c>
    </row>
    <row r="73" spans="52:56">
      <c r="BB73" s="1045">
        <f>BB66</f>
        <v>1317</v>
      </c>
    </row>
    <row r="74" spans="52:56">
      <c r="BB74" s="1072">
        <f>sumry!DO33</f>
        <v>2183</v>
      </c>
    </row>
    <row r="75" spans="52:56">
      <c r="BB75" s="1243">
        <f>BB36</f>
        <v>361</v>
      </c>
    </row>
    <row r="76" spans="52:56">
      <c r="BB76" s="1045">
        <f>BB73*8+BB75</f>
        <v>10897</v>
      </c>
    </row>
    <row r="77" spans="52:56">
      <c r="BB77" s="1072">
        <f>BB74+BB73</f>
        <v>3500</v>
      </c>
    </row>
    <row r="78" spans="52:56">
      <c r="BB78" s="1229">
        <f>BB76/BB77</f>
        <v>3.1134285714285714</v>
      </c>
    </row>
  </sheetData>
  <phoneticPr fontId="0" type="noConversion"/>
  <printOptions horizontalCentered="1"/>
  <pageMargins left="0.2" right="0.2" top="0.2" bottom="0.2" header="0.5" footer="0.5"/>
  <pageSetup scale="75" orientation="landscape" r:id="rId1"/>
  <headerFooter alignWithMargins="0">
    <oddFooter>&amp;R&amp;8&amp;D/&amp;T
&amp;F/&amp;A</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M48"/>
  <sheetViews>
    <sheetView topLeftCell="A2" zoomScaleNormal="85" workbookViewId="0">
      <pane xSplit="9" ySplit="6" topLeftCell="BZ8" activePane="bottomRight" state="frozen"/>
      <selection activeCell="AC33" sqref="AC33"/>
      <selection pane="topRight" activeCell="AC33" sqref="AC33"/>
      <selection pane="bottomLeft" activeCell="AC33" sqref="AC33"/>
      <selection pane="bottomRight" activeCell="DG13" sqref="DG13"/>
    </sheetView>
  </sheetViews>
  <sheetFormatPr defaultRowHeight="12.75" outlineLevelCol="1"/>
  <cols>
    <col min="1" max="1" width="3.140625" style="1045" customWidth="1"/>
    <col min="2" max="2" width="4.42578125" style="1045" customWidth="1"/>
    <col min="3" max="3" width="1.7109375" style="1045" customWidth="1"/>
    <col min="4" max="4" width="9.7109375" style="1045" hidden="1" customWidth="1" outlineLevel="1"/>
    <col min="5" max="5" width="3" style="1045" hidden="1" customWidth="1" outlineLevel="1"/>
    <col min="6" max="6" width="7.85546875" style="1045" hidden="1" customWidth="1" collapsed="1"/>
    <col min="7" max="7" width="5.7109375" style="1045" hidden="1" customWidth="1"/>
    <col min="8" max="8" width="4.28515625" style="1045" hidden="1" customWidth="1"/>
    <col min="9" max="9" width="1.28515625" style="1045" hidden="1" customWidth="1"/>
    <col min="10" max="10" width="7.85546875" style="1045" hidden="1" customWidth="1"/>
    <col min="11" max="11" width="5.5703125" style="1045" hidden="1" customWidth="1"/>
    <col min="12" max="12" width="4.28515625" style="1045" hidden="1" customWidth="1"/>
    <col min="13" max="13" width="1.28515625" style="1045" hidden="1" customWidth="1"/>
    <col min="14" max="14" width="7.85546875" style="1045" hidden="1" customWidth="1"/>
    <col min="15" max="15" width="5.5703125" style="1045" hidden="1" customWidth="1"/>
    <col min="16" max="16" width="4.28515625" style="1045" hidden="1" customWidth="1"/>
    <col min="17" max="17" width="1.28515625" style="1045" hidden="1" customWidth="1"/>
    <col min="18" max="18" width="7.85546875" style="1045" hidden="1" customWidth="1"/>
    <col min="19" max="19" width="5.5703125" style="1045" hidden="1" customWidth="1"/>
    <col min="20" max="20" width="4.28515625" style="1045" hidden="1" customWidth="1"/>
    <col min="21" max="21" width="1.28515625" style="1045" hidden="1" customWidth="1"/>
    <col min="22" max="22" width="7.85546875" style="1045" hidden="1" customWidth="1"/>
    <col min="23" max="23" width="5.7109375" style="1045" hidden="1" customWidth="1"/>
    <col min="24" max="24" width="4.28515625" style="1045" hidden="1" customWidth="1"/>
    <col min="25" max="25" width="1.28515625" style="1045" hidden="1" customWidth="1"/>
    <col min="26" max="26" width="7.85546875" style="1045" hidden="1" customWidth="1"/>
    <col min="27" max="27" width="5.5703125" style="1045" hidden="1" customWidth="1"/>
    <col min="28" max="28" width="4.28515625" style="1045" hidden="1" customWidth="1"/>
    <col min="29" max="29" width="1.28515625" style="1045" hidden="1" customWidth="1"/>
    <col min="30" max="30" width="7.85546875" style="1045" hidden="1" customWidth="1" outlineLevel="1"/>
    <col min="31" max="31" width="5.5703125" style="1045" hidden="1" customWidth="1" outlineLevel="1"/>
    <col min="32" max="32" width="4.28515625" style="1045" hidden="1" customWidth="1" outlineLevel="1"/>
    <col min="33" max="33" width="1.28515625" style="1045" hidden="1" customWidth="1" outlineLevel="1"/>
    <col min="34" max="34" width="7.85546875" style="1045" hidden="1" customWidth="1" outlineLevel="1"/>
    <col min="35" max="35" width="5.5703125" style="1045" hidden="1" customWidth="1" outlineLevel="1"/>
    <col min="36" max="36" width="4.28515625" style="1045" hidden="1" customWidth="1" outlineLevel="1"/>
    <col min="37" max="37" width="1.28515625" style="1045" hidden="1" customWidth="1" outlineLevel="1"/>
    <col min="38" max="38" width="7.85546875" style="1045" hidden="1" customWidth="1" outlineLevel="1"/>
    <col min="39" max="39" width="5.5703125" style="1045" hidden="1" customWidth="1" outlineLevel="1"/>
    <col min="40" max="40" width="4.28515625" style="1045" hidden="1" customWidth="1" outlineLevel="1"/>
    <col min="41" max="41" width="1.28515625" style="1045" hidden="1" customWidth="1" outlineLevel="1"/>
    <col min="42" max="42" width="7.85546875" style="1045" hidden="1" customWidth="1" outlineLevel="1"/>
    <col min="43" max="43" width="6.5703125" style="1045" hidden="1" customWidth="1" outlineLevel="1"/>
    <col min="44" max="44" width="4.28515625" style="1045" hidden="1" customWidth="1" outlineLevel="1"/>
    <col min="45" max="45" width="1.28515625" style="1045" hidden="1" customWidth="1" outlineLevel="1"/>
    <col min="46" max="46" width="7.85546875" style="1045" hidden="1" customWidth="1" outlineLevel="1"/>
    <col min="47" max="47" width="5.5703125" style="1045" hidden="1" customWidth="1" outlineLevel="1"/>
    <col min="48" max="48" width="4.28515625" style="1045" hidden="1" customWidth="1" outlineLevel="1"/>
    <col min="49" max="49" width="1.28515625" style="1045" hidden="1" customWidth="1" outlineLevel="1"/>
    <col min="50" max="50" width="7.85546875" style="1045" hidden="1" customWidth="1" outlineLevel="1"/>
    <col min="51" max="51" width="5.5703125" style="1045" hidden="1" customWidth="1" outlineLevel="1"/>
    <col min="52" max="52" width="4.28515625" style="1045" hidden="1" customWidth="1" outlineLevel="1"/>
    <col min="53" max="53" width="1.28515625" style="1045" hidden="1" customWidth="1" outlineLevel="1"/>
    <col min="54" max="54" width="7.85546875" style="1045" hidden="1" customWidth="1" outlineLevel="1"/>
    <col min="55" max="55" width="5.5703125" style="1045" hidden="1" customWidth="1" outlineLevel="1"/>
    <col min="56" max="56" width="4.28515625" style="1045" hidden="1" customWidth="1" outlineLevel="1"/>
    <col min="57" max="57" width="1.28515625" style="1045" hidden="1" customWidth="1" outlineLevel="1"/>
    <col min="58" max="58" width="7.85546875" style="1045" hidden="1" customWidth="1" outlineLevel="1"/>
    <col min="59" max="59" width="5.5703125" style="1045" hidden="1" customWidth="1" outlineLevel="1"/>
    <col min="60" max="60" width="4.28515625" style="1045" hidden="1" customWidth="1" outlineLevel="1"/>
    <col min="61" max="61" width="1.140625" style="1045" hidden="1" customWidth="1" outlineLevel="1"/>
    <col min="62" max="62" width="8.7109375" style="1045" hidden="1" customWidth="1" outlineLevel="1"/>
    <col min="63" max="63" width="7.7109375" style="1045" hidden="1" customWidth="1" outlineLevel="1"/>
    <col min="64" max="64" width="4.7109375" style="1045" hidden="1" customWidth="1" outlineLevel="1"/>
    <col min="65" max="65" width="1.140625" style="1045" hidden="1" customWidth="1" outlineLevel="1"/>
    <col min="66" max="66" width="8.7109375" style="1045" hidden="1" customWidth="1" outlineLevel="1"/>
    <col min="67" max="67" width="5.5703125" style="1045" hidden="1" customWidth="1" outlineLevel="1"/>
    <col min="68" max="68" width="4.7109375" style="1045" hidden="1" customWidth="1" outlineLevel="1"/>
    <col min="69" max="69" width="1.140625" style="1045" hidden="1" customWidth="1" outlineLevel="1"/>
    <col min="70" max="70" width="8.7109375" style="1045" hidden="1" customWidth="1" outlineLevel="1"/>
    <col min="71" max="71" width="6.7109375" style="1045" hidden="1" customWidth="1" outlineLevel="1"/>
    <col min="72" max="72" width="4.7109375" style="1045" hidden="1" customWidth="1" outlineLevel="1"/>
    <col min="73" max="73" width="1.140625" style="1045" hidden="1" customWidth="1" outlineLevel="1"/>
    <col min="74" max="74" width="8.7109375" style="1045" hidden="1" customWidth="1" outlineLevel="1"/>
    <col min="75" max="75" width="6" style="1045" hidden="1" customWidth="1" outlineLevel="1"/>
    <col min="76" max="76" width="5.7109375" style="1045" hidden="1" customWidth="1" outlineLevel="1"/>
    <col min="77" max="77" width="1.140625" style="1045" hidden="1" customWidth="1" outlineLevel="1"/>
    <col min="78" max="78" width="9.7109375" style="1045" bestFit="1" customWidth="1" collapsed="1"/>
    <col min="79" max="79" width="6.7109375" style="1045" bestFit="1" customWidth="1"/>
    <col min="80" max="80" width="5" style="1045" customWidth="1"/>
    <col min="81" max="81" width="1.140625" style="1045" customWidth="1"/>
    <col min="82" max="82" width="9.7109375" style="1045" bestFit="1" customWidth="1"/>
    <col min="83" max="83" width="6.7109375" style="1045" bestFit="1" customWidth="1"/>
    <col min="84" max="84" width="5" style="1045" customWidth="1"/>
    <col min="85" max="85" width="1.140625" style="1045" customWidth="1"/>
    <col min="86" max="86" width="9.7109375" style="1045" bestFit="1" customWidth="1"/>
    <col min="87" max="87" width="6.7109375" style="1045" bestFit="1" customWidth="1"/>
    <col min="88" max="88" width="5" style="1045" customWidth="1"/>
    <col min="89" max="89" width="1.140625" style="1045" customWidth="1"/>
    <col min="90" max="90" width="9.7109375" style="1045" bestFit="1" customWidth="1"/>
    <col min="91" max="91" width="6.42578125" style="1045" customWidth="1"/>
    <col min="92" max="92" width="5" style="1045" customWidth="1"/>
    <col min="93" max="93" width="1.140625" style="1045" customWidth="1"/>
    <col min="94" max="94" width="9.7109375" style="1045" bestFit="1" customWidth="1"/>
    <col min="95" max="95" width="6" style="1045" customWidth="1"/>
    <col min="96" max="96" width="5" style="1045" customWidth="1"/>
    <col min="97" max="97" width="1.140625" style="1045" customWidth="1"/>
    <col min="98" max="98" width="9.7109375" style="1045" bestFit="1" customWidth="1"/>
    <col min="99" max="99" width="6" style="1045" customWidth="1"/>
    <col min="100" max="100" width="5" style="1045" customWidth="1"/>
    <col min="101" max="101" width="1.140625" style="1045" customWidth="1"/>
    <col min="102" max="102" width="8.7109375" style="1045" customWidth="1"/>
    <col min="103" max="103" width="6.7109375" style="1045" bestFit="1" customWidth="1"/>
    <col min="104" max="104" width="5" style="1045" customWidth="1"/>
    <col min="105" max="105" width="1.5703125" style="1045" customWidth="1"/>
    <col min="106" max="106" width="8.7109375" style="1045" customWidth="1"/>
    <col min="107" max="107" width="6.7109375" style="1045" bestFit="1" customWidth="1"/>
    <col min="108" max="108" width="8.42578125" style="1045" customWidth="1"/>
    <col min="109" max="109" width="1.85546875" style="1045" customWidth="1"/>
    <col min="110" max="110" width="9.140625" style="1045"/>
    <col min="111" max="111" width="6" style="1045" customWidth="1"/>
    <col min="112" max="112" width="5.85546875" style="1045" customWidth="1"/>
    <col min="113" max="113" width="1.85546875" style="1045" hidden="1" customWidth="1" outlineLevel="1"/>
    <col min="114" max="114" width="0" style="1045" hidden="1" customWidth="1" outlineLevel="1"/>
    <col min="115" max="115" width="6" style="1045" hidden="1" customWidth="1" outlineLevel="1"/>
    <col min="116" max="116" width="5.85546875" style="1045" hidden="1" customWidth="1" outlineLevel="1"/>
    <col min="117" max="117" width="9.140625" style="1045" collapsed="1"/>
    <col min="118" max="16384" width="9.140625" style="1045"/>
  </cols>
  <sheetData>
    <row r="1" spans="1:116">
      <c r="A1" s="1041" t="str">
        <f>'qtrP&amp;L'!A1</f>
        <v>The Gap, Inc.</v>
      </c>
      <c r="B1" s="1042"/>
      <c r="C1" s="1041"/>
      <c r="D1" s="1041"/>
      <c r="E1" s="1043"/>
      <c r="F1" s="1041"/>
      <c r="G1" s="1044"/>
      <c r="H1" s="1044"/>
      <c r="I1" s="1041"/>
      <c r="J1" s="1041"/>
      <c r="K1" s="1044"/>
      <c r="L1" s="1044"/>
      <c r="M1" s="1043"/>
      <c r="N1" s="1044"/>
      <c r="O1" s="1044"/>
      <c r="P1" s="1044"/>
      <c r="Q1" s="1044"/>
      <c r="R1" s="1044"/>
      <c r="S1" s="1044"/>
      <c r="T1" s="1044"/>
      <c r="U1" s="1066"/>
      <c r="V1" s="1041"/>
      <c r="W1" s="1044"/>
      <c r="X1" s="1044"/>
      <c r="Y1" s="1041"/>
      <c r="Z1" s="1041"/>
      <c r="AA1" s="1044"/>
      <c r="AB1" s="1044"/>
      <c r="AC1" s="1043"/>
      <c r="AD1" s="1044"/>
      <c r="AE1" s="1044"/>
      <c r="AF1" s="1044"/>
      <c r="AG1" s="1044"/>
      <c r="AH1" s="1044"/>
      <c r="AI1" s="1044"/>
      <c r="AJ1" s="1044"/>
      <c r="AK1" s="1066"/>
      <c r="AL1" s="1044"/>
      <c r="AM1" s="1044"/>
      <c r="AN1" s="1044"/>
      <c r="AO1" s="1066"/>
      <c r="AP1" s="1044"/>
      <c r="AQ1" s="1044"/>
      <c r="AR1" s="1044"/>
      <c r="AS1" s="1066"/>
      <c r="AT1" s="1044"/>
      <c r="AU1" s="1044"/>
      <c r="AV1" s="1044"/>
      <c r="AW1" s="1066"/>
      <c r="AX1" s="1044"/>
      <c r="AY1" s="1044"/>
      <c r="AZ1" s="1044"/>
      <c r="BA1" s="1066"/>
      <c r="BB1" s="1044"/>
      <c r="BC1" s="1044"/>
      <c r="BD1" s="1044"/>
      <c r="BE1" s="1066"/>
      <c r="BF1" s="1044"/>
      <c r="BG1" s="1044"/>
      <c r="BH1" s="1044"/>
      <c r="BI1" s="1044"/>
      <c r="BJ1" s="1044"/>
      <c r="BK1" s="1044"/>
      <c r="BL1" s="1044"/>
      <c r="BM1" s="1044"/>
      <c r="BN1" s="1044"/>
      <c r="BO1" s="1044"/>
      <c r="BP1" s="1044"/>
      <c r="BQ1" s="1044"/>
      <c r="BR1" s="1044"/>
      <c r="BS1" s="1044"/>
      <c r="BT1" s="1044"/>
      <c r="BU1" s="1044"/>
      <c r="BV1" s="1044"/>
      <c r="BW1" s="1044"/>
      <c r="BX1" s="1044"/>
      <c r="BY1" s="1044"/>
      <c r="BZ1" s="1044"/>
      <c r="CA1" s="1044"/>
      <c r="CB1" s="1044"/>
      <c r="CC1" s="1044"/>
      <c r="CD1" s="1044"/>
      <c r="CE1" s="1044"/>
      <c r="CF1" s="1044"/>
      <c r="CG1" s="1044"/>
      <c r="CH1" s="1044"/>
      <c r="CI1" s="1044"/>
      <c r="CJ1" s="1044"/>
      <c r="CK1" s="1044"/>
      <c r="CL1" s="1044"/>
      <c r="CM1" s="1044"/>
      <c r="CN1" s="1044"/>
    </row>
    <row r="2" spans="1:116">
      <c r="A2" s="1046" t="s">
        <v>819</v>
      </c>
      <c r="B2" s="1047"/>
      <c r="C2" s="1046"/>
      <c r="D2" s="1046"/>
      <c r="E2" s="1048"/>
      <c r="F2" s="1046"/>
      <c r="G2" s="1046"/>
      <c r="H2" s="1046"/>
      <c r="I2" s="1046"/>
      <c r="J2" s="1046"/>
      <c r="K2" s="1046"/>
      <c r="L2" s="1046"/>
      <c r="M2" s="1048"/>
      <c r="N2" s="1046"/>
      <c r="O2" s="1046"/>
      <c r="P2" s="1046"/>
      <c r="Q2" s="1046"/>
      <c r="R2" s="1046"/>
      <c r="S2" s="1046"/>
      <c r="T2" s="1046"/>
      <c r="U2" s="1048"/>
      <c r="V2" s="1046"/>
      <c r="W2" s="1046"/>
      <c r="X2" s="1046"/>
      <c r="Y2" s="1046"/>
      <c r="Z2" s="1046"/>
      <c r="AA2" s="1046"/>
      <c r="AB2" s="1046"/>
      <c r="AC2" s="1048"/>
      <c r="AD2" s="1046"/>
      <c r="AE2" s="1046"/>
      <c r="AF2" s="1046"/>
      <c r="AG2" s="1046"/>
      <c r="AH2" s="1046"/>
      <c r="AI2" s="1046"/>
      <c r="AJ2" s="1046"/>
      <c r="AK2" s="1048"/>
      <c r="AL2" s="1046"/>
      <c r="AM2" s="1046"/>
      <c r="AN2" s="1046"/>
      <c r="AO2" s="1048"/>
      <c r="AP2" s="1046"/>
      <c r="AQ2" s="1046"/>
      <c r="AR2" s="1046"/>
      <c r="AS2" s="1048"/>
      <c r="AT2" s="1046"/>
      <c r="AU2" s="1046"/>
      <c r="AV2" s="1046"/>
      <c r="AW2" s="1048"/>
      <c r="AX2" s="1046"/>
      <c r="AY2" s="1046"/>
      <c r="AZ2" s="1046"/>
      <c r="BA2" s="1048"/>
      <c r="BB2" s="1046"/>
      <c r="BC2" s="1046"/>
      <c r="BD2" s="1046"/>
      <c r="BE2" s="1048"/>
      <c r="BF2" s="1046"/>
      <c r="BG2" s="1046"/>
      <c r="BH2" s="1046"/>
      <c r="BI2" s="1044"/>
      <c r="BJ2" s="1052"/>
      <c r="BK2" s="1051"/>
      <c r="BL2" s="1051"/>
      <c r="BM2" s="1044"/>
      <c r="BN2" s="1052"/>
      <c r="BO2" s="1051"/>
      <c r="BP2" s="1051"/>
      <c r="BQ2" s="1044"/>
      <c r="BR2" s="1052"/>
      <c r="BS2" s="1051"/>
      <c r="BT2" s="1051"/>
      <c r="BU2" s="1044"/>
      <c r="BV2" s="1052"/>
      <c r="BW2" s="1051"/>
      <c r="BX2" s="1051"/>
      <c r="BY2" s="1044"/>
      <c r="BZ2" s="1052"/>
      <c r="CA2" s="1051"/>
      <c r="CB2" s="1051"/>
      <c r="CC2" s="1044"/>
      <c r="CD2" s="1052"/>
      <c r="CE2" s="1051"/>
      <c r="CF2" s="1051"/>
      <c r="CG2" s="1044"/>
      <c r="CH2" s="1052"/>
      <c r="CI2" s="1051"/>
      <c r="CJ2" s="1051"/>
      <c r="CK2" s="1044"/>
      <c r="CL2" s="1052"/>
      <c r="CM2" s="1051"/>
      <c r="CN2" s="1051"/>
      <c r="CP2" s="1065"/>
      <c r="CQ2" s="1065"/>
      <c r="CR2" s="1065"/>
      <c r="CT2" s="1065"/>
      <c r="CU2" s="1065"/>
      <c r="CV2" s="1065"/>
      <c r="CX2" s="1065"/>
      <c r="CY2" s="1065"/>
      <c r="CZ2" s="1065"/>
      <c r="DB2" s="1065"/>
      <c r="DC2" s="1065"/>
      <c r="DD2" s="1065"/>
      <c r="DF2" s="1065"/>
      <c r="DG2" s="1065"/>
      <c r="DH2" s="1065"/>
      <c r="DJ2" s="1065"/>
      <c r="DK2" s="1065"/>
      <c r="DL2" s="1065"/>
    </row>
    <row r="3" spans="1:116">
      <c r="A3" s="1070" t="str">
        <f>bal!A3</f>
        <v>At January 31 of the following year</v>
      </c>
    </row>
    <row r="4" spans="1:116">
      <c r="A4" s="1238" t="s">
        <v>569</v>
      </c>
      <c r="B4" s="1070"/>
      <c r="C4" s="1070"/>
      <c r="D4" s="1070"/>
      <c r="E4" s="1070"/>
      <c r="F4" s="1070"/>
      <c r="G4" s="1070"/>
      <c r="H4" s="1070"/>
      <c r="I4" s="1070"/>
      <c r="J4" s="1070"/>
      <c r="K4" s="1070"/>
      <c r="L4" s="1070"/>
      <c r="M4" s="1070"/>
      <c r="N4" s="1070"/>
      <c r="O4" s="1070"/>
      <c r="P4" s="1070"/>
      <c r="Q4" s="1070"/>
      <c r="R4" s="1070"/>
      <c r="S4" s="1070"/>
      <c r="T4" s="1070"/>
      <c r="U4" s="1070"/>
      <c r="V4" s="1070"/>
      <c r="W4" s="1070"/>
      <c r="X4" s="1070"/>
      <c r="Y4" s="1070"/>
      <c r="Z4" s="1070"/>
      <c r="AA4" s="1070"/>
      <c r="AB4" s="1070"/>
      <c r="AC4" s="1070"/>
      <c r="AD4" s="1070"/>
      <c r="AE4" s="1070"/>
      <c r="AF4" s="1070"/>
      <c r="AG4" s="1070"/>
      <c r="AH4" s="1070"/>
      <c r="AI4" s="1070"/>
      <c r="AJ4" s="1070"/>
      <c r="AK4" s="1070"/>
      <c r="AL4" s="1070"/>
      <c r="AM4" s="1070"/>
      <c r="AN4" s="1070"/>
      <c r="AO4" s="1070"/>
      <c r="AP4" s="1070"/>
      <c r="AQ4" s="1070"/>
      <c r="AR4" s="1070"/>
      <c r="AS4" s="1070"/>
      <c r="AT4" s="1070"/>
      <c r="AU4" s="1070"/>
      <c r="AV4" s="1070"/>
      <c r="AW4" s="1070"/>
      <c r="AX4" s="1070"/>
      <c r="AY4" s="1070"/>
      <c r="AZ4" s="1070"/>
      <c r="BA4" s="1070"/>
      <c r="BB4" s="1070"/>
      <c r="BC4" s="1070"/>
      <c r="BD4" s="1070"/>
      <c r="BE4" s="1070"/>
      <c r="BF4" s="1070"/>
      <c r="BG4" s="1070"/>
      <c r="BH4" s="1070"/>
      <c r="BI4" s="1070"/>
      <c r="BJ4" s="1062"/>
      <c r="BK4" s="1062"/>
      <c r="BL4" s="1062"/>
      <c r="BM4" s="1070"/>
      <c r="BN4" s="1062"/>
      <c r="BO4" s="1062"/>
      <c r="BP4" s="1062"/>
      <c r="BQ4" s="1070"/>
      <c r="BR4" s="1062"/>
      <c r="BS4" s="1062"/>
      <c r="BT4" s="1062"/>
      <c r="BU4" s="1070"/>
      <c r="BV4" s="1062"/>
      <c r="BW4" s="1062"/>
      <c r="BX4" s="1062"/>
      <c r="BY4" s="1070"/>
      <c r="BZ4" s="1062"/>
      <c r="CA4" s="1062"/>
      <c r="CB4" s="1062"/>
      <c r="CC4" s="1070"/>
      <c r="CD4" s="1062"/>
      <c r="CE4" s="1062"/>
      <c r="CF4" s="1062"/>
      <c r="CG4" s="1070"/>
      <c r="CH4" s="1062"/>
      <c r="CI4" s="1062"/>
      <c r="CJ4" s="1062"/>
      <c r="CK4" s="1070"/>
      <c r="CL4" s="1062"/>
      <c r="CM4" s="1062"/>
      <c r="CN4" s="1062"/>
    </row>
    <row r="5" spans="1:116">
      <c r="BJ5" s="1247"/>
      <c r="BK5" s="1248"/>
      <c r="BL5" s="1249"/>
      <c r="BN5" s="1247"/>
      <c r="BO5" s="1248"/>
      <c r="BP5" s="1249"/>
      <c r="BR5" s="1247"/>
      <c r="BS5" s="1248"/>
      <c r="BT5" s="1249"/>
      <c r="BV5" s="1247"/>
      <c r="BW5" s="1248"/>
      <c r="BX5" s="1249"/>
      <c r="BZ5" s="1247"/>
      <c r="CA5" s="1248"/>
      <c r="CB5" s="1249"/>
      <c r="CD5" s="1247"/>
      <c r="CE5" s="1248"/>
      <c r="CF5" s="1249"/>
      <c r="CH5" s="1247"/>
      <c r="CI5" s="1248"/>
      <c r="CJ5" s="1249"/>
      <c r="CL5" s="1247"/>
      <c r="CM5" s="1248"/>
      <c r="CN5" s="1249"/>
    </row>
    <row r="6" spans="1:116">
      <c r="G6" s="1250"/>
      <c r="H6" s="1250"/>
      <c r="K6" s="1250"/>
      <c r="L6" s="1250"/>
      <c r="O6" s="1250"/>
      <c r="P6" s="1250"/>
      <c r="S6" s="1250"/>
      <c r="T6" s="1250"/>
      <c r="W6" s="1250"/>
      <c r="X6" s="1250"/>
      <c r="AA6" s="1250"/>
      <c r="AB6" s="1250"/>
      <c r="AE6" s="1250"/>
      <c r="AF6" s="1250"/>
      <c r="AI6" s="1250"/>
      <c r="AJ6" s="1250"/>
      <c r="AL6" s="1250"/>
      <c r="AM6" s="1250"/>
      <c r="AN6" s="1250"/>
      <c r="AP6" s="1250"/>
      <c r="AQ6" s="1250"/>
      <c r="AR6" s="1250"/>
      <c r="AT6" s="1250"/>
      <c r="AU6" s="1250"/>
      <c r="AV6" s="1250"/>
      <c r="AX6" s="1250"/>
      <c r="AY6" s="1250"/>
      <c r="AZ6" s="1250"/>
      <c r="BB6" s="1250"/>
      <c r="BC6" s="1250"/>
      <c r="BD6" s="1250"/>
      <c r="BF6" s="1250"/>
      <c r="BG6" s="1250"/>
      <c r="BH6" s="1250"/>
      <c r="BJ6" s="1251"/>
      <c r="BK6" s="1248"/>
      <c r="BL6" s="1249"/>
      <c r="BN6" s="1251"/>
      <c r="BO6" s="1248"/>
      <c r="BP6" s="1249"/>
      <c r="BR6" s="1251"/>
      <c r="BS6" s="1248"/>
      <c r="BT6" s="1249"/>
      <c r="BV6" s="1251"/>
      <c r="BW6" s="1248"/>
      <c r="BX6" s="1249"/>
      <c r="BZ6" s="1251"/>
      <c r="CA6" s="1248"/>
      <c r="CB6" s="1249"/>
      <c r="CD6" s="1251"/>
      <c r="CE6" s="1248"/>
      <c r="CF6" s="1249"/>
      <c r="CH6" s="1251"/>
      <c r="CI6" s="1248"/>
      <c r="CJ6" s="1249"/>
      <c r="CL6" s="1251"/>
      <c r="CM6" s="1248"/>
      <c r="CN6" s="1249"/>
    </row>
    <row r="7" spans="1:116">
      <c r="D7" s="1252">
        <v>1990</v>
      </c>
      <c r="E7" s="1050"/>
      <c r="F7" s="1051">
        <f>D7+1</f>
        <v>1991</v>
      </c>
      <c r="G7" s="1051"/>
      <c r="H7" s="1051"/>
      <c r="I7" s="1050"/>
      <c r="J7" s="1051">
        <f>F7+1</f>
        <v>1992</v>
      </c>
      <c r="K7" s="1051"/>
      <c r="L7" s="1051"/>
      <c r="M7" s="1050"/>
      <c r="N7" s="1051">
        <f>J7+1</f>
        <v>1993</v>
      </c>
      <c r="O7" s="1051"/>
      <c r="P7" s="1051"/>
      <c r="Q7" s="1050"/>
      <c r="R7" s="1051">
        <f>N7+1</f>
        <v>1994</v>
      </c>
      <c r="S7" s="1051"/>
      <c r="T7" s="1051"/>
      <c r="U7" s="1050"/>
      <c r="V7" s="1051">
        <f>R7+1</f>
        <v>1995</v>
      </c>
      <c r="W7" s="1051"/>
      <c r="X7" s="1051"/>
      <c r="Y7" s="1050"/>
      <c r="Z7" s="1051">
        <f>V7+1</f>
        <v>1996</v>
      </c>
      <c r="AA7" s="1051"/>
      <c r="AB7" s="1051"/>
      <c r="AC7" s="1050"/>
      <c r="AD7" s="1051">
        <f>Z7+1</f>
        <v>1997</v>
      </c>
      <c r="AE7" s="1051"/>
      <c r="AF7" s="1051"/>
      <c r="AG7" s="1050"/>
      <c r="AH7" s="1051">
        <f>AD7+1</f>
        <v>1998</v>
      </c>
      <c r="AI7" s="1051"/>
      <c r="AJ7" s="1051"/>
      <c r="AK7" s="1050"/>
      <c r="AL7" s="1051">
        <f>AH7+1</f>
        <v>1999</v>
      </c>
      <c r="AM7" s="1051"/>
      <c r="AN7" s="1051"/>
      <c r="AP7" s="1051">
        <f>AL7+1</f>
        <v>2000</v>
      </c>
      <c r="AQ7" s="1051"/>
      <c r="AR7" s="1051"/>
      <c r="AT7" s="1051">
        <f>AP7+1</f>
        <v>2001</v>
      </c>
      <c r="AU7" s="1051"/>
      <c r="AV7" s="1051"/>
      <c r="AX7" s="1051">
        <f>AT7+1</f>
        <v>2002</v>
      </c>
      <c r="AY7" s="1051"/>
      <c r="AZ7" s="1051"/>
      <c r="BB7" s="1053">
        <f>AX7+1</f>
        <v>2003</v>
      </c>
      <c r="BC7" s="1051"/>
      <c r="BD7" s="1051"/>
      <c r="BF7" s="1053">
        <f>BB7+1</f>
        <v>2004</v>
      </c>
      <c r="BG7" s="1051"/>
      <c r="BH7" s="1051"/>
      <c r="BJ7" s="1053">
        <f>BF7+1</f>
        <v>2005</v>
      </c>
      <c r="BK7" s="1051"/>
      <c r="BL7" s="1051"/>
      <c r="BN7" s="1053">
        <f>BJ7+1</f>
        <v>2006</v>
      </c>
      <c r="BO7" s="1051"/>
      <c r="BP7" s="1051"/>
      <c r="BR7" s="1053">
        <f>BN7+1</f>
        <v>2007</v>
      </c>
      <c r="BS7" s="1051"/>
      <c r="BT7" s="1051"/>
      <c r="BV7" s="1053">
        <f>BR7+1</f>
        <v>2008</v>
      </c>
      <c r="BW7" s="1051"/>
      <c r="BX7" s="1051"/>
      <c r="BZ7" s="1053">
        <f>BV7+1</f>
        <v>2009</v>
      </c>
      <c r="CA7" s="1051"/>
      <c r="CB7" s="1051"/>
      <c r="CD7" s="1053" t="s">
        <v>468</v>
      </c>
      <c r="CE7" s="1051"/>
      <c r="CF7" s="1051"/>
      <c r="CH7" s="1053" t="s">
        <v>29</v>
      </c>
      <c r="CI7" s="1051"/>
      <c r="CJ7" s="1051"/>
      <c r="CL7" s="1053" t="s">
        <v>126</v>
      </c>
      <c r="CM7" s="1051"/>
      <c r="CN7" s="1051"/>
      <c r="CP7" s="1053" t="s">
        <v>371</v>
      </c>
      <c r="CQ7" s="1051"/>
      <c r="CR7" s="1051"/>
      <c r="CT7" s="1053" t="s">
        <v>677</v>
      </c>
      <c r="CU7" s="1051"/>
      <c r="CV7" s="1051"/>
      <c r="CX7" s="1053" t="s">
        <v>712</v>
      </c>
      <c r="CY7" s="1051"/>
      <c r="CZ7" s="1051"/>
      <c r="DB7" s="1053" t="s">
        <v>755</v>
      </c>
      <c r="DC7" s="1051"/>
      <c r="DD7" s="1051"/>
      <c r="DG7" s="1053" t="s">
        <v>756</v>
      </c>
      <c r="DK7" s="1053" t="s">
        <v>791</v>
      </c>
    </row>
    <row r="9" spans="1:116">
      <c r="A9" s="1253" t="s">
        <v>650</v>
      </c>
      <c r="B9" s="1161"/>
      <c r="D9" s="1161"/>
      <c r="F9" s="1062"/>
      <c r="G9" s="1062"/>
      <c r="H9" s="1062"/>
      <c r="I9" s="1062"/>
      <c r="J9" s="1062"/>
      <c r="K9" s="1062"/>
      <c r="L9" s="1062"/>
      <c r="M9" s="1254"/>
      <c r="N9" s="1254"/>
      <c r="O9" s="1062"/>
      <c r="P9" s="1062"/>
      <c r="Q9" s="1062"/>
      <c r="R9" s="1062"/>
      <c r="S9" s="1062"/>
      <c r="T9" s="1062"/>
      <c r="U9" s="1062"/>
      <c r="V9" s="1062"/>
      <c r="W9" s="1062"/>
      <c r="X9" s="1062"/>
      <c r="Y9" s="1062"/>
      <c r="Z9" s="1062"/>
      <c r="AA9" s="1062"/>
      <c r="AB9" s="1062"/>
      <c r="AC9" s="1254"/>
      <c r="AD9" s="1254"/>
      <c r="AE9" s="1062"/>
      <c r="AF9" s="1062"/>
      <c r="AG9" s="1062"/>
      <c r="AH9" s="1062"/>
      <c r="AI9" s="1062"/>
      <c r="AJ9" s="1062"/>
      <c r="AK9" s="1062"/>
      <c r="AL9" s="1062"/>
      <c r="AM9" s="1062"/>
      <c r="AN9" s="1062"/>
      <c r="AP9" s="1062"/>
      <c r="AQ9" s="1062"/>
      <c r="AR9" s="1062"/>
      <c r="AT9" s="1062"/>
      <c r="AU9" s="1062"/>
      <c r="AV9" s="1062"/>
      <c r="AX9" s="1062"/>
      <c r="AY9" s="1062"/>
      <c r="AZ9" s="1062"/>
      <c r="BB9" s="1062"/>
      <c r="BC9" s="1062"/>
      <c r="BD9" s="1062"/>
      <c r="BF9" s="1062"/>
      <c r="BG9" s="1062"/>
      <c r="BH9" s="1062"/>
      <c r="BJ9" s="1062"/>
      <c r="BK9" s="1062"/>
      <c r="BL9" s="1062"/>
      <c r="BN9" s="1062"/>
      <c r="BO9" s="1062"/>
      <c r="BP9" s="1062"/>
      <c r="BR9" s="1062"/>
      <c r="BS9" s="1062"/>
      <c r="BT9" s="1062"/>
      <c r="BV9" s="1062"/>
      <c r="BW9" s="1062"/>
      <c r="BX9" s="1062"/>
      <c r="BZ9" s="1062"/>
      <c r="CA9" s="1062"/>
      <c r="CB9" s="1062"/>
      <c r="CD9" s="1062"/>
      <c r="CE9" s="1062"/>
      <c r="CF9" s="1062"/>
      <c r="CH9" s="1062"/>
      <c r="CI9" s="1062"/>
      <c r="CJ9" s="1062"/>
      <c r="CL9" s="1062"/>
      <c r="CM9" s="1062"/>
      <c r="CN9" s="1062"/>
    </row>
    <row r="10" spans="1:116">
      <c r="A10" s="1045" t="str">
        <f>'qtrP&amp;L'!A10</f>
        <v>1Q</v>
      </c>
      <c r="B10" s="1045" t="str">
        <f>'qtrP&amp;L'!B10</f>
        <v>Apr</v>
      </c>
      <c r="D10" s="1247">
        <v>224.2</v>
      </c>
      <c r="F10" s="1247">
        <v>268.60000000000002</v>
      </c>
      <c r="G10" s="1248">
        <f>(F10/D10-1)*100</f>
        <v>19.803746654772535</v>
      </c>
      <c r="H10" s="1249">
        <f>'qtrP&amp;L'!K10</f>
        <v>21.853626530936854</v>
      </c>
      <c r="I10" s="1255"/>
      <c r="J10" s="1247">
        <v>310.245</v>
      </c>
      <c r="K10" s="1248">
        <f>(J10/F10-1)*100</f>
        <v>15.504467609828732</v>
      </c>
      <c r="L10" s="1249">
        <f>'qtrP&amp;L'!O10</f>
        <v>20.102794207627994</v>
      </c>
      <c r="M10" s="1255"/>
      <c r="N10" s="1247">
        <v>361.74700000000001</v>
      </c>
      <c r="O10" s="1248">
        <f>(N10/J10-1)*100</f>
        <v>16.600428693451953</v>
      </c>
      <c r="P10" s="1249">
        <f>'qtrP&amp;L'!S10</f>
        <v>9.2917889359852133</v>
      </c>
      <c r="Q10" s="1255"/>
      <c r="R10" s="1247">
        <v>346.54399999999998</v>
      </c>
      <c r="S10" s="1248">
        <f>(R10/N10-1)*100</f>
        <v>-4.2026609757648377</v>
      </c>
      <c r="T10" s="1249">
        <f>'qtrP&amp;L'!W10</f>
        <v>16.795114826439583</v>
      </c>
      <c r="U10" s="1255"/>
      <c r="V10" s="1247">
        <v>408.952</v>
      </c>
      <c r="W10" s="1248">
        <f>(V10/R10-1)*100</f>
        <v>18.008679994459587</v>
      </c>
      <c r="X10" s="1249">
        <f>'qtrP&amp;L'!AA10</f>
        <v>12.906993760559814</v>
      </c>
      <c r="Y10" s="1255"/>
      <c r="Z10" s="1247">
        <v>489.71899999999999</v>
      </c>
      <c r="AA10" s="1248">
        <f>(Z10/V10-1)*100</f>
        <v>19.749750581975391</v>
      </c>
      <c r="AB10" s="1249">
        <f>'qtrP&amp;L'!AE10</f>
        <v>31.161746130497892</v>
      </c>
      <c r="AC10" s="1255"/>
      <c r="AD10" s="1247">
        <v>628.69299999999998</v>
      </c>
      <c r="AE10" s="1248">
        <f>(AD10/Z10-1)*100</f>
        <v>28.378314911204171</v>
      </c>
      <c r="AF10" s="1249">
        <f>'qtrP&amp;L'!AI10</f>
        <v>10.603384617043087</v>
      </c>
      <c r="AG10" s="1255"/>
      <c r="AH10" s="1247">
        <v>823.30499999999995</v>
      </c>
      <c r="AI10" s="1248">
        <f>(AH10/AD10-1)*100</f>
        <v>30.955013019072908</v>
      </c>
      <c r="AJ10" s="1249">
        <f>'qtrP&amp;L'!AM10</f>
        <v>39.679301096666151</v>
      </c>
      <c r="AK10" s="1255"/>
      <c r="AL10" s="1247">
        <v>1198.4970000000001</v>
      </c>
      <c r="AM10" s="1248">
        <f>(AL10/AH10-1)*100</f>
        <v>45.571446790679062</v>
      </c>
      <c r="AN10" s="1249">
        <f>'qtrP&amp;L'!AQ10</f>
        <v>32.448572784280152</v>
      </c>
      <c r="AP10" s="1247">
        <v>1652.049</v>
      </c>
      <c r="AQ10" s="1248">
        <f>(AP10/AL10-1)*100</f>
        <v>37.843398857068465</v>
      </c>
      <c r="AR10" s="1249">
        <f>'qtrP&amp;L'!AU10</f>
        <v>19.943329642530692</v>
      </c>
      <c r="AT10" s="1247">
        <v>2119.9670000000001</v>
      </c>
      <c r="AU10" s="1248">
        <f>(AT10/AP10-1)*100</f>
        <v>28.323494036799168</v>
      </c>
      <c r="AV10" s="1249">
        <f>'qtrP&amp;L'!AY10</f>
        <v>16.386077547868048</v>
      </c>
      <c r="AX10" s="1247">
        <v>1792.713</v>
      </c>
      <c r="AY10" s="1248">
        <f>(AX10/AT10-1)*100</f>
        <v>-15.436749722990973</v>
      </c>
      <c r="AZ10" s="1249">
        <f>'qtrP&amp;L'!BC10</f>
        <v>-9.083246741156902</v>
      </c>
      <c r="BB10" s="1247">
        <v>2111.3879999999999</v>
      </c>
      <c r="BC10" s="1248">
        <f>(BB10/AX10-1)*100</f>
        <v>17.77613036777219</v>
      </c>
      <c r="BD10" s="1249">
        <f>'qtrP&amp;L'!BG10</f>
        <v>15.979127174108566</v>
      </c>
      <c r="BF10" s="1247">
        <v>1815.7539999999999</v>
      </c>
      <c r="BG10" s="1248">
        <f>(BF10/BB10-1)*100</f>
        <v>-14.001879332458078</v>
      </c>
      <c r="BH10" s="1249">
        <f>'qtrP&amp;L'!BK10</f>
        <v>9.3890695189143614</v>
      </c>
      <c r="BJ10" s="1247">
        <v>1917.239</v>
      </c>
      <c r="BK10" s="1248">
        <f>(BJ10/BF10-1)*100</f>
        <v>5.5891381762066983</v>
      </c>
      <c r="BL10" s="1249">
        <f>'qtrP&amp;L'!BO10</f>
        <v>-1.1253242955475917</v>
      </c>
      <c r="BN10" s="1247">
        <v>1906.2329999999999</v>
      </c>
      <c r="BO10" s="1248">
        <f>(BN10/BJ10-1)*100</f>
        <v>-0.57405466924050907</v>
      </c>
      <c r="BP10" s="1249">
        <f>'qtrP&amp;L'!BS10</f>
        <v>-5.1648611957169521</v>
      </c>
      <c r="BR10" s="1247">
        <v>1814</v>
      </c>
      <c r="BS10" s="1248">
        <f>(BR10/BN10-1)*100</f>
        <v>-4.8384956088788673</v>
      </c>
      <c r="BT10" s="1249">
        <f>'qtrP&amp;L'!BW10</f>
        <v>3.198604245420178</v>
      </c>
      <c r="BV10" s="1247">
        <v>1555</v>
      </c>
      <c r="BW10" s="1248">
        <f>(BV10/BR10-1)*100</f>
        <v>-14.277839029768469</v>
      </c>
      <c r="BX10" s="1249">
        <f>'qtrP&amp;L'!CA10</f>
        <v>-4.6491969568892682</v>
      </c>
      <c r="BZ10" s="1256">
        <v>1393</v>
      </c>
      <c r="CA10" s="1248">
        <f>(BZ10/BV10-1)*100</f>
        <v>-10.418006430868164</v>
      </c>
      <c r="CB10" s="1249">
        <f>'qtrP&amp;L'!CE10</f>
        <v>-7.5945626477541328</v>
      </c>
      <c r="CD10" s="1256">
        <v>1534</v>
      </c>
      <c r="CE10" s="1248">
        <f>(CD10/BZ10-1)*100</f>
        <v>10.122038765254837</v>
      </c>
      <c r="CF10" s="1249">
        <f>'qtrP&amp;L'!CI10</f>
        <v>6.4598656859609749</v>
      </c>
      <c r="CH10" s="1256">
        <v>1713</v>
      </c>
      <c r="CI10" s="1248">
        <f>(CH10/CD10-1)*100</f>
        <v>11.668839634941319</v>
      </c>
      <c r="CJ10" s="1249">
        <f>'qtrP&amp;L'!CM10</f>
        <v>-1.0213277260438525</v>
      </c>
      <c r="CL10" s="1256">
        <v>1591</v>
      </c>
      <c r="CM10" s="1248">
        <f>(CL10/CH10-1)*100</f>
        <v>-7.1220081727962681</v>
      </c>
      <c r="CN10" s="1249">
        <f>'qtrP&amp;L'!CQ10</f>
        <v>5.8270106221547824</v>
      </c>
      <c r="CP10" s="1256">
        <v>1723</v>
      </c>
      <c r="CQ10" s="1248">
        <f>(CP10/CL10-1)*100</f>
        <v>8.2966687617850319</v>
      </c>
      <c r="CR10" s="1249">
        <f>'qtrP&amp;L'!CU10</f>
        <v>6.9400630914826511</v>
      </c>
      <c r="CT10" s="1256">
        <v>1909</v>
      </c>
      <c r="CU10" s="1248">
        <f>(CT10/CP10-1)*100</f>
        <v>10.795124782356357</v>
      </c>
      <c r="CV10" s="1249">
        <f>'qtrP&amp;L'!CY10</f>
        <v>1.2067578439259874</v>
      </c>
      <c r="CX10" s="1256">
        <v>2010</v>
      </c>
      <c r="CY10" s="1248">
        <f>(CX10/CT10-1)*100</f>
        <v>5.2907281299109377</v>
      </c>
      <c r="CZ10" s="1249">
        <f>'qtrP&amp;L'!DC10</f>
        <v>-3.1001589825119247</v>
      </c>
      <c r="DB10" s="1256">
        <v>1958</v>
      </c>
      <c r="DC10" s="1248">
        <f>(DB10/CX10-1)*100</f>
        <v>-2.5870646766169125</v>
      </c>
      <c r="DD10" s="1249">
        <f>'qtrP&amp;L'!DG10</f>
        <v>-5.9885151763740758</v>
      </c>
      <c r="DF10" s="1256">
        <v>1961</v>
      </c>
      <c r="DG10" s="1248">
        <f>(DF10/DB10-1)*100</f>
        <v>0.15321756894790539</v>
      </c>
      <c r="DH10" s="1249">
        <f>'qtrP&amp;L'!DK10</f>
        <v>5.8173356602675419E-2</v>
      </c>
      <c r="DJ10" s="1256"/>
      <c r="DK10" s="1248">
        <f>(DJ10/DF10-1)*100</f>
        <v>-100</v>
      </c>
      <c r="DL10" s="1249">
        <f>'qtrP&amp;L'!DS10</f>
        <v>-7</v>
      </c>
    </row>
    <row r="11" spans="1:116">
      <c r="A11" s="1045" t="str">
        <f>'qtrP&amp;L'!A11</f>
        <v>2Q</v>
      </c>
      <c r="B11" s="1045" t="str">
        <f>'qtrP&amp;L'!B11</f>
        <v>Jul</v>
      </c>
      <c r="D11" s="1251">
        <v>225.5</v>
      </c>
      <c r="F11" s="1251">
        <v>307.49</v>
      </c>
      <c r="G11" s="1248">
        <f>(F11/D11-1)*100</f>
        <v>36.359201773835913</v>
      </c>
      <c r="H11" s="1249">
        <f>'qtrP&amp;L'!K11</f>
        <v>29.1509051941254</v>
      </c>
      <c r="I11" s="1255"/>
      <c r="J11" s="1251">
        <v>441.46300000000002</v>
      </c>
      <c r="K11" s="1248">
        <f>(J11/F11-1)*100</f>
        <v>43.569872190965555</v>
      </c>
      <c r="L11" s="1249">
        <f>'qtrP&amp;L'!O11</f>
        <v>17.408843412560039</v>
      </c>
      <c r="M11" s="1255"/>
      <c r="N11" s="1251">
        <v>404.3</v>
      </c>
      <c r="O11" s="1248">
        <f>(N11/J11-1)*100</f>
        <v>-8.4181460280929539</v>
      </c>
      <c r="P11" s="1249">
        <f>'qtrP&amp;L'!S11</f>
        <v>12.876762294948495</v>
      </c>
      <c r="Q11" s="1255"/>
      <c r="R11" s="1251">
        <v>416.166</v>
      </c>
      <c r="S11" s="1248">
        <f>(R11/N11-1)*100</f>
        <v>2.9349492950779155</v>
      </c>
      <c r="T11" s="1249">
        <f>'qtrP&amp;L'!W11</f>
        <v>11.53201421828296</v>
      </c>
      <c r="U11" s="1255"/>
      <c r="V11" s="1251">
        <v>508.64100000000002</v>
      </c>
      <c r="W11" s="1248">
        <f>(V11/R11-1)*100</f>
        <v>22.220700393592942</v>
      </c>
      <c r="X11" s="1249">
        <f>'qtrP&amp;L'!AA11</f>
        <v>12.337236509724757</v>
      </c>
      <c r="Y11" s="1255"/>
      <c r="Z11" s="1251">
        <v>573.08000000000004</v>
      </c>
      <c r="AA11" s="1248">
        <f>(Z11/V11-1)*100</f>
        <v>12.668856816497298</v>
      </c>
      <c r="AB11" s="1249">
        <f>'qtrP&amp;L'!AE11</f>
        <v>28.994466410443586</v>
      </c>
      <c r="AC11" s="1255"/>
      <c r="AD11" s="1251">
        <v>791.92499999999995</v>
      </c>
      <c r="AE11" s="1248">
        <f>(AD11/Z11-1)*100</f>
        <v>38.187513087178026</v>
      </c>
      <c r="AF11" s="1249">
        <f>'qtrP&amp;L'!AI11</f>
        <v>20.073103134330349</v>
      </c>
      <c r="AG11" s="1255"/>
      <c r="AH11" s="1251">
        <v>1102.693</v>
      </c>
      <c r="AI11" s="1248">
        <f>(AH11/AD11-1)*100</f>
        <v>39.242099946333298</v>
      </c>
      <c r="AJ11" s="1249">
        <f>'qtrP&amp;L'!AM11</f>
        <v>41.610188957799508</v>
      </c>
      <c r="AK11" s="1255"/>
      <c r="AL11" s="1251">
        <v>1502.2550000000001</v>
      </c>
      <c r="AM11" s="1248">
        <f>(AL11/AH11-1)*100</f>
        <v>36.235108049112497</v>
      </c>
      <c r="AN11" s="1249">
        <f>'qtrP&amp;L'!AQ11</f>
        <v>28.786227604634185</v>
      </c>
      <c r="AP11" s="1251">
        <v>2080.8560000000002</v>
      </c>
      <c r="AQ11" s="1248">
        <f>(AP11/AL11-1)*100</f>
        <v>38.515498367454271</v>
      </c>
      <c r="AR11" s="1249">
        <f>'qtrP&amp;L'!AU11</f>
        <v>20.151108346624746</v>
      </c>
      <c r="AT11" s="1251">
        <v>2305.1489999999999</v>
      </c>
      <c r="AU11" s="1248">
        <f>(AT11/AP11-1)*100</f>
        <v>10.778881383430639</v>
      </c>
      <c r="AV11" s="1249">
        <f>'qtrP&amp;L'!AY11</f>
        <v>10.092736269529535</v>
      </c>
      <c r="AX11" s="1251">
        <v>2087.4850000000001</v>
      </c>
      <c r="AY11" s="1248">
        <f>(AX11/AT11-1)*100</f>
        <v>-9.4425132605310935</v>
      </c>
      <c r="AZ11" s="1249">
        <f>'qtrP&amp;L'!BC11</f>
        <v>0.71150822178718265</v>
      </c>
      <c r="BB11" s="1251">
        <v>2273.645</v>
      </c>
      <c r="BC11" s="1248">
        <f>(BB11/AX11-1)*100</f>
        <v>8.9179083921560931</v>
      </c>
      <c r="BD11" s="1249">
        <f>'qtrP&amp;L'!BG11</f>
        <v>12.758585556016877</v>
      </c>
      <c r="BF11" s="1251">
        <v>2087.4749999999999</v>
      </c>
      <c r="BG11" s="1248">
        <f>(BF11/BB11-1)*100</f>
        <v>-8.1881736154940654</v>
      </c>
      <c r="BH11" s="1249">
        <f>'qtrP&amp;L'!BK11</f>
        <v>0.96301548395394398</v>
      </c>
      <c r="BJ11" s="1251">
        <v>2077.4960000000001</v>
      </c>
      <c r="BK11" s="1248">
        <f>(BJ11/BF11-1)*100</f>
        <v>-0.4780416531934395</v>
      </c>
      <c r="BL11" s="1249">
        <f>'qtrP&amp;L'!BO11</f>
        <v>-0.12070020632721778</v>
      </c>
      <c r="BN11" s="1251">
        <v>2017.3320000000001</v>
      </c>
      <c r="BO11" s="1248">
        <f>(BN11/BJ11-1)*100</f>
        <v>-2.8959863219953252</v>
      </c>
      <c r="BP11" s="1249">
        <f>'qtrP&amp;L'!BS11</f>
        <v>-6.183573007331189E-2</v>
      </c>
      <c r="BR11" s="1251">
        <v>1969</v>
      </c>
      <c r="BS11" s="1248">
        <f>(BR11/BN11-1)*100</f>
        <v>-2.3958376707453266</v>
      </c>
      <c r="BT11" s="1249">
        <f>'qtrP&amp;L'!BW11</f>
        <v>-0.78082929456112504</v>
      </c>
      <c r="BV11" s="1251">
        <v>1700</v>
      </c>
      <c r="BW11" s="1248">
        <f>(BV11/BR11-1)*100</f>
        <v>-13.66175723717623</v>
      </c>
      <c r="BX11" s="1249">
        <f>'qtrP&amp;L'!CA11</f>
        <v>-5.0474898236092303</v>
      </c>
      <c r="BZ11" s="1256">
        <v>1473</v>
      </c>
      <c r="CA11" s="1248">
        <f>(BZ11/BV11-1)*100</f>
        <v>-13.352941176470591</v>
      </c>
      <c r="CB11" s="1249">
        <f>'qtrP&amp;L'!CE11</f>
        <v>-7.2592169191197486</v>
      </c>
      <c r="CD11" s="1256">
        <v>1632</v>
      </c>
      <c r="CE11" s="1248">
        <f>(CD11/BZ11-1)*100</f>
        <v>10.794297352342163</v>
      </c>
      <c r="CF11" s="1249">
        <f>'qtrP&amp;L'!CI11</f>
        <v>2.2187981510015442</v>
      </c>
      <c r="CH11" s="1256">
        <v>1750</v>
      </c>
      <c r="CI11" s="1248">
        <f>(CH11/CD11-1)*100</f>
        <v>7.2303921568627416</v>
      </c>
      <c r="CJ11" s="1249">
        <f>'qtrP&amp;L'!CM11</f>
        <v>2.080192945432624</v>
      </c>
      <c r="CL11" s="1256">
        <v>1668</v>
      </c>
      <c r="CM11" s="1248">
        <f>(CL11/CH11-1)*100</f>
        <v>-4.6857142857142815</v>
      </c>
      <c r="CN11" s="1249">
        <f>'qtrP&amp;L'!CQ11</f>
        <v>5.5818074424099251</v>
      </c>
      <c r="CP11" s="1256">
        <v>1837</v>
      </c>
      <c r="CQ11" s="1248">
        <f>(CP11/CL11-1)*100</f>
        <v>10.131894484412474</v>
      </c>
      <c r="CR11" s="1249">
        <f>'qtrP&amp;L'!CU11</f>
        <v>8.1958041958041896</v>
      </c>
      <c r="CT11" s="1256">
        <v>1948</v>
      </c>
      <c r="CU11" s="1248">
        <f>(CT11/CP11-1)*100</f>
        <v>6.0424605334784998</v>
      </c>
      <c r="CV11" s="1249">
        <f>'qtrP&amp;L'!CY11</f>
        <v>2.9214064115822058</v>
      </c>
      <c r="CX11" s="1257">
        <v>2005</v>
      </c>
      <c r="CY11" s="1248">
        <f>(CX11/CT11-1)*100</f>
        <v>2.9260780287474253</v>
      </c>
      <c r="CZ11" s="1249">
        <f>'qtrP&amp;L'!DC11</f>
        <v>-2.084903290630491</v>
      </c>
      <c r="DA11" s="1248"/>
      <c r="DB11" s="1256">
        <v>1951</v>
      </c>
      <c r="DC11" s="1248">
        <f>(DB11/CX11-1)*100</f>
        <v>-2.6932668329177067</v>
      </c>
      <c r="DD11" s="1249">
        <f>'qtrP&amp;L'!DG11</f>
        <v>-1.2057465366854814</v>
      </c>
      <c r="DF11" s="1256">
        <v>2051</v>
      </c>
      <c r="DG11" s="1555">
        <f>(DF11/DB11-1)*100</f>
        <v>5.1255766273705872</v>
      </c>
      <c r="DH11" s="1249">
        <f>'qtrP&amp;L'!DK11</f>
        <v>-1.3502986237340919</v>
      </c>
      <c r="DJ11" s="1256"/>
      <c r="DK11" s="1555">
        <f>(DJ11/DF11-1)*100</f>
        <v>-100</v>
      </c>
      <c r="DL11" s="1249">
        <f>'qtrP&amp;L'!DS11</f>
        <v>-3</v>
      </c>
    </row>
    <row r="12" spans="1:116">
      <c r="A12" s="1045" t="str">
        <f>'qtrP&amp;L'!A12</f>
        <v>3Q</v>
      </c>
      <c r="B12" s="1045" t="str">
        <f>'qtrP&amp;L'!B12</f>
        <v>Oct</v>
      </c>
      <c r="D12" s="1251">
        <v>285.3</v>
      </c>
      <c r="F12" s="1251">
        <v>374.35700000000003</v>
      </c>
      <c r="G12" s="1248">
        <f>(F12/D12-1)*100</f>
        <v>31.215212057483367</v>
      </c>
      <c r="H12" s="1249">
        <f>'qtrP&amp;L'!K12</f>
        <v>39.937411548964505</v>
      </c>
      <c r="I12" s="1255"/>
      <c r="J12" s="1251">
        <v>493.26100000000002</v>
      </c>
      <c r="K12" s="1248">
        <f>(J12/F12-1)*100</f>
        <v>31.76219491020602</v>
      </c>
      <c r="L12" s="1249">
        <f>'qtrP&amp;L'!O12</f>
        <v>17.82916365169531</v>
      </c>
      <c r="M12" s="1255"/>
      <c r="N12" s="1251">
        <v>496.64699999999999</v>
      </c>
      <c r="O12" s="1248">
        <f>(N12/J12-1)*100</f>
        <v>0.68645200005674756</v>
      </c>
      <c r="P12" s="1249">
        <f>'qtrP&amp;L'!S12</f>
        <v>8.6379472499522603</v>
      </c>
      <c r="Q12" s="1255"/>
      <c r="R12" s="1251">
        <v>537.34299999999996</v>
      </c>
      <c r="S12" s="1248">
        <f>(R12/N12-1)*100</f>
        <v>8.1941499696967846</v>
      </c>
      <c r="T12" s="1249">
        <f>'qtrP&amp;L'!W12</f>
        <v>9.9778897201107775</v>
      </c>
      <c r="U12" s="1255"/>
      <c r="V12" s="1251">
        <v>704.84699999999998</v>
      </c>
      <c r="W12" s="1248">
        <f>(V12/R12-1)*100</f>
        <v>31.172640194438195</v>
      </c>
      <c r="X12" s="1249">
        <f>'qtrP&amp;L'!AA12</f>
        <v>16.955904106456664</v>
      </c>
      <c r="Y12" s="1255"/>
      <c r="Z12" s="1251">
        <v>711.93399999999997</v>
      </c>
      <c r="AA12" s="1248">
        <f>(Z12/V12-1)*100</f>
        <v>1.0054664345595654</v>
      </c>
      <c r="AB12" s="1249">
        <f>'qtrP&amp;L'!AE12</f>
        <v>19.643680537472452</v>
      </c>
      <c r="AC12" s="1255"/>
      <c r="AD12" s="1251">
        <v>980.53099999999995</v>
      </c>
      <c r="AE12" s="1248">
        <f>(AD12/Z12-1)*100</f>
        <v>37.727794992232418</v>
      </c>
      <c r="AF12" s="1249">
        <f>'qtrP&amp;L'!AI12</f>
        <v>27.689378711145942</v>
      </c>
      <c r="AG12" s="1255"/>
      <c r="AH12" s="1251">
        <v>1374.9159999999999</v>
      </c>
      <c r="AI12" s="1248">
        <f>(AH12/AD12-1)*100</f>
        <v>40.22157382071552</v>
      </c>
      <c r="AJ12" s="1249">
        <f>'qtrP&amp;L'!AM12</f>
        <v>35.90208948327205</v>
      </c>
      <c r="AK12" s="1255"/>
      <c r="AL12" s="1251">
        <v>1825.038</v>
      </c>
      <c r="AM12" s="1248">
        <f>(AL12/AH12-1)*100</f>
        <v>32.73814545761342</v>
      </c>
      <c r="AN12" s="1249">
        <f>'qtrP&amp;L'!AQ12</f>
        <v>26.893832699708508</v>
      </c>
      <c r="AP12" s="1251">
        <v>2567.502</v>
      </c>
      <c r="AQ12" s="1248">
        <f>(AP12/AL12-1)*100</f>
        <v>40.682111824520902</v>
      </c>
      <c r="AR12" s="1249">
        <f>'qtrP&amp;L'!AU12</f>
        <v>12.125950536319529</v>
      </c>
      <c r="AT12" s="1251">
        <v>2837.5340000000001</v>
      </c>
      <c r="AU12" s="1248">
        <f>(AT12/AP12-1)*100</f>
        <v>10.51730436821472</v>
      </c>
      <c r="AV12" s="1249">
        <f>'qtrP&amp;L'!AY12</f>
        <v>-2.3807585393367692</v>
      </c>
      <c r="AX12" s="1251">
        <v>2821.4409999999998</v>
      </c>
      <c r="AY12" s="1248">
        <f>(AX12/AT12-1)*100</f>
        <v>-0.56714738924715791</v>
      </c>
      <c r="AZ12" s="1249">
        <f>'qtrP&amp;L'!BC12</f>
        <v>9.3473787661926941</v>
      </c>
      <c r="BB12" s="1251">
        <v>2594.5079999999998</v>
      </c>
      <c r="BC12" s="1248">
        <f>(BB12/AX12-1)*100</f>
        <v>-8.0431595060821763</v>
      </c>
      <c r="BD12" s="1249">
        <f>'qtrP&amp;L'!BG12</f>
        <v>7.8053068404666526</v>
      </c>
      <c r="BF12" s="1251">
        <v>2629.2890000000002</v>
      </c>
      <c r="BG12" s="1248">
        <f>(BF12/BB12-1)*100</f>
        <v>1.3405624496050983</v>
      </c>
      <c r="BH12" s="1249">
        <f>'qtrP&amp;L'!BK12</f>
        <v>1.2901022431603737</v>
      </c>
      <c r="BJ12" s="1251">
        <v>2545.8789999999999</v>
      </c>
      <c r="BK12" s="1248">
        <f>(BJ12/BF12-1)*100</f>
        <v>-3.1723405072626165</v>
      </c>
      <c r="BL12" s="1249">
        <f>'qtrP&amp;L'!BO12</f>
        <v>-3.0210921698931026</v>
      </c>
      <c r="BN12" s="1251">
        <v>2617.0210000000002</v>
      </c>
      <c r="BO12" s="1248">
        <f>(BN12/BJ12-1)*100</f>
        <v>2.7943983197944666</v>
      </c>
      <c r="BP12" s="1249">
        <f>'qtrP&amp;L'!BS12</f>
        <v>-0.23073100743904451</v>
      </c>
      <c r="BR12" s="1251">
        <v>2480</v>
      </c>
      <c r="BS12" s="1248">
        <f>(BR12/BN12-1)*100</f>
        <v>-5.2357623419911459</v>
      </c>
      <c r="BT12" s="1249">
        <f>'qtrP&amp;L'!BW12</f>
        <v>7.7901843676975169E-2</v>
      </c>
      <c r="BV12" s="1251">
        <v>2224</v>
      </c>
      <c r="BW12" s="1248">
        <f>(BV12/BR12-1)*100</f>
        <v>-10.322580645161295</v>
      </c>
      <c r="BX12" s="1249">
        <f>'qtrP&amp;L'!CA12</f>
        <v>-7.6024909185262057</v>
      </c>
      <c r="BZ12" s="1256">
        <v>1999</v>
      </c>
      <c r="CA12" s="1248">
        <f>(BZ12/BV12-1)*100</f>
        <v>-10.116906474820142</v>
      </c>
      <c r="CB12" s="1249">
        <f>'qtrP&amp;L'!CE12</f>
        <v>0.78629598427408798</v>
      </c>
      <c r="CD12" s="1256">
        <v>2160</v>
      </c>
      <c r="CE12" s="1248">
        <f>(CD12/BZ12-1)*100</f>
        <v>8.0540270135067473</v>
      </c>
      <c r="CF12" s="1249">
        <f>'qtrP&amp;L'!CI12</f>
        <v>1.8110894399554267</v>
      </c>
      <c r="CH12" s="1256">
        <v>2322</v>
      </c>
      <c r="CI12" s="1248">
        <f>(CH12/CD12-1)*100</f>
        <v>7.4999999999999956</v>
      </c>
      <c r="CJ12" s="1249">
        <f>'qtrP&amp;L'!CM12</f>
        <v>-1.8883415435139606</v>
      </c>
      <c r="CL12" s="1256">
        <v>2269</v>
      </c>
      <c r="CM12" s="1248">
        <f>(CL12/CH12-1)*100</f>
        <v>-2.2825150732127431</v>
      </c>
      <c r="CN12" s="1249">
        <f>'qtrP&amp;L'!CQ12</f>
        <v>7.7824267782426793</v>
      </c>
      <c r="CP12" s="1256">
        <v>2471</v>
      </c>
      <c r="CQ12" s="1248">
        <f>(CP12/CL12-1)*100</f>
        <v>8.9026002644336799</v>
      </c>
      <c r="CR12" s="1249">
        <f>'qtrP&amp;L'!CU12</f>
        <v>2.8985507246376718</v>
      </c>
      <c r="CT12" s="1256">
        <v>2553</v>
      </c>
      <c r="CU12" s="1248">
        <f>(CT12/CP12-1)*100</f>
        <v>3.3184945366248497</v>
      </c>
      <c r="CV12" s="1249">
        <f>'qtrP&amp;L'!CY12</f>
        <v>-0.1006036217303774</v>
      </c>
      <c r="CX12" s="1251">
        <v>2498</v>
      </c>
      <c r="CY12" s="1248">
        <f>(CX12/CT12-1)*100</f>
        <v>-2.1543282412847642</v>
      </c>
      <c r="CZ12" s="1249">
        <f>'qtrP&amp;L'!DC12</f>
        <v>-2.8952668680765403</v>
      </c>
      <c r="DA12" s="1248"/>
      <c r="DB12" s="1256">
        <v>2398</v>
      </c>
      <c r="DC12" s="1248">
        <f t="shared" ref="DC12" si="0">(DB12/CX12-1)*100</f>
        <v>-4.0032025620496352</v>
      </c>
      <c r="DD12" s="1249">
        <f>'qtrP&amp;L'!DG12</f>
        <v>-1.5296862846772119</v>
      </c>
      <c r="DF12" s="1256">
        <v>2476</v>
      </c>
      <c r="DG12" s="1555">
        <f>(DF12/DB12-1)*100</f>
        <v>3.252710592160124</v>
      </c>
      <c r="DH12" s="1249">
        <f>'qtrP&amp;L'!DK12</f>
        <v>1.053185887309116</v>
      </c>
      <c r="DJ12" s="1256"/>
      <c r="DK12" s="1555">
        <f>(DJ12/DF12-1)*100</f>
        <v>-100</v>
      </c>
      <c r="DL12" s="1249">
        <f>'qtrP&amp;L'!DS12</f>
        <v>-2</v>
      </c>
    </row>
    <row r="13" spans="1:116">
      <c r="A13" s="1045" t="str">
        <f>'qtrP&amp;L'!A13</f>
        <v>4Q</v>
      </c>
      <c r="B13" s="1045" t="str">
        <f>'qtrP&amp;L'!B13</f>
        <v>Jan</v>
      </c>
      <c r="D13" s="1251">
        <v>247.5</v>
      </c>
      <c r="F13" s="1251">
        <v>192.58500000000001</v>
      </c>
      <c r="G13" s="1248">
        <f>(F13/D13-1)*100</f>
        <v>-22.187878787878791</v>
      </c>
      <c r="H13" s="1249">
        <f>'qtrP&amp;L'!K13</f>
        <v>28.613984370748135</v>
      </c>
      <c r="I13" s="1255"/>
      <c r="J13" s="1251">
        <v>365.69200000000001</v>
      </c>
      <c r="K13" s="1248">
        <f>(J13/F13-1)*100</f>
        <v>89.886024352883126</v>
      </c>
      <c r="L13" s="1249">
        <f>'qtrP&amp;L'!O13</f>
        <v>15.771794121856653</v>
      </c>
      <c r="M13" s="1255"/>
      <c r="N13" s="1251">
        <v>331.15499999999997</v>
      </c>
      <c r="O13" s="1248">
        <f>(N13/J13-1)*100</f>
        <v>-9.4442864487054745</v>
      </c>
      <c r="P13" s="1249">
        <f>'qtrP&amp;L'!S13</f>
        <v>13.977611483010822</v>
      </c>
      <c r="Q13" s="1255"/>
      <c r="R13" s="1251">
        <v>370.63799999999998</v>
      </c>
      <c r="S13" s="1248">
        <f>(R13/N13-1)*100</f>
        <v>11.922815599945658</v>
      </c>
      <c r="T13" s="1249">
        <f>'qtrP&amp;L'!W13</f>
        <v>14.106656102921056</v>
      </c>
      <c r="U13" s="1255"/>
      <c r="V13" s="1251">
        <v>482.57499999999999</v>
      </c>
      <c r="W13" s="1248">
        <f>(V13/R13-1)*100</f>
        <v>30.201166636988109</v>
      </c>
      <c r="X13" s="1249">
        <f>'qtrP&amp;L'!AA13</f>
        <v>25.816730630777339</v>
      </c>
      <c r="Y13" s="1255"/>
      <c r="Z13" s="1251">
        <v>578.76499999999999</v>
      </c>
      <c r="AA13" s="1248">
        <f>(Z13/V13-1)*100</f>
        <v>19.932652955499151</v>
      </c>
      <c r="AB13" s="1249">
        <f>'qtrP&amp;L'!AE13</f>
        <v>9.5770247062981753</v>
      </c>
      <c r="AC13" s="1255"/>
      <c r="AD13" s="1251">
        <v>733.17399999999998</v>
      </c>
      <c r="AE13" s="1248">
        <f>(AD13/Z13-1)*100</f>
        <v>26.67904935509231</v>
      </c>
      <c r="AF13" s="1249">
        <f>'qtrP&amp;L'!AI13</f>
        <v>29.832975197494328</v>
      </c>
      <c r="AG13" s="1255"/>
      <c r="AH13" s="1251">
        <v>1056.444</v>
      </c>
      <c r="AI13" s="1248">
        <f>(AH13/AD13-1)*100</f>
        <v>44.091852684355956</v>
      </c>
      <c r="AJ13" s="1249">
        <f>'qtrP&amp;L'!AM13</f>
        <v>39.915094997457842</v>
      </c>
      <c r="AK13" s="1255"/>
      <c r="AL13" s="1251">
        <v>1462.0450000000001</v>
      </c>
      <c r="AM13" s="1248">
        <f>(AL13/AH13-1)*100</f>
        <v>38.393043076585244</v>
      </c>
      <c r="AN13" s="1249">
        <f>'qtrP&amp;L'!AQ13</f>
        <v>27.364784582115441</v>
      </c>
      <c r="AP13" s="1251">
        <v>1904.153</v>
      </c>
      <c r="AQ13" s="1248">
        <f>(AP13/AL13-1)*100</f>
        <v>30.239014531016473</v>
      </c>
      <c r="AR13" s="1249">
        <f>'qtrP&amp;L'!AU13</f>
        <v>18.661839433066962</v>
      </c>
      <c r="AT13" s="1251">
        <v>1768.6130000000001</v>
      </c>
      <c r="AU13" s="1248">
        <f>(AT13/AP13-1)*100</f>
        <v>-7.1181254867649812</v>
      </c>
      <c r="AV13" s="1249">
        <f>'qtrP&amp;L'!AY13</f>
        <v>-10.689093548759054</v>
      </c>
      <c r="AX13" s="1251">
        <v>2047.8789999999999</v>
      </c>
      <c r="AY13" s="1248">
        <f>(AX13/AT13-1)*100</f>
        <v>15.790113495716685</v>
      </c>
      <c r="AZ13" s="1249">
        <f>'qtrP&amp;L'!BC13</f>
        <v>13.717125653330076</v>
      </c>
      <c r="BB13" s="1251">
        <v>1703.855</v>
      </c>
      <c r="BC13" s="1248">
        <f>(BB13/AX13-1)*100</f>
        <v>-16.799039396370585</v>
      </c>
      <c r="BD13" s="1249">
        <f>'qtrP&amp;L'!BG13</f>
        <v>5.0672987852760532</v>
      </c>
      <c r="BF13" s="1251">
        <v>1813.5809999999999</v>
      </c>
      <c r="BG13" s="1248">
        <f>(BF13/BB13-1)*100</f>
        <v>6.4398672422242509</v>
      </c>
      <c r="BH13" s="1249">
        <f>'qtrP&amp;L'!BK13</f>
        <v>0.25854108578660107</v>
      </c>
      <c r="BJ13" s="1251">
        <v>1695.9870000000001</v>
      </c>
      <c r="BK13" s="1248">
        <f>(BJ13/BF13-1)*100</f>
        <v>-6.4840776342495747</v>
      </c>
      <c r="BL13" s="1249">
        <f>'qtrP&amp;L'!BO13</f>
        <v>-1.5924809196845802</v>
      </c>
      <c r="BN13" s="1251">
        <v>1796</v>
      </c>
      <c r="BO13" s="1248">
        <f>(BN13/BJ13-1)*100</f>
        <v>5.8970381258818483</v>
      </c>
      <c r="BP13" s="1249">
        <f>'qtrP&amp;L'!BS13</f>
        <v>2.0352495590538089</v>
      </c>
      <c r="BR13" s="1251">
        <v>1575</v>
      </c>
      <c r="BS13" s="1248">
        <f>(BR13/BN13-1)*100</f>
        <v>-12.305122494432075</v>
      </c>
      <c r="BT13" s="1249">
        <f>'qtrP&amp;L'!BW13</f>
        <v>-4.9603577963000633</v>
      </c>
      <c r="BV13" s="1251">
        <v>1506</v>
      </c>
      <c r="BW13" s="1248">
        <f>(BV13/BR13-1)*100</f>
        <v>-4.3809523809523849</v>
      </c>
      <c r="BX13" s="1249">
        <f>'qtrP&amp;L'!CA13</f>
        <v>-12.684491978609625</v>
      </c>
      <c r="BZ13" s="1256">
        <v>1477</v>
      </c>
      <c r="CA13" s="1248">
        <f>(BZ13/BV13-1)*100</f>
        <v>-1.9256308100929598</v>
      </c>
      <c r="CB13" s="1249">
        <f>'qtrP&amp;L'!CE13</f>
        <v>3.7726604605585523</v>
      </c>
      <c r="CD13" s="1256">
        <v>1620</v>
      </c>
      <c r="CE13" s="1248">
        <f>(CD13/BZ13-1)*100</f>
        <v>9.6817874069058831</v>
      </c>
      <c r="CF13" s="1249">
        <f>'qtrP&amp;L'!CI13</f>
        <v>3.0217186024551479</v>
      </c>
      <c r="CH13" s="1256">
        <v>1615</v>
      </c>
      <c r="CI13" s="1248">
        <f>(CH13/CD13-1)*100</f>
        <v>-0.30864197530864335</v>
      </c>
      <c r="CJ13" s="1249">
        <f>'qtrP&amp;L'!CM13</f>
        <v>-1.8560953253895507</v>
      </c>
      <c r="CL13" s="1256">
        <v>1758</v>
      </c>
      <c r="CM13" s="1248">
        <f>(CL13/CH13-1)*100</f>
        <v>8.8544891640866865</v>
      </c>
      <c r="CN13" s="1249">
        <f>'qtrP&amp;L'!CQ13</f>
        <v>10.319869250525326</v>
      </c>
      <c r="CP13" s="1256">
        <v>1928</v>
      </c>
      <c r="CQ13" s="1248">
        <f>(CP13/CL13-1)*100</f>
        <v>9.6700796359499464</v>
      </c>
      <c r="CR13" s="1249">
        <f>'qtrP&amp;L'!CU13</f>
        <v>-3.1746031746031744</v>
      </c>
      <c r="CT13" s="1256">
        <v>1889</v>
      </c>
      <c r="CU13" s="1045">
        <f>(CT13/CP13-1)*100</f>
        <v>-2.0228215767634894</v>
      </c>
      <c r="CV13" s="1249">
        <f>'qtrP&amp;L'!CY13</f>
        <v>2.9071038251366144</v>
      </c>
      <c r="CX13" s="1256">
        <v>1873</v>
      </c>
      <c r="CY13" s="1068">
        <f>(CX13/CT13-1)*100</f>
        <v>-0.84700899947062203</v>
      </c>
      <c r="CZ13" s="1249">
        <f>'qtrP&amp;L'!DC13</f>
        <v>-6.860662701784193</v>
      </c>
      <c r="DB13" s="1436">
        <v>1830</v>
      </c>
      <c r="DC13" s="1068">
        <f>(DB13/CX13-1)*100</f>
        <v>-2.2957821676454881</v>
      </c>
      <c r="DD13" s="1249">
        <f>'qtrP&amp;L'!DG13</f>
        <v>1.0034207525655647</v>
      </c>
      <c r="DF13" s="1436">
        <v>1997</v>
      </c>
      <c r="DG13" s="1555">
        <f>(DF13/DB13-1)*100</f>
        <v>9.1256830601092798</v>
      </c>
      <c r="DH13" s="1249">
        <f>'qtrP&amp;L'!DK13</f>
        <v>7.8798825920072257</v>
      </c>
      <c r="DJ13" s="1436"/>
      <c r="DK13" s="1068"/>
      <c r="DL13" s="1249"/>
    </row>
    <row r="14" spans="1:116">
      <c r="CL14" s="1258"/>
      <c r="CN14" s="1259"/>
      <c r="CP14" s="1258"/>
      <c r="DB14" s="1258"/>
      <c r="DF14" s="1258"/>
      <c r="DJ14" s="1258"/>
    </row>
    <row r="15" spans="1:116">
      <c r="A15" s="1253" t="s">
        <v>652</v>
      </c>
      <c r="B15" s="1161"/>
      <c r="F15" s="1260"/>
      <c r="G15" s="1260"/>
      <c r="H15" s="1260"/>
      <c r="I15" s="1260"/>
      <c r="J15" s="1260"/>
      <c r="K15" s="1260"/>
      <c r="L15" s="1260"/>
      <c r="M15" s="1254"/>
      <c r="N15" s="1254"/>
      <c r="O15" s="1260"/>
      <c r="P15" s="1260"/>
      <c r="Q15" s="1260"/>
      <c r="R15" s="1260"/>
      <c r="S15" s="1260"/>
      <c r="T15" s="1260"/>
      <c r="U15" s="1260"/>
      <c r="V15" s="1260"/>
      <c r="W15" s="1260"/>
      <c r="X15" s="1260"/>
      <c r="Y15" s="1260"/>
      <c r="Z15" s="1260"/>
      <c r="AA15" s="1260"/>
      <c r="AB15" s="1260"/>
      <c r="AC15" s="1254"/>
      <c r="AD15" s="1254"/>
      <c r="AE15" s="1260"/>
      <c r="AF15" s="1260"/>
      <c r="AG15" s="1260"/>
      <c r="AH15" s="1260"/>
      <c r="AI15" s="1260"/>
      <c r="AJ15" s="1260"/>
      <c r="AK15" s="1260"/>
      <c r="AL15" s="1260"/>
      <c r="AM15" s="1260"/>
      <c r="AN15" s="1260"/>
      <c r="AP15" s="1260"/>
      <c r="AQ15" s="1260"/>
      <c r="AR15" s="1260"/>
      <c r="AT15" s="1260"/>
      <c r="AU15" s="1260"/>
      <c r="AV15" s="1260"/>
      <c r="AX15" s="1260"/>
      <c r="AY15" s="1260"/>
      <c r="AZ15" s="1260"/>
      <c r="BB15" s="1260"/>
      <c r="BC15" s="1260"/>
      <c r="BD15" s="1260"/>
      <c r="BF15" s="1260"/>
      <c r="BG15" s="1260"/>
      <c r="BH15" s="1260"/>
      <c r="BJ15" s="1260"/>
      <c r="BK15" s="1260"/>
      <c r="BL15" s="1260"/>
      <c r="BN15" s="1260"/>
      <c r="BO15" s="1260"/>
      <c r="BP15" s="1260"/>
      <c r="BR15" s="1260"/>
      <c r="BS15" s="1260"/>
      <c r="BT15" s="1260"/>
      <c r="BV15" s="1260"/>
      <c r="BW15" s="1260"/>
      <c r="BX15" s="1260"/>
      <c r="BZ15" s="1260"/>
      <c r="CA15" s="1260"/>
      <c r="CB15" s="1260"/>
      <c r="CD15" s="1260"/>
      <c r="CE15" s="1260"/>
      <c r="CF15" s="1260"/>
      <c r="CH15" s="1260"/>
      <c r="CI15" s="1260"/>
      <c r="CJ15" s="1260"/>
      <c r="CL15" s="1260"/>
      <c r="CM15" s="1260"/>
      <c r="CN15" s="1260"/>
      <c r="DB15" s="1258"/>
      <c r="DF15" s="1258"/>
      <c r="DJ15" s="1258"/>
    </row>
    <row r="16" spans="1:116">
      <c r="A16" s="1045" t="str">
        <f>$A$10</f>
        <v>1Q</v>
      </c>
      <c r="B16" s="1045" t="str">
        <f>$B$10</f>
        <v>Apr</v>
      </c>
      <c r="D16" s="1247">
        <v>35.6</v>
      </c>
      <c r="E16" s="1068"/>
      <c r="F16" s="1247">
        <v>52.5</v>
      </c>
      <c r="G16" s="1248">
        <f>(F16/D16-1)*100</f>
        <v>47.471910112359538</v>
      </c>
      <c r="H16" s="1249">
        <f>H$10</f>
        <v>21.853626530936854</v>
      </c>
      <c r="I16" s="1255"/>
      <c r="J16" s="1247">
        <v>67.545000000000002</v>
      </c>
      <c r="K16" s="1248">
        <f>(J16/F16-1)*100</f>
        <v>28.657142857142869</v>
      </c>
      <c r="L16" s="1249">
        <f>L$10</f>
        <v>20.102794207627994</v>
      </c>
      <c r="M16" s="1255"/>
      <c r="N16" s="1247">
        <v>94.347999999999999</v>
      </c>
      <c r="O16" s="1248">
        <f>(N16/J16-1)*100</f>
        <v>39.681693685691009</v>
      </c>
      <c r="P16" s="1249">
        <f>P$10</f>
        <v>9.2917889359852133</v>
      </c>
      <c r="Q16" s="1255"/>
      <c r="R16" s="1247">
        <f>78.409+18.42</f>
        <v>96.829000000000008</v>
      </c>
      <c r="S16" s="1248">
        <f>(R16/N16-1)*100</f>
        <v>2.6296264891677801</v>
      </c>
      <c r="T16" s="1249">
        <f>T$10</f>
        <v>16.795114826439583</v>
      </c>
      <c r="U16" s="1255"/>
      <c r="V16" s="1247">
        <v>113.89400000000001</v>
      </c>
      <c r="W16" s="1248">
        <f>(V16/D16-1)*100</f>
        <v>219.92696629213481</v>
      </c>
      <c r="X16" s="1249">
        <f>X$10</f>
        <v>12.906993760559814</v>
      </c>
      <c r="Y16" s="1255"/>
      <c r="Z16" s="1247">
        <v>146.791</v>
      </c>
      <c r="AA16" s="1248">
        <f>(Z16/V16-1)*100</f>
        <v>28.883874479779426</v>
      </c>
      <c r="AB16" s="1249">
        <f>AB$10</f>
        <v>31.161746130497892</v>
      </c>
      <c r="AC16" s="1255"/>
      <c r="AD16" s="1247">
        <v>151.13200000000001</v>
      </c>
      <c r="AE16" s="1248">
        <f>(AD16/Z16-1)*100</f>
        <v>2.9572657724247442</v>
      </c>
      <c r="AF16" s="1249">
        <f>AF$10</f>
        <v>10.603384617043087</v>
      </c>
      <c r="AG16" s="1255"/>
      <c r="AH16" s="1247">
        <v>184.815</v>
      </c>
      <c r="AI16" s="1248">
        <f>(AH16/AD16-1)*100</f>
        <v>22.2871397189212</v>
      </c>
      <c r="AJ16" s="1249">
        <f>AJ$10</f>
        <v>39.679301096666151</v>
      </c>
      <c r="AK16" s="1255"/>
      <c r="AL16" s="1247">
        <v>263.92700000000002</v>
      </c>
      <c r="AM16" s="1248">
        <f>(AL16/AH16-1)*100</f>
        <v>42.806049292535796</v>
      </c>
      <c r="AN16" s="1249">
        <f>AN$10</f>
        <v>32.448572784280152</v>
      </c>
      <c r="AP16" s="1247">
        <v>315.709</v>
      </c>
      <c r="AQ16" s="1248">
        <f>(AP16/AL16-1)*100</f>
        <v>19.619819116649673</v>
      </c>
      <c r="AR16" s="1249">
        <f>AR$10</f>
        <v>19.943329642530692</v>
      </c>
      <c r="AT16" s="1247">
        <v>347.95600000000002</v>
      </c>
      <c r="AU16" s="1248">
        <f>(AT16/AP16-1)*100</f>
        <v>10.214152906632368</v>
      </c>
      <c r="AV16" s="1249">
        <f>AV$10</f>
        <v>16.386077547868048</v>
      </c>
      <c r="AX16" s="1247">
        <v>341.60500000000002</v>
      </c>
      <c r="AY16" s="1248">
        <f>(AX16/AT16-1)*100</f>
        <v>-1.8252307763050535</v>
      </c>
      <c r="AZ16" s="1249">
        <f>AZ$10</f>
        <v>-9.083246741156902</v>
      </c>
      <c r="BB16" s="1247">
        <v>315.02100000000002</v>
      </c>
      <c r="BC16" s="1248">
        <f>(BB16/AX16-1)*100</f>
        <v>-7.7820874987192816</v>
      </c>
      <c r="BD16" s="1249">
        <f>BD$10</f>
        <v>15.979127174108566</v>
      </c>
      <c r="BF16" s="1247">
        <v>394.07400000000001</v>
      </c>
      <c r="BG16" s="1248">
        <f>(BF16/BB16-1)*100</f>
        <v>25.094517508356585</v>
      </c>
      <c r="BH16" s="1249">
        <f>BH$10</f>
        <v>9.3890695189143614</v>
      </c>
      <c r="BJ16" s="1247">
        <v>502.73599999999999</v>
      </c>
      <c r="BK16" s="1248">
        <f>(BJ16/BF16-1)*100</f>
        <v>27.574008942482877</v>
      </c>
      <c r="BL16" s="1249">
        <f>BL10</f>
        <v>-1.1253242955475917</v>
      </c>
      <c r="BN16" s="1247">
        <v>570.02499999999998</v>
      </c>
      <c r="BO16" s="1248">
        <f>(BN16/BJ16-1)*100</f>
        <v>13.384559689379705</v>
      </c>
      <c r="BP16" s="1249">
        <f>BP10</f>
        <v>-5.1648611957169521</v>
      </c>
      <c r="BR16" s="1247">
        <v>680</v>
      </c>
      <c r="BS16" s="1248">
        <f>(BR16/BN16-1)*100</f>
        <v>19.293013464321753</v>
      </c>
      <c r="BT16" s="1249">
        <f>BT10</f>
        <v>3.198604245420178</v>
      </c>
      <c r="BV16" s="1247">
        <v>635</v>
      </c>
      <c r="BW16" s="1248">
        <f>(BV16/BR16-1)*100</f>
        <v>-6.6176470588235281</v>
      </c>
      <c r="BX16" s="1249">
        <f>BX10</f>
        <v>-4.6491969568892682</v>
      </c>
      <c r="BZ16" s="1247">
        <v>647</v>
      </c>
      <c r="CA16" s="1248">
        <f>(BZ16/BV16-1)*100</f>
        <v>1.8897637795275646</v>
      </c>
      <c r="CB16" s="1249">
        <f>CB10</f>
        <v>-7.5945626477541328</v>
      </c>
      <c r="CD16" s="1247">
        <v>649</v>
      </c>
      <c r="CE16" s="1248">
        <f>(CD16/BZ16-1)*100</f>
        <v>0.30911901081915882</v>
      </c>
      <c r="CF16" s="1249">
        <f>CF10</f>
        <v>6.4598656859609749</v>
      </c>
      <c r="CH16" s="1247">
        <v>690</v>
      </c>
      <c r="CI16" s="1248">
        <f>(CH16/CD16-1)*100</f>
        <v>6.3174114021571581</v>
      </c>
      <c r="CJ16" s="1249">
        <f>CJ10</f>
        <v>-1.0213277260438525</v>
      </c>
      <c r="CL16" s="1247">
        <v>807</v>
      </c>
      <c r="CM16" s="1248">
        <f>(CL16/CH16-1)*100</f>
        <v>16.956521739130427</v>
      </c>
      <c r="CN16" s="1249">
        <f>CN10</f>
        <v>5.8270106221547824</v>
      </c>
      <c r="CP16" s="1247">
        <v>798</v>
      </c>
      <c r="CQ16" s="1248">
        <f>(CP16/CL16-1)*100</f>
        <v>-1.1152416356877359</v>
      </c>
      <c r="CR16" s="1249">
        <f>CR10</f>
        <v>6.9400630914826511</v>
      </c>
      <c r="CT16" s="1247">
        <v>867</v>
      </c>
      <c r="CU16" s="1248">
        <f>(CT16/CP16-1)*100</f>
        <v>8.6466165413533922</v>
      </c>
      <c r="CV16" s="1249">
        <f>CV10</f>
        <v>1.2067578439259874</v>
      </c>
      <c r="CX16" s="1247">
        <v>874</v>
      </c>
      <c r="CY16" s="1248">
        <f>(CX16/CT16-1)*100</f>
        <v>0.8073817762399127</v>
      </c>
      <c r="CZ16" s="1249">
        <f>CZ10</f>
        <v>-3.1001589825119247</v>
      </c>
      <c r="DB16" s="1256">
        <v>674</v>
      </c>
      <c r="DC16" s="1248">
        <f>(DB16/CX16-1)*100</f>
        <v>-22.883295194508012</v>
      </c>
      <c r="DD16" s="1249">
        <f>DD10</f>
        <v>-5.9885151763740758</v>
      </c>
      <c r="DF16" s="1256">
        <v>575</v>
      </c>
      <c r="DG16" s="1248">
        <f>(DF16/DB16-1)*100</f>
        <v>-14.688427299703266</v>
      </c>
      <c r="DH16" s="1249">
        <f>DH10</f>
        <v>5.8173356602675419E-2</v>
      </c>
      <c r="DJ16" s="1256"/>
      <c r="DK16" s="1248">
        <f>(DJ16/DF16-1)*100</f>
        <v>-100</v>
      </c>
      <c r="DL16" s="1249">
        <f>DL10</f>
        <v>-7</v>
      </c>
    </row>
    <row r="17" spans="1:116">
      <c r="A17" s="1045" t="str">
        <f>$A$11</f>
        <v>2Q</v>
      </c>
      <c r="B17" s="1045" t="str">
        <f>$B$11</f>
        <v>Jul</v>
      </c>
      <c r="D17" s="1251">
        <v>39.9</v>
      </c>
      <c r="E17" s="1230"/>
      <c r="F17" s="1251">
        <v>54.076999999999998</v>
      </c>
      <c r="G17" s="1248">
        <f>(F17/D17-1)*100</f>
        <v>35.531328320802011</v>
      </c>
      <c r="H17" s="1249">
        <f>H$11</f>
        <v>29.1509051941254</v>
      </c>
      <c r="I17" s="1255"/>
      <c r="J17" s="1251">
        <v>73.016000000000005</v>
      </c>
      <c r="K17" s="1248">
        <f>(J17/F17-1)*100</f>
        <v>35.022283040849175</v>
      </c>
      <c r="L17" s="1249">
        <f>L$11</f>
        <v>17.408843412560039</v>
      </c>
      <c r="M17" s="1255"/>
      <c r="N17" s="1251">
        <v>94.7</v>
      </c>
      <c r="O17" s="1248">
        <f>(N17/J17-1)*100</f>
        <v>29.697600525912126</v>
      </c>
      <c r="P17" s="1249">
        <f>P$11</f>
        <v>12.876762294948495</v>
      </c>
      <c r="Q17" s="1255"/>
      <c r="R17" s="1251">
        <f>79.159+15.409</f>
        <v>94.568000000000012</v>
      </c>
      <c r="S17" s="1248">
        <f>(R17/N17-1)*100</f>
        <v>-0.13938753959872319</v>
      </c>
      <c r="T17" s="1249">
        <f>T$11</f>
        <v>11.53201421828296</v>
      </c>
      <c r="U17" s="1255"/>
      <c r="V17" s="1251">
        <v>111.748</v>
      </c>
      <c r="W17" s="1248">
        <f>(V17/D17-1)*100</f>
        <v>180.07017543859649</v>
      </c>
      <c r="X17" s="1249">
        <f>X$11</f>
        <v>12.337236509724757</v>
      </c>
      <c r="Y17" s="1255"/>
      <c r="Z17" s="1251">
        <v>142.54900000000001</v>
      </c>
      <c r="AA17" s="1248">
        <f>(Z17/V17-1)*100</f>
        <v>27.562909403300285</v>
      </c>
      <c r="AB17" s="1249">
        <f>AB$11</f>
        <v>28.994466410443586</v>
      </c>
      <c r="AC17" s="1255"/>
      <c r="AD17" s="1251">
        <v>151.56200000000001</v>
      </c>
      <c r="AE17" s="1248">
        <f>(AD17/Z17-1)*100</f>
        <v>6.322738146181317</v>
      </c>
      <c r="AF17" s="1249">
        <f>AF$11</f>
        <v>20.073103134330349</v>
      </c>
      <c r="AG17" s="1255"/>
      <c r="AH17" s="1251">
        <v>186.589</v>
      </c>
      <c r="AI17" s="1248">
        <f>(AH17/AD17-1)*100</f>
        <v>23.110674179543665</v>
      </c>
      <c r="AJ17" s="1249">
        <f>AJ$11</f>
        <v>41.610188957799508</v>
      </c>
      <c r="AK17" s="1255"/>
      <c r="AL17" s="1251">
        <v>283.23</v>
      </c>
      <c r="AM17" s="1248">
        <f>(AL17/AH17-1)*100</f>
        <v>51.793514087111262</v>
      </c>
      <c r="AN17" s="1249">
        <f>AN$11</f>
        <v>28.786227604634185</v>
      </c>
      <c r="AP17" s="1251">
        <v>375.01299999999998</v>
      </c>
      <c r="AQ17" s="1248">
        <f>(AP17/AL17-1)*100</f>
        <v>32.405818592663181</v>
      </c>
      <c r="AR17" s="1249">
        <f>AR$11</f>
        <v>20.151108346624746</v>
      </c>
      <c r="AT17" s="1251">
        <v>394.18299999999999</v>
      </c>
      <c r="AU17" s="1248">
        <f>(AT17/AP17-1)*100</f>
        <v>5.1118227901432833</v>
      </c>
      <c r="AV17" s="1249">
        <f>AV$11</f>
        <v>10.092736269529535</v>
      </c>
      <c r="AX17" s="1251">
        <v>338.84</v>
      </c>
      <c r="AY17" s="1248">
        <f>(AX17/AT17-1)*100</f>
        <v>-14.039925618304194</v>
      </c>
      <c r="AZ17" s="1249">
        <f>AZ$11</f>
        <v>0.71150822178718265</v>
      </c>
      <c r="BB17" s="1251">
        <v>308.66500000000002</v>
      </c>
      <c r="BC17" s="1248">
        <f>(BB17/AX17-1)*100</f>
        <v>-8.9053830716562246</v>
      </c>
      <c r="BD17" s="1249">
        <f>BD$11</f>
        <v>12.758585556016877</v>
      </c>
      <c r="BF17" s="1251">
        <v>460.005</v>
      </c>
      <c r="BG17" s="1248">
        <f>(BF17/BB17-1)*100</f>
        <v>49.030502324526573</v>
      </c>
      <c r="BH17" s="1249">
        <f>BH$11</f>
        <v>0.96301548395394398</v>
      </c>
      <c r="BJ17" s="1251">
        <v>536.69899999999996</v>
      </c>
      <c r="BK17" s="1248">
        <f>(BJ17/BF17-1)*100</f>
        <v>16.672427473614416</v>
      </c>
      <c r="BL17" s="1249">
        <f>BL11</f>
        <v>-0.12070020632721778</v>
      </c>
      <c r="BN17" s="1251">
        <v>622.79</v>
      </c>
      <c r="BO17" s="1248">
        <f>(BN17/BJ17-1)*100</f>
        <v>16.040834806847037</v>
      </c>
      <c r="BP17" s="1249">
        <f>BP11</f>
        <v>-6.183573007331189E-2</v>
      </c>
      <c r="BR17" s="1251">
        <v>683</v>
      </c>
      <c r="BS17" s="1248">
        <f>(BR17/BN17-1)*100</f>
        <v>9.6677852887811397</v>
      </c>
      <c r="BT17" s="1249">
        <f>BT11</f>
        <v>-0.78082929456112504</v>
      </c>
      <c r="BV17" s="1251">
        <v>693</v>
      </c>
      <c r="BW17" s="1248">
        <f>(BV17/BR17-1)*100</f>
        <v>1.4641288433382194</v>
      </c>
      <c r="BX17" s="1249">
        <f>BX11</f>
        <v>-5.0474898236092303</v>
      </c>
      <c r="BZ17" s="1251">
        <v>672</v>
      </c>
      <c r="CA17" s="1248">
        <f>(BZ17/BV17-1)*100</f>
        <v>-3.0303030303030276</v>
      </c>
      <c r="CB17" s="1249">
        <f>CB11</f>
        <v>-7.2592169191197486</v>
      </c>
      <c r="CD17" s="1251">
        <v>718</v>
      </c>
      <c r="CE17" s="1248">
        <f>(CD17/BZ17-1)*100</f>
        <v>6.8452380952380931</v>
      </c>
      <c r="CF17" s="1249">
        <f>CF11</f>
        <v>2.2187981510015442</v>
      </c>
      <c r="CH17" s="1251">
        <v>752</v>
      </c>
      <c r="CI17" s="1248">
        <f>(CH17/CD17-1)*100</f>
        <v>4.7353760445682402</v>
      </c>
      <c r="CJ17" s="1249">
        <f>CJ11</f>
        <v>2.080192945432624</v>
      </c>
      <c r="CL17" s="1251">
        <v>758</v>
      </c>
      <c r="CM17" s="1248">
        <f>(CL17/CH17-1)*100</f>
        <v>0.79787234042554278</v>
      </c>
      <c r="CN17" s="1249">
        <f>CN11</f>
        <v>5.5818074424099251</v>
      </c>
      <c r="CP17" s="1251">
        <v>824</v>
      </c>
      <c r="CQ17" s="1248">
        <f>(CP17/CL17-1)*100</f>
        <v>8.7071240105540895</v>
      </c>
      <c r="CR17" s="1249">
        <f>CR11</f>
        <v>8.1958041958041896</v>
      </c>
      <c r="CT17" s="1251">
        <v>778</v>
      </c>
      <c r="CU17" s="1248">
        <f>(CT17/CP17-1)*100</f>
        <v>-5.5825242718446582</v>
      </c>
      <c r="CV17" s="1249">
        <f>CV11</f>
        <v>2.9214064115822058</v>
      </c>
      <c r="CX17" s="1251">
        <v>899</v>
      </c>
      <c r="CY17" s="1248">
        <f>(CX17/CT17-1)*100</f>
        <v>15.552699228791766</v>
      </c>
      <c r="CZ17" s="1249">
        <f>CZ11</f>
        <v>-2.084903290630491</v>
      </c>
      <c r="DB17" s="1256">
        <v>669</v>
      </c>
      <c r="DC17" s="1248">
        <f>(DB17/CX17-1)*100</f>
        <v>-25.583982202447164</v>
      </c>
      <c r="DD17" s="1249">
        <f>DD11</f>
        <v>-1.2057465366854814</v>
      </c>
      <c r="DF17" s="1256">
        <v>598</v>
      </c>
      <c r="DG17" s="1248">
        <f>(DF17/DB17-1)*100</f>
        <v>-10.612855007473843</v>
      </c>
      <c r="DH17" s="1249">
        <f>DH11</f>
        <v>-1.3502986237340919</v>
      </c>
      <c r="DJ17" s="1256"/>
      <c r="DK17" s="1248">
        <f>(DJ17/DF17-1)*100</f>
        <v>-100</v>
      </c>
      <c r="DL17" s="1249">
        <f>DL11</f>
        <v>-3</v>
      </c>
    </row>
    <row r="18" spans="1:116">
      <c r="A18" s="1045" t="str">
        <f>$A$12</f>
        <v>3Q</v>
      </c>
      <c r="B18" s="1045" t="str">
        <f>$B$12</f>
        <v>Oct</v>
      </c>
      <c r="D18" s="1251">
        <v>41.4</v>
      </c>
      <c r="E18" s="1230"/>
      <c r="F18" s="1251">
        <v>56.165999999999997</v>
      </c>
      <c r="G18" s="1248">
        <f>(F18/D18-1)*100</f>
        <v>35.666666666666671</v>
      </c>
      <c r="H18" s="1249">
        <f>H$12</f>
        <v>39.937411548964505</v>
      </c>
      <c r="I18" s="1255"/>
      <c r="J18" s="1251">
        <v>71.805000000000007</v>
      </c>
      <c r="K18" s="1248">
        <f>(J18/F18-1)*100</f>
        <v>27.844247409464828</v>
      </c>
      <c r="L18" s="1249">
        <f>L$12</f>
        <v>17.82916365169531</v>
      </c>
      <c r="M18" s="1255"/>
      <c r="N18" s="1251">
        <v>93.966999999999999</v>
      </c>
      <c r="O18" s="1248">
        <f>(N18/J18-1)*100</f>
        <v>30.86414595083906</v>
      </c>
      <c r="P18" s="1249">
        <f>P$12</f>
        <v>8.6379472499522603</v>
      </c>
      <c r="Q18" s="1255"/>
      <c r="R18" s="1251">
        <f>76.661+13.965</f>
        <v>90.626000000000005</v>
      </c>
      <c r="S18" s="1248">
        <f>(R18/N18-1)*100</f>
        <v>-3.5555035278342362</v>
      </c>
      <c r="T18" s="1249">
        <f>T$12</f>
        <v>9.9778897201107775</v>
      </c>
      <c r="U18" s="1255"/>
      <c r="V18" s="1251">
        <v>106.724</v>
      </c>
      <c r="W18" s="1248">
        <f>(V18/D18-1)*100</f>
        <v>157.7874396135266</v>
      </c>
      <c r="X18" s="1249">
        <f>X$12</f>
        <v>16.955904106456664</v>
      </c>
      <c r="Y18" s="1255"/>
      <c r="Z18" s="1251">
        <v>140.03299999999999</v>
      </c>
      <c r="AA18" s="1248">
        <f>(Z18/V18-1)*100</f>
        <v>31.210411903601788</v>
      </c>
      <c r="AB18" s="1249">
        <f>AB$12</f>
        <v>19.643680537472452</v>
      </c>
      <c r="AC18" s="1255"/>
      <c r="AD18" s="1251">
        <v>154.66999999999999</v>
      </c>
      <c r="AE18" s="1248">
        <f>(AD18/Z18-1)*100</f>
        <v>10.452536187898565</v>
      </c>
      <c r="AF18" s="1249">
        <f>AF$12</f>
        <v>27.689378711145942</v>
      </c>
      <c r="AG18" s="1255"/>
      <c r="AH18" s="1251">
        <v>195.01300000000001</v>
      </c>
      <c r="AI18" s="1248">
        <f>(AH18/AD18-1)*100</f>
        <v>26.083274067369256</v>
      </c>
      <c r="AJ18" s="1249">
        <f>AJ$12</f>
        <v>35.90208948327205</v>
      </c>
      <c r="AK18" s="1255"/>
      <c r="AL18" s="1251">
        <v>306.56700000000001</v>
      </c>
      <c r="AM18" s="1248">
        <f>(AL18/AH18-1)*100</f>
        <v>57.203365929450854</v>
      </c>
      <c r="AN18" s="1249">
        <f>AN$12</f>
        <v>26.893832699708508</v>
      </c>
      <c r="AP18" s="1251">
        <v>344.67700000000002</v>
      </c>
      <c r="AQ18" s="1248">
        <f>(AP18/AL18-1)*100</f>
        <v>12.431214057612205</v>
      </c>
      <c r="AR18" s="1249">
        <f>AR$12</f>
        <v>12.125950536319529</v>
      </c>
      <c r="AT18" s="1251">
        <v>355.47800000000001</v>
      </c>
      <c r="AU18" s="1248">
        <f>(AT18/AP18-1)*100</f>
        <v>3.1336584686532554</v>
      </c>
      <c r="AV18" s="1249">
        <f>AV$12</f>
        <v>-2.3807585393367692</v>
      </c>
      <c r="AX18" s="1251">
        <v>330.91399999999999</v>
      </c>
      <c r="AY18" s="1248">
        <f>(AX18/AT18-1)*100</f>
        <v>-6.9101322726019649</v>
      </c>
      <c r="AZ18" s="1249">
        <f>AZ$12</f>
        <v>9.3473787661926941</v>
      </c>
      <c r="BB18" s="1251">
        <v>335.15199999999999</v>
      </c>
      <c r="BC18" s="1248">
        <f>(BB18/AX18-1)*100</f>
        <v>1.2806952863886112</v>
      </c>
      <c r="BD18" s="1249">
        <f>BD$12</f>
        <v>7.8053068404666526</v>
      </c>
      <c r="BF18" s="1251">
        <v>386.93799999999999</v>
      </c>
      <c r="BG18" s="1248">
        <f>(BF18/BB18-1)*100</f>
        <v>15.451496634362915</v>
      </c>
      <c r="BH18" s="1249">
        <f>BH$12</f>
        <v>1.2901022431603737</v>
      </c>
      <c r="BJ18" s="1251">
        <v>594.04100000000005</v>
      </c>
      <c r="BK18" s="1248">
        <f>(BJ18/BF18-1)*100</f>
        <v>53.52356191431187</v>
      </c>
      <c r="BL18" s="1249">
        <f>BL12</f>
        <v>-3.0210921698931026</v>
      </c>
      <c r="BN18" s="1251">
        <v>546.05100000000004</v>
      </c>
      <c r="BO18" s="1248">
        <f>(BN18/BJ18-1)*100</f>
        <v>-8.0785669675998761</v>
      </c>
      <c r="BP18" s="1249">
        <f>BP12</f>
        <v>-0.23073100743904451</v>
      </c>
      <c r="BR18" s="1251">
        <v>682</v>
      </c>
      <c r="BS18" s="1248">
        <f>(BR18/BN18-1)*100</f>
        <v>24.896758727664615</v>
      </c>
      <c r="BT18" s="1249">
        <f>BT12</f>
        <v>7.7901843676975169E-2</v>
      </c>
      <c r="BV18" s="1251">
        <v>740</v>
      </c>
      <c r="BW18" s="1248">
        <f>(BV18/BR18-1)*100</f>
        <v>8.5043988269794646</v>
      </c>
      <c r="BX18" s="1249">
        <f>BX12</f>
        <v>-7.6024909185262057</v>
      </c>
      <c r="BZ18" s="1251">
        <v>636</v>
      </c>
      <c r="CA18" s="1248">
        <f>(BZ18/BV18-1)*100</f>
        <v>-14.054054054054054</v>
      </c>
      <c r="CB18" s="1249">
        <f>CB12</f>
        <v>0.78629598427408798</v>
      </c>
      <c r="CD18" s="1251">
        <v>663</v>
      </c>
      <c r="CE18" s="1248">
        <f>(CD18/BZ18-1)*100</f>
        <v>4.2452830188679291</v>
      </c>
      <c r="CF18" s="1249">
        <f>CF12</f>
        <v>1.8110894399554267</v>
      </c>
      <c r="CH18" s="1251">
        <v>815</v>
      </c>
      <c r="CI18" s="1248">
        <f>(CH18/CD18-1)*100</f>
        <v>22.926093514328816</v>
      </c>
      <c r="CJ18" s="1249">
        <f>CJ12</f>
        <v>-1.8883415435139606</v>
      </c>
      <c r="CL18" s="1251">
        <v>794</v>
      </c>
      <c r="CM18" s="1248">
        <f>(CL18/CH18-1)*100</f>
        <v>-2.5766871165644134</v>
      </c>
      <c r="CN18" s="1249">
        <f>CN12</f>
        <v>7.7824267782426793</v>
      </c>
      <c r="CP18" s="1251">
        <v>923</v>
      </c>
      <c r="CQ18" s="1248">
        <f>(CP18/CL18-1)*100</f>
        <v>16.246851385390435</v>
      </c>
      <c r="CR18" s="1249">
        <f>CR12</f>
        <v>2.8985507246376718</v>
      </c>
      <c r="CT18" s="1251">
        <v>816</v>
      </c>
      <c r="CU18" s="1248">
        <f>(CT18/CP18-1)*100</f>
        <v>-11.592632719393281</v>
      </c>
      <c r="CV18" s="1249">
        <f>CV12</f>
        <v>-0.1006036217303774</v>
      </c>
      <c r="CX18" s="1251">
        <v>821</v>
      </c>
      <c r="CY18" s="1248">
        <f>(CX18/CT18-1)*100</f>
        <v>0.61274509803921351</v>
      </c>
      <c r="CZ18" s="1249">
        <f>CZ12</f>
        <v>-2.8952668680765403</v>
      </c>
      <c r="DB18" s="1256">
        <v>751</v>
      </c>
      <c r="DC18" s="1248">
        <f t="shared" ref="DC18" si="1">(DB18/CX18-1)*100</f>
        <v>-8.5261875761266754</v>
      </c>
      <c r="DD18" s="1249">
        <f t="shared" ref="DD18:DD19" si="2">DD12</f>
        <v>-1.5296862846772119</v>
      </c>
      <c r="DF18" s="1256">
        <v>654</v>
      </c>
      <c r="DG18" s="1248">
        <f>(DF18/DB18-1)*100</f>
        <v>-12.916111850865509</v>
      </c>
      <c r="DH18" s="1249">
        <f>DH12</f>
        <v>1.053185887309116</v>
      </c>
      <c r="DJ18" s="1256"/>
      <c r="DK18" s="1248">
        <f>(DJ18/DF18-1)*100</f>
        <v>-100</v>
      </c>
      <c r="DL18" s="1249">
        <f>DL12</f>
        <v>-2</v>
      </c>
    </row>
    <row r="19" spans="1:116">
      <c r="A19" s="1045" t="str">
        <f>$A$13</f>
        <v>4Q</v>
      </c>
      <c r="B19" s="1045" t="str">
        <f>$B$13</f>
        <v>Jan</v>
      </c>
      <c r="D19" s="1251">
        <v>50.9</v>
      </c>
      <c r="E19" s="1230"/>
      <c r="F19" s="1251">
        <v>59.363999999999997</v>
      </c>
      <c r="G19" s="1248">
        <f>(F19/D19-1)*100</f>
        <v>16.628683693516688</v>
      </c>
      <c r="H19" s="1249">
        <f>H$13</f>
        <v>28.613984370748135</v>
      </c>
      <c r="I19" s="1255"/>
      <c r="J19" s="1251">
        <v>81.783000000000001</v>
      </c>
      <c r="K19" s="1248">
        <f>(J19/F19-1)*100</f>
        <v>37.765312310491204</v>
      </c>
      <c r="L19" s="1249">
        <f>L$13</f>
        <v>15.771794121856653</v>
      </c>
      <c r="M19" s="1255"/>
      <c r="N19" s="1251">
        <f>15.225+66.229</f>
        <v>81.453999999999994</v>
      </c>
      <c r="O19" s="1248">
        <f>(N19/J19-1)*100</f>
        <v>-0.40228409327123238</v>
      </c>
      <c r="P19" s="1249">
        <f>P$13</f>
        <v>13.977611483010822</v>
      </c>
      <c r="Q19" s="1255"/>
      <c r="R19" s="1251">
        <v>97.019000000000005</v>
      </c>
      <c r="S19" s="1248">
        <f>(R19/N19-1)*100</f>
        <v>19.108944925970505</v>
      </c>
      <c r="T19" s="1249">
        <f>T$13</f>
        <v>14.106656102921056</v>
      </c>
      <c r="U19" s="1255"/>
      <c r="V19" s="1251">
        <v>128.398</v>
      </c>
      <c r="W19" s="1248">
        <f>(V19/D19-1)*100</f>
        <v>152.25540275049116</v>
      </c>
      <c r="X19" s="1249">
        <f>X$13</f>
        <v>25.816730630777339</v>
      </c>
      <c r="Y19" s="1255"/>
      <c r="Z19" s="1251">
        <v>129.214</v>
      </c>
      <c r="AA19" s="1248">
        <f>(Z19/V19-1)*100</f>
        <v>0.63552391781802609</v>
      </c>
      <c r="AB19" s="1249">
        <f>AB$13</f>
        <v>9.5770247062981753</v>
      </c>
      <c r="AC19" s="1255"/>
      <c r="AD19" s="1251">
        <v>184.60400000000001</v>
      </c>
      <c r="AE19" s="1248">
        <f>(AD19/Z19-1)*100</f>
        <v>42.866872010772838</v>
      </c>
      <c r="AF19" s="1249">
        <f>AF$13</f>
        <v>29.832975197494328</v>
      </c>
      <c r="AG19" s="1255"/>
      <c r="AH19" s="1251">
        <v>250.12700000000001</v>
      </c>
      <c r="AI19" s="1248">
        <f>(AH19/AD19-1)*100</f>
        <v>35.493813785183413</v>
      </c>
      <c r="AJ19" s="1249">
        <f>AJ$13</f>
        <v>39.915094997457842</v>
      </c>
      <c r="AK19" s="1255"/>
      <c r="AL19" s="1251">
        <v>285.39299999999997</v>
      </c>
      <c r="AM19" s="1248">
        <f>(AL19/AH19-1)*100</f>
        <v>14.099237587305623</v>
      </c>
      <c r="AN19" s="1249">
        <f>AN$13</f>
        <v>27.364784582115441</v>
      </c>
      <c r="AP19" s="1251">
        <v>357.173</v>
      </c>
      <c r="AQ19" s="1248">
        <f>(AP19/AL19-1)*100</f>
        <v>25.151282617303174</v>
      </c>
      <c r="AR19" s="1249">
        <f>AR$13</f>
        <v>18.661839433066962</v>
      </c>
      <c r="AT19" s="1251">
        <v>331.685</v>
      </c>
      <c r="AU19" s="1248">
        <f>(AT19/AP19-1)*100</f>
        <v>-7.1360377184165653</v>
      </c>
      <c r="AV19" s="1249">
        <f>AV$13</f>
        <v>-10.689093548759054</v>
      </c>
      <c r="AX19" s="1251">
        <v>303.33199999999999</v>
      </c>
      <c r="AY19" s="1248">
        <f>(AX19/AT19-1)*100</f>
        <v>-8.5481707041319304</v>
      </c>
      <c r="AZ19" s="1249">
        <f>AZ$13</f>
        <v>13.717125653330076</v>
      </c>
      <c r="BB19" s="1251">
        <v>299.84699999999998</v>
      </c>
      <c r="BC19" s="1248">
        <f>(BB19/AX19-1)*100</f>
        <v>-1.1489061490380204</v>
      </c>
      <c r="BD19" s="1249">
        <f>BD$13</f>
        <v>5.0672987852760532</v>
      </c>
      <c r="BF19" s="1251">
        <v>413.36</v>
      </c>
      <c r="BG19" s="1248">
        <f>(BF19/BB19-1)*100</f>
        <v>37.856973723265554</v>
      </c>
      <c r="BH19" s="1249">
        <f>BH$13</f>
        <v>0.25854108578660107</v>
      </c>
      <c r="BJ19" s="1251">
        <v>501.20100000000002</v>
      </c>
      <c r="BK19" s="1248">
        <f>(BJ19/BF19-1)*100</f>
        <v>21.250483839752278</v>
      </c>
      <c r="BL19" s="1249">
        <f>BL13</f>
        <v>-1.5924809196845802</v>
      </c>
      <c r="BN19" s="1251">
        <v>589</v>
      </c>
      <c r="BO19" s="1248">
        <f>(BN19/BJ19-1)*100</f>
        <v>17.517722430721406</v>
      </c>
      <c r="BP19" s="1249">
        <f>BP13</f>
        <v>2.0352495590538089</v>
      </c>
      <c r="BR19" s="1251">
        <v>572</v>
      </c>
      <c r="BS19" s="1248">
        <f>(BR19/BN19-1)*100</f>
        <v>-2.8862478777589184</v>
      </c>
      <c r="BT19" s="1249">
        <f>BT13</f>
        <v>-4.9603577963000633</v>
      </c>
      <c r="BV19" s="1251">
        <v>743</v>
      </c>
      <c r="BW19" s="1248">
        <f>(BV19/BR19-1)*100</f>
        <v>29.895104895104897</v>
      </c>
      <c r="BX19" s="1249">
        <f>BX13</f>
        <v>-12.684491978609625</v>
      </c>
      <c r="BZ19" s="1251">
        <v>596</v>
      </c>
      <c r="CA19" s="1248">
        <f>(BZ19/BV19-1)*100</f>
        <v>-19.784656796769852</v>
      </c>
      <c r="CB19" s="1249">
        <f>CB13</f>
        <v>3.7726604605585523</v>
      </c>
      <c r="CD19" s="1251">
        <v>645</v>
      </c>
      <c r="CE19" s="1248">
        <f>(CD19/BZ19-1)*100</f>
        <v>8.2214765100671059</v>
      </c>
      <c r="CF19" s="1249">
        <f>CF13</f>
        <v>3.0217186024551479</v>
      </c>
      <c r="CH19" s="1251">
        <v>809</v>
      </c>
      <c r="CI19" s="1248">
        <f>(CH19/CD19-1)*100</f>
        <v>25.426356589147293</v>
      </c>
      <c r="CJ19" s="1249">
        <f>CJ13</f>
        <v>-1.8560953253895507</v>
      </c>
      <c r="CL19" s="1251">
        <v>864</v>
      </c>
      <c r="CM19" s="1248">
        <f>(CL19/CH19-1)*100</f>
        <v>6.7985166872682301</v>
      </c>
      <c r="CN19" s="1249">
        <f>CN13</f>
        <v>10.319869250525326</v>
      </c>
      <c r="CP19" s="1251">
        <v>992</v>
      </c>
      <c r="CQ19" s="1248">
        <f>(CP19/CL19-1)*100</f>
        <v>14.814814814814813</v>
      </c>
      <c r="CR19" s="1249">
        <f>CR13</f>
        <v>-3.1746031746031744</v>
      </c>
      <c r="CT19" s="1251">
        <v>913</v>
      </c>
      <c r="CU19" s="1248">
        <f>(CT19/CP19-1)*100</f>
        <v>-7.9637096774193505</v>
      </c>
      <c r="CV19" s="1249">
        <f>CV13</f>
        <v>2.9071038251366144</v>
      </c>
      <c r="CX19" s="1251">
        <v>742</v>
      </c>
      <c r="CY19" s="1248">
        <f>(CX19/CT19-1)*100</f>
        <v>-18.729463307776562</v>
      </c>
      <c r="CZ19" s="1249">
        <f>CZ13</f>
        <v>-6.860662701784193</v>
      </c>
      <c r="DB19" s="1256">
        <v>702</v>
      </c>
      <c r="DC19" s="1248">
        <f t="shared" ref="DC19" si="3">(DB19/CX19-1)*100</f>
        <v>-5.3908355795148299</v>
      </c>
      <c r="DD19" s="1249">
        <f t="shared" si="2"/>
        <v>1.0034207525655647</v>
      </c>
      <c r="DF19" s="1256">
        <v>788</v>
      </c>
      <c r="DG19" s="1248">
        <f>(DF19/DB19-1)*100</f>
        <v>12.250712250712258</v>
      </c>
      <c r="DH19" s="1249">
        <f>DH13</f>
        <v>7.8798825920072257</v>
      </c>
      <c r="DJ19" s="1256"/>
      <c r="DK19" s="1248"/>
      <c r="DL19" s="1249"/>
    </row>
    <row r="20" spans="1:116">
      <c r="DB20" s="1258"/>
      <c r="DF20" s="1258"/>
      <c r="DJ20" s="1258"/>
    </row>
    <row r="21" spans="1:116">
      <c r="A21" s="1253" t="s">
        <v>114</v>
      </c>
      <c r="B21" s="1161"/>
      <c r="F21" s="1062"/>
      <c r="G21" s="1062"/>
      <c r="H21" s="1062"/>
      <c r="I21" s="1062"/>
      <c r="J21" s="1062"/>
      <c r="K21" s="1062"/>
      <c r="L21" s="1062"/>
      <c r="M21" s="1062"/>
      <c r="N21" s="1254"/>
      <c r="O21" s="1062"/>
      <c r="P21" s="1062"/>
      <c r="Q21" s="1062"/>
      <c r="R21" s="1062"/>
      <c r="S21" s="1062"/>
      <c r="T21" s="1062"/>
      <c r="U21" s="1062"/>
      <c r="V21" s="1062"/>
      <c r="W21" s="1062"/>
      <c r="X21" s="1062"/>
      <c r="Y21" s="1062"/>
      <c r="Z21" s="1062"/>
      <c r="AA21" s="1062"/>
      <c r="AB21" s="1062"/>
      <c r="AC21" s="1062"/>
      <c r="AD21" s="1254"/>
      <c r="AE21" s="1062"/>
      <c r="AF21" s="1062"/>
      <c r="AG21" s="1062"/>
      <c r="AH21" s="1062"/>
      <c r="AI21" s="1062"/>
      <c r="AJ21" s="1062"/>
      <c r="AK21" s="1062"/>
      <c r="AL21" s="1062"/>
      <c r="AM21" s="1062"/>
      <c r="AN21" s="1062"/>
      <c r="AP21" s="1062"/>
      <c r="AQ21" s="1062"/>
      <c r="AR21" s="1062"/>
      <c r="AT21" s="1062"/>
      <c r="AU21" s="1062"/>
      <c r="AV21" s="1062"/>
      <c r="AX21" s="1062"/>
      <c r="AY21" s="1062"/>
      <c r="AZ21" s="1062"/>
      <c r="BB21" s="1062"/>
      <c r="BC21" s="1062"/>
      <c r="BD21" s="1062"/>
      <c r="BF21" s="1062"/>
      <c r="BG21" s="1062"/>
      <c r="BH21" s="1062"/>
      <c r="BJ21" s="1062"/>
      <c r="BK21" s="1062"/>
      <c r="BL21" s="1062"/>
      <c r="BN21" s="1062"/>
      <c r="BO21" s="1062"/>
      <c r="BP21" s="1062"/>
      <c r="BR21" s="1261"/>
      <c r="BS21" s="1062"/>
      <c r="BT21" s="1062"/>
      <c r="BV21" s="1062"/>
      <c r="BW21" s="1062"/>
      <c r="BX21" s="1062"/>
      <c r="BZ21" s="1062"/>
      <c r="CA21" s="1062"/>
      <c r="CB21" s="1062"/>
      <c r="CD21" s="1062"/>
      <c r="CE21" s="1062"/>
      <c r="CF21" s="1062"/>
      <c r="CH21" s="1062"/>
      <c r="CI21" s="1062"/>
      <c r="CJ21" s="1062"/>
      <c r="CL21" s="1062"/>
      <c r="CM21" s="1062"/>
      <c r="CN21" s="1062"/>
      <c r="DB21" s="1258"/>
      <c r="DF21" s="1258"/>
      <c r="DJ21" s="1258"/>
    </row>
    <row r="22" spans="1:116">
      <c r="A22" s="1045" t="str">
        <f>$A$10</f>
        <v>1Q</v>
      </c>
      <c r="B22" s="1045" t="str">
        <f>$B$10</f>
        <v>Apr</v>
      </c>
      <c r="D22" s="1247">
        <v>161.19999999999999</v>
      </c>
      <c r="F22" s="1247">
        <v>208.9</v>
      </c>
      <c r="G22" s="1248">
        <f>(F22/D22-1)*100</f>
        <v>29.590570719602983</v>
      </c>
      <c r="H22" s="1249">
        <f>H$10</f>
        <v>21.853626530936854</v>
      </c>
      <c r="I22" s="1255"/>
      <c r="J22" s="1247">
        <v>256.80200000000002</v>
      </c>
      <c r="K22" s="1248"/>
      <c r="L22" s="1249">
        <f>L$10</f>
        <v>20.102794207627994</v>
      </c>
      <c r="M22" s="1255"/>
      <c r="N22" s="1247">
        <v>276.15699999999998</v>
      </c>
      <c r="O22" s="1248">
        <f>(N22/J22-1)*100</f>
        <v>7.5369350705991156</v>
      </c>
      <c r="P22" s="1249">
        <f>P$10</f>
        <v>9.2917889359852133</v>
      </c>
      <c r="Q22" s="1255"/>
      <c r="R22" s="1247">
        <f>214.289+145.786</f>
        <v>360.07499999999999</v>
      </c>
      <c r="S22" s="1248">
        <f>(R22/N22-1)*100</f>
        <v>30.3877866575897</v>
      </c>
      <c r="T22" s="1249">
        <f>T$10</f>
        <v>16.795114826439583</v>
      </c>
      <c r="U22" s="1255"/>
      <c r="V22" s="1247">
        <f>233.194+153.142</f>
        <v>386.33600000000001</v>
      </c>
      <c r="W22" s="1248">
        <f>(V22/D22-1)*100</f>
        <v>139.66253101736976</v>
      </c>
      <c r="X22" s="1249">
        <f>X$10</f>
        <v>12.906993760559814</v>
      </c>
      <c r="Y22" s="1255"/>
      <c r="Z22" s="1247">
        <f>204.951+214.131</f>
        <v>419.08199999999999</v>
      </c>
      <c r="AA22" s="1248">
        <f>(Z22/V22-1)*100</f>
        <v>8.4760415803859743</v>
      </c>
      <c r="AB22" s="1249">
        <f>AB$10</f>
        <v>31.161746130497892</v>
      </c>
      <c r="AC22" s="1255"/>
      <c r="AD22" s="1247">
        <f>296.089+213.698</f>
        <v>509.78700000000003</v>
      </c>
      <c r="AE22" s="1248">
        <f>(AD22/Z22-1)*100</f>
        <v>21.643735593511536</v>
      </c>
      <c r="AF22" s="1249">
        <f>AF$10</f>
        <v>10.603384617043087</v>
      </c>
      <c r="AG22" s="1255"/>
      <c r="AH22" s="1247">
        <v>814.92700000000002</v>
      </c>
      <c r="AI22" s="1248">
        <f>(AH22/AD22-1)*100</f>
        <v>59.856371386481008</v>
      </c>
      <c r="AJ22" s="1249">
        <f>AJ$10</f>
        <v>39.679301096666151</v>
      </c>
      <c r="AK22" s="1255"/>
      <c r="AL22" s="1247">
        <f>617.597+675.955</f>
        <v>1293.5520000000001</v>
      </c>
      <c r="AM22" s="1248">
        <f>(AL22/AH22-1)*100</f>
        <v>58.732254545499174</v>
      </c>
      <c r="AN22" s="1249">
        <f>AN$10</f>
        <v>32.448572784280152</v>
      </c>
      <c r="AP22" s="1247">
        <f>728.121</f>
        <v>728.12099999999998</v>
      </c>
      <c r="AQ22" s="1248">
        <f>(AP22/AL22-1)*100</f>
        <v>-43.711501354410188</v>
      </c>
      <c r="AR22" s="1249">
        <f>AR$10</f>
        <v>19.943329642530692</v>
      </c>
      <c r="AT22" s="1247">
        <v>983.36</v>
      </c>
      <c r="AU22" s="1248">
        <f>(AT22/AP22-1)*100</f>
        <v>35.054475835747077</v>
      </c>
      <c r="AV22" s="1249">
        <f>AV$10</f>
        <v>16.386077547868048</v>
      </c>
      <c r="AX22" s="1247">
        <v>1041.5070000000001</v>
      </c>
      <c r="AY22" s="1248">
        <f>(AX22/AT22-1)*100</f>
        <v>5.9130938821998047</v>
      </c>
      <c r="AZ22" s="1249">
        <f>AZ$10</f>
        <v>-9.083246741156902</v>
      </c>
      <c r="BB22" s="1247">
        <v>926.78599999999994</v>
      </c>
      <c r="BC22" s="1248">
        <f>(BB22/AX22-1)*100</f>
        <v>-11.014904364541012</v>
      </c>
      <c r="BD22" s="1249">
        <f>BD$10</f>
        <v>15.979127174108566</v>
      </c>
      <c r="BF22" s="1247">
        <v>1074.9100000000001</v>
      </c>
      <c r="BG22" s="1248">
        <f>(BF22/BB22-1)*100</f>
        <v>15.982546132548414</v>
      </c>
      <c r="BH22" s="1249">
        <f>BH$10</f>
        <v>9.3890695189143614</v>
      </c>
      <c r="BJ22" s="1247">
        <v>1174.597</v>
      </c>
      <c r="BK22" s="1248">
        <f>(BJ22/BF22-1)*100</f>
        <v>9.2739857290377703</v>
      </c>
      <c r="BL22" s="1249">
        <f>BL16</f>
        <v>-1.1253242955475917</v>
      </c>
      <c r="BN22" s="1247">
        <v>1235.6320000000001</v>
      </c>
      <c r="BO22" s="1248">
        <f>(BN22/BJ22-1)*100</f>
        <v>5.1962502883967865</v>
      </c>
      <c r="BP22" s="1249">
        <f>BP16</f>
        <v>-5.1648611957169521</v>
      </c>
      <c r="BR22" s="1247">
        <v>1070</v>
      </c>
      <c r="BS22" s="1248">
        <f>(BR22/BN22-1)*100</f>
        <v>-13.404638274178726</v>
      </c>
      <c r="BT22" s="1249">
        <f>BT16</f>
        <v>3.198604245420178</v>
      </c>
      <c r="BV22" s="1247">
        <v>960</v>
      </c>
      <c r="BW22" s="1248">
        <f>(BV22/BR22-1)*100</f>
        <v>-10.280373831775702</v>
      </c>
      <c r="BX22" s="1249">
        <f>BX16</f>
        <v>-4.6491969568892682</v>
      </c>
      <c r="BZ22" s="1247">
        <v>812</v>
      </c>
      <c r="CA22" s="1248">
        <f>(BZ22/BV22-1)*100</f>
        <v>-15.416666666666668</v>
      </c>
      <c r="CB22" s="1249">
        <f>CB16</f>
        <v>-7.5945626477541328</v>
      </c>
      <c r="CD22" s="1247">
        <v>1052</v>
      </c>
      <c r="CE22" s="1248">
        <f>(CD22/BZ22-1)*100</f>
        <v>29.556650246305427</v>
      </c>
      <c r="CF22" s="1249">
        <f>CF16</f>
        <v>6.4598656859609749</v>
      </c>
      <c r="CH22" s="1247">
        <v>1053</v>
      </c>
      <c r="CI22" s="1248">
        <f>(CH22/CD22-1)*100</f>
        <v>9.5057034220524805E-2</v>
      </c>
      <c r="CJ22" s="1249">
        <f>CJ16</f>
        <v>-1.0213277260438525</v>
      </c>
      <c r="CL22" s="1247">
        <v>1016</v>
      </c>
      <c r="CM22" s="1248">
        <f>(CL22/CH22-1)*100</f>
        <v>-3.5137701804368482</v>
      </c>
      <c r="CN22" s="1249">
        <f>CN16</f>
        <v>5.8270106221547824</v>
      </c>
      <c r="CP22" s="1247">
        <v>1008</v>
      </c>
      <c r="CQ22" s="1248">
        <f>(CP22/CL22-1)*100</f>
        <v>-0.78740157480314821</v>
      </c>
      <c r="CR22" s="1249">
        <f>CR16</f>
        <v>6.9400630914826511</v>
      </c>
      <c r="CT22" s="1247">
        <v>1101</v>
      </c>
      <c r="CU22" s="1248">
        <f>(CT22/CP22-1)*100</f>
        <v>9.2261904761904656</v>
      </c>
      <c r="CV22" s="1249">
        <f>CV16</f>
        <v>1.2067578439259874</v>
      </c>
      <c r="CX22" s="1247">
        <v>1156</v>
      </c>
      <c r="CY22" s="1248">
        <f>(CX22/CT22-1)*100</f>
        <v>4.9954586739327844</v>
      </c>
      <c r="CZ22" s="1249">
        <f>CZ16</f>
        <v>-3.1001589825119247</v>
      </c>
      <c r="DB22" s="1256">
        <v>1108</v>
      </c>
      <c r="DC22" s="1248">
        <f>(DB22/CX22-1)*100</f>
        <v>-4.1522491349480939</v>
      </c>
      <c r="DD22" s="1249">
        <f>DD16</f>
        <v>-5.9885151763740758</v>
      </c>
      <c r="DF22" s="1256">
        <v>1119</v>
      </c>
      <c r="DG22" s="1248">
        <f>(DF22/DB22-1)*100</f>
        <v>0.99277978339349371</v>
      </c>
      <c r="DH22" s="1249">
        <f>DH16</f>
        <v>5.8173356602675419E-2</v>
      </c>
      <c r="DJ22" s="1256"/>
      <c r="DK22" s="1248">
        <f>(DJ22/DF22-1)*100</f>
        <v>-100</v>
      </c>
      <c r="DL22" s="1249">
        <f>DL16</f>
        <v>-7</v>
      </c>
    </row>
    <row r="23" spans="1:116">
      <c r="A23" s="1045" t="str">
        <f>$A$11</f>
        <v>2Q</v>
      </c>
      <c r="B23" s="1045" t="str">
        <f>$B$11</f>
        <v>Jul</v>
      </c>
      <c r="D23" s="1251">
        <v>170</v>
      </c>
      <c r="E23" s="1255"/>
      <c r="F23" s="1251">
        <v>204.48400000000001</v>
      </c>
      <c r="G23" s="1248">
        <f>(F23/D23-1)*100</f>
        <v>20.284705882352938</v>
      </c>
      <c r="H23" s="1249">
        <f>H$11</f>
        <v>29.1509051941254</v>
      </c>
      <c r="I23" s="1255"/>
      <c r="J23" s="1251">
        <v>295.75</v>
      </c>
      <c r="K23" s="1248">
        <f>(J23/F23-1)*100</f>
        <v>44.632342872792009</v>
      </c>
      <c r="L23" s="1249">
        <f>L$11</f>
        <v>17.408843412560039</v>
      </c>
      <c r="M23" s="1255"/>
      <c r="N23" s="1251">
        <v>331.5</v>
      </c>
      <c r="O23" s="1248">
        <f>(N23/J23-1)*100</f>
        <v>12.087912087912089</v>
      </c>
      <c r="P23" s="1249">
        <f>P$11</f>
        <v>12.876762294948495</v>
      </c>
      <c r="Q23" s="1255"/>
      <c r="R23" s="1251">
        <f>142.766+265.705</f>
        <v>408.471</v>
      </c>
      <c r="S23" s="1248">
        <f>(R23/N23-1)*100</f>
        <v>23.219004524886877</v>
      </c>
      <c r="T23" s="1249">
        <f>T$11</f>
        <v>11.53201421828296</v>
      </c>
      <c r="U23" s="1255"/>
      <c r="V23" s="1251">
        <f>293.396+145.227</f>
        <v>438.62300000000005</v>
      </c>
      <c r="W23" s="1248">
        <f>(V23/D23-1)*100</f>
        <v>158.01352941176475</v>
      </c>
      <c r="X23" s="1249">
        <f>X$11</f>
        <v>12.337236509724757</v>
      </c>
      <c r="Y23" s="1255"/>
      <c r="Z23" s="1251">
        <f>313.866+218.655</f>
        <v>532.52099999999996</v>
      </c>
      <c r="AA23" s="1248">
        <f>(Z23/V23-1)*100</f>
        <v>21.407450133713901</v>
      </c>
      <c r="AB23" s="1249">
        <f>AB$11</f>
        <v>28.994466410443586</v>
      </c>
      <c r="AC23" s="1255"/>
      <c r="AD23" s="1251">
        <f>384.464+264.499</f>
        <v>648.96299999999997</v>
      </c>
      <c r="AE23" s="1248">
        <f>(AD23/Z23-1)*100</f>
        <v>21.866179925298734</v>
      </c>
      <c r="AF23" s="1249">
        <f>AF$11</f>
        <v>20.073103134330349</v>
      </c>
      <c r="AG23" s="1255"/>
      <c r="AH23" s="1251">
        <f>530.275+585.159</f>
        <v>1115.434</v>
      </c>
      <c r="AI23" s="1248">
        <f>(AH23/AD23-1)*100</f>
        <v>71.879444590831838</v>
      </c>
      <c r="AJ23" s="1249">
        <f>AJ$11</f>
        <v>41.610188957799508</v>
      </c>
      <c r="AK23" s="1255"/>
      <c r="AL23" s="1251">
        <f>742.37+646.433</f>
        <v>1388.8029999999999</v>
      </c>
      <c r="AM23" s="1248">
        <f>(AL23/AH23-1)*100</f>
        <v>24.507859720969584</v>
      </c>
      <c r="AN23" s="1249">
        <f>AN$11</f>
        <v>28.786227604634185</v>
      </c>
      <c r="AP23" s="1251">
        <v>922.86599999999999</v>
      </c>
      <c r="AQ23" s="1248">
        <f>(AP23/AL23-1)*100</f>
        <v>-33.549538703473416</v>
      </c>
      <c r="AR23" s="1249">
        <f>AR$11</f>
        <v>20.151108346624746</v>
      </c>
      <c r="AT23" s="1251">
        <v>1237.7449999999999</v>
      </c>
      <c r="AU23" s="1248">
        <f>(AT23/AP23-1)*100</f>
        <v>34.119688015378166</v>
      </c>
      <c r="AV23" s="1249">
        <f>AV$11</f>
        <v>10.092736269529535</v>
      </c>
      <c r="AX23" s="1251">
        <v>1115.845</v>
      </c>
      <c r="AY23" s="1248">
        <f>(AX23/AT23-1)*100</f>
        <v>-9.8485552355291226</v>
      </c>
      <c r="AZ23" s="1249">
        <f>AZ$11</f>
        <v>0.71150822178718265</v>
      </c>
      <c r="BB23" s="1251">
        <v>1174.4059999999999</v>
      </c>
      <c r="BC23" s="1248">
        <f>(BB23/AX23-1)*100</f>
        <v>5.2481303406835211</v>
      </c>
      <c r="BD23" s="1249">
        <f>BD$11</f>
        <v>12.758585556016877</v>
      </c>
      <c r="BF23" s="1251">
        <v>1239.8869999999999</v>
      </c>
      <c r="BG23" s="1248">
        <f>(BF23/BB23-1)*100</f>
        <v>5.5756697428317015</v>
      </c>
      <c r="BH23" s="1249">
        <f>BH$11</f>
        <v>0.96301548395394398</v>
      </c>
      <c r="BJ23" s="1251">
        <v>1224.8219999999999</v>
      </c>
      <c r="BK23" s="1248">
        <f>(BJ23/BF23-1)*100</f>
        <v>-1.215030079354007</v>
      </c>
      <c r="BL23" s="1249">
        <f>BL17</f>
        <v>-0.12070020632721778</v>
      </c>
      <c r="BN23" s="1251">
        <v>1417.394</v>
      </c>
      <c r="BO23" s="1248">
        <f>(BN23/BJ23-1)*100</f>
        <v>15.722447833236197</v>
      </c>
      <c r="BP23" s="1249">
        <f>BP17</f>
        <v>-6.183573007331189E-2</v>
      </c>
      <c r="BR23" s="1251">
        <v>1062</v>
      </c>
      <c r="BS23" s="1248">
        <f>(BR23/BN23-1)*100</f>
        <v>-25.073762129654842</v>
      </c>
      <c r="BT23" s="1249">
        <f>BT17</f>
        <v>-0.78082929456112504</v>
      </c>
      <c r="BV23" s="1251">
        <v>1227</v>
      </c>
      <c r="BW23" s="1248">
        <f>(BV23/BR23-1)*100</f>
        <v>15.536723163841803</v>
      </c>
      <c r="BX23" s="1249">
        <f>BX17</f>
        <v>-5.0474898236092303</v>
      </c>
      <c r="BZ23" s="1251">
        <v>1038</v>
      </c>
      <c r="CA23" s="1248">
        <f>(BZ23/BV23-1)*100</f>
        <v>-15.403422982885084</v>
      </c>
      <c r="CB23" s="1249">
        <f>CB17</f>
        <v>-7.2592169191197486</v>
      </c>
      <c r="CD23" s="1251">
        <v>1141</v>
      </c>
      <c r="CE23" s="1248">
        <f>(CD23/BZ23-1)*100</f>
        <v>9.9229287090558671</v>
      </c>
      <c r="CF23" s="1249">
        <f>CF17</f>
        <v>2.2187981510015442</v>
      </c>
      <c r="CH23" s="1251">
        <v>1161</v>
      </c>
      <c r="CI23" s="1248">
        <f>(CH23/CD23-1)*100</f>
        <v>1.752848378615246</v>
      </c>
      <c r="CJ23" s="1249">
        <f>CJ17</f>
        <v>2.080192945432624</v>
      </c>
      <c r="CL23" s="1251">
        <v>1201</v>
      </c>
      <c r="CM23" s="1248">
        <f>(CL23/CH23-1)*100</f>
        <v>3.4453057708871748</v>
      </c>
      <c r="CN23" s="1249">
        <f>CN17</f>
        <v>5.5818074424099251</v>
      </c>
      <c r="CP23" s="1251">
        <f>1227</f>
        <v>1227</v>
      </c>
      <c r="CQ23" s="1248">
        <f>(CP23/CL23-1)*100</f>
        <v>2.1648626144879168</v>
      </c>
      <c r="CR23" s="1249">
        <f>CR17</f>
        <v>8.1958041958041896</v>
      </c>
      <c r="CT23" s="1251">
        <v>1227</v>
      </c>
      <c r="CU23" s="1248">
        <f>(CT23/CP23-1)*100</f>
        <v>0</v>
      </c>
      <c r="CV23" s="1249">
        <f>CV17</f>
        <v>2.9214064115822058</v>
      </c>
      <c r="CX23" s="1251">
        <v>1206</v>
      </c>
      <c r="CY23" s="1248">
        <f>(CX23/CT23-1)*100</f>
        <v>-1.7114914425427896</v>
      </c>
      <c r="CZ23" s="1249">
        <f>CZ17</f>
        <v>-2.084903290630491</v>
      </c>
      <c r="DB23" s="1256">
        <v>1224</v>
      </c>
      <c r="DC23" s="1248">
        <f>(DB23/CX23-1)*100</f>
        <v>1.4925373134328401</v>
      </c>
      <c r="DD23" s="1249">
        <f>DD17</f>
        <v>-1.2057465366854814</v>
      </c>
      <c r="DF23" s="1256">
        <v>1230</v>
      </c>
      <c r="DG23" s="1248">
        <f>(DF23/DB23-1)*100</f>
        <v>0.49019607843137081</v>
      </c>
      <c r="DH23" s="1249">
        <f>DH17</f>
        <v>-1.3502986237340919</v>
      </c>
      <c r="DJ23" s="1256"/>
      <c r="DK23" s="1248">
        <f>(DJ23/DF23-1)*100</f>
        <v>-100</v>
      </c>
      <c r="DL23" s="1249">
        <f>DL17</f>
        <v>-3</v>
      </c>
    </row>
    <row r="24" spans="1:116">
      <c r="A24" s="1045" t="str">
        <f>$A$12</f>
        <v>3Q</v>
      </c>
      <c r="B24" s="1045" t="str">
        <f>$B$12</f>
        <v>Oct</v>
      </c>
      <c r="D24" s="1251">
        <v>196.3</v>
      </c>
      <c r="E24" s="1255"/>
      <c r="F24" s="1251">
        <v>283.31599999999997</v>
      </c>
      <c r="G24" s="1248">
        <f>(F24/D24-1)*100</f>
        <v>44.328069281711649</v>
      </c>
      <c r="H24" s="1249">
        <f>H$12</f>
        <v>39.937411548964505</v>
      </c>
      <c r="I24" s="1255"/>
      <c r="J24" s="1251">
        <v>299.75700000000001</v>
      </c>
      <c r="K24" s="1248">
        <f>(J24/F24-1)*100</f>
        <v>5.803060893137002</v>
      </c>
      <c r="L24" s="1249">
        <f>L$12</f>
        <v>17.82916365169531</v>
      </c>
      <c r="M24" s="1255"/>
      <c r="N24" s="1251">
        <v>369.2</v>
      </c>
      <c r="O24" s="1248">
        <f>(N24/J24-1)*100</f>
        <v>23.166431476162352</v>
      </c>
      <c r="P24" s="1249">
        <f>P$12</f>
        <v>8.6379472499522603</v>
      </c>
      <c r="Q24" s="1255"/>
      <c r="R24" s="1251">
        <f>304.703+169.552</f>
        <v>474.255</v>
      </c>
      <c r="S24" s="1248">
        <f>(R24/N24-1)*100</f>
        <v>28.454767063922006</v>
      </c>
      <c r="T24" s="1249">
        <f>T$12</f>
        <v>9.9778897201107775</v>
      </c>
      <c r="U24" s="1255"/>
      <c r="V24" s="1251">
        <f>358.394+213.942</f>
        <v>572.33600000000001</v>
      </c>
      <c r="W24" s="1248">
        <f>(V24/D24-1)*100</f>
        <v>191.56189505858379</v>
      </c>
      <c r="X24" s="1249">
        <f>X$12</f>
        <v>16.955904106456664</v>
      </c>
      <c r="Y24" s="1255"/>
      <c r="Z24" s="1251">
        <f>390.206+271.418</f>
        <v>661.62400000000002</v>
      </c>
      <c r="AA24" s="1248">
        <f>(Z24/V24-1)*100</f>
        <v>15.600626205585533</v>
      </c>
      <c r="AB24" s="1249">
        <f>AB$12</f>
        <v>19.643680537472452</v>
      </c>
      <c r="AC24" s="1255"/>
      <c r="AD24" s="1251">
        <f>433.313+349.999</f>
        <v>783.31200000000001</v>
      </c>
      <c r="AE24" s="1248">
        <f>(AD24/Z24-1)*100</f>
        <v>18.392319504733813</v>
      </c>
      <c r="AF24" s="1249">
        <f>AF$12</f>
        <v>27.689378711145942</v>
      </c>
      <c r="AG24" s="1255"/>
      <c r="AH24" s="1251">
        <f>536.408+570.363</f>
        <v>1106.7710000000002</v>
      </c>
      <c r="AI24" s="1248">
        <f>(AH24/AD24-1)*100</f>
        <v>41.2937628939682</v>
      </c>
      <c r="AJ24" s="1249">
        <f>AJ$12</f>
        <v>35.90208948327205</v>
      </c>
      <c r="AK24" s="1255"/>
      <c r="AL24" s="1251">
        <f>725.635+720.056</f>
        <v>1445.691</v>
      </c>
      <c r="AM24" s="1248">
        <f>(AL24/AH24-1)*100</f>
        <v>30.62241421215408</v>
      </c>
      <c r="AN24" s="1249">
        <f>AN$12</f>
        <v>26.893832699708508</v>
      </c>
      <c r="AP24" s="1251">
        <v>1032.095</v>
      </c>
      <c r="AQ24" s="1248">
        <f>(AP24/AL24-1)*100</f>
        <v>-28.608879767529849</v>
      </c>
      <c r="AR24" s="1249">
        <f>AR$12</f>
        <v>12.125950536319529</v>
      </c>
      <c r="AT24" s="1251">
        <v>1404.606</v>
      </c>
      <c r="AU24" s="1248">
        <f>(AT24/AP24-1)*100</f>
        <v>36.092704644436793</v>
      </c>
      <c r="AV24" s="1249">
        <f>AV$12</f>
        <v>-2.3807585393367692</v>
      </c>
      <c r="AX24" s="1251">
        <v>1443.87</v>
      </c>
      <c r="AY24" s="1248">
        <f>(AX24/AT24-1)*100</f>
        <v>2.7953746459861373</v>
      </c>
      <c r="AZ24" s="1249">
        <f>AZ$12</f>
        <v>9.3473787661926941</v>
      </c>
      <c r="BB24" s="1251">
        <v>1243.17</v>
      </c>
      <c r="BC24" s="1248">
        <f>(BB24/AX24-1)*100</f>
        <v>-13.90014336470734</v>
      </c>
      <c r="BD24" s="1249">
        <f>BD$12</f>
        <v>7.8053068404666526</v>
      </c>
      <c r="BF24" s="1251">
        <v>1438.5450000000001</v>
      </c>
      <c r="BG24" s="1248">
        <f>(BF24/BB24-1)*100</f>
        <v>15.715871521996183</v>
      </c>
      <c r="BH24" s="1249">
        <f>BH$12</f>
        <v>1.2901022431603737</v>
      </c>
      <c r="BJ24" s="1251">
        <v>1372.5350000000001</v>
      </c>
      <c r="BK24" s="1248">
        <f>(BJ24/BF24-1)*100</f>
        <v>-4.5886642406042233</v>
      </c>
      <c r="BL24" s="1249">
        <f>BL18</f>
        <v>-3.0210921698931026</v>
      </c>
      <c r="BN24" s="1251">
        <v>1613.432</v>
      </c>
      <c r="BO24" s="1248">
        <f>(BN24/BJ24-1)*100</f>
        <v>17.551246416302678</v>
      </c>
      <c r="BP24" s="1249">
        <f>BP18</f>
        <v>-0.23073100743904451</v>
      </c>
      <c r="BR24" s="1251">
        <v>1402</v>
      </c>
      <c r="BS24" s="1248">
        <f>(BR24/BN24-1)*100</f>
        <v>-13.104487824711553</v>
      </c>
      <c r="BT24" s="1249">
        <f>BT18</f>
        <v>7.7901843676975169E-2</v>
      </c>
      <c r="BV24" s="1251">
        <v>1578</v>
      </c>
      <c r="BW24" s="1248">
        <f>(BV24/BR24-1)*100</f>
        <v>12.553495007132675</v>
      </c>
      <c r="BX24" s="1249">
        <f>BX18</f>
        <v>-7.6024909185262057</v>
      </c>
      <c r="BZ24" s="1251">
        <v>1418</v>
      </c>
      <c r="CA24" s="1248">
        <f>(BZ24/BV24-1)*100</f>
        <v>-10.139416983523454</v>
      </c>
      <c r="CB24" s="1249">
        <f>CB18</f>
        <v>0.78629598427408798</v>
      </c>
      <c r="CD24" s="1251">
        <v>1438</v>
      </c>
      <c r="CE24" s="1248">
        <f>(CD24/BZ24-1)*100</f>
        <v>1.4104372355430161</v>
      </c>
      <c r="CF24" s="1249">
        <f>CF18</f>
        <v>1.8110894399554267</v>
      </c>
      <c r="CH24" s="1251">
        <v>1472</v>
      </c>
      <c r="CI24" s="1248">
        <f>(CH24/CD24-1)*100</f>
        <v>2.3643949930459041</v>
      </c>
      <c r="CJ24" s="1249">
        <f>CJ18</f>
        <v>-1.8883415435139606</v>
      </c>
      <c r="CL24" s="1251">
        <v>1584</v>
      </c>
      <c r="CM24" s="1248">
        <f>(CL24/CH24-1)*100</f>
        <v>7.6086956521739024</v>
      </c>
      <c r="CN24" s="1249">
        <f>CN18</f>
        <v>7.7824267782426793</v>
      </c>
      <c r="CP24" s="1251">
        <v>1513</v>
      </c>
      <c r="CQ24" s="1248">
        <f>(CL24/CH24-1)*100</f>
        <v>7.6086956521739024</v>
      </c>
      <c r="CR24" s="1249">
        <f>CR18</f>
        <v>2.8985507246376718</v>
      </c>
      <c r="CT24" s="1251">
        <v>1477</v>
      </c>
      <c r="CU24" s="1248">
        <f>(CT24/CP24-1)*100</f>
        <v>-2.3793787177792458</v>
      </c>
      <c r="CV24" s="1249">
        <f>CV18</f>
        <v>-0.1006036217303774</v>
      </c>
      <c r="CX24" s="1251">
        <v>1327</v>
      </c>
      <c r="CY24" s="1248">
        <f>(CX24/CT24-1)*100</f>
        <v>-10.155721056194988</v>
      </c>
      <c r="CZ24" s="1249">
        <f>CZ18</f>
        <v>-2.8952668680765403</v>
      </c>
      <c r="DB24" s="1256">
        <v>1413</v>
      </c>
      <c r="DC24" s="1248">
        <f t="shared" ref="DC24" si="4">(DB24/CX24-1)*100</f>
        <v>6.480783722682748</v>
      </c>
      <c r="DD24" s="1249">
        <f t="shared" ref="DD24:DD25" si="5">DD18</f>
        <v>-1.5296862846772119</v>
      </c>
      <c r="DF24" s="1256">
        <v>1330</v>
      </c>
      <c r="DG24" s="1248">
        <f>(DF24/DB24-1)*100</f>
        <v>-5.8740268931351753</v>
      </c>
      <c r="DH24" s="1249">
        <f>DH18</f>
        <v>1.053185887309116</v>
      </c>
      <c r="DJ24" s="1256"/>
      <c r="DK24" s="1248">
        <f>(DJ24/DF24-1)*100</f>
        <v>-100</v>
      </c>
      <c r="DL24" s="1249">
        <f>DL18</f>
        <v>-2</v>
      </c>
    </row>
    <row r="25" spans="1:116">
      <c r="A25" s="1045" t="str">
        <f>$A$13</f>
        <v>4Q</v>
      </c>
      <c r="B25" s="1045" t="str">
        <f>$B$13</f>
        <v>Jan</v>
      </c>
      <c r="D25" s="1251">
        <v>217.6</v>
      </c>
      <c r="E25" s="1255"/>
      <c r="F25" s="1251">
        <v>293.64999999999998</v>
      </c>
      <c r="G25" s="1248">
        <f>(F25/D25-1)*100</f>
        <v>34.949448529411754</v>
      </c>
      <c r="H25" s="1249">
        <f>H$13</f>
        <v>28.613984370748135</v>
      </c>
      <c r="I25" s="1262"/>
      <c r="J25" s="1251">
        <v>321.67599999999999</v>
      </c>
      <c r="K25" s="1248">
        <f>(J25/F25-1)*100</f>
        <v>9.5440149838242903</v>
      </c>
      <c r="L25" s="1249">
        <f>L$13</f>
        <v>15.771794121856653</v>
      </c>
      <c r="M25" s="1262"/>
      <c r="N25" s="1251">
        <v>380.01400000000001</v>
      </c>
      <c r="O25" s="1248">
        <f>(N25/J25-1)*100</f>
        <v>18.135639587659647</v>
      </c>
      <c r="P25" s="1249">
        <f>P$13</f>
        <v>13.977611483010822</v>
      </c>
      <c r="Q25" s="1262"/>
      <c r="R25" s="1251">
        <f>263.724+185.375</f>
        <v>449.09899999999999</v>
      </c>
      <c r="S25" s="1248">
        <f>(R25/N25-1)*100</f>
        <v>18.179593383401649</v>
      </c>
      <c r="T25" s="1249">
        <f>T$13</f>
        <v>14.106656102921056</v>
      </c>
      <c r="U25" s="1262"/>
      <c r="V25" s="1251">
        <f>262.505+194.426</f>
        <v>456.93099999999998</v>
      </c>
      <c r="W25" s="1248">
        <f>(V25/D25-1)*100</f>
        <v>109.98667279411762</v>
      </c>
      <c r="X25" s="1249">
        <f>X$13</f>
        <v>25.816730630777339</v>
      </c>
      <c r="Y25" s="1262"/>
      <c r="Z25" s="1251">
        <f>351.754+282.494</f>
        <v>634.24800000000005</v>
      </c>
      <c r="AA25" s="1248">
        <f>(Z25/V25-1)*100</f>
        <v>38.806077941746153</v>
      </c>
      <c r="AB25" s="1249">
        <f>AB$13</f>
        <v>9.5770247062981753</v>
      </c>
      <c r="AC25" s="1262"/>
      <c r="AD25" s="1251">
        <f>416.976+389.412</f>
        <v>806.38799999999992</v>
      </c>
      <c r="AE25" s="1248">
        <f>(AD25/Z25-1)*100</f>
        <v>27.140802966662857</v>
      </c>
      <c r="AF25" s="1249">
        <f>AF$13</f>
        <v>29.832975197494328</v>
      </c>
      <c r="AG25" s="1262"/>
      <c r="AH25" s="1251">
        <f>684.13+655.77</f>
        <v>1339.9</v>
      </c>
      <c r="AI25" s="1248">
        <f>(AH25/AD25-1)*100</f>
        <v>66.16070675654899</v>
      </c>
      <c r="AJ25" s="1249">
        <f>AJ$13</f>
        <v>39.915094997457842</v>
      </c>
      <c r="AK25" s="1262"/>
      <c r="AL25" s="1251">
        <f>805.945+751.71</f>
        <v>1557.6550000000002</v>
      </c>
      <c r="AM25" s="1248">
        <f>(AL25/AH25-1)*100</f>
        <v>16.251585939249203</v>
      </c>
      <c r="AN25" s="1249">
        <f>AN$13</f>
        <v>27.364784582115441</v>
      </c>
      <c r="AP25" s="1251">
        <v>1067.2070000000001</v>
      </c>
      <c r="AQ25" s="1248">
        <f>(AP25/AL25-1)*100</f>
        <v>-31.486304733718317</v>
      </c>
      <c r="AR25" s="1249">
        <f>AR$13</f>
        <v>18.661839433066962</v>
      </c>
      <c r="AT25" s="1251">
        <v>1196.614</v>
      </c>
      <c r="AU25" s="1248">
        <f>(AT25/AP25-1)*100</f>
        <v>12.12576379277872</v>
      </c>
      <c r="AV25" s="1249">
        <f>AV$13</f>
        <v>-10.689093548759054</v>
      </c>
      <c r="AX25" s="1251">
        <v>1159.3009999999999</v>
      </c>
      <c r="AY25" s="1248">
        <f>(AX25/AT25-1)*100</f>
        <v>-3.1182152306424737</v>
      </c>
      <c r="AZ25" s="1249">
        <f>AZ$13</f>
        <v>13.717125653330076</v>
      </c>
      <c r="BB25" s="1263">
        <v>1178.3240000000001</v>
      </c>
      <c r="BC25" s="1248">
        <f>(BB25/AX25-1)*100</f>
        <v>1.6409025783640452</v>
      </c>
      <c r="BD25" s="1249">
        <f>BD$13</f>
        <v>5.0672987852760532</v>
      </c>
      <c r="BF25" s="1251">
        <v>1239.518</v>
      </c>
      <c r="BG25" s="1248">
        <f>(BF25/BB25-1)*100</f>
        <v>5.1933084618491998</v>
      </c>
      <c r="BH25" s="1249">
        <f>BH$13</f>
        <v>0.25854108578660107</v>
      </c>
      <c r="BJ25" s="1251">
        <v>1131.8019999999999</v>
      </c>
      <c r="BK25" s="1248">
        <f>(BJ25/BF25-1)*100</f>
        <v>-8.6901521397833807</v>
      </c>
      <c r="BL25" s="1249">
        <f>BL19</f>
        <v>-1.5924809196845802</v>
      </c>
      <c r="BN25" s="1251">
        <v>1109</v>
      </c>
      <c r="BO25" s="1248">
        <f>(BN25/BJ25-1)*100</f>
        <v>-2.0146633421746829</v>
      </c>
      <c r="BP25" s="1249">
        <f>BP19</f>
        <v>2.0352495590538089</v>
      </c>
      <c r="BR25" s="1251">
        <v>1006</v>
      </c>
      <c r="BS25" s="1248">
        <f>(BR25/BN25-1)*100</f>
        <v>-9.28764652840397</v>
      </c>
      <c r="BT25" s="1249">
        <f>BT19</f>
        <v>-4.9603577963000633</v>
      </c>
      <c r="BV25" s="1251">
        <f>975</f>
        <v>975</v>
      </c>
      <c r="BW25" s="1248">
        <f>(BV25/BR25-1)*100</f>
        <v>-3.0815109343936387</v>
      </c>
      <c r="BX25" s="1249">
        <f>BX19</f>
        <v>-12.684491978609625</v>
      </c>
      <c r="BZ25" s="1251">
        <v>1027</v>
      </c>
      <c r="CA25" s="1248">
        <f>(BZ25/BV25-1)*100</f>
        <v>5.3333333333333233</v>
      </c>
      <c r="CB25" s="1249">
        <f>CB19</f>
        <v>3.7726604605585523</v>
      </c>
      <c r="CD25" s="1251">
        <v>1049</v>
      </c>
      <c r="CE25" s="1248">
        <f>(CD25/BZ25-1)*100</f>
        <v>2.142161635832518</v>
      </c>
      <c r="CF25" s="1249">
        <f>CF19</f>
        <v>3.0217186024551479</v>
      </c>
      <c r="CH25" s="1251">
        <v>1066</v>
      </c>
      <c r="CI25" s="1248">
        <f>(CH25/CD25-1)*100</f>
        <v>1.620591039084851</v>
      </c>
      <c r="CJ25" s="1249">
        <f>CJ19</f>
        <v>-1.8560953253895507</v>
      </c>
      <c r="CL25" s="1251">
        <v>1144</v>
      </c>
      <c r="CM25" s="1248">
        <f>(CL25/CH25-1)*100</f>
        <v>7.3170731707317138</v>
      </c>
      <c r="CN25" s="1249">
        <f>CN19</f>
        <v>10.319869250525326</v>
      </c>
      <c r="CP25" s="1251">
        <v>1242</v>
      </c>
      <c r="CQ25" s="1248">
        <f>(CP25/CL25-1)*100</f>
        <v>8.5664335664335631</v>
      </c>
      <c r="CR25" s="1249">
        <f>CR19</f>
        <v>-3.1746031746031744</v>
      </c>
      <c r="CT25" s="1251">
        <v>1173</v>
      </c>
      <c r="CU25" s="1248">
        <f>(CT25/CP25-1)*100</f>
        <v>-5.555555555555558</v>
      </c>
      <c r="CV25" s="1249">
        <f>CV19</f>
        <v>2.9071038251366144</v>
      </c>
      <c r="CX25" s="1251">
        <v>1112</v>
      </c>
      <c r="CY25" s="1248">
        <f>(CX25/CT25-1)*100</f>
        <v>-5.2003410059676014</v>
      </c>
      <c r="CZ25" s="1249">
        <f>CZ19</f>
        <v>-6.860662701784193</v>
      </c>
      <c r="DB25" s="1256">
        <v>1243</v>
      </c>
      <c r="DC25" s="1248">
        <f t="shared" ref="DC25" si="6">(DB25/CX25-1)*100</f>
        <v>11.78057553956835</v>
      </c>
      <c r="DD25" s="1249">
        <f t="shared" si="5"/>
        <v>1.0034207525655647</v>
      </c>
      <c r="DF25" s="1256">
        <v>1181</v>
      </c>
      <c r="DG25" s="1248">
        <f>(DF25/DB25-1)*100</f>
        <v>-4.9879324215607372</v>
      </c>
      <c r="DH25" s="1249">
        <f>DH19</f>
        <v>7.8798825920072257</v>
      </c>
      <c r="DJ25" s="1256"/>
      <c r="DK25" s="1248"/>
      <c r="DL25" s="1249"/>
    </row>
    <row r="26" spans="1:116">
      <c r="CN26" s="1249"/>
      <c r="DB26" s="1258"/>
      <c r="DC26" s="1248"/>
      <c r="DD26" s="1249"/>
      <c r="DF26" s="1258"/>
      <c r="DG26" s="1248"/>
      <c r="DH26" s="1249"/>
      <c r="DJ26" s="1258"/>
      <c r="DK26" s="1248"/>
      <c r="DL26" s="1249"/>
    </row>
    <row r="27" spans="1:116">
      <c r="A27" s="1253" t="s">
        <v>115</v>
      </c>
      <c r="B27" s="1161"/>
      <c r="F27" s="1260"/>
      <c r="G27" s="1260"/>
      <c r="H27" s="1260"/>
      <c r="I27" s="1260"/>
      <c r="J27" s="1260"/>
      <c r="K27" s="1260"/>
      <c r="L27" s="1260"/>
      <c r="M27" s="1260"/>
      <c r="N27" s="1254"/>
      <c r="O27" s="1260"/>
      <c r="P27" s="1260"/>
      <c r="Q27" s="1260"/>
      <c r="R27" s="1260"/>
      <c r="S27" s="1260"/>
      <c r="T27" s="1260"/>
      <c r="U27" s="1260"/>
      <c r="V27" s="1260"/>
      <c r="W27" s="1260"/>
      <c r="X27" s="1260"/>
      <c r="Y27" s="1260"/>
      <c r="Z27" s="1260"/>
      <c r="AA27" s="1260"/>
      <c r="AB27" s="1260"/>
      <c r="AC27" s="1260"/>
      <c r="AD27" s="1254"/>
      <c r="AE27" s="1260"/>
      <c r="AF27" s="1260"/>
      <c r="AG27" s="1260"/>
      <c r="AH27" s="1260"/>
      <c r="AI27" s="1260"/>
      <c r="AJ27" s="1260"/>
      <c r="AK27" s="1260"/>
      <c r="AL27" s="1260"/>
      <c r="AM27" s="1260"/>
      <c r="AN27" s="1260"/>
      <c r="AP27" s="1260"/>
      <c r="AQ27" s="1260"/>
      <c r="AR27" s="1260"/>
      <c r="AT27" s="1260"/>
      <c r="AU27" s="1260"/>
      <c r="AV27" s="1260"/>
      <c r="AX27" s="1260"/>
      <c r="AY27" s="1260"/>
      <c r="AZ27" s="1260"/>
      <c r="BB27" s="1260"/>
      <c r="BC27" s="1260"/>
      <c r="BD27" s="1260"/>
      <c r="BF27" s="1260"/>
      <c r="BG27" s="1260"/>
      <c r="BH27" s="1260"/>
      <c r="BJ27" s="1260"/>
      <c r="BK27" s="1260"/>
      <c r="BL27" s="1260"/>
      <c r="BN27" s="1260"/>
      <c r="BO27" s="1260"/>
      <c r="BP27" s="1260"/>
      <c r="BR27" s="1264"/>
      <c r="BS27" s="1264"/>
      <c r="BT27" s="1260"/>
      <c r="BV27" s="1260"/>
      <c r="BW27" s="1260"/>
      <c r="BX27" s="1260"/>
      <c r="BZ27" s="1260"/>
      <c r="CA27" s="1260"/>
      <c r="CB27" s="1260"/>
      <c r="CD27" s="1260"/>
      <c r="CE27" s="1260"/>
      <c r="CF27" s="1260"/>
      <c r="CH27" s="1260"/>
      <c r="CI27" s="1260"/>
      <c r="CJ27" s="1260"/>
      <c r="CL27" s="1260"/>
      <c r="CM27" s="1260"/>
      <c r="CN27" s="1260"/>
      <c r="DB27" s="1258"/>
      <c r="DF27" s="1258"/>
      <c r="DJ27" s="1258"/>
    </row>
    <row r="28" spans="1:116">
      <c r="A28" s="1045" t="str">
        <f>$A$10</f>
        <v>1Q</v>
      </c>
      <c r="B28" s="1045" t="str">
        <f>$B$10</f>
        <v>Apr</v>
      </c>
      <c r="D28" s="1247">
        <v>17.8</v>
      </c>
      <c r="E28" s="1068"/>
      <c r="F28" s="1247">
        <v>24.8</v>
      </c>
      <c r="G28" s="1248">
        <f>(F28/D28-1)*100</f>
        <v>39.325842696629223</v>
      </c>
      <c r="H28" s="1249">
        <f>H$10</f>
        <v>21.853626530936854</v>
      </c>
      <c r="I28" s="1255"/>
      <c r="J28" s="1247">
        <v>2.3919999999999999</v>
      </c>
      <c r="K28" s="1248">
        <f>(J28/F28-1)*100</f>
        <v>-90.354838709677423</v>
      </c>
      <c r="L28" s="1249">
        <f>L$10</f>
        <v>20.102794207627994</v>
      </c>
      <c r="M28" s="1255"/>
      <c r="N28" s="1247">
        <f>11.485+3.046</f>
        <v>14.530999999999999</v>
      </c>
      <c r="O28" s="1248">
        <f>(N28/J28-1)*100</f>
        <v>507.48327759197321</v>
      </c>
      <c r="P28" s="1249">
        <f>P$10</f>
        <v>9.2917889359852133</v>
      </c>
      <c r="Q28" s="1255"/>
      <c r="R28" s="1247">
        <f>39.757+4.432</f>
        <v>44.189</v>
      </c>
      <c r="S28" s="1248">
        <f>(R28/N28-1)*100</f>
        <v>204.10157594109148</v>
      </c>
      <c r="T28" s="1249">
        <f>T$10</f>
        <v>16.795114826439583</v>
      </c>
      <c r="U28" s="1255"/>
      <c r="V28" s="1247">
        <f>30.786+5.707</f>
        <v>36.493000000000002</v>
      </c>
      <c r="W28" s="1248">
        <f>(V28/D28-1)*100</f>
        <v>105.01685393258428</v>
      </c>
      <c r="X28" s="1249">
        <f>X$10</f>
        <v>12.906993760559814</v>
      </c>
      <c r="Y28" s="1255"/>
      <c r="Z28" s="1247">
        <f>13.901+7.034</f>
        <v>20.934999999999999</v>
      </c>
      <c r="AA28" s="1248">
        <f>(Z28/V28-1)*100</f>
        <v>-42.632833694133133</v>
      </c>
      <c r="AB28" s="1249">
        <f>AB$10</f>
        <v>31.161746130497892</v>
      </c>
      <c r="AC28" s="1255"/>
      <c r="AD28" s="1247">
        <f>58.927+8.845</f>
        <v>67.772000000000006</v>
      </c>
      <c r="AE28" s="1248">
        <f>(AD28/Z28-1)*100</f>
        <v>223.72581800812043</v>
      </c>
      <c r="AF28" s="1249">
        <f>AF$10</f>
        <v>10.603384617043087</v>
      </c>
      <c r="AG28" s="1255"/>
      <c r="AH28" s="1247">
        <v>71.009</v>
      </c>
      <c r="AI28" s="1248">
        <f>(AH28/AD28-1)*100</f>
        <v>4.7763088000944309</v>
      </c>
      <c r="AJ28" s="1249">
        <f>AJ$10</f>
        <v>39.679301096666151</v>
      </c>
      <c r="AK28" s="1255"/>
      <c r="AL28" s="1247">
        <v>6.1529999999999996</v>
      </c>
      <c r="AM28" s="1248">
        <f>(AL28/AH28-1)*100</f>
        <v>-91.334901209705805</v>
      </c>
      <c r="AN28" s="1249">
        <f>AN$10</f>
        <v>32.448572784280152</v>
      </c>
      <c r="AP28" s="1247">
        <v>669.45500000000004</v>
      </c>
      <c r="AQ28" s="1248">
        <f>(AP28/AL28-1)*100</f>
        <v>10780.139769218269</v>
      </c>
      <c r="AR28" s="1249">
        <f>AR$10</f>
        <v>19.943329642530692</v>
      </c>
      <c r="AT28" s="1247">
        <f>18.05+697.507</f>
        <v>715.5569999999999</v>
      </c>
      <c r="AU28" s="1248">
        <f>(AT28/AP28-1)*100</f>
        <v>6.8864972253549261</v>
      </c>
      <c r="AV28" s="1249">
        <f>AV$10</f>
        <v>16.386077547868048</v>
      </c>
      <c r="AX28" s="1247">
        <f>120.813+757.625</f>
        <v>878.43799999999999</v>
      </c>
      <c r="AY28" s="1248">
        <f>(AX28/AT28-1)*100</f>
        <v>22.762826721001982</v>
      </c>
      <c r="AZ28" s="1249">
        <f>AZ$10</f>
        <v>-9.083246741156902</v>
      </c>
      <c r="BB28" s="1247">
        <f>783.478+208.377</f>
        <v>991.85500000000002</v>
      </c>
      <c r="BC28" s="1248">
        <f>(BB28/AX28-1)*100</f>
        <v>12.911212857367293</v>
      </c>
      <c r="BD28" s="1249">
        <f>BD$10</f>
        <v>15.979127174108566</v>
      </c>
      <c r="BF28" s="1247">
        <v>1019.059</v>
      </c>
      <c r="BG28" s="1248">
        <f>(BF28/BB28-1)*100</f>
        <v>2.7427396141572968</v>
      </c>
      <c r="BH28" s="1249">
        <f>BH$10</f>
        <v>9.3890695189143614</v>
      </c>
      <c r="BJ28" s="1247">
        <v>1082.4069999999999</v>
      </c>
      <c r="BK28" s="1248">
        <f>(BJ28/BF28-1)*100</f>
        <v>6.216323098073806</v>
      </c>
      <c r="BL28" s="1249">
        <f>BL22</f>
        <v>-1.1253242955475917</v>
      </c>
      <c r="BN28" s="1247">
        <v>942.48299999999995</v>
      </c>
      <c r="BO28" s="1248">
        <f>(BN28/BJ28-1)*100</f>
        <v>-12.927115216365003</v>
      </c>
      <c r="BP28" s="1249">
        <f>BP22</f>
        <v>-5.1648611957169521</v>
      </c>
      <c r="BR28" s="1247">
        <f>802+70</f>
        <v>872</v>
      </c>
      <c r="BS28" s="1248">
        <f>(BR28/BN28-1)*100</f>
        <v>-7.4784372768527341</v>
      </c>
      <c r="BT28" s="1249">
        <f>BT22</f>
        <v>3.198604245420178</v>
      </c>
      <c r="BV28" s="1247">
        <f>1032+98</f>
        <v>1130</v>
      </c>
      <c r="BW28" s="1248">
        <f>(BV28/BR28-1)*100</f>
        <v>29.587155963302749</v>
      </c>
      <c r="BX28" s="1249">
        <f>BX22</f>
        <v>-4.6491969568892682</v>
      </c>
      <c r="BZ28" s="1247">
        <f>864+9</f>
        <v>873</v>
      </c>
      <c r="CA28" s="1248">
        <f>(BZ28/BV28-1)*100</f>
        <v>-22.743362831858406</v>
      </c>
      <c r="CB28" s="1249">
        <f>CB22</f>
        <v>-7.5945626477541328</v>
      </c>
      <c r="CD28" s="1247">
        <f>894+145</f>
        <v>1039</v>
      </c>
      <c r="CE28" s="1248">
        <f>(CD28/BZ28-1)*100</f>
        <v>19.014891179839633</v>
      </c>
      <c r="CF28" s="1249">
        <f>CF22</f>
        <v>6.4598656859609749</v>
      </c>
      <c r="CH28" s="1247">
        <f>952+85</f>
        <v>1037</v>
      </c>
      <c r="CI28" s="1248">
        <f>(CH28/CD28-1)*100</f>
        <v>-0.19249278152069227</v>
      </c>
      <c r="CJ28" s="1249">
        <f>CJ22</f>
        <v>-1.0213277260438525</v>
      </c>
      <c r="CL28" s="1247">
        <f>920+59</f>
        <v>979</v>
      </c>
      <c r="CM28" s="1248">
        <f>(CL28/CH28-1)*100</f>
        <v>-5.593056894889104</v>
      </c>
      <c r="CN28" s="1249">
        <f>CN22</f>
        <v>5.8270106221547824</v>
      </c>
      <c r="CP28" s="1247">
        <f>934+160</f>
        <v>1094</v>
      </c>
      <c r="CQ28" s="1248">
        <f>(CP28/CL28-1)*100</f>
        <v>11.746680286006139</v>
      </c>
      <c r="CR28" s="1249">
        <f>CR22</f>
        <v>6.9400630914826511</v>
      </c>
      <c r="CT28" s="1247">
        <f>980+98</f>
        <v>1078</v>
      </c>
      <c r="CU28" s="1248">
        <f>(CT28/CP28-1)*100</f>
        <v>-1.4625228519195566</v>
      </c>
      <c r="CV28" s="1249">
        <f>CV22</f>
        <v>1.2067578439259874</v>
      </c>
      <c r="CX28" s="1247">
        <f>960+37</f>
        <v>997</v>
      </c>
      <c r="CY28" s="1248">
        <f>(CX28/CT28-1)*100</f>
        <v>-7.5139146567718029</v>
      </c>
      <c r="CZ28" s="1249">
        <f>CZ22</f>
        <v>-3.1001589825119247</v>
      </c>
      <c r="DB28" s="1256">
        <f>974+49</f>
        <v>1023</v>
      </c>
      <c r="DC28" s="1248">
        <f>(DB28/CX28-1)*100</f>
        <v>2.6078234704112413</v>
      </c>
      <c r="DD28" s="1249">
        <f>DD22</f>
        <v>-5.9885151763740758</v>
      </c>
      <c r="DF28" s="1256">
        <f>1088+28</f>
        <v>1116</v>
      </c>
      <c r="DG28" s="1248">
        <f>(DF28/DB28-1)*100</f>
        <v>9.0909090909090828</v>
      </c>
      <c r="DH28" s="1249">
        <f>DH22</f>
        <v>5.8173356602675419E-2</v>
      </c>
      <c r="DJ28" s="1256"/>
      <c r="DK28" s="1248">
        <f>(DJ28/DF28-1)*100</f>
        <v>-100</v>
      </c>
      <c r="DL28" s="1249">
        <f>DL22</f>
        <v>-7</v>
      </c>
    </row>
    <row r="29" spans="1:116">
      <c r="A29" s="1045" t="str">
        <f>$A$11</f>
        <v>2Q</v>
      </c>
      <c r="B29" s="1045" t="str">
        <f>$B$11</f>
        <v>Jul</v>
      </c>
      <c r="D29" s="1251">
        <v>4.3</v>
      </c>
      <c r="E29" s="1230"/>
      <c r="F29" s="1251">
        <f>9.5+1.313</f>
        <v>10.813000000000001</v>
      </c>
      <c r="G29" s="1248">
        <f>(F29/D29-1)*100</f>
        <v>151.4651162790698</v>
      </c>
      <c r="H29" s="1249">
        <f>H$11</f>
        <v>29.1509051941254</v>
      </c>
      <c r="I29" s="1255"/>
      <c r="J29" s="1251">
        <f>2.933+3.033</f>
        <v>5.9659999999999993</v>
      </c>
      <c r="K29" s="1248">
        <f>(J29/F29-1)*100</f>
        <v>-44.825672801257753</v>
      </c>
      <c r="L29" s="1249">
        <f>L$11</f>
        <v>17.408843412560039</v>
      </c>
      <c r="M29" s="1255"/>
      <c r="N29" s="1251">
        <v>3.387</v>
      </c>
      <c r="O29" s="1248">
        <f>(N29/J29-1)*100</f>
        <v>-43.22829366409654</v>
      </c>
      <c r="P29" s="1249">
        <f>P$11</f>
        <v>12.876762294948495</v>
      </c>
      <c r="Q29" s="1255"/>
      <c r="R29" s="1251">
        <f>7.52+6.699</f>
        <v>14.218999999999999</v>
      </c>
      <c r="S29" s="1248">
        <f>(R29/N29-1)*100</f>
        <v>319.81104222025385</v>
      </c>
      <c r="T29" s="1249">
        <f>T$11</f>
        <v>11.53201421828296</v>
      </c>
      <c r="U29" s="1255"/>
      <c r="V29" s="1251">
        <f>9.325+6.173</f>
        <v>15.497999999999999</v>
      </c>
      <c r="W29" s="1248">
        <f>(V29/D29-1)*100</f>
        <v>260.41860465116275</v>
      </c>
      <c r="X29" s="1249">
        <f>X$11</f>
        <v>12.337236509724757</v>
      </c>
      <c r="Y29" s="1255"/>
      <c r="Z29" s="1251">
        <f>32.877+8.902</f>
        <v>41.779000000000003</v>
      </c>
      <c r="AA29" s="1248">
        <f>(Z29/V29-1)*100</f>
        <v>169.57671957671963</v>
      </c>
      <c r="AB29" s="1249">
        <f>AB$11</f>
        <v>28.994466410443586</v>
      </c>
      <c r="AC29" s="1255"/>
      <c r="AD29" s="1251">
        <f>31.402+11.905</f>
        <v>43.307000000000002</v>
      </c>
      <c r="AE29" s="1248">
        <f>(AD29/Z29-1)*100</f>
        <v>3.6573398118671996</v>
      </c>
      <c r="AF29" s="1249">
        <f>AF$11</f>
        <v>20.073103134330349</v>
      </c>
      <c r="AG29" s="1255"/>
      <c r="AH29" s="1251">
        <f>43.955+12.585</f>
        <v>56.54</v>
      </c>
      <c r="AI29" s="1248">
        <f>(AH29/AD29-1)*100</f>
        <v>30.556261112522208</v>
      </c>
      <c r="AJ29" s="1249">
        <f>AJ$11</f>
        <v>41.610188957799508</v>
      </c>
      <c r="AK29" s="1255"/>
      <c r="AL29" s="1251">
        <v>40.652000000000001</v>
      </c>
      <c r="AM29" s="1248">
        <f>(AL29/AH29-1)*100</f>
        <v>-28.100459851432614</v>
      </c>
      <c r="AN29" s="1249">
        <f>AN$11</f>
        <v>28.786227604634185</v>
      </c>
      <c r="AP29" s="1251">
        <v>702.03300000000002</v>
      </c>
      <c r="AQ29" s="1248">
        <f>(AP29/AL29-1)*100</f>
        <v>1626.933484207419</v>
      </c>
      <c r="AR29" s="1249">
        <f>AR$11</f>
        <v>20.151108346624746</v>
      </c>
      <c r="AT29" s="1251">
        <v>763.625</v>
      </c>
      <c r="AU29" s="1248">
        <f>(AT29/AP29-1)*100</f>
        <v>8.773376750095796</v>
      </c>
      <c r="AV29" s="1249">
        <f>AV$11</f>
        <v>10.092736269529535</v>
      </c>
      <c r="AX29" s="1251">
        <f>848.64+137.471</f>
        <v>986.11099999999999</v>
      </c>
      <c r="AY29" s="1248">
        <f>(AX29/AT29-1)*100</f>
        <v>29.13550499263382</v>
      </c>
      <c r="AZ29" s="1249">
        <f>AZ$11</f>
        <v>0.71150822178718265</v>
      </c>
      <c r="BB29" s="1251">
        <f>822.931+76.58</f>
        <v>899.51100000000008</v>
      </c>
      <c r="BC29" s="1248">
        <f>(BB29/AX29-1)*100</f>
        <v>-8.7819728205039702</v>
      </c>
      <c r="BD29" s="1249">
        <f>BD$11</f>
        <v>12.758585556016877</v>
      </c>
      <c r="BF29" s="1251">
        <f>824+31</f>
        <v>855</v>
      </c>
      <c r="BG29" s="1248">
        <f>(BF29/BB29-1)*100</f>
        <v>-4.9483552730316909</v>
      </c>
      <c r="BH29" s="1249">
        <f>BH$11</f>
        <v>0.96301548395394398</v>
      </c>
      <c r="BJ29" s="1251">
        <v>808.12900000000002</v>
      </c>
      <c r="BK29" s="1248">
        <f>(BJ29/BF29-1)*100</f>
        <v>-5.4819883040935657</v>
      </c>
      <c r="BL29" s="1249">
        <f>BL23</f>
        <v>-0.12070020632721778</v>
      </c>
      <c r="BN29" s="1251">
        <v>819.07600000000002</v>
      </c>
      <c r="BO29" s="1248">
        <f>(BN29/BJ29-1)*100</f>
        <v>1.3546104644184265</v>
      </c>
      <c r="BP29" s="1249">
        <f>BP23</f>
        <v>-6.183573007331189E-2</v>
      </c>
      <c r="BR29" s="1251">
        <v>1132</v>
      </c>
      <c r="BS29" s="1248">
        <f>(BR29/BN29-1)*100</f>
        <v>38.204513378489914</v>
      </c>
      <c r="BT29" s="1249">
        <f>BT23</f>
        <v>-0.78082929456112504</v>
      </c>
      <c r="BV29" s="1251">
        <f>1012+10</f>
        <v>1022</v>
      </c>
      <c r="BW29" s="1248">
        <f>(BV29/BR29-1)*100</f>
        <v>-9.7173144876325104</v>
      </c>
      <c r="BX29" s="1249">
        <f>BX23</f>
        <v>-5.0474898236092303</v>
      </c>
      <c r="BZ29" s="1251">
        <f>923+10</f>
        <v>933</v>
      </c>
      <c r="CA29" s="1248">
        <f>(BZ29/BV29-1)*100</f>
        <v>-8.7084148727984321</v>
      </c>
      <c r="CB29" s="1249">
        <f>CB23</f>
        <v>-7.2592169191197486</v>
      </c>
      <c r="CD29" s="1251">
        <f>872+16</f>
        <v>888</v>
      </c>
      <c r="CE29" s="1248">
        <f>(CD29/BZ29-1)*100</f>
        <v>-4.8231511254019255</v>
      </c>
      <c r="CF29" s="1249">
        <f>CF23</f>
        <v>2.2187981510015442</v>
      </c>
      <c r="CH29" s="1251">
        <f>955+2</f>
        <v>957</v>
      </c>
      <c r="CI29" s="1248">
        <f>(CH29/CD29-1)*100</f>
        <v>7.7702702702702631</v>
      </c>
      <c r="CJ29" s="1249">
        <f>CJ23</f>
        <v>2.080192945432624</v>
      </c>
      <c r="CL29" s="1251">
        <f>977+12</f>
        <v>989</v>
      </c>
      <c r="CM29" s="1248">
        <f>(CL29/CH29-1)*100</f>
        <v>3.3437826541274918</v>
      </c>
      <c r="CN29" s="1249">
        <f>CN23</f>
        <v>5.5818074424099251</v>
      </c>
      <c r="CP29" s="1251">
        <f>994+57</f>
        <v>1051</v>
      </c>
      <c r="CQ29" s="1248">
        <f>(CP29/CL29-1)*100</f>
        <v>6.2689585439838158</v>
      </c>
      <c r="CR29" s="1249">
        <f>CR23</f>
        <v>8.1958041958041896</v>
      </c>
      <c r="CT29" s="1251">
        <f>985+26</f>
        <v>1011</v>
      </c>
      <c r="CU29" s="1248">
        <f>(CT29/CP29-1)*100</f>
        <v>-3.8058991436726974</v>
      </c>
      <c r="CV29" s="1249">
        <f>CV23</f>
        <v>2.9214064115822058</v>
      </c>
      <c r="CX29" s="1251">
        <f>954+4</f>
        <v>958</v>
      </c>
      <c r="CY29" s="1248">
        <f>(CX29/CT29-1)*100</f>
        <v>-5.2423343224530132</v>
      </c>
      <c r="CZ29" s="1249">
        <f>CZ23</f>
        <v>-2.084903290630491</v>
      </c>
      <c r="DB29" s="1256">
        <f>1063+70</f>
        <v>1133</v>
      </c>
      <c r="DC29" s="1248">
        <f>(DB29/CX29-1)*100</f>
        <v>18.267223382045938</v>
      </c>
      <c r="DD29" s="1249">
        <f>DD23</f>
        <v>-1.2057465366854814</v>
      </c>
      <c r="DF29" s="1256">
        <f>1062+107</f>
        <v>1169</v>
      </c>
      <c r="DG29" s="1248">
        <f>(DF29/DB29-1)*100</f>
        <v>3.1774051191526986</v>
      </c>
      <c r="DH29" s="1249">
        <f>DH23</f>
        <v>-1.3502986237340919</v>
      </c>
      <c r="DJ29" s="1256"/>
      <c r="DK29" s="1248">
        <f>(DJ29/DF29-1)*100</f>
        <v>-100</v>
      </c>
      <c r="DL29" s="1249">
        <f>DL23</f>
        <v>-3</v>
      </c>
    </row>
    <row r="30" spans="1:116">
      <c r="A30" s="1045" t="str">
        <f>$A$12</f>
        <v>3Q</v>
      </c>
      <c r="B30" s="1045" t="str">
        <f>$B$12</f>
        <v>Oct</v>
      </c>
      <c r="D30" s="1251">
        <v>20.8</v>
      </c>
      <c r="E30" s="1230"/>
      <c r="F30" s="1251">
        <f>35.457+0.682</f>
        <v>36.139000000000003</v>
      </c>
      <c r="G30" s="1248">
        <f>(F30/D30-1)*100</f>
        <v>73.745192307692321</v>
      </c>
      <c r="H30" s="1249">
        <f>H$12</f>
        <v>39.937411548964505</v>
      </c>
      <c r="I30" s="1255"/>
      <c r="J30" s="1251">
        <f>15.41+2.707</f>
        <v>18.117000000000001</v>
      </c>
      <c r="K30" s="1248">
        <f>(J30/F30-1)*100</f>
        <v>-49.868563048230442</v>
      </c>
      <c r="L30" s="1249">
        <f>L$12</f>
        <v>17.82916365169531</v>
      </c>
      <c r="M30" s="1255"/>
      <c r="N30" s="1251">
        <f>30.575+3.989</f>
        <v>34.564</v>
      </c>
      <c r="O30" s="1248">
        <f>(N30/J30-1)*100</f>
        <v>90.782138323121913</v>
      </c>
      <c r="P30" s="1249">
        <f>P$12</f>
        <v>8.6379472499522603</v>
      </c>
      <c r="Q30" s="1255"/>
      <c r="R30" s="1251">
        <f>28.043+6.681</f>
        <v>34.723999999999997</v>
      </c>
      <c r="S30" s="1248">
        <f>(R30/N30-1)*100</f>
        <v>0.46290938548778637</v>
      </c>
      <c r="T30" s="1249">
        <f>T$12</f>
        <v>9.9778897201107775</v>
      </c>
      <c r="U30" s="1255"/>
      <c r="V30" s="1251">
        <f>55.934+6.784</f>
        <v>62.717999999999996</v>
      </c>
      <c r="W30" s="1248">
        <f>(V30/D30-1)*100</f>
        <v>201.52884615384613</v>
      </c>
      <c r="X30" s="1249">
        <f>X$12</f>
        <v>16.955904106456664</v>
      </c>
      <c r="Y30" s="1255"/>
      <c r="Z30" s="1251">
        <f>61.432+9.829</f>
        <v>71.260999999999996</v>
      </c>
      <c r="AA30" s="1248">
        <f>(Z30/V30-1)*100</f>
        <v>13.621288944162767</v>
      </c>
      <c r="AB30" s="1249">
        <f>AB$12</f>
        <v>19.643680537472452</v>
      </c>
      <c r="AC30" s="1255"/>
      <c r="AD30" s="1251">
        <f>93.395+15.17</f>
        <v>108.565</v>
      </c>
      <c r="AE30" s="1248">
        <f>(AD30/Z30-1)*100</f>
        <v>52.348409368378213</v>
      </c>
      <c r="AF30" s="1249">
        <f>AF$12</f>
        <v>27.689378711145942</v>
      </c>
      <c r="AG30" s="1255"/>
      <c r="AH30" s="1251">
        <f>42.008+12.351</f>
        <v>54.359000000000002</v>
      </c>
      <c r="AI30" s="1248">
        <f>(AH30/AD30-1)*100</f>
        <v>-49.929535301432317</v>
      </c>
      <c r="AJ30" s="1249">
        <f>AJ$12</f>
        <v>35.90208948327205</v>
      </c>
      <c r="AK30" s="1255"/>
      <c r="AL30" s="1251">
        <v>141.35300000000001</v>
      </c>
      <c r="AM30" s="1248">
        <f>(AL30/AH30-1)*100</f>
        <v>160.0360565867658</v>
      </c>
      <c r="AN30" s="1249">
        <f>AN$12</f>
        <v>26.893832699708508</v>
      </c>
      <c r="AP30" s="1251">
        <v>724.80399999999997</v>
      </c>
      <c r="AQ30" s="1248">
        <f>(AP30/AL30-1)*100</f>
        <v>412.76166759814078</v>
      </c>
      <c r="AR30" s="1249">
        <f>AR$12</f>
        <v>12.125950536319529</v>
      </c>
      <c r="AT30" s="1251">
        <v>1008.075</v>
      </c>
      <c r="AU30" s="1248">
        <f>(AT30/AP30-1)*100</f>
        <v>39.082427801171079</v>
      </c>
      <c r="AV30" s="1249">
        <f>AV$12</f>
        <v>-2.3807585393367692</v>
      </c>
      <c r="AX30" s="1251">
        <f>200.271+960.447</f>
        <v>1160.7180000000001</v>
      </c>
      <c r="AY30" s="1248">
        <f>(AX30/AT30-1)*100</f>
        <v>15.142028122907526</v>
      </c>
      <c r="AZ30" s="1249">
        <f>AZ$12</f>
        <v>9.3473787661926941</v>
      </c>
      <c r="BB30" s="1251">
        <f>882.205+181.253</f>
        <v>1063.4580000000001</v>
      </c>
      <c r="BC30" s="1248">
        <f>(BB30/AX30-1)*100</f>
        <v>-8.3792962631750285</v>
      </c>
      <c r="BD30" s="1249">
        <f>BD$12</f>
        <v>7.8053068404666526</v>
      </c>
      <c r="BF30" s="1251">
        <f>951+27</f>
        <v>978</v>
      </c>
      <c r="BG30" s="1248">
        <f>(BF30/BB30-1)*100</f>
        <v>-8.0358603724829827</v>
      </c>
      <c r="BH30" s="1249">
        <f>BH$12</f>
        <v>1.2901022431603737</v>
      </c>
      <c r="BJ30" s="1251">
        <f>36+933</f>
        <v>969</v>
      </c>
      <c r="BK30" s="1248">
        <f>(BJ30/BF30-1)*100</f>
        <v>-0.92024539877300082</v>
      </c>
      <c r="BL30" s="1249">
        <f>BL24</f>
        <v>-3.0210921698931026</v>
      </c>
      <c r="BN30" s="1251">
        <v>960.35299999999995</v>
      </c>
      <c r="BO30" s="1248">
        <f>(BN30/BJ30-1)*100</f>
        <v>-0.89236326109392028</v>
      </c>
      <c r="BP30" s="1249">
        <f>BP24</f>
        <v>-0.23073100743904451</v>
      </c>
      <c r="BR30" s="1251">
        <f>1287+25</f>
        <v>1312</v>
      </c>
      <c r="BS30" s="1248">
        <f>(BR30/BN30-1)*100</f>
        <v>36.616431666272732</v>
      </c>
      <c r="BT30" s="1249">
        <f>BT24</f>
        <v>7.7901843676975169E-2</v>
      </c>
      <c r="BV30" s="1251">
        <f>1052+25</f>
        <v>1077</v>
      </c>
      <c r="BW30" s="1248">
        <f>(BV30/BR30-1)*100</f>
        <v>-17.911585365853654</v>
      </c>
      <c r="BX30" s="1249">
        <f>BX24</f>
        <v>-7.6024909185262057</v>
      </c>
      <c r="BZ30" s="1251">
        <f>1050+6</f>
        <v>1056</v>
      </c>
      <c r="CA30" s="1248">
        <f>(BZ30/BV30-1)*100</f>
        <v>-1.9498607242339872</v>
      </c>
      <c r="CB30" s="1249">
        <f>CB24</f>
        <v>0.78629598427408798</v>
      </c>
      <c r="CD30" s="1251">
        <f>11+963</f>
        <v>974</v>
      </c>
      <c r="CE30" s="1248">
        <f>(CD30/BZ30-1)*100</f>
        <v>-7.7651515151515138</v>
      </c>
      <c r="CF30" s="1249">
        <f>CF24</f>
        <v>1.8110894399554267</v>
      </c>
      <c r="CH30" s="1251">
        <v>957</v>
      </c>
      <c r="CI30" s="1248">
        <f>(CH30/CD30-1)*100</f>
        <v>-1.7453798767967155</v>
      </c>
      <c r="CJ30" s="1249">
        <f>CJ24</f>
        <v>-1.8883415435139606</v>
      </c>
      <c r="CL30" s="1251">
        <v>1041</v>
      </c>
      <c r="CM30" s="1248">
        <f>(CL30/CH30-1)*100</f>
        <v>8.7774294670846409</v>
      </c>
      <c r="CN30" s="1249">
        <f>CN24</f>
        <v>7.7824267782426793</v>
      </c>
      <c r="CP30" s="1251">
        <f>1064+54</f>
        <v>1118</v>
      </c>
      <c r="CQ30" s="1248">
        <f>(CL30/CH30-1)*100</f>
        <v>8.7774294670846409</v>
      </c>
      <c r="CR30" s="1249">
        <f>CR24</f>
        <v>2.8985507246376718</v>
      </c>
      <c r="CT30" s="1251">
        <f>1011+12</f>
        <v>1023</v>
      </c>
      <c r="CU30" s="1248">
        <f>(CP30/CL30-1)*100</f>
        <v>7.3967339097022133</v>
      </c>
      <c r="CV30" s="1249">
        <f>CV24</f>
        <v>-0.1006036217303774</v>
      </c>
      <c r="CX30" s="1251">
        <f>997+23</f>
        <v>1020</v>
      </c>
      <c r="CY30" s="1248">
        <f>(CX30/CT30-1)*100</f>
        <v>-0.29325513196480912</v>
      </c>
      <c r="CZ30" s="1249">
        <f>CZ24</f>
        <v>-2.8952668680765403</v>
      </c>
      <c r="DB30" s="1256">
        <f>1059+19</f>
        <v>1078</v>
      </c>
      <c r="DC30" s="1248">
        <f t="shared" ref="DC30" si="7">(DB30/CX30-1)*100</f>
        <v>5.6862745098039236</v>
      </c>
      <c r="DD30" s="1249">
        <f t="shared" ref="DD30:DD31" si="8">DD24</f>
        <v>-1.5296862846772119</v>
      </c>
      <c r="DF30" s="1256">
        <f>1132+134</f>
        <v>1266</v>
      </c>
      <c r="DG30" s="1248">
        <f>(DF30/DB30-1)*100</f>
        <v>17.439703153988862</v>
      </c>
      <c r="DH30" s="1249">
        <f>DH24</f>
        <v>1.053185887309116</v>
      </c>
      <c r="DJ30" s="1256"/>
      <c r="DK30" s="1248">
        <f>(DJ30/DF30-1)*100</f>
        <v>-100</v>
      </c>
      <c r="DL30" s="1249">
        <f>DL24</f>
        <v>-2</v>
      </c>
    </row>
    <row r="31" spans="1:116">
      <c r="A31" s="1045" t="str">
        <f>$A$13</f>
        <v>4Q</v>
      </c>
      <c r="B31" s="1045" t="str">
        <f>$B$13</f>
        <v>Jan</v>
      </c>
      <c r="D31" s="1251">
        <v>33.4</v>
      </c>
      <c r="E31" s="1230"/>
      <c r="F31" s="1251">
        <f>32.104+2.057</f>
        <v>34.161000000000001</v>
      </c>
      <c r="G31" s="1248">
        <f>(F31/D31-1)*100</f>
        <v>2.2784431137724548</v>
      </c>
      <c r="H31" s="1249">
        <f>H$13</f>
        <v>28.613984370748135</v>
      </c>
      <c r="I31" s="1255"/>
      <c r="J31" s="1251">
        <f>10.624+2.828</f>
        <v>13.452</v>
      </c>
      <c r="K31" s="1248">
        <f>(J31/F31-1)*100</f>
        <v>-60.62176165803109</v>
      </c>
      <c r="L31" s="1249">
        <f>L$13</f>
        <v>15.771794121856653</v>
      </c>
      <c r="M31" s="1255"/>
      <c r="N31" s="1251">
        <f>70.431+4.196</f>
        <v>74.626999999999995</v>
      </c>
      <c r="O31" s="1248">
        <f>(N31/J31-1)*100</f>
        <v>454.76509069283378</v>
      </c>
      <c r="P31" s="1249">
        <f>P$13</f>
        <v>13.977611483010822</v>
      </c>
      <c r="Q31" s="1255"/>
      <c r="R31" s="1251">
        <f>41.156+7.127</f>
        <v>48.283000000000001</v>
      </c>
      <c r="S31" s="1248">
        <f>(R31/N31-1)*100</f>
        <v>-35.300896458386369</v>
      </c>
      <c r="T31" s="1249">
        <f>T$13</f>
        <v>14.106656102921056</v>
      </c>
      <c r="U31" s="1255"/>
      <c r="V31" s="1251">
        <f>66.094+6.904</f>
        <v>72.99799999999999</v>
      </c>
      <c r="W31" s="1248">
        <f>(V31/D31-1)*100</f>
        <v>118.55688622754488</v>
      </c>
      <c r="X31" s="1249">
        <f>X$13</f>
        <v>25.816730630777339</v>
      </c>
      <c r="Y31" s="1255"/>
      <c r="Z31" s="1251">
        <f>91.806+8.792</f>
        <v>100.598</v>
      </c>
      <c r="AA31" s="1248">
        <f>(Z31/V31-1)*100</f>
        <v>37.809255048083521</v>
      </c>
      <c r="AB31" s="1249">
        <f>AB$13</f>
        <v>9.5770247062981753</v>
      </c>
      <c r="AC31" s="1255"/>
      <c r="AD31" s="1251">
        <f>83.597+16.769</f>
        <v>100.36599999999999</v>
      </c>
      <c r="AE31" s="1248">
        <f>(AD31/Z31-1)*100</f>
        <v>-0.2306208870951898</v>
      </c>
      <c r="AF31" s="1249">
        <f>AF$13</f>
        <v>29.832975197494328</v>
      </c>
      <c r="AG31" s="1255"/>
      <c r="AH31" s="1251">
        <v>122.51300000000001</v>
      </c>
      <c r="AI31" s="1248">
        <f>(AH31/AD31-1)*100</f>
        <v>22.066237570492021</v>
      </c>
      <c r="AJ31" s="1249">
        <f>AJ$13</f>
        <v>39.915094997457842</v>
      </c>
      <c r="AK31" s="1255"/>
      <c r="AL31" s="1251">
        <v>26.263000000000002</v>
      </c>
      <c r="AM31" s="1248">
        <f>(AL31/AH31-1)*100</f>
        <v>-78.563091263784244</v>
      </c>
      <c r="AN31" s="1249">
        <f>AN$13</f>
        <v>27.364784582115441</v>
      </c>
      <c r="AP31" s="1251">
        <v>702.03300000000002</v>
      </c>
      <c r="AQ31" s="1248">
        <f>(AP31/AL31-1)*100</f>
        <v>2573.0876137531886</v>
      </c>
      <c r="AR31" s="1249">
        <f>AR$13</f>
        <v>18.661839433066962</v>
      </c>
      <c r="AT31" s="1251">
        <f>82.108+792.869</f>
        <v>874.97700000000009</v>
      </c>
      <c r="AU31" s="1248">
        <f>(AT31/AP31-1)*100</f>
        <v>24.634739392592664</v>
      </c>
      <c r="AV31" s="1249">
        <f>AV$13</f>
        <v>-10.689093548759054</v>
      </c>
      <c r="AX31" s="1251">
        <f>874.129+193.165</f>
        <v>1067.2940000000001</v>
      </c>
      <c r="AY31" s="1248">
        <f>(AX31/AT31-1)*100</f>
        <v>21.979663465439671</v>
      </c>
      <c r="AZ31" s="1249">
        <f>AZ$13</f>
        <v>13.717125653330076</v>
      </c>
      <c r="BB31" s="1251">
        <f>872.677+158.523</f>
        <v>1031.2</v>
      </c>
      <c r="BC31" s="1248">
        <f>(BB31/AX31-1)*100</f>
        <v>-3.381823565015829</v>
      </c>
      <c r="BD31" s="1249">
        <f>BD$13</f>
        <v>5.0672987852760532</v>
      </c>
      <c r="BF31" s="1251">
        <f>886+91</f>
        <v>977</v>
      </c>
      <c r="BG31" s="1248">
        <f>(BF31/BB31-1)*100</f>
        <v>-5.2560124127230434</v>
      </c>
      <c r="BH31" s="1249">
        <f>BH$13</f>
        <v>0.25854108578660107</v>
      </c>
      <c r="BJ31" s="1251">
        <v>809.63800000000003</v>
      </c>
      <c r="BK31" s="1248">
        <f>(BJ31/BF31-1)*100</f>
        <v>-17.130194472876148</v>
      </c>
      <c r="BL31" s="1249">
        <f>BL25</f>
        <v>-1.5924809196845802</v>
      </c>
      <c r="BN31" s="1251">
        <f>822+16</f>
        <v>838</v>
      </c>
      <c r="BO31" s="1248">
        <f>(BN31/BJ31-1)*100</f>
        <v>3.5030470407762415</v>
      </c>
      <c r="BP31" s="1249">
        <f>BP25</f>
        <v>2.0352495590538089</v>
      </c>
      <c r="BR31" s="1251">
        <f>1259+30</f>
        <v>1289</v>
      </c>
      <c r="BS31" s="1248">
        <f>(BR31/BN31-1)*100</f>
        <v>53.818615751789963</v>
      </c>
      <c r="BT31" s="1249">
        <f>BT25</f>
        <v>-4.9603577963000633</v>
      </c>
      <c r="BV31" s="1251">
        <f>1076+57</f>
        <v>1133</v>
      </c>
      <c r="BW31" s="1248">
        <f>(BV31/BR31-1)*100</f>
        <v>-12.102404965089219</v>
      </c>
      <c r="BX31" s="1249">
        <f>BX25</f>
        <v>-12.684491978609625</v>
      </c>
      <c r="BZ31" s="1251">
        <f>1063+41</f>
        <v>1104</v>
      </c>
      <c r="CA31" s="1248">
        <f>(BZ31/BV31-1)*100</f>
        <v>-2.5595763459841159</v>
      </c>
      <c r="CB31" s="1249">
        <f>CB25</f>
        <v>3.7726604605585523</v>
      </c>
      <c r="CD31" s="1251">
        <f>996+50</f>
        <v>1046</v>
      </c>
      <c r="CE31" s="1248">
        <f>(CD31/BZ31-1)*100</f>
        <v>-5.2536231884057987</v>
      </c>
      <c r="CF31" s="1249">
        <f>CF25</f>
        <v>3.0217186024551479</v>
      </c>
      <c r="CH31" s="1251">
        <f>998+5</f>
        <v>1003</v>
      </c>
      <c r="CI31" s="1248">
        <f>(CH31/CD31-1)*100</f>
        <v>-4.1108986615678749</v>
      </c>
      <c r="CJ31" s="1249">
        <f>CJ25</f>
        <v>-1.8560953253895507</v>
      </c>
      <c r="CL31" s="1251">
        <f>1092+108</f>
        <v>1200</v>
      </c>
      <c r="CM31" s="1248">
        <f>(CL31/CH31-1)*100</f>
        <v>19.641076769690933</v>
      </c>
      <c r="CN31" s="1249">
        <f>CN25</f>
        <v>10.319869250525326</v>
      </c>
      <c r="CP31" s="1251">
        <f>1142+36</f>
        <v>1178</v>
      </c>
      <c r="CQ31" s="1248">
        <f>(CP31/CL31-1)*100</f>
        <v>-1.8333333333333313</v>
      </c>
      <c r="CR31" s="1249">
        <f>CR25</f>
        <v>-3.1746031746031744</v>
      </c>
      <c r="CT31" s="1251">
        <f>1020+20</f>
        <v>1040</v>
      </c>
      <c r="CU31" s="1248">
        <f>(CP31/CL31-1)*100</f>
        <v>-1.8333333333333313</v>
      </c>
      <c r="CV31" s="1249">
        <f>CV25</f>
        <v>2.9071038251366144</v>
      </c>
      <c r="CX31" s="1251">
        <f>979+23</f>
        <v>1002</v>
      </c>
      <c r="CY31" s="1248">
        <f>(CT31/CP31-1)*100</f>
        <v>-11.714770797962649</v>
      </c>
      <c r="CZ31" s="1249">
        <f>CZ25</f>
        <v>-6.860662701784193</v>
      </c>
      <c r="DB31" s="1256">
        <f>1113+32</f>
        <v>1145</v>
      </c>
      <c r="DC31" s="1248">
        <f t="shared" ref="DC31" si="9">(DB31/CX31-1)*100</f>
        <v>14.271457085828354</v>
      </c>
      <c r="DD31" s="1249">
        <f t="shared" si="8"/>
        <v>1.0034207525655647</v>
      </c>
      <c r="DF31" s="1256">
        <f>1270+10</f>
        <v>1280</v>
      </c>
      <c r="DG31" s="1248">
        <f>(DF31/DB31-1)*100</f>
        <v>11.790393013100431</v>
      </c>
      <c r="DH31" s="1249">
        <f>DH25</f>
        <v>7.8798825920072257</v>
      </c>
      <c r="DJ31" s="1256"/>
      <c r="DK31" s="1248"/>
      <c r="DL31" s="1249"/>
    </row>
    <row r="32" spans="1:116">
      <c r="DB32" s="1258"/>
      <c r="DF32" s="1258"/>
      <c r="DJ32" s="1258"/>
    </row>
    <row r="33" spans="1:116">
      <c r="A33" s="1253" t="s">
        <v>651</v>
      </c>
      <c r="B33" s="1161"/>
      <c r="N33" s="1059"/>
      <c r="AD33" s="1059"/>
      <c r="DB33" s="1258"/>
      <c r="DF33" s="1258"/>
      <c r="DJ33" s="1258"/>
    </row>
    <row r="34" spans="1:116">
      <c r="A34" s="1045" t="str">
        <f>$A$10</f>
        <v>1Q</v>
      </c>
      <c r="B34" s="1045" t="str">
        <f>$B$10</f>
        <v>Apr</v>
      </c>
      <c r="D34" s="1244">
        <f>D10+D16-D22-D28</f>
        <v>80.800000000000026</v>
      </c>
      <c r="F34" s="1244">
        <f>F10+F16-F22-F28</f>
        <v>87.40000000000002</v>
      </c>
      <c r="G34" s="1248"/>
      <c r="H34" s="1249">
        <f>H$10</f>
        <v>21.853626530936854</v>
      </c>
      <c r="I34" s="1262"/>
      <c r="J34" s="1244">
        <f>J10+J16-J22-J28</f>
        <v>118.596</v>
      </c>
      <c r="K34" s="1248">
        <f>(J34/F34-1)*100</f>
        <v>35.693363844393566</v>
      </c>
      <c r="L34" s="1249">
        <f>L$10</f>
        <v>20.102794207627994</v>
      </c>
      <c r="M34" s="1262"/>
      <c r="N34" s="1244">
        <f>N10+N16-N22-N28</f>
        <v>165.40700000000004</v>
      </c>
      <c r="O34" s="1248">
        <f>(N34/J34-1)*100</f>
        <v>39.47097709872174</v>
      </c>
      <c r="P34" s="1249">
        <f>P$10</f>
        <v>9.2917889359852133</v>
      </c>
      <c r="Q34" s="1262"/>
      <c r="R34" s="1244">
        <f>R10+R16-R22-R28</f>
        <v>39.109000000000002</v>
      </c>
      <c r="S34" s="1248">
        <f>(R34/N34-1)*100</f>
        <v>-76.355897876147921</v>
      </c>
      <c r="T34" s="1249">
        <f>T$10</f>
        <v>16.795114826439583</v>
      </c>
      <c r="U34" s="1262"/>
      <c r="V34" s="1244">
        <f>V10+V16-V22-V28</f>
        <v>100.017</v>
      </c>
      <c r="W34" s="1248">
        <f>(V34/D34-1)*100</f>
        <v>23.783415841584123</v>
      </c>
      <c r="X34" s="1249">
        <f>X$10</f>
        <v>12.906993760559814</v>
      </c>
      <c r="Y34" s="1262"/>
      <c r="Z34" s="1244">
        <f>Z10+Z16-Z22-Z28</f>
        <v>196.49299999999999</v>
      </c>
      <c r="AA34" s="1248">
        <f>(Z34/V34-1)*100</f>
        <v>96.459601867682494</v>
      </c>
      <c r="AB34" s="1249">
        <f>AB$10</f>
        <v>31.161746130497892</v>
      </c>
      <c r="AC34" s="1262"/>
      <c r="AD34" s="1244">
        <f>AD10+AD16-AD22-AD28</f>
        <v>202.26600000000002</v>
      </c>
      <c r="AE34" s="1248">
        <f>(AD34/Z34-1)*100</f>
        <v>2.9380181482292045</v>
      </c>
      <c r="AF34" s="1249">
        <f>AF$10</f>
        <v>10.603384617043087</v>
      </c>
      <c r="AG34" s="1262"/>
      <c r="AH34" s="1244">
        <f>AH10+AH16-AH22-AH28</f>
        <v>122.18399999999987</v>
      </c>
      <c r="AI34" s="1248">
        <f>(AH34/AD34-1)*100</f>
        <v>-39.592417905134894</v>
      </c>
      <c r="AJ34" s="1249">
        <f>AJ$10</f>
        <v>39.679301096666151</v>
      </c>
      <c r="AK34" s="1262"/>
      <c r="AL34" s="1244">
        <f>AL10+AL16-AL22-AL28</f>
        <v>162.71899999999985</v>
      </c>
      <c r="AM34" s="1248">
        <f>(AL34/AH34-1)*100</f>
        <v>33.175374844496844</v>
      </c>
      <c r="AN34" s="1249">
        <f>AN$10</f>
        <v>32.448572784280152</v>
      </c>
      <c r="AP34" s="1244">
        <f>AP10+AP16-AP22-AP28</f>
        <v>570.18200000000013</v>
      </c>
      <c r="AQ34" s="1248">
        <f>(AP34/AL34-1)*100</f>
        <v>250.40898727253773</v>
      </c>
      <c r="AR34" s="1249">
        <f>AR$10</f>
        <v>19.943329642530692</v>
      </c>
      <c r="AT34" s="1244">
        <f>AT10+AT16-AT22-AT28</f>
        <v>769.0060000000002</v>
      </c>
      <c r="AU34" s="1248">
        <f>(AT34/AP34-1)*100</f>
        <v>34.870269492898757</v>
      </c>
      <c r="AV34" s="1249">
        <f>AV$10</f>
        <v>16.386077547868048</v>
      </c>
      <c r="AX34" s="1244">
        <f>AX10+AX16-AX22-AX28</f>
        <v>214.37300000000016</v>
      </c>
      <c r="AY34" s="1248">
        <f>(AX34/AT34-1)*100</f>
        <v>-72.123364447091419</v>
      </c>
      <c r="AZ34" s="1249">
        <f>AZ$10</f>
        <v>-9.083246741156902</v>
      </c>
      <c r="BB34" s="1244">
        <f>BB10+BB16-BB22-BB28</f>
        <v>507.76800000000003</v>
      </c>
      <c r="BC34" s="1248">
        <f>(BB34/AX34-1)*100</f>
        <v>136.86191824530124</v>
      </c>
      <c r="BD34" s="1249">
        <f>BD$10</f>
        <v>15.979127174108566</v>
      </c>
      <c r="BF34" s="1244">
        <f>BF10+BF16-BF22-BF28</f>
        <v>115.85899999999992</v>
      </c>
      <c r="BG34" s="1248">
        <f>(BF34/BB34-1)*100</f>
        <v>-77.182689732318707</v>
      </c>
      <c r="BH34" s="1249">
        <f>BH$10</f>
        <v>9.3890695189143614</v>
      </c>
      <c r="BJ34" s="1244">
        <f>BJ10+BJ16-BJ22-BJ28</f>
        <v>162.971</v>
      </c>
      <c r="BK34" s="1248">
        <f>(BJ34/BF34-1)*100</f>
        <v>40.663219948385645</v>
      </c>
      <c r="BL34" s="1249">
        <f>BL28</f>
        <v>-1.1253242955475917</v>
      </c>
      <c r="BN34" s="1244">
        <f>BN10+BN16-BN22-BN28</f>
        <v>298.1429999999998</v>
      </c>
      <c r="BO34" s="1248">
        <f>(BN34/BJ34-1)*100</f>
        <v>82.942363978867277</v>
      </c>
      <c r="BP34" s="1249">
        <f>BP28</f>
        <v>-5.1648611957169521</v>
      </c>
      <c r="BR34" s="1244">
        <f>BR10+BR16-BR22-BR28</f>
        <v>552</v>
      </c>
      <c r="BS34" s="1248">
        <f>(BR34/BN34-1)*100</f>
        <v>85.14605407472267</v>
      </c>
      <c r="BT34" s="1249">
        <f>BT28</f>
        <v>3.198604245420178</v>
      </c>
      <c r="BV34" s="1244">
        <f>BV10+BV16-BV22-BV28</f>
        <v>100</v>
      </c>
      <c r="BW34" s="1248">
        <f>(BV34/BR34-1)*100</f>
        <v>-81.884057971014485</v>
      </c>
      <c r="BX34" s="1249">
        <f>BX28</f>
        <v>-4.6491969568892682</v>
      </c>
      <c r="BZ34" s="1244">
        <f>BZ10+BZ16-BZ22-BZ28</f>
        <v>355</v>
      </c>
      <c r="CA34" s="1248">
        <f>(BZ34/BV34-1)*100</f>
        <v>254.99999999999997</v>
      </c>
      <c r="CB34" s="1249">
        <f>CB28</f>
        <v>-7.5945626477541328</v>
      </c>
      <c r="CD34" s="1244">
        <f>CD10+CD16-CD22-CD28</f>
        <v>92</v>
      </c>
      <c r="CE34" s="1248">
        <f>(CD34/BZ34-1)*100</f>
        <v>-74.08450704225352</v>
      </c>
      <c r="CF34" s="1249">
        <f>CF28</f>
        <v>6.4598656859609749</v>
      </c>
      <c r="CH34" s="1244">
        <f>CH10+CH16-CH22-CH28</f>
        <v>313</v>
      </c>
      <c r="CI34" s="1248">
        <f>(CH34/CD34-1)*100</f>
        <v>240.21739130434781</v>
      </c>
      <c r="CJ34" s="1249">
        <f>CJ28</f>
        <v>-1.0213277260438525</v>
      </c>
      <c r="CL34" s="1244">
        <f>CL10+CL16-CL22-CL28</f>
        <v>403</v>
      </c>
      <c r="CM34" s="1248">
        <f>(CL34/CH34-1)*100</f>
        <v>28.753993610223638</v>
      </c>
      <c r="CN34" s="1249">
        <f>CN28</f>
        <v>5.8270106221547824</v>
      </c>
      <c r="CP34" s="1244">
        <f>CP10+CP16-CP22-CP28</f>
        <v>419</v>
      </c>
      <c r="CQ34" s="1248">
        <f>(CP34/CL34-1)*100</f>
        <v>3.9702233250620278</v>
      </c>
      <c r="CR34" s="1249">
        <f>CR28</f>
        <v>6.9400630914826511</v>
      </c>
      <c r="CT34" s="1244">
        <f>CT10+CT16-CT22-CT28</f>
        <v>597</v>
      </c>
      <c r="CU34" s="1248">
        <f>(CT34/CP34-1)*100</f>
        <v>42.482100238663477</v>
      </c>
      <c r="CV34" s="1249">
        <f>CV28</f>
        <v>1.2067578439259874</v>
      </c>
      <c r="CX34" s="1244">
        <f>CX10+CX16-CX22-CX28</f>
        <v>731</v>
      </c>
      <c r="CY34" s="1248">
        <f>(CX34/CT34-1)*100</f>
        <v>22.44556113902847</v>
      </c>
      <c r="CZ34" s="1249">
        <f>CZ28</f>
        <v>-3.1001589825119247</v>
      </c>
      <c r="DB34" s="1258">
        <f>DB10+DB16-DB22-DB28</f>
        <v>501</v>
      </c>
      <c r="DC34" s="1248">
        <f>(DB34/CX34-1)*100</f>
        <v>-31.463748290013683</v>
      </c>
      <c r="DD34" s="1249">
        <f>DD28</f>
        <v>-5.9885151763740758</v>
      </c>
      <c r="DF34" s="1258">
        <f>DF10+DF16-DF22-DF28</f>
        <v>301</v>
      </c>
      <c r="DG34" s="1248">
        <f>(DF34/DB34-1)*100</f>
        <v>-39.920159680638726</v>
      </c>
      <c r="DH34" s="1249">
        <f>DH28</f>
        <v>5.8173356602675419E-2</v>
      </c>
      <c r="DJ34" s="1258">
        <f>DJ10+DJ16-DJ22-DJ28</f>
        <v>0</v>
      </c>
      <c r="DK34" s="1248">
        <f>(DJ34/DF34-1)*100</f>
        <v>-100</v>
      </c>
      <c r="DL34" s="1249">
        <f>DL28</f>
        <v>-7</v>
      </c>
    </row>
    <row r="35" spans="1:116">
      <c r="A35" s="1045" t="str">
        <f>$A$11</f>
        <v>2Q</v>
      </c>
      <c r="B35" s="1045" t="str">
        <f>$B$11</f>
        <v>Jul</v>
      </c>
      <c r="D35" s="1263">
        <f>D11+D17-D23-D29</f>
        <v>91.09999999999998</v>
      </c>
      <c r="E35" s="1263"/>
      <c r="F35" s="1263">
        <f>F11+F17-F23-F29</f>
        <v>146.27000000000001</v>
      </c>
      <c r="G35" s="1248"/>
      <c r="H35" s="1249">
        <f>H$11</f>
        <v>29.1509051941254</v>
      </c>
      <c r="I35" s="1262"/>
      <c r="J35" s="1263">
        <f>J11+J17-J23-J29</f>
        <v>212.76300000000003</v>
      </c>
      <c r="K35" s="1248">
        <f>(J35/F35-1)*100</f>
        <v>45.459082518629934</v>
      </c>
      <c r="L35" s="1249">
        <f>L$11</f>
        <v>17.408843412560039</v>
      </c>
      <c r="M35" s="1262"/>
      <c r="N35" s="1263">
        <f>N11+N17-N23-N29</f>
        <v>164.113</v>
      </c>
      <c r="O35" s="1248">
        <f>(N35/J35-1)*100</f>
        <v>-22.865817834867919</v>
      </c>
      <c r="P35" s="1249">
        <f>P$11</f>
        <v>12.876762294948495</v>
      </c>
      <c r="Q35" s="1262"/>
      <c r="R35" s="1263">
        <f>R11+R17-R23-R29</f>
        <v>88.04400000000004</v>
      </c>
      <c r="S35" s="1248">
        <f>(R35/N35-1)*100</f>
        <v>-46.351599202988162</v>
      </c>
      <c r="T35" s="1249">
        <f>T$11</f>
        <v>11.53201421828296</v>
      </c>
      <c r="U35" s="1262"/>
      <c r="V35" s="1263">
        <f>V11+V17-V23-V29</f>
        <v>166.26799999999997</v>
      </c>
      <c r="W35" s="1248">
        <f>(V35/D35-1)*100</f>
        <v>82.51152579582876</v>
      </c>
      <c r="X35" s="1249">
        <f>X$11</f>
        <v>12.337236509724757</v>
      </c>
      <c r="Y35" s="1262"/>
      <c r="Z35" s="1263">
        <f>Z11+Z17-Z23-Z29</f>
        <v>141.32900000000006</v>
      </c>
      <c r="AA35" s="1248">
        <f>(Z35/V35-1)*100</f>
        <v>-14.999278273630468</v>
      </c>
      <c r="AB35" s="1249">
        <f>AB$11</f>
        <v>28.994466410443586</v>
      </c>
      <c r="AC35" s="1262"/>
      <c r="AD35" s="1263">
        <f>AD11+AD17-AD23-AD29</f>
        <v>251.21699999999998</v>
      </c>
      <c r="AE35" s="1248">
        <f>(AD35/Z35-1)*100</f>
        <v>77.753327342583532</v>
      </c>
      <c r="AF35" s="1249">
        <f>AF$11</f>
        <v>20.073103134330349</v>
      </c>
      <c r="AG35" s="1262"/>
      <c r="AH35" s="1263">
        <f>AH11+AH17-AH23-AH29</f>
        <v>117.30799999999996</v>
      </c>
      <c r="AI35" s="1248">
        <f>(AH35/AD35-1)*100</f>
        <v>-53.304115565427509</v>
      </c>
      <c r="AJ35" s="1249">
        <f>AJ$11</f>
        <v>41.610188957799508</v>
      </c>
      <c r="AK35" s="1262"/>
      <c r="AL35" s="1263">
        <f>AL11+AL17-AL23-AL29</f>
        <v>356.03000000000026</v>
      </c>
      <c r="AM35" s="1248">
        <f>(AL35/AH35-1)*100</f>
        <v>203.50018754049199</v>
      </c>
      <c r="AN35" s="1249">
        <f>AN$11</f>
        <v>28.786227604634185</v>
      </c>
      <c r="AP35" s="1263">
        <f>AP11+AP17-AP23-AP29</f>
        <v>830.97000000000014</v>
      </c>
      <c r="AQ35" s="1248">
        <f>(AP35/AL35-1)*100</f>
        <v>133.39887088166714</v>
      </c>
      <c r="AR35" s="1249">
        <f>AR$11</f>
        <v>20.151108346624746</v>
      </c>
      <c r="AT35" s="1263">
        <f>AT11+AT17-AT23-AT29</f>
        <v>697.96199999999999</v>
      </c>
      <c r="AU35" s="1248">
        <f>(AT35/AP35-1)*100</f>
        <v>-16.006354020000735</v>
      </c>
      <c r="AV35" s="1249">
        <f>AV$11</f>
        <v>10.092736269529535</v>
      </c>
      <c r="AX35" s="1263">
        <f>AX11+AX17-AX23-AX29</f>
        <v>324.36900000000026</v>
      </c>
      <c r="AY35" s="1248">
        <f>(AX35/AT35-1)*100</f>
        <v>-53.526266472959819</v>
      </c>
      <c r="AZ35" s="1249">
        <f>AZ$11</f>
        <v>0.71150822178718265</v>
      </c>
      <c r="BB35" s="1263">
        <f>BB11+BB17-BB23-BB29</f>
        <v>508.39299999999992</v>
      </c>
      <c r="BC35" s="1248">
        <f>(BB35/AX35-1)*100</f>
        <v>56.732918373827189</v>
      </c>
      <c r="BD35" s="1249">
        <f>BD$11</f>
        <v>12.758585556016877</v>
      </c>
      <c r="BF35" s="1263">
        <f>BF11+BF17-BF23-BF29</f>
        <v>452.59300000000007</v>
      </c>
      <c r="BG35" s="1248">
        <f>(BF35/BB35-1)*100</f>
        <v>-10.975760877903484</v>
      </c>
      <c r="BH35" s="1249">
        <f>BH$11</f>
        <v>0.96301548395394398</v>
      </c>
      <c r="BJ35" s="1263">
        <f>BJ11+BJ17-BJ23-BJ29</f>
        <v>581.24400000000026</v>
      </c>
      <c r="BK35" s="1248">
        <f>(BJ35/BF35-1)*100</f>
        <v>28.42531811141582</v>
      </c>
      <c r="BL35" s="1249">
        <f>BL29</f>
        <v>-0.12070020632721778</v>
      </c>
      <c r="BN35" s="1263">
        <f>BN11+BN17-BN23-BN29</f>
        <v>403.65200000000027</v>
      </c>
      <c r="BO35" s="1248">
        <f>(BN35/BJ35-1)*100</f>
        <v>-30.553777759426314</v>
      </c>
      <c r="BP35" s="1249">
        <f>BP29</f>
        <v>-6.183573007331189E-2</v>
      </c>
      <c r="BR35" s="1263">
        <f>BR11+BR17-BR23-BR29</f>
        <v>458</v>
      </c>
      <c r="BS35" s="1248">
        <f>(BR35/BN35-1)*100</f>
        <v>13.464073013387701</v>
      </c>
      <c r="BT35" s="1249">
        <f>BT29</f>
        <v>-0.78082929456112504</v>
      </c>
      <c r="BV35" s="1263">
        <f>BV11+BV17-BV23-BV29</f>
        <v>144</v>
      </c>
      <c r="BW35" s="1248">
        <f>(BV35/BR35-1)*100</f>
        <v>-68.558951965065489</v>
      </c>
      <c r="BX35" s="1249">
        <f>BX29</f>
        <v>-5.0474898236092303</v>
      </c>
      <c r="BZ35" s="1263">
        <f>BZ11+BZ17-BZ23-BZ29</f>
        <v>174</v>
      </c>
      <c r="CA35" s="1248">
        <f>(BZ35/BV35-1)*100</f>
        <v>20.833333333333325</v>
      </c>
      <c r="CB35" s="1249">
        <f>CB29</f>
        <v>-7.2592169191197486</v>
      </c>
      <c r="CD35" s="1263">
        <f>CD11+CD17-CD23-CD29</f>
        <v>321</v>
      </c>
      <c r="CE35" s="1248">
        <f>(CD35/BZ35-1)*100</f>
        <v>84.482758620689651</v>
      </c>
      <c r="CF35" s="1249">
        <f>CF29</f>
        <v>2.2187981510015442</v>
      </c>
      <c r="CH35" s="1263">
        <f>CH11+CH17-CH23-CH29</f>
        <v>384</v>
      </c>
      <c r="CI35" s="1248">
        <f>(CH35/CD35-1)*100</f>
        <v>19.626168224299057</v>
      </c>
      <c r="CJ35" s="1249">
        <f>CJ29</f>
        <v>2.080192945432624</v>
      </c>
      <c r="CL35" s="1263">
        <f>CL11+CL17-CL23-CL29</f>
        <v>236</v>
      </c>
      <c r="CM35" s="1248">
        <f>(CL35/CH35-1)*100</f>
        <v>-38.541666666666664</v>
      </c>
      <c r="CN35" s="1249">
        <f>CN29</f>
        <v>5.5818074424099251</v>
      </c>
      <c r="CP35" s="1244">
        <f>CP11+CP17-CP23-CP29</f>
        <v>383</v>
      </c>
      <c r="CQ35" s="1248">
        <f>(CP35/CL35-1)*100</f>
        <v>62.288135593220332</v>
      </c>
      <c r="CR35" s="1249">
        <f>CR29</f>
        <v>8.1958041958041896</v>
      </c>
      <c r="CT35" s="1244">
        <f>CT11+CT17-CT23-CT29</f>
        <v>488</v>
      </c>
      <c r="CU35" s="1248">
        <f>(CT35/CP35-1)*100</f>
        <v>27.415143603133153</v>
      </c>
      <c r="CV35" s="1249">
        <f>CV29</f>
        <v>2.9214064115822058</v>
      </c>
      <c r="CX35" s="1244">
        <f>CX11+CX17-CX23-CX29</f>
        <v>740</v>
      </c>
      <c r="CY35" s="1248">
        <f>(CX35/CT35-1)*100</f>
        <v>51.639344262295083</v>
      </c>
      <c r="CZ35" s="1249">
        <f>CZ29</f>
        <v>-2.084903290630491</v>
      </c>
      <c r="DB35" s="1258">
        <f>DB11+DB17-DB23-DB29</f>
        <v>263</v>
      </c>
      <c r="DC35" s="1248">
        <f t="shared" ref="DC35:DC37" si="10">(DB35/CX35-1)*100</f>
        <v>-64.459459459459453</v>
      </c>
      <c r="DD35" s="1249">
        <f t="shared" ref="DD35:DD37" si="11">DD29</f>
        <v>-1.2057465366854814</v>
      </c>
      <c r="DF35" s="1258">
        <f>DF11+DF17-DF23-DF29</f>
        <v>250</v>
      </c>
      <c r="DG35" s="1248">
        <f t="shared" ref="DG35" si="12">(DF35/DB35-1)*100</f>
        <v>-4.9429657794676789</v>
      </c>
      <c r="DH35" s="1249">
        <f t="shared" ref="DH35:DH37" si="13">DH29</f>
        <v>-1.3502986237340919</v>
      </c>
      <c r="DJ35" s="1258">
        <f>DJ11+DJ17-DJ23-DJ29</f>
        <v>0</v>
      </c>
      <c r="DK35" s="1248">
        <f t="shared" ref="DK35:DK36" si="14">(DJ35/DF35-1)*100</f>
        <v>-100</v>
      </c>
      <c r="DL35" s="1249">
        <f t="shared" ref="DL35:DL36" si="15">DL29</f>
        <v>-3</v>
      </c>
    </row>
    <row r="36" spans="1:116">
      <c r="A36" s="1045" t="str">
        <f>$A$12</f>
        <v>3Q</v>
      </c>
      <c r="B36" s="1045" t="str">
        <f>$B$12</f>
        <v>Oct</v>
      </c>
      <c r="D36" s="1263">
        <f>D12+D18-D24-D30</f>
        <v>109.59999999999998</v>
      </c>
      <c r="E36" s="1263"/>
      <c r="F36" s="1263">
        <f>F12+F18-F24-F30</f>
        <v>111.06800000000004</v>
      </c>
      <c r="G36" s="1248"/>
      <c r="H36" s="1249">
        <f>H$12</f>
        <v>39.937411548964505</v>
      </c>
      <c r="I36" s="1262"/>
      <c r="J36" s="1263">
        <f>J12+J18-J24-J30</f>
        <v>247.19200000000004</v>
      </c>
      <c r="K36" s="1248">
        <f>(J36/F36-1)*100</f>
        <v>122.55915295134506</v>
      </c>
      <c r="L36" s="1249">
        <f>L$12</f>
        <v>17.82916365169531</v>
      </c>
      <c r="M36" s="1262"/>
      <c r="N36" s="1263">
        <f>N12+N18-N24-N30</f>
        <v>186.85000000000005</v>
      </c>
      <c r="O36" s="1248">
        <f>(N36/J36-1)*100</f>
        <v>-24.410984174245108</v>
      </c>
      <c r="P36" s="1249">
        <f>P$12</f>
        <v>8.6379472499522603</v>
      </c>
      <c r="Q36" s="1262"/>
      <c r="R36" s="1263">
        <f>R12+R18-R24-R30</f>
        <v>118.98999999999995</v>
      </c>
      <c r="S36" s="1248">
        <f>(R36/N36-1)*100</f>
        <v>-36.317902060476356</v>
      </c>
      <c r="T36" s="1249">
        <f>T$12</f>
        <v>9.9778897201107775</v>
      </c>
      <c r="U36" s="1262"/>
      <c r="V36" s="1263">
        <f>V12+V18-V24-V30</f>
        <v>176.51700000000002</v>
      </c>
      <c r="W36" s="1248">
        <f>(V36/D36-1)*100</f>
        <v>61.055656934306612</v>
      </c>
      <c r="X36" s="1249">
        <f>X$12</f>
        <v>16.955904106456664</v>
      </c>
      <c r="Y36" s="1262"/>
      <c r="Z36" s="1263">
        <f>Z12+Z18-Z24-Z30</f>
        <v>119.08199999999997</v>
      </c>
      <c r="AA36" s="1248">
        <f>(Z36/V36-1)*100</f>
        <v>-32.537942521116982</v>
      </c>
      <c r="AB36" s="1249">
        <f>AB$12</f>
        <v>19.643680537472452</v>
      </c>
      <c r="AC36" s="1262"/>
      <c r="AD36" s="1263">
        <f>AD12+AD18-AD24-AD30</f>
        <v>243.32400000000001</v>
      </c>
      <c r="AE36" s="1248">
        <f>(AD36/Z36-1)*100</f>
        <v>104.33314858668825</v>
      </c>
      <c r="AF36" s="1249">
        <f>AF$12</f>
        <v>27.689378711145942</v>
      </c>
      <c r="AG36" s="1262"/>
      <c r="AH36" s="1263">
        <f>AH12+AH18-AH24-AH30</f>
        <v>408.79899999999969</v>
      </c>
      <c r="AI36" s="1248">
        <f>(AH36/AD36-1)*100</f>
        <v>68.006033108119084</v>
      </c>
      <c r="AJ36" s="1249">
        <f>AJ$12</f>
        <v>35.90208948327205</v>
      </c>
      <c r="AK36" s="1262"/>
      <c r="AL36" s="1263">
        <f>AL12+AL18-AL24-AL30</f>
        <v>544.56099999999992</v>
      </c>
      <c r="AM36" s="1248">
        <f>(AL36/AH36-1)*100</f>
        <v>33.209963820850909</v>
      </c>
      <c r="AN36" s="1249">
        <f>AN$12</f>
        <v>26.893832699708508</v>
      </c>
      <c r="AP36" s="1263">
        <f>AP12+AP18-AP24-AP30</f>
        <v>1155.2800000000002</v>
      </c>
      <c r="AQ36" s="1248">
        <f>(AP36/AL36-1)*100</f>
        <v>112.14886853814363</v>
      </c>
      <c r="AR36" s="1249">
        <f>AR$12</f>
        <v>12.125950536319529</v>
      </c>
      <c r="AT36" s="1263">
        <f>AT12+AT18-AT24-AT30</f>
        <v>780.33100000000013</v>
      </c>
      <c r="AU36" s="1248">
        <f>(AT36/AP36-1)*100</f>
        <v>-32.455248943978951</v>
      </c>
      <c r="AV36" s="1249">
        <f>AV$12</f>
        <v>-2.3807585393367692</v>
      </c>
      <c r="AX36" s="1263">
        <f>AX12+AX18-AX24-AX30</f>
        <v>547.7669999999996</v>
      </c>
      <c r="AY36" s="1248">
        <f>(AX36/AT36-1)*100</f>
        <v>-29.803250159227368</v>
      </c>
      <c r="AZ36" s="1249">
        <f>AZ$12</f>
        <v>9.3473787661926941</v>
      </c>
      <c r="BB36" s="1263">
        <f>BB12+BB18-BB24-BB30</f>
        <v>623.0319999999997</v>
      </c>
      <c r="BC36" s="1248">
        <f>(BB36/AX36-1)*100</f>
        <v>13.740331199214296</v>
      </c>
      <c r="BD36" s="1249">
        <f>BD$12</f>
        <v>7.8053068404666526</v>
      </c>
      <c r="BF36" s="1263">
        <f>BF12+BF18-BF24-BF30</f>
        <v>599.68200000000024</v>
      </c>
      <c r="BG36" s="1248">
        <f>(BF36/BB36-1)*100</f>
        <v>-3.7478010760281122</v>
      </c>
      <c r="BH36" s="1249">
        <f>BH$12</f>
        <v>1.2901022431603737</v>
      </c>
      <c r="BJ36" s="1263">
        <f>BJ12+BJ18-BJ24-BJ30</f>
        <v>798.38499999999999</v>
      </c>
      <c r="BK36" s="1248">
        <f>(BJ36/BF36-1)*100</f>
        <v>33.134728072545052</v>
      </c>
      <c r="BL36" s="1249">
        <f>BL30</f>
        <v>-3.0210921698931026</v>
      </c>
      <c r="BN36" s="1263">
        <f>BN12+BN18-BN24-BN30</f>
        <v>589.28700000000015</v>
      </c>
      <c r="BO36" s="1248">
        <f>(BN36/BJ36-1)*100</f>
        <v>-26.190121307389269</v>
      </c>
      <c r="BP36" s="1249">
        <f>BP30</f>
        <v>-0.23073100743904451</v>
      </c>
      <c r="BR36" s="1263">
        <f>BR12+BR18-BR24-BR30</f>
        <v>448</v>
      </c>
      <c r="BS36" s="1248">
        <f>(BR36/BN36-1)*100</f>
        <v>-23.97592344647007</v>
      </c>
      <c r="BT36" s="1249">
        <f>BT30</f>
        <v>7.7901843676975169E-2</v>
      </c>
      <c r="BV36" s="1263">
        <f>BV12+BV18-BV24-BV30</f>
        <v>309</v>
      </c>
      <c r="BW36" s="1248">
        <f>(BV36/BR36-1)*100</f>
        <v>-31.026785714285708</v>
      </c>
      <c r="BX36" s="1249">
        <f>BX30</f>
        <v>-7.6024909185262057</v>
      </c>
      <c r="BZ36" s="1263">
        <f>BZ12+BZ18-BZ24-BZ30</f>
        <v>161</v>
      </c>
      <c r="CA36" s="1248">
        <f>(BZ36/BV36-1)*100</f>
        <v>-47.896440129449836</v>
      </c>
      <c r="CB36" s="1249">
        <f>CB30</f>
        <v>0.78629598427408798</v>
      </c>
      <c r="CD36" s="1263">
        <f>CD12+CD18-CD24-CD30</f>
        <v>411</v>
      </c>
      <c r="CE36" s="1248">
        <f>(CD36/BZ36-1)*100</f>
        <v>155.27950310559007</v>
      </c>
      <c r="CF36" s="1249">
        <f>CF30</f>
        <v>1.8110894399554267</v>
      </c>
      <c r="CH36" s="1263">
        <f>CH12+CH18-CH24-CH30</f>
        <v>708</v>
      </c>
      <c r="CI36" s="1248">
        <f>(CH36/CD36-1)*100</f>
        <v>72.262773722627728</v>
      </c>
      <c r="CJ36" s="1249">
        <f>CJ30</f>
        <v>-1.8883415435139606</v>
      </c>
      <c r="CL36" s="1263">
        <f>CL12+CL18-CL24-CL30</f>
        <v>438</v>
      </c>
      <c r="CM36" s="1248">
        <f>(CL36/CH36-1)*100</f>
        <v>-38.135593220338983</v>
      </c>
      <c r="CN36" s="1249">
        <f>CN30</f>
        <v>7.7824267782426793</v>
      </c>
      <c r="CP36" s="1263">
        <f>CP12+CP18-CP24-CP30</f>
        <v>763</v>
      </c>
      <c r="CQ36" s="1248">
        <f>(CL36/CH36-1)*100</f>
        <v>-38.135593220338983</v>
      </c>
      <c r="CR36" s="1249">
        <f>CR30</f>
        <v>2.8985507246376718</v>
      </c>
      <c r="CT36" s="1263">
        <f>CT12+CT18-CT24-CT30</f>
        <v>869</v>
      </c>
      <c r="CU36" s="1248">
        <f>(CP36/CL36-1)*100</f>
        <v>74.200913242009122</v>
      </c>
      <c r="CV36" s="1249">
        <f>CV30</f>
        <v>-0.1006036217303774</v>
      </c>
      <c r="CX36" s="1263">
        <f>CX12+CX18-CX24-CX30</f>
        <v>972</v>
      </c>
      <c r="CY36" s="1248">
        <f>(CX36/CT36-1)*100</f>
        <v>11.852704257767543</v>
      </c>
      <c r="CZ36" s="1249">
        <f>CZ30</f>
        <v>-2.8952668680765403</v>
      </c>
      <c r="DB36" s="1258">
        <f t="shared" ref="DB36:DB37" si="16">DB12+DB18-DB24-DB30</f>
        <v>658</v>
      </c>
      <c r="DC36" s="1248">
        <f t="shared" si="10"/>
        <v>-32.304526748971199</v>
      </c>
      <c r="DD36" s="1249">
        <f t="shared" si="11"/>
        <v>-1.5296862846772119</v>
      </c>
      <c r="DF36" s="1258">
        <f>DF12+DF18-DF24-DF30</f>
        <v>534</v>
      </c>
      <c r="DG36" s="1248">
        <f t="shared" ref="DG36" si="17">(DF36/DB36-1)*100</f>
        <v>-18.844984802431608</v>
      </c>
      <c r="DH36" s="1249">
        <f t="shared" si="13"/>
        <v>1.053185887309116</v>
      </c>
      <c r="DJ36" s="1258">
        <f>DJ12+DJ18-DJ24-DJ30</f>
        <v>0</v>
      </c>
      <c r="DK36" s="1248">
        <f t="shared" si="14"/>
        <v>-100</v>
      </c>
      <c r="DL36" s="1249">
        <f t="shared" si="15"/>
        <v>-2</v>
      </c>
    </row>
    <row r="37" spans="1:116">
      <c r="A37" s="1045" t="str">
        <f>$A$13</f>
        <v>4Q</v>
      </c>
      <c r="B37" s="1045" t="str">
        <f>$B$13</f>
        <v>Jan</v>
      </c>
      <c r="D37" s="1263">
        <f>D13+D19-D25-D31</f>
        <v>47.399999999999984</v>
      </c>
      <c r="E37" s="1263"/>
      <c r="F37" s="1263">
        <f>F13+F19-F25-F31</f>
        <v>-75.861999999999966</v>
      </c>
      <c r="G37" s="1248"/>
      <c r="H37" s="1249">
        <f>H$13</f>
        <v>28.613984370748135</v>
      </c>
      <c r="I37" s="1262"/>
      <c r="J37" s="1263">
        <f>J13+J19-J25-J31</f>
        <v>112.34700000000004</v>
      </c>
      <c r="K37" s="1248">
        <f>(J37/F37-1)*100</f>
        <v>-248.09390735809771</v>
      </c>
      <c r="L37" s="1249">
        <f>L$13</f>
        <v>15.771794121856653</v>
      </c>
      <c r="M37" s="1262"/>
      <c r="N37" s="1263">
        <f>N13+N19-N25-N31</f>
        <v>-42.032000000000025</v>
      </c>
      <c r="O37" s="1248">
        <f>(N37/J37-1)*100</f>
        <v>-137.41265899400963</v>
      </c>
      <c r="P37" s="1249">
        <f>P$13</f>
        <v>13.977611483010822</v>
      </c>
      <c r="Q37" s="1262"/>
      <c r="R37" s="1263">
        <f>R13+R19-R25-R31</f>
        <v>-29.725000000000009</v>
      </c>
      <c r="S37" s="1248">
        <f>(R37/N37-1)*100</f>
        <v>-29.280072325846994</v>
      </c>
      <c r="T37" s="1249">
        <f>T$13</f>
        <v>14.106656102921056</v>
      </c>
      <c r="U37" s="1262"/>
      <c r="V37" s="1263">
        <f>V13+V19-V25-V31</f>
        <v>81.043999999999983</v>
      </c>
      <c r="W37" s="1248">
        <f>(V37/D37-1)*100</f>
        <v>70.978902953586513</v>
      </c>
      <c r="X37" s="1249">
        <f>X$13</f>
        <v>25.816730630777339</v>
      </c>
      <c r="Y37" s="1262"/>
      <c r="Z37" s="1263">
        <f>Z13+Z19-Z25-Z31</f>
        <v>-26.867000000000004</v>
      </c>
      <c r="AA37" s="1248">
        <f>(Z37/V37-1)*100</f>
        <v>-133.15112778243918</v>
      </c>
      <c r="AB37" s="1249">
        <f>AB$13</f>
        <v>9.5770247062981753</v>
      </c>
      <c r="AC37" s="1262"/>
      <c r="AD37" s="1263">
        <f>AD13+AD19-AD25-AD31</f>
        <v>11.024000000000115</v>
      </c>
      <c r="AE37" s="1248">
        <f>(AD37/Z37-1)*100</f>
        <v>-141.03174898574503</v>
      </c>
      <c r="AF37" s="1249">
        <f>AF$13</f>
        <v>29.832975197494328</v>
      </c>
      <c r="AG37" s="1262"/>
      <c r="AH37" s="1263">
        <f>AH13+AH19-AH25-AH31</f>
        <v>-155.84200000000018</v>
      </c>
      <c r="AI37" s="1248">
        <f>(AH37/AD37-1)*100</f>
        <v>-1513.6611030478825</v>
      </c>
      <c r="AJ37" s="1249">
        <f>AJ$13</f>
        <v>39.915094997457842</v>
      </c>
      <c r="AK37" s="1262"/>
      <c r="AL37" s="1263">
        <f>AL13+AL19-AL25-AL31</f>
        <v>163.5199999999999</v>
      </c>
      <c r="AM37" s="1248">
        <f>(AL37/AH37-1)*100</f>
        <v>-204.92678482052318</v>
      </c>
      <c r="AN37" s="1249">
        <f>AN$13</f>
        <v>27.364784582115441</v>
      </c>
      <c r="AP37" s="1263">
        <f>AP13+AP19-AP25-AP31</f>
        <v>492.0859999999999</v>
      </c>
      <c r="AQ37" s="1248">
        <f>(AP37/AL37-1)*100</f>
        <v>200.93321917808234</v>
      </c>
      <c r="AR37" s="1249">
        <f>AR$13</f>
        <v>18.661839433066962</v>
      </c>
      <c r="AT37" s="1263">
        <f>AT13+AT19-AT25-AT31</f>
        <v>28.707000000000107</v>
      </c>
      <c r="AU37" s="1248">
        <f>(AT37/AP37-1)*100</f>
        <v>-94.166263620586619</v>
      </c>
      <c r="AV37" s="1249">
        <f>AV$13</f>
        <v>-10.689093548759054</v>
      </c>
      <c r="AX37" s="1263">
        <f>AX13+AX19-AX25-AX31</f>
        <v>124.61599999999976</v>
      </c>
      <c r="AY37" s="1248">
        <f>(AX37/AT37-1)*100</f>
        <v>334.09621346709616</v>
      </c>
      <c r="AZ37" s="1249">
        <f>AZ$13</f>
        <v>13.717125653330076</v>
      </c>
      <c r="BB37" s="1263">
        <f>BB13+BB19-BB25-BB31</f>
        <v>-205.82200000000012</v>
      </c>
      <c r="BC37" s="1248">
        <f>(BB37/AX37-1)*100</f>
        <v>-265.16498683957155</v>
      </c>
      <c r="BD37" s="1249">
        <f>BD$13</f>
        <v>5.0672987852760532</v>
      </c>
      <c r="BF37" s="1263">
        <f>BF13+BF19-BF25-BF31</f>
        <v>10.422999999999774</v>
      </c>
      <c r="BG37" s="1248">
        <f>(BF37/BB37-1)*100</f>
        <v>-105.06408450019909</v>
      </c>
      <c r="BH37" s="1249">
        <f>BH$13</f>
        <v>0.25854108578660107</v>
      </c>
      <c r="BJ37" s="1263">
        <f>BJ13+BJ19-BJ25-BJ31</f>
        <v>255.74800000000016</v>
      </c>
      <c r="BK37" s="1248">
        <f>(BJ37/BF37-1)*100</f>
        <v>2353.6889571141292</v>
      </c>
      <c r="BL37" s="1249">
        <f>BL31</f>
        <v>-1.5924809196845802</v>
      </c>
      <c r="BN37" s="1263">
        <f>BN13+BN19-BN25-BN31</f>
        <v>438</v>
      </c>
      <c r="BO37" s="1248">
        <f>(BN37/BJ37-1)*100</f>
        <v>71.262336362356592</v>
      </c>
      <c r="BP37" s="1249">
        <f>BP31</f>
        <v>2.0352495590538089</v>
      </c>
      <c r="BR37" s="1263">
        <f>BR13+BR19-BR25-BR31</f>
        <v>-148</v>
      </c>
      <c r="BS37" s="1248">
        <f>(BR37/BN37-1)*100</f>
        <v>-133.78995433789953</v>
      </c>
      <c r="BT37" s="1249">
        <f>BT31</f>
        <v>-4.9603577963000633</v>
      </c>
      <c r="BV37" s="1263">
        <f>BV13+BV19-BV25-BV31</f>
        <v>141</v>
      </c>
      <c r="BW37" s="1248">
        <f>(BV37/BR37-1)*100</f>
        <v>-195.27027027027026</v>
      </c>
      <c r="BX37" s="1249">
        <f>BX31</f>
        <v>-12.684491978609625</v>
      </c>
      <c r="BZ37" s="1263">
        <f>BZ13+BZ19-BZ25-BZ31</f>
        <v>-58</v>
      </c>
      <c r="CA37" s="1248">
        <f>(BZ37/BV37-1)*100</f>
        <v>-141.13475177304963</v>
      </c>
      <c r="CB37" s="1249">
        <f>CB31</f>
        <v>3.7726604605585523</v>
      </c>
      <c r="CC37" s="1263"/>
      <c r="CD37" s="1263">
        <f>CD13+CD19-CD25-CD31</f>
        <v>170</v>
      </c>
      <c r="CE37" s="1248">
        <f>(CD37/BZ37-1)*100</f>
        <v>-393.10344827586204</v>
      </c>
      <c r="CF37" s="1249">
        <f>CF31</f>
        <v>3.0217186024551479</v>
      </c>
      <c r="CG37" s="1263"/>
      <c r="CH37" s="1263">
        <f>CH13+CH19-CH25-CH31</f>
        <v>355</v>
      </c>
      <c r="CI37" s="1248">
        <f>(CH37/CD37-1)*100</f>
        <v>108.82352941176472</v>
      </c>
      <c r="CJ37" s="1249">
        <f>CJ31</f>
        <v>-1.8560953253895507</v>
      </c>
      <c r="CK37" s="1263"/>
      <c r="CL37" s="1263">
        <f>CL13+CL19-CL25-CL31</f>
        <v>278</v>
      </c>
      <c r="CM37" s="1248">
        <f>(CL37/CH37-1)*100</f>
        <v>-21.690140845070427</v>
      </c>
      <c r="CN37" s="1249">
        <f>CN31</f>
        <v>10.319869250525326</v>
      </c>
      <c r="CP37" s="1263">
        <f>CP13+CP19-CP25-CP31</f>
        <v>500</v>
      </c>
      <c r="CQ37" s="1248">
        <f>(CP37/CL37-1)*100</f>
        <v>79.856115107913666</v>
      </c>
      <c r="CR37" s="1249">
        <f>CR31</f>
        <v>-3.1746031746031744</v>
      </c>
      <c r="CT37" s="1263">
        <f>CT13+CT19-CT25-CT31</f>
        <v>589</v>
      </c>
      <c r="CU37" s="1248">
        <f>(CP37/CL37-1)*100</f>
        <v>79.856115107913666</v>
      </c>
      <c r="CV37" s="1249">
        <f>CV31</f>
        <v>2.9071038251366144</v>
      </c>
      <c r="CX37" s="1263">
        <f>CX13+CX19-CX25-CX31</f>
        <v>501</v>
      </c>
      <c r="CY37" s="1248">
        <f>(CT37/CP37-1)*100</f>
        <v>17.799999999999994</v>
      </c>
      <c r="CZ37" s="1249">
        <f>CZ31</f>
        <v>-6.860662701784193</v>
      </c>
      <c r="DB37" s="1258">
        <f t="shared" si="16"/>
        <v>144</v>
      </c>
      <c r="DC37" s="1248">
        <f t="shared" si="10"/>
        <v>-71.257485029940113</v>
      </c>
      <c r="DD37" s="1249">
        <f t="shared" si="11"/>
        <v>1.0034207525655647</v>
      </c>
      <c r="DF37" s="1258">
        <f>DF13+DF19-DF25-DF31</f>
        <v>324</v>
      </c>
      <c r="DG37" s="1248">
        <f t="shared" ref="DG37" si="18">(DF37/DB37-1)*100</f>
        <v>125</v>
      </c>
      <c r="DH37" s="1249">
        <f t="shared" si="13"/>
        <v>7.8798825920072257</v>
      </c>
      <c r="DJ37" s="1258"/>
      <c r="DK37" s="1248"/>
      <c r="DL37" s="1249"/>
    </row>
    <row r="38" spans="1:116">
      <c r="DB38" s="1258"/>
      <c r="DF38" s="1258"/>
      <c r="DJ38" s="1258"/>
    </row>
    <row r="39" spans="1:116">
      <c r="A39" s="1253" t="s">
        <v>620</v>
      </c>
      <c r="B39" s="1161"/>
      <c r="N39" s="1059"/>
      <c r="AD39" s="1059"/>
      <c r="DB39" s="1258"/>
      <c r="DF39" s="1258"/>
      <c r="DJ39" s="1258"/>
    </row>
    <row r="40" spans="1:116">
      <c r="A40" s="1045" t="str">
        <f>$A$10</f>
        <v>1Q</v>
      </c>
      <c r="B40" s="1045" t="str">
        <f>$B$10</f>
        <v>Apr</v>
      </c>
      <c r="D40" s="1244"/>
      <c r="F40" s="1244"/>
      <c r="G40" s="1248"/>
      <c r="H40" s="1249"/>
      <c r="I40" s="1262"/>
      <c r="J40" s="1244">
        <f>J34-F34</f>
        <v>31.195999999999984</v>
      </c>
      <c r="K40" s="1248"/>
      <c r="L40" s="1249"/>
      <c r="M40" s="1262"/>
      <c r="N40" s="1244">
        <f>N34-J34</f>
        <v>46.811000000000035</v>
      </c>
      <c r="O40" s="1248"/>
      <c r="P40" s="1249"/>
      <c r="Q40" s="1262"/>
      <c r="R40" s="1244">
        <f>R34-N34</f>
        <v>-126.29800000000003</v>
      </c>
      <c r="S40" s="1248"/>
      <c r="T40" s="1249"/>
      <c r="U40" s="1262"/>
      <c r="V40" s="1244">
        <f>V34-D34</f>
        <v>19.21699999999997</v>
      </c>
      <c r="W40" s="1248"/>
      <c r="X40" s="1249"/>
      <c r="Y40" s="1262"/>
      <c r="Z40" s="1244">
        <f>Z34-V34</f>
        <v>96.475999999999999</v>
      </c>
      <c r="AA40" s="1248"/>
      <c r="AB40" s="1249"/>
      <c r="AC40" s="1262"/>
      <c r="AD40" s="1244">
        <f>AD34-Z34</f>
        <v>5.7730000000000246</v>
      </c>
      <c r="AE40" s="1248"/>
      <c r="AF40" s="1249"/>
      <c r="AG40" s="1262"/>
      <c r="AH40" s="1244">
        <f>AH34-AD34</f>
        <v>-80.08200000000015</v>
      </c>
      <c r="AI40" s="1248"/>
      <c r="AJ40" s="1249"/>
      <c r="AK40" s="1262"/>
      <c r="AL40" s="1244">
        <f>AL34-AH34</f>
        <v>40.534999999999982</v>
      </c>
      <c r="AM40" s="1248"/>
      <c r="AN40" s="1249"/>
      <c r="AP40" s="1244">
        <f>AP34-AL34</f>
        <v>407.46300000000031</v>
      </c>
      <c r="AQ40" s="1248"/>
      <c r="AR40" s="1249"/>
      <c r="AT40" s="1244">
        <f>AT34-AP34</f>
        <v>198.82400000000007</v>
      </c>
      <c r="AU40" s="1248"/>
      <c r="AV40" s="1249"/>
      <c r="AX40" s="1244">
        <f>AX34-AT34</f>
        <v>-554.63300000000004</v>
      </c>
      <c r="AY40" s="1248"/>
      <c r="AZ40" s="1249"/>
      <c r="BB40" s="1244">
        <f>BB34-AX34</f>
        <v>293.39499999999987</v>
      </c>
      <c r="BC40" s="1248"/>
      <c r="BD40" s="1249"/>
      <c r="BF40" s="1244">
        <f>BF34-BB34</f>
        <v>-391.90900000000011</v>
      </c>
      <c r="BG40" s="1248"/>
      <c r="BH40" s="1249"/>
      <c r="BJ40" s="1244">
        <f>BJ34-BF34</f>
        <v>47.11200000000008</v>
      </c>
      <c r="BK40" s="1248"/>
      <c r="BL40" s="1249"/>
      <c r="BN40" s="1244">
        <f>BN34-BJ34</f>
        <v>135.1719999999998</v>
      </c>
      <c r="BO40" s="1248"/>
      <c r="BP40" s="1249"/>
      <c r="BR40" s="1244">
        <f>BR34-BN34</f>
        <v>253.8570000000002</v>
      </c>
      <c r="BS40" s="1248"/>
      <c r="BT40" s="1249"/>
      <c r="BV40" s="1244">
        <f>BV34-BR34</f>
        <v>-452</v>
      </c>
      <c r="BW40" s="1248"/>
      <c r="BX40" s="1249"/>
      <c r="BZ40" s="1244">
        <f>BZ34-BV34</f>
        <v>255</v>
      </c>
      <c r="CA40" s="1248"/>
      <c r="CB40" s="1249"/>
      <c r="CD40" s="1244">
        <f>CD34-BZ34</f>
        <v>-263</v>
      </c>
      <c r="CE40" s="1248"/>
      <c r="CF40" s="1249"/>
      <c r="CH40" s="1244">
        <f>CH34-CD34</f>
        <v>221</v>
      </c>
      <c r="CI40" s="1248"/>
      <c r="CJ40" s="1249"/>
      <c r="CL40" s="1244">
        <f>CL34-CH34</f>
        <v>90</v>
      </c>
      <c r="CM40" s="1248"/>
      <c r="CN40" s="1249"/>
      <c r="CP40" s="1244">
        <f>CP34-CL34</f>
        <v>16</v>
      </c>
      <c r="CT40" s="1244">
        <f>CT34-CP34</f>
        <v>178</v>
      </c>
      <c r="CX40" s="1244">
        <f>CX34-CT34</f>
        <v>134</v>
      </c>
      <c r="DB40" s="1258">
        <f>DB34-CX34</f>
        <v>-230</v>
      </c>
      <c r="DF40" s="1258">
        <f>DF34-DB34</f>
        <v>-200</v>
      </c>
      <c r="DJ40" s="1258">
        <f>DJ34-DF34</f>
        <v>-301</v>
      </c>
    </row>
    <row r="41" spans="1:116">
      <c r="A41" s="1045" t="str">
        <f>$A$11</f>
        <v>2Q</v>
      </c>
      <c r="B41" s="1045" t="str">
        <f>$B$11</f>
        <v>Jul</v>
      </c>
      <c r="D41" s="1263"/>
      <c r="E41" s="1263"/>
      <c r="F41" s="1263"/>
      <c r="G41" s="1263"/>
      <c r="H41" s="1263"/>
      <c r="I41" s="1263"/>
      <c r="J41" s="1263">
        <f>J35-F35</f>
        <v>66.493000000000023</v>
      </c>
      <c r="K41" s="1263"/>
      <c r="L41" s="1263"/>
      <c r="M41" s="1263"/>
      <c r="N41" s="1263">
        <f>N35-J35</f>
        <v>-48.650000000000034</v>
      </c>
      <c r="O41" s="1263"/>
      <c r="P41" s="1263"/>
      <c r="Q41" s="1263"/>
      <c r="R41" s="1263">
        <f>R35-N35</f>
        <v>-76.06899999999996</v>
      </c>
      <c r="S41" s="1263"/>
      <c r="T41" s="1263"/>
      <c r="U41" s="1263"/>
      <c r="V41" s="1263">
        <f>V35-D35</f>
        <v>75.167999999999992</v>
      </c>
      <c r="W41" s="1263"/>
      <c r="X41" s="1263"/>
      <c r="Y41" s="1263"/>
      <c r="Z41" s="1263">
        <f>Z35-V35</f>
        <v>-24.938999999999908</v>
      </c>
      <c r="AA41" s="1263"/>
      <c r="AB41" s="1263"/>
      <c r="AC41" s="1263"/>
      <c r="AD41" s="1263">
        <f>AD35-Z35</f>
        <v>109.88799999999992</v>
      </c>
      <c r="AE41" s="1263"/>
      <c r="AF41" s="1263"/>
      <c r="AG41" s="1263"/>
      <c r="AH41" s="1263">
        <f>AH35-AD35</f>
        <v>-133.90900000000002</v>
      </c>
      <c r="AI41" s="1263"/>
      <c r="AJ41" s="1263"/>
      <c r="AK41" s="1263"/>
      <c r="AL41" s="1263">
        <f>AL35-AH35</f>
        <v>238.72200000000029</v>
      </c>
      <c r="AM41" s="1262"/>
      <c r="AN41" s="1262"/>
      <c r="AP41" s="1263">
        <f>AP35-AL35</f>
        <v>474.93999999999988</v>
      </c>
      <c r="AQ41" s="1263"/>
      <c r="AR41" s="1263"/>
      <c r="AS41" s="1263"/>
      <c r="AT41" s="1263">
        <f>AT35-AP35</f>
        <v>-133.00800000000015</v>
      </c>
      <c r="AU41" s="1263"/>
      <c r="AV41" s="1263"/>
      <c r="AW41" s="1263"/>
      <c r="AX41" s="1263">
        <f>AX35-AT35</f>
        <v>-373.59299999999973</v>
      </c>
      <c r="AY41" s="1263"/>
      <c r="AZ41" s="1263"/>
      <c r="BA41" s="1263"/>
      <c r="BB41" s="1263">
        <f>BB35-AX35</f>
        <v>184.02399999999966</v>
      </c>
      <c r="BC41" s="1263"/>
      <c r="BD41" s="1263"/>
      <c r="BE41" s="1263"/>
      <c r="BF41" s="1263">
        <f>BF35-BB35</f>
        <v>-55.799999999999841</v>
      </c>
      <c r="BG41" s="1263"/>
      <c r="BH41" s="1263"/>
      <c r="BI41" s="1263"/>
      <c r="BJ41" s="1263">
        <f>BJ35-BF35</f>
        <v>128.65100000000018</v>
      </c>
      <c r="BK41" s="1263"/>
      <c r="BL41" s="1263"/>
      <c r="BM41" s="1263"/>
      <c r="BN41" s="1263">
        <f>BN35-BJ35</f>
        <v>-177.59199999999998</v>
      </c>
      <c r="BO41" s="1263"/>
      <c r="BP41" s="1262"/>
      <c r="BQ41" s="1263"/>
      <c r="BR41" s="1263">
        <f>BR35-BN35</f>
        <v>54.347999999999729</v>
      </c>
      <c r="BS41" s="1263"/>
      <c r="BT41" s="1262"/>
      <c r="BU41" s="1263"/>
      <c r="BV41" s="1263">
        <f>BV35-BR35</f>
        <v>-314</v>
      </c>
      <c r="BW41" s="1263"/>
      <c r="BX41" s="1262"/>
      <c r="BY41" s="1263"/>
      <c r="BZ41" s="1263">
        <f>BZ35-BV35</f>
        <v>30</v>
      </c>
      <c r="CA41" s="1263"/>
      <c r="CB41" s="1262"/>
      <c r="CC41" s="1263"/>
      <c r="CD41" s="1263">
        <f>CD35-BZ35</f>
        <v>147</v>
      </c>
      <c r="CE41" s="1263"/>
      <c r="CF41" s="1262"/>
      <c r="CG41" s="1263"/>
      <c r="CH41" s="1263">
        <f>CH35-CD35</f>
        <v>63</v>
      </c>
      <c r="CI41" s="1263"/>
      <c r="CJ41" s="1262"/>
      <c r="CK41" s="1263"/>
      <c r="CL41" s="1263">
        <f>CL35-CH35</f>
        <v>-148</v>
      </c>
      <c r="CM41" s="1263"/>
      <c r="CN41" s="1262"/>
      <c r="CP41" s="1263">
        <f>CP35-CL35</f>
        <v>147</v>
      </c>
      <c r="CT41" s="1263">
        <f>CT35-CP35</f>
        <v>105</v>
      </c>
      <c r="CX41" s="1244">
        <f>CX35-CT35</f>
        <v>252</v>
      </c>
      <c r="DB41" s="1258">
        <f>DB35-CX35</f>
        <v>-477</v>
      </c>
      <c r="DF41" s="1258">
        <f>DF35-DB35</f>
        <v>-13</v>
      </c>
      <c r="DJ41" s="1258">
        <f>DJ35-DF35</f>
        <v>-250</v>
      </c>
    </row>
    <row r="42" spans="1:116">
      <c r="A42" s="1045" t="str">
        <f>$A$12</f>
        <v>3Q</v>
      </c>
      <c r="B42" s="1045" t="str">
        <f>$B$12</f>
        <v>Oct</v>
      </c>
      <c r="D42" s="1263"/>
      <c r="E42" s="1263"/>
      <c r="F42" s="1263"/>
      <c r="G42" s="1263"/>
      <c r="H42" s="1263"/>
      <c r="I42" s="1263"/>
      <c r="J42" s="1263">
        <f>J36-F36</f>
        <v>136.124</v>
      </c>
      <c r="K42" s="1263"/>
      <c r="L42" s="1263"/>
      <c r="M42" s="1263"/>
      <c r="N42" s="1263">
        <f>N36-J36</f>
        <v>-60.341999999999985</v>
      </c>
      <c r="O42" s="1263"/>
      <c r="P42" s="1263"/>
      <c r="Q42" s="1263"/>
      <c r="R42" s="1263">
        <f>R36-N36</f>
        <v>-67.860000000000099</v>
      </c>
      <c r="S42" s="1263"/>
      <c r="T42" s="1263"/>
      <c r="U42" s="1263"/>
      <c r="V42" s="1263">
        <f>V36-D36</f>
        <v>66.917000000000044</v>
      </c>
      <c r="W42" s="1263"/>
      <c r="X42" s="1263"/>
      <c r="Y42" s="1263"/>
      <c r="Z42" s="1263">
        <f>Z36-V36</f>
        <v>-57.435000000000059</v>
      </c>
      <c r="AA42" s="1263"/>
      <c r="AB42" s="1263"/>
      <c r="AC42" s="1263"/>
      <c r="AD42" s="1263">
        <f>AD36-Z36</f>
        <v>124.24200000000005</v>
      </c>
      <c r="AE42" s="1263"/>
      <c r="AF42" s="1263"/>
      <c r="AG42" s="1263"/>
      <c r="AH42" s="1263">
        <f>AH36-AD36</f>
        <v>165.47499999999968</v>
      </c>
      <c r="AI42" s="1263"/>
      <c r="AJ42" s="1263"/>
      <c r="AK42" s="1263"/>
      <c r="AL42" s="1263">
        <f>AL36-AH36</f>
        <v>135.76200000000023</v>
      </c>
      <c r="AM42" s="1262"/>
      <c r="AN42" s="1262"/>
      <c r="AP42" s="1263">
        <f>AP36-AL36</f>
        <v>610.71900000000028</v>
      </c>
      <c r="AQ42" s="1263"/>
      <c r="AR42" s="1263"/>
      <c r="AS42" s="1263"/>
      <c r="AT42" s="1263">
        <f>AT36-AP36</f>
        <v>-374.94900000000007</v>
      </c>
      <c r="AU42" s="1263"/>
      <c r="AV42" s="1263"/>
      <c r="AW42" s="1263"/>
      <c r="AX42" s="1263">
        <f>AX36-AT36</f>
        <v>-232.56400000000053</v>
      </c>
      <c r="AY42" s="1263"/>
      <c r="AZ42" s="1263"/>
      <c r="BA42" s="1263"/>
      <c r="BB42" s="1263">
        <f>BB36-AX36</f>
        <v>75.2650000000001</v>
      </c>
      <c r="BC42" s="1263"/>
      <c r="BD42" s="1263"/>
      <c r="BE42" s="1263"/>
      <c r="BF42" s="1263">
        <f>BF36-BB36</f>
        <v>-23.349999999999454</v>
      </c>
      <c r="BG42" s="1263"/>
      <c r="BH42" s="1263"/>
      <c r="BI42" s="1263"/>
      <c r="BJ42" s="1263">
        <f>BJ36-BF36</f>
        <v>198.70299999999975</v>
      </c>
      <c r="BK42" s="1263"/>
      <c r="BL42" s="1263"/>
      <c r="BM42" s="1263"/>
      <c r="BN42" s="1263">
        <f>BN36-BJ36</f>
        <v>-209.09799999999984</v>
      </c>
      <c r="BO42" s="1263"/>
      <c r="BP42" s="1262"/>
      <c r="BQ42" s="1263"/>
      <c r="BR42" s="1263">
        <f>BR36-BN36</f>
        <v>-141.28700000000015</v>
      </c>
      <c r="BS42" s="1263"/>
      <c r="BT42" s="1262"/>
      <c r="BU42" s="1263"/>
      <c r="BV42" s="1263">
        <f>BV36-BR36</f>
        <v>-139</v>
      </c>
      <c r="BW42" s="1263"/>
      <c r="BX42" s="1262"/>
      <c r="BY42" s="1263"/>
      <c r="BZ42" s="1263">
        <f>BZ36-BV36</f>
        <v>-148</v>
      </c>
      <c r="CA42" s="1263"/>
      <c r="CB42" s="1262"/>
      <c r="CC42" s="1263"/>
      <c r="CD42" s="1263">
        <f>CD36-BZ36</f>
        <v>250</v>
      </c>
      <c r="CE42" s="1263"/>
      <c r="CF42" s="1262"/>
      <c r="CG42" s="1263"/>
      <c r="CH42" s="1263">
        <f>CH36-CD36</f>
        <v>297</v>
      </c>
      <c r="CI42" s="1263"/>
      <c r="CJ42" s="1262"/>
      <c r="CK42" s="1263"/>
      <c r="CL42" s="1263">
        <f>CL36-CH36</f>
        <v>-270</v>
      </c>
      <c r="CM42" s="1263"/>
      <c r="CN42" s="1262"/>
      <c r="CP42" s="1263">
        <f>CP36-CL36</f>
        <v>325</v>
      </c>
      <c r="CT42" s="1263">
        <f>CT36-CP36</f>
        <v>106</v>
      </c>
      <c r="CX42" s="1244">
        <f>CX36-CT36</f>
        <v>103</v>
      </c>
      <c r="DB42" s="1258">
        <f>DB36-CX36</f>
        <v>-314</v>
      </c>
      <c r="DF42" s="1258">
        <f>DF36-DB36</f>
        <v>-124</v>
      </c>
      <c r="DJ42" s="1258">
        <f>DJ36-DF36</f>
        <v>-534</v>
      </c>
    </row>
    <row r="43" spans="1:116">
      <c r="A43" s="1045" t="str">
        <f>$A$13</f>
        <v>4Q</v>
      </c>
      <c r="B43" s="1045" t="str">
        <f>$B$13</f>
        <v>Jan</v>
      </c>
      <c r="D43" s="1263"/>
      <c r="E43" s="1263"/>
      <c r="F43" s="1263"/>
      <c r="G43" s="1263"/>
      <c r="H43" s="1263"/>
      <c r="I43" s="1263"/>
      <c r="J43" s="1263">
        <f>J37-F37</f>
        <v>188.209</v>
      </c>
      <c r="K43" s="1263"/>
      <c r="L43" s="1263"/>
      <c r="M43" s="1263"/>
      <c r="N43" s="1263">
        <f>N37-J37</f>
        <v>-154.37900000000008</v>
      </c>
      <c r="O43" s="1263"/>
      <c r="P43" s="1263"/>
      <c r="Q43" s="1263"/>
      <c r="R43" s="1263">
        <f>R37-N37</f>
        <v>12.307000000000016</v>
      </c>
      <c r="S43" s="1263"/>
      <c r="T43" s="1263"/>
      <c r="U43" s="1263"/>
      <c r="V43" s="1263">
        <f>V37-D37</f>
        <v>33.643999999999998</v>
      </c>
      <c r="W43" s="1263"/>
      <c r="X43" s="1263"/>
      <c r="Y43" s="1263"/>
      <c r="Z43" s="1263">
        <f>Z37-V37</f>
        <v>-107.91099999999999</v>
      </c>
      <c r="AA43" s="1263"/>
      <c r="AB43" s="1263"/>
      <c r="AC43" s="1263"/>
      <c r="AD43" s="1263">
        <f>AD37-Z37</f>
        <v>37.891000000000119</v>
      </c>
      <c r="AE43" s="1263"/>
      <c r="AF43" s="1263"/>
      <c r="AG43" s="1263"/>
      <c r="AH43" s="1263">
        <f>AH37-AD37</f>
        <v>-166.8660000000003</v>
      </c>
      <c r="AI43" s="1263"/>
      <c r="AJ43" s="1263"/>
      <c r="AK43" s="1263"/>
      <c r="AL43" s="1263">
        <f>AL37-AH37</f>
        <v>319.36200000000008</v>
      </c>
      <c r="AM43" s="1262"/>
      <c r="AN43" s="1262"/>
      <c r="AP43" s="1263">
        <f>AP37-AL37</f>
        <v>328.56600000000003</v>
      </c>
      <c r="AQ43" s="1263"/>
      <c r="AR43" s="1263"/>
      <c r="AS43" s="1263"/>
      <c r="AT43" s="1263">
        <f>AT37-AP37</f>
        <v>-463.37899999999979</v>
      </c>
      <c r="AU43" s="1263"/>
      <c r="AV43" s="1263"/>
      <c r="AW43" s="1263"/>
      <c r="AX43" s="1263">
        <f>AX37-AT37</f>
        <v>95.908999999999651</v>
      </c>
      <c r="AY43" s="1263"/>
      <c r="AZ43" s="1263"/>
      <c r="BA43" s="1263"/>
      <c r="BB43" s="1263">
        <f>BB37-AX37</f>
        <v>-330.43799999999987</v>
      </c>
      <c r="BC43" s="1263"/>
      <c r="BD43" s="1263"/>
      <c r="BE43" s="1263"/>
      <c r="BF43" s="1263">
        <f>BF37-BB37</f>
        <v>216.24499999999989</v>
      </c>
      <c r="BG43" s="1263"/>
      <c r="BH43" s="1263"/>
      <c r="BI43" s="1263"/>
      <c r="BJ43" s="1263">
        <f>BJ37-BF37</f>
        <v>245.32500000000039</v>
      </c>
      <c r="BK43" s="1263"/>
      <c r="BL43" s="1263"/>
      <c r="BM43" s="1263"/>
      <c r="BN43" s="1263">
        <f>BN37-BJ37</f>
        <v>182.25199999999984</v>
      </c>
      <c r="BO43" s="1263"/>
      <c r="BP43" s="1262"/>
      <c r="BQ43" s="1263"/>
      <c r="BR43" s="1263">
        <f>BR37-BN37</f>
        <v>-586</v>
      </c>
      <c r="BS43" s="1263"/>
      <c r="BT43" s="1262"/>
      <c r="BU43" s="1263"/>
      <c r="BV43" s="1263">
        <f>BV37-BR37</f>
        <v>289</v>
      </c>
      <c r="BW43" s="1263"/>
      <c r="BX43" s="1262"/>
      <c r="BY43" s="1263"/>
      <c r="BZ43" s="1263">
        <f>BZ37-BV37</f>
        <v>-199</v>
      </c>
      <c r="CA43" s="1263"/>
      <c r="CB43" s="1262"/>
      <c r="CC43" s="1263"/>
      <c r="CD43" s="1263">
        <f>CD37-BZ37</f>
        <v>228</v>
      </c>
      <c r="CE43" s="1263"/>
      <c r="CF43" s="1262"/>
      <c r="CG43" s="1263"/>
      <c r="CH43" s="1263">
        <f>CH37-CD37</f>
        <v>185</v>
      </c>
      <c r="CI43" s="1263"/>
      <c r="CJ43" s="1262"/>
      <c r="CK43" s="1263"/>
      <c r="CL43" s="1263">
        <f>CL37-CH37</f>
        <v>-77</v>
      </c>
      <c r="CM43" s="1263"/>
      <c r="CN43" s="1262"/>
      <c r="CP43" s="1263">
        <f>CP37-CL37</f>
        <v>222</v>
      </c>
      <c r="CT43" s="1263">
        <f>CT37-CP37</f>
        <v>89</v>
      </c>
      <c r="CX43" s="1244">
        <f>CX37-CT37</f>
        <v>-88</v>
      </c>
      <c r="DB43" s="1258">
        <f>DB37-CX37</f>
        <v>-357</v>
      </c>
      <c r="DF43" s="1258">
        <f>DF37-DB37</f>
        <v>180</v>
      </c>
      <c r="DJ43" s="1258"/>
    </row>
    <row r="48" spans="1:116">
      <c r="A48" s="1113" t="s">
        <v>520</v>
      </c>
    </row>
  </sheetData>
  <phoneticPr fontId="0" type="noConversion"/>
  <printOptions horizontalCentered="1"/>
  <pageMargins left="0.2" right="0.25" top="0.75" bottom="0.25" header="0.5" footer="0.5"/>
  <pageSetup scale="65" orientation="landscape" r:id="rId1"/>
  <headerFooter alignWithMargins="0">
    <oddFooter>&amp;R&amp;8&amp;D/&amp;T
&amp;F/&amp;A</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CD98"/>
  <sheetViews>
    <sheetView showGridLines="0" zoomScale="80" zoomScaleNormal="80" zoomScaleSheetLayoutView="85" workbookViewId="0">
      <pane xSplit="3" topLeftCell="AF1" activePane="topRight" state="frozen"/>
      <selection activeCell="CD18" sqref="CD18"/>
      <selection pane="topRight" activeCell="BG46" sqref="BG46"/>
    </sheetView>
  </sheetViews>
  <sheetFormatPr defaultRowHeight="12.75" outlineLevelRow="1" outlineLevelCol="1"/>
  <cols>
    <col min="1" max="1" width="1.85546875" style="454" customWidth="1"/>
    <col min="2" max="2" width="4" style="454" customWidth="1"/>
    <col min="3" max="3" width="29.42578125" style="454" customWidth="1"/>
    <col min="4" max="4" width="2.5703125" style="454" hidden="1" customWidth="1" outlineLevel="1"/>
    <col min="5" max="5" width="0" style="454" hidden="1" customWidth="1" outlineLevel="1"/>
    <col min="6" max="6" width="1.5703125" style="454" hidden="1" customWidth="1" outlineLevel="1"/>
    <col min="7" max="7" width="0" style="454" hidden="1" customWidth="1" outlineLevel="1"/>
    <col min="8" max="8" width="1.5703125" style="454" hidden="1" customWidth="1" outlineLevel="1"/>
    <col min="9" max="9" width="0" style="454" hidden="1" customWidth="1" outlineLevel="1"/>
    <col min="10" max="10" width="1.5703125" style="454" hidden="1" customWidth="1" outlineLevel="1"/>
    <col min="11" max="11" width="0" style="454" hidden="1" customWidth="1" outlineLevel="1"/>
    <col min="12" max="12" width="1.5703125" style="454" hidden="1" customWidth="1" outlineLevel="1"/>
    <col min="13" max="13" width="0" style="454" hidden="1" customWidth="1" outlineLevel="1"/>
    <col min="14" max="14" width="1.5703125" style="454" hidden="1" customWidth="1" outlineLevel="1"/>
    <col min="15" max="15" width="0" style="454" hidden="1" customWidth="1" outlineLevel="1"/>
    <col min="16" max="16" width="1.5703125" style="454" hidden="1" customWidth="1" outlineLevel="1"/>
    <col min="17" max="17" width="0" style="454" hidden="1" customWidth="1" outlineLevel="1"/>
    <col min="18" max="18" width="1.5703125" style="454" hidden="1" customWidth="1" outlineLevel="1"/>
    <col min="19" max="19" width="9.28515625" style="454" hidden="1" customWidth="1" outlineLevel="1"/>
    <col min="20" max="20" width="2.28515625" style="454" hidden="1" customWidth="1" outlineLevel="1"/>
    <col min="21" max="21" width="9.28515625" style="454" hidden="1" customWidth="1" outlineLevel="1"/>
    <col min="22" max="22" width="2.28515625" style="454" hidden="1" customWidth="1" outlineLevel="1"/>
    <col min="23" max="23" width="10.7109375" style="454" hidden="1" customWidth="1" outlineLevel="1" collapsed="1"/>
    <col min="24" max="24" width="1.7109375" style="454" hidden="1" customWidth="1" outlineLevel="1" collapsed="1"/>
    <col min="25" max="25" width="10.7109375" style="454" hidden="1" customWidth="1" outlineLevel="1"/>
    <col min="26" max="26" width="1.7109375" style="454" hidden="1" customWidth="1" outlineLevel="1"/>
    <col min="27" max="27" width="10.7109375" style="454" hidden="1" customWidth="1" outlineLevel="1"/>
    <col min="28" max="28" width="1.7109375" style="454" hidden="1" customWidth="1" outlineLevel="1"/>
    <col min="29" max="29" width="10.7109375" style="454" hidden="1" customWidth="1" outlineLevel="1"/>
    <col min="30" max="30" width="1.7109375" style="454" hidden="1" customWidth="1" outlineLevel="1"/>
    <col min="31" max="31" width="10.7109375" style="454" hidden="1" customWidth="1" outlineLevel="1"/>
    <col min="32" max="32" width="1.7109375" style="454" customWidth="1" collapsed="1"/>
    <col min="33" max="33" width="11.7109375" style="454" hidden="1" customWidth="1" outlineLevel="1"/>
    <col min="34" max="34" width="1.7109375" style="454" hidden="1" customWidth="1" outlineLevel="1"/>
    <col min="35" max="35" width="11.7109375" style="454" hidden="1" customWidth="1" outlineLevel="1"/>
    <col min="36" max="36" width="1.7109375" style="454" hidden="1" customWidth="1" outlineLevel="1"/>
    <col min="37" max="37" width="11.7109375" style="454" hidden="1" customWidth="1" outlineLevel="1"/>
    <col min="38" max="38" width="1.7109375" style="454" hidden="1" customWidth="1" outlineLevel="1"/>
    <col min="39" max="39" width="11.28515625" style="454" hidden="1" customWidth="1" outlineLevel="1"/>
    <col min="40" max="40" width="1.28515625" style="454" customWidth="1" collapsed="1"/>
    <col min="41" max="41" width="11.42578125" style="454" hidden="1" customWidth="1" outlineLevel="1"/>
    <col min="42" max="42" width="1.140625" style="454" hidden="1" customWidth="1" outlineLevel="1"/>
    <col min="43" max="43" width="11.42578125" style="454" hidden="1" customWidth="1" outlineLevel="1"/>
    <col min="44" max="44" width="1.28515625" style="454" hidden="1" customWidth="1" outlineLevel="1"/>
    <col min="45" max="45" width="11.42578125" style="454" hidden="1" customWidth="1" outlineLevel="1"/>
    <col min="46" max="46" width="1.5703125" style="454" hidden="1" customWidth="1" outlineLevel="1"/>
    <col min="47" max="47" width="11.42578125" style="454" hidden="1" customWidth="1" outlineLevel="1"/>
    <col min="48" max="48" width="1.28515625" style="454" hidden="1" customWidth="1" outlineLevel="1"/>
    <col min="49" max="49" width="11.42578125" style="454" customWidth="1" collapsed="1"/>
    <col min="50" max="50" width="1.28515625" style="454" customWidth="1"/>
    <col min="51" max="51" width="11.42578125" style="454" customWidth="1"/>
    <col min="52" max="52" width="1.28515625" style="454" customWidth="1"/>
    <col min="53" max="53" width="11.42578125" style="454" customWidth="1"/>
    <col min="54" max="54" width="1.28515625" style="454" customWidth="1"/>
    <col min="55" max="55" width="10.5703125" style="454" bestFit="1" customWidth="1"/>
    <col min="56" max="56" width="1.28515625" style="454" customWidth="1"/>
    <col min="57" max="57" width="10.5703125" style="454" bestFit="1" customWidth="1"/>
    <col min="58" max="58" width="1.28515625" style="454" customWidth="1"/>
    <col min="59" max="59" width="10.5703125" style="454" bestFit="1" customWidth="1"/>
    <col min="60" max="60" width="1.28515625" style="454" customWidth="1"/>
    <col min="61" max="61" width="11" style="454" bestFit="1" customWidth="1"/>
    <col min="62" max="62" width="1.28515625" style="454" customWidth="1"/>
    <col min="63" max="63" width="11" style="454" customWidth="1"/>
    <col min="64" max="64" width="1.28515625" style="454" customWidth="1"/>
    <col min="65" max="65" width="11" style="454" customWidth="1"/>
    <col min="66" max="66" width="1.28515625" style="454" customWidth="1"/>
    <col min="67" max="67" width="11" style="454" customWidth="1"/>
    <col min="68" max="68" width="1.28515625" style="454" customWidth="1"/>
    <col min="69" max="69" width="11" style="24" customWidth="1"/>
    <col min="70" max="71" width="11" style="454" customWidth="1"/>
    <col min="72" max="72" width="5.5703125" style="454" customWidth="1"/>
    <col min="73" max="78" width="9.140625" hidden="1" customWidth="1" outlineLevel="1"/>
    <col min="79" max="79" width="9.140625" style="454" collapsed="1"/>
    <col min="80" max="16384" width="9.140625" style="454"/>
  </cols>
  <sheetData>
    <row r="1" spans="1:72">
      <c r="A1" s="452" t="s">
        <v>478</v>
      </c>
      <c r="B1" s="452"/>
      <c r="C1" s="452"/>
      <c r="D1" s="452"/>
      <c r="E1" s="453"/>
      <c r="F1" s="452"/>
      <c r="G1" s="453"/>
      <c r="H1" s="452"/>
      <c r="I1" s="453"/>
      <c r="J1" s="452"/>
      <c r="K1" s="453"/>
      <c r="L1" s="452"/>
      <c r="M1" s="453"/>
      <c r="N1" s="452"/>
      <c r="O1" s="453"/>
      <c r="P1" s="452"/>
      <c r="Q1" s="452"/>
      <c r="R1" s="452"/>
      <c r="S1" s="453"/>
      <c r="T1" s="452"/>
      <c r="U1" s="452"/>
      <c r="V1" s="452"/>
      <c r="W1" s="453"/>
      <c r="X1" s="452"/>
      <c r="Y1" s="453"/>
      <c r="Z1" s="452"/>
      <c r="AA1" s="453"/>
      <c r="AB1" s="452"/>
      <c r="AC1" s="453"/>
      <c r="AD1" s="452"/>
      <c r="AE1" s="453"/>
      <c r="AF1" s="452"/>
      <c r="AG1" s="453"/>
      <c r="AH1" s="452"/>
      <c r="AI1" s="453"/>
      <c r="AJ1" s="452"/>
      <c r="AK1" s="453"/>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452"/>
      <c r="BJ1" s="452"/>
      <c r="BK1" s="452"/>
      <c r="BL1" s="452"/>
      <c r="BM1" s="452"/>
      <c r="BN1" s="452"/>
      <c r="BO1" s="452"/>
      <c r="BP1" s="452"/>
      <c r="BQ1" s="1840"/>
      <c r="BR1" s="452"/>
      <c r="BS1" s="452"/>
      <c r="BT1" s="452"/>
    </row>
    <row r="2" spans="1:72">
      <c r="A2" s="455" t="s">
        <v>533</v>
      </c>
      <c r="B2" s="455"/>
      <c r="C2" s="455"/>
      <c r="D2" s="455"/>
      <c r="E2" s="456"/>
      <c r="F2" s="455"/>
      <c r="G2" s="456"/>
      <c r="H2" s="455"/>
      <c r="I2" s="456"/>
      <c r="J2" s="455"/>
      <c r="K2" s="456"/>
      <c r="L2" s="455"/>
      <c r="M2" s="456"/>
      <c r="N2" s="455"/>
      <c r="O2" s="456"/>
      <c r="P2" s="455"/>
      <c r="Q2" s="455"/>
      <c r="R2" s="455"/>
      <c r="S2" s="456"/>
      <c r="T2" s="455"/>
      <c r="U2" s="455"/>
      <c r="V2" s="455"/>
      <c r="W2" s="456"/>
      <c r="X2" s="455"/>
      <c r="Y2" s="456"/>
      <c r="Z2" s="455"/>
      <c r="AA2" s="456"/>
      <c r="AB2" s="455"/>
      <c r="AC2" s="456"/>
      <c r="AD2" s="455"/>
      <c r="AE2" s="456"/>
      <c r="AF2" s="455"/>
      <c r="AG2" s="456"/>
      <c r="AH2" s="455"/>
      <c r="AI2" s="456"/>
      <c r="AJ2" s="455"/>
      <c r="AK2" s="456"/>
      <c r="AL2" s="455"/>
      <c r="AM2" s="456"/>
      <c r="AN2" s="455"/>
      <c r="AO2" s="456"/>
      <c r="AP2" s="456"/>
      <c r="AQ2" s="456"/>
      <c r="AR2" s="456"/>
      <c r="AS2" s="456"/>
      <c r="AT2" s="456"/>
      <c r="AU2" s="456"/>
      <c r="AV2" s="456"/>
      <c r="AW2" s="456"/>
      <c r="AX2" s="456"/>
      <c r="AY2" s="456"/>
      <c r="AZ2" s="456"/>
      <c r="BA2" s="456"/>
      <c r="BB2" s="456"/>
      <c r="BC2" s="455"/>
      <c r="BD2" s="455"/>
      <c r="BE2" s="455"/>
      <c r="BF2" s="455"/>
      <c r="BG2" s="455"/>
      <c r="BH2" s="455"/>
      <c r="BI2" s="455"/>
      <c r="BJ2" s="455"/>
      <c r="BK2" s="455"/>
      <c r="BL2" s="455"/>
      <c r="BM2" s="455"/>
      <c r="BN2" s="455"/>
      <c r="BO2" s="455"/>
      <c r="BP2" s="455"/>
      <c r="BQ2" s="1841"/>
      <c r="BR2" s="455"/>
      <c r="BS2" s="455"/>
      <c r="BT2" s="455"/>
    </row>
    <row r="3" spans="1:72">
      <c r="A3" s="457" t="s">
        <v>642</v>
      </c>
      <c r="B3" s="458"/>
      <c r="C3" s="459"/>
      <c r="D3" s="459"/>
      <c r="E3" s="459"/>
      <c r="F3" s="459"/>
      <c r="G3" s="459"/>
      <c r="H3" s="459"/>
      <c r="I3" s="459"/>
      <c r="J3" s="459"/>
      <c r="K3" s="459"/>
      <c r="L3" s="459"/>
      <c r="M3" s="459"/>
      <c r="N3" s="459"/>
      <c r="O3" s="459"/>
      <c r="P3" s="459"/>
      <c r="Q3" s="459"/>
      <c r="R3" s="459"/>
      <c r="S3" s="459"/>
      <c r="T3" s="459"/>
      <c r="U3" s="459"/>
      <c r="V3" s="459"/>
      <c r="W3" s="459"/>
      <c r="X3" s="459"/>
      <c r="Y3" s="459"/>
      <c r="Z3" s="459"/>
      <c r="AA3" s="459"/>
      <c r="AB3" s="459"/>
      <c r="AC3" s="459"/>
      <c r="AD3" s="459"/>
      <c r="AE3" s="459"/>
      <c r="AF3" s="459"/>
      <c r="AG3" s="459"/>
      <c r="AH3" s="459"/>
      <c r="AI3" s="459"/>
      <c r="AJ3" s="459"/>
      <c r="AK3" s="459"/>
      <c r="AL3" s="459"/>
      <c r="AM3" s="459"/>
      <c r="AN3" s="459"/>
      <c r="AO3" s="459"/>
      <c r="AP3" s="459"/>
      <c r="AQ3" s="459"/>
      <c r="AR3" s="459"/>
      <c r="AS3" s="459"/>
      <c r="AT3" s="459"/>
      <c r="AU3" s="459"/>
      <c r="AV3" s="459"/>
      <c r="AW3" s="459"/>
      <c r="AX3" s="459"/>
      <c r="AY3" s="459"/>
      <c r="AZ3" s="459"/>
      <c r="BA3" s="459"/>
      <c r="BB3" s="459"/>
      <c r="BC3" s="459"/>
      <c r="BD3" s="459"/>
      <c r="BE3" s="459"/>
      <c r="BF3" s="459"/>
      <c r="BG3" s="459"/>
      <c r="BH3" s="459"/>
      <c r="BI3" s="459"/>
      <c r="BJ3" s="459"/>
      <c r="BK3" s="459"/>
      <c r="BL3" s="459"/>
      <c r="BM3" s="459"/>
      <c r="BN3" s="459"/>
      <c r="BO3" s="459"/>
      <c r="BP3" s="459"/>
      <c r="BQ3" s="57"/>
      <c r="BR3" s="459"/>
      <c r="BS3" s="459"/>
      <c r="BT3" s="459"/>
    </row>
    <row r="4" spans="1:72">
      <c r="A4" s="458" t="s">
        <v>534</v>
      </c>
      <c r="B4" s="458"/>
      <c r="C4" s="459"/>
      <c r="D4" s="459"/>
      <c r="E4" s="459"/>
      <c r="F4" s="459"/>
      <c r="G4" s="459"/>
      <c r="H4" s="459"/>
      <c r="I4" s="459"/>
      <c r="J4" s="459"/>
      <c r="K4" s="459"/>
      <c r="L4" s="459"/>
      <c r="M4" s="459"/>
      <c r="N4" s="459"/>
      <c r="O4" s="459"/>
      <c r="P4" s="459"/>
      <c r="Q4" s="459"/>
      <c r="R4" s="459"/>
      <c r="S4" s="459"/>
      <c r="T4" s="459"/>
      <c r="U4" s="459"/>
      <c r="V4" s="459"/>
      <c r="W4" s="459"/>
      <c r="X4" s="459"/>
      <c r="Y4" s="459"/>
      <c r="Z4" s="459"/>
      <c r="AA4" s="459"/>
      <c r="AB4" s="459"/>
      <c r="AC4" s="459"/>
      <c r="AD4" s="459"/>
      <c r="AE4" s="459"/>
      <c r="AF4" s="459"/>
      <c r="AG4" s="459"/>
      <c r="AH4" s="459"/>
      <c r="AI4" s="459"/>
      <c r="AJ4" s="459"/>
      <c r="AK4" s="459"/>
      <c r="AL4" s="459"/>
      <c r="AM4" s="460"/>
      <c r="AN4" s="459"/>
      <c r="AO4" s="459"/>
      <c r="AP4" s="459"/>
      <c r="AQ4" s="459"/>
      <c r="AR4" s="459"/>
      <c r="AT4" s="459"/>
      <c r="AU4" s="459"/>
      <c r="AV4" s="459"/>
      <c r="AW4" s="459"/>
      <c r="AX4" s="459"/>
      <c r="AY4" s="459"/>
      <c r="AZ4" s="459"/>
      <c r="BA4" s="459"/>
      <c r="BB4" s="459"/>
      <c r="BC4" s="459"/>
      <c r="BD4" s="459"/>
      <c r="BE4" s="459"/>
      <c r="BF4" s="459"/>
      <c r="BG4" s="459"/>
      <c r="BH4" s="459"/>
      <c r="BI4" s="459"/>
      <c r="BJ4" s="459"/>
      <c r="BK4" s="459"/>
      <c r="BL4" s="459"/>
      <c r="BM4" s="459"/>
      <c r="BN4" s="459"/>
      <c r="BO4" s="459"/>
      <c r="BP4" s="459"/>
      <c r="BQ4" s="57"/>
      <c r="BR4" s="459"/>
      <c r="BS4" s="459"/>
      <c r="BT4" s="459"/>
    </row>
    <row r="5" spans="1:72" ht="6" customHeight="1">
      <c r="A5" s="459"/>
      <c r="B5" s="459"/>
      <c r="C5" s="459"/>
      <c r="D5" s="459"/>
      <c r="E5" s="459"/>
      <c r="F5" s="459"/>
      <c r="G5" s="459"/>
      <c r="H5" s="459"/>
      <c r="I5" s="459"/>
      <c r="J5" s="459"/>
      <c r="K5" s="459"/>
      <c r="L5" s="459"/>
      <c r="M5" s="459"/>
      <c r="N5" s="459"/>
      <c r="O5" s="459"/>
      <c r="P5" s="459"/>
      <c r="Q5" s="459"/>
      <c r="R5" s="459"/>
      <c r="S5" s="459"/>
      <c r="T5" s="459"/>
      <c r="U5" s="459"/>
      <c r="V5" s="459"/>
      <c r="W5" s="460"/>
      <c r="X5" s="459"/>
      <c r="Y5" s="460"/>
      <c r="Z5" s="459"/>
      <c r="AA5" s="460"/>
      <c r="AB5" s="459"/>
      <c r="AC5" s="460"/>
      <c r="AD5" s="459"/>
      <c r="AE5" s="460"/>
      <c r="AF5" s="459"/>
      <c r="AG5" s="460"/>
      <c r="AH5" s="459"/>
      <c r="AI5" s="460"/>
      <c r="AJ5" s="459"/>
      <c r="AK5" s="460"/>
      <c r="AL5" s="459"/>
      <c r="AM5" s="459"/>
      <c r="AN5" s="459"/>
      <c r="AO5" s="459"/>
      <c r="AP5" s="459"/>
      <c r="AQ5" s="459"/>
      <c r="AR5" s="459"/>
      <c r="AS5" s="459"/>
      <c r="AT5" s="459"/>
      <c r="AU5" s="459"/>
      <c r="AV5" s="459"/>
      <c r="AW5" s="459"/>
      <c r="AX5" s="459"/>
      <c r="AY5" s="459"/>
      <c r="AZ5" s="459"/>
      <c r="BA5" s="459"/>
      <c r="BB5" s="459"/>
      <c r="BC5" s="459"/>
      <c r="BD5" s="459"/>
      <c r="BE5" s="459"/>
      <c r="BF5" s="459"/>
      <c r="BG5" s="459"/>
      <c r="BH5" s="459"/>
      <c r="BI5" s="459"/>
      <c r="BJ5" s="459"/>
      <c r="BK5" s="459"/>
      <c r="BL5" s="459"/>
      <c r="BM5" s="459"/>
      <c r="BN5" s="459"/>
      <c r="BO5" s="459"/>
      <c r="BP5" s="459"/>
      <c r="BQ5" s="57"/>
      <c r="BR5" s="459"/>
      <c r="BS5" s="459"/>
      <c r="BT5" s="459"/>
    </row>
    <row r="6" spans="1:72">
      <c r="A6" s="459"/>
      <c r="B6" s="459"/>
      <c r="C6" s="459"/>
      <c r="D6" s="459"/>
      <c r="E6" s="461">
        <v>1990</v>
      </c>
      <c r="F6" s="459"/>
      <c r="G6" s="462">
        <f>E6+1</f>
        <v>1991</v>
      </c>
      <c r="H6" s="459"/>
      <c r="I6" s="462">
        <f>G6+1</f>
        <v>1992</v>
      </c>
      <c r="J6" s="459"/>
      <c r="K6" s="462">
        <f>I6+1</f>
        <v>1993</v>
      </c>
      <c r="L6" s="459"/>
      <c r="M6" s="462">
        <f>K6+1</f>
        <v>1994</v>
      </c>
      <c r="N6" s="459"/>
      <c r="O6" s="462">
        <f>M6+1</f>
        <v>1995</v>
      </c>
      <c r="P6" s="463"/>
      <c r="Q6" s="462">
        <f>O6+1</f>
        <v>1996</v>
      </c>
      <c r="R6" s="463"/>
      <c r="S6" s="462">
        <f>Q6+1</f>
        <v>1997</v>
      </c>
      <c r="T6" s="463"/>
      <c r="U6" s="462">
        <f>S6+1</f>
        <v>1998</v>
      </c>
      <c r="V6" s="463"/>
      <c r="W6" s="462">
        <f>U6+1</f>
        <v>1999</v>
      </c>
      <c r="X6" s="463"/>
      <c r="Y6" s="462">
        <f>W6+1</f>
        <v>2000</v>
      </c>
      <c r="Z6" s="463"/>
      <c r="AA6" s="462">
        <f>Y6+1</f>
        <v>2001</v>
      </c>
      <c r="AB6" s="463"/>
      <c r="AC6" s="462">
        <f>AA6+1</f>
        <v>2002</v>
      </c>
      <c r="AD6" s="463"/>
      <c r="AE6" s="462">
        <f>+AC6+1</f>
        <v>2003</v>
      </c>
      <c r="AF6" s="463"/>
      <c r="AG6" s="462">
        <f>+AE6+1</f>
        <v>2004</v>
      </c>
      <c r="AH6" s="463"/>
      <c r="AI6" s="464">
        <f>+AG6+1</f>
        <v>2005</v>
      </c>
      <c r="AJ6" s="463"/>
      <c r="AK6" s="464">
        <f>+AI6+1</f>
        <v>2006</v>
      </c>
      <c r="AL6" s="459"/>
      <c r="AM6" s="464">
        <f>+AK6+1</f>
        <v>2007</v>
      </c>
      <c r="AN6" s="459"/>
      <c r="AO6" s="464">
        <f>+AM6+1</f>
        <v>2008</v>
      </c>
      <c r="AP6" s="459"/>
      <c r="AQ6" s="464">
        <f>+AO6+1</f>
        <v>2009</v>
      </c>
      <c r="AR6" s="459"/>
      <c r="AS6" s="464">
        <f>+AQ6+1</f>
        <v>2010</v>
      </c>
      <c r="AT6" s="459"/>
      <c r="AU6" s="464">
        <f>+AS6+1</f>
        <v>2011</v>
      </c>
      <c r="AV6" s="459"/>
      <c r="AW6" s="464">
        <f>+AU6+1</f>
        <v>2012</v>
      </c>
      <c r="AX6" s="459"/>
      <c r="AY6" s="464">
        <f>+AW6+1</f>
        <v>2013</v>
      </c>
      <c r="AZ6" s="459"/>
      <c r="BA6" s="464">
        <f>+AY6+1</f>
        <v>2014</v>
      </c>
      <c r="BB6" s="465"/>
      <c r="BC6" s="464">
        <f>+BA6+1</f>
        <v>2015</v>
      </c>
      <c r="BD6" s="459"/>
      <c r="BE6" s="464">
        <f>+BC6+1</f>
        <v>2016</v>
      </c>
      <c r="BF6" s="459"/>
      <c r="BG6" s="464">
        <f>+BE6+1</f>
        <v>2017</v>
      </c>
      <c r="BH6" s="459"/>
      <c r="BI6" s="466">
        <f>+BG6+1</f>
        <v>2018</v>
      </c>
      <c r="BJ6" s="459"/>
      <c r="BK6" s="466">
        <f>+BI6+1</f>
        <v>2019</v>
      </c>
      <c r="BL6" s="459"/>
      <c r="BM6" s="466">
        <f>+BK6+1</f>
        <v>2020</v>
      </c>
      <c r="BN6" s="459"/>
      <c r="BO6" s="466">
        <f>+BM6+1</f>
        <v>2021</v>
      </c>
      <c r="BP6" s="459"/>
      <c r="BQ6" s="1842">
        <f>+BO6+1</f>
        <v>2022</v>
      </c>
      <c r="BR6" s="465"/>
      <c r="BS6" s="465"/>
      <c r="BT6" s="459"/>
    </row>
    <row r="7" spans="1:72">
      <c r="A7" s="459"/>
      <c r="B7" s="459"/>
      <c r="C7" s="459"/>
      <c r="D7" s="459"/>
      <c r="E7" s="459"/>
      <c r="F7" s="459"/>
      <c r="G7" s="459"/>
      <c r="H7" s="459"/>
      <c r="I7" s="459"/>
      <c r="J7" s="459"/>
      <c r="K7" s="459"/>
      <c r="L7" s="459"/>
      <c r="M7" s="459"/>
      <c r="N7" s="459"/>
      <c r="O7" s="459"/>
      <c r="P7" s="459"/>
      <c r="Q7" s="460"/>
      <c r="R7" s="459"/>
      <c r="S7" s="459"/>
      <c r="T7" s="459"/>
      <c r="U7" s="459"/>
      <c r="V7" s="459"/>
      <c r="W7" s="459"/>
      <c r="X7" s="459"/>
      <c r="Y7" s="459"/>
      <c r="Z7" s="459"/>
      <c r="AA7" s="459"/>
      <c r="AB7" s="459"/>
      <c r="AC7" s="467"/>
      <c r="AD7" s="459"/>
      <c r="AE7" s="468" t="s">
        <v>52</v>
      </c>
      <c r="AF7" s="459"/>
      <c r="AG7" s="459"/>
      <c r="AH7" s="459"/>
      <c r="AI7" s="469"/>
      <c r="AJ7" s="459"/>
      <c r="AK7" s="459"/>
      <c r="AL7" s="459"/>
      <c r="AM7" s="459"/>
      <c r="AN7" s="459"/>
      <c r="AO7" s="459"/>
      <c r="AP7" s="459"/>
      <c r="AQ7" s="469"/>
      <c r="AR7" s="459"/>
      <c r="AS7" s="459"/>
      <c r="AT7" s="459"/>
      <c r="AU7" s="459"/>
      <c r="AV7" s="459"/>
      <c r="AW7" s="459"/>
      <c r="AX7" s="459"/>
      <c r="AY7" s="459"/>
      <c r="AZ7" s="459"/>
      <c r="BA7" s="459"/>
      <c r="BB7" s="459"/>
      <c r="BC7" s="459"/>
      <c r="BD7" s="459"/>
      <c r="BE7" s="459"/>
      <c r="BF7" s="459"/>
      <c r="BG7" s="459"/>
      <c r="BH7" s="459"/>
      <c r="BI7" s="459"/>
      <c r="BJ7" s="459"/>
      <c r="BK7" s="459"/>
      <c r="BL7" s="459"/>
      <c r="BM7" s="459"/>
      <c r="BN7" s="459"/>
      <c r="BO7" s="459"/>
      <c r="BP7" s="459"/>
      <c r="BQ7" s="57"/>
      <c r="BR7" s="459"/>
      <c r="BS7" s="459"/>
      <c r="BT7" s="459"/>
    </row>
    <row r="8" spans="1:72">
      <c r="A8" s="470" t="s">
        <v>75</v>
      </c>
      <c r="B8" s="471"/>
      <c r="C8" s="459"/>
      <c r="D8" s="459"/>
      <c r="E8" s="459"/>
      <c r="F8" s="459"/>
      <c r="G8" s="459"/>
      <c r="H8" s="459"/>
      <c r="I8" s="459"/>
      <c r="J8" s="459"/>
      <c r="K8" s="459"/>
      <c r="L8" s="459"/>
      <c r="M8" s="459"/>
      <c r="N8" s="459"/>
      <c r="O8" s="459"/>
      <c r="P8" s="459"/>
      <c r="Q8" s="459"/>
      <c r="R8" s="459"/>
      <c r="S8" s="459"/>
      <c r="T8" s="459"/>
      <c r="U8" s="459"/>
      <c r="V8" s="459"/>
      <c r="W8" s="459"/>
      <c r="X8" s="459"/>
      <c r="Y8" s="459"/>
      <c r="Z8" s="459"/>
      <c r="AA8" s="459"/>
      <c r="AB8" s="459"/>
      <c r="AC8" s="472"/>
      <c r="AD8" s="472"/>
      <c r="AE8" s="472"/>
      <c r="AF8" s="459"/>
      <c r="AG8" s="473"/>
      <c r="AH8" s="459"/>
      <c r="AI8" s="469"/>
      <c r="AJ8" s="459"/>
      <c r="AK8" s="469"/>
      <c r="AL8" s="459"/>
      <c r="AM8" s="459"/>
      <c r="AN8" s="459"/>
      <c r="AO8" s="459"/>
      <c r="AP8" s="459"/>
      <c r="AQ8" s="459"/>
      <c r="AR8" s="459"/>
      <c r="AS8" s="459"/>
      <c r="AT8" s="459"/>
      <c r="AU8" s="459"/>
      <c r="AV8" s="459"/>
      <c r="AW8" s="459"/>
      <c r="AX8" s="459"/>
      <c r="AY8" s="459"/>
      <c r="AZ8" s="459"/>
      <c r="BA8" s="459"/>
      <c r="BB8" s="459"/>
      <c r="BC8" s="459"/>
      <c r="BD8" s="459"/>
      <c r="BE8" s="459"/>
      <c r="BF8" s="459"/>
      <c r="BG8" s="459"/>
      <c r="BH8" s="459"/>
      <c r="BI8" s="459"/>
      <c r="BJ8" s="459"/>
      <c r="BK8" s="459"/>
      <c r="BL8" s="459"/>
      <c r="BM8" s="459"/>
      <c r="BN8" s="459"/>
      <c r="BO8" s="459"/>
      <c r="BP8" s="459"/>
      <c r="BQ8" s="57"/>
      <c r="BR8" s="459"/>
      <c r="BS8" s="459"/>
      <c r="BT8" s="459"/>
    </row>
    <row r="9" spans="1:72">
      <c r="A9" s="474"/>
      <c r="B9" s="459" t="s">
        <v>76</v>
      </c>
      <c r="C9" s="459"/>
      <c r="D9" s="459"/>
      <c r="E9" s="475" t="s">
        <v>590</v>
      </c>
      <c r="F9" s="459"/>
      <c r="G9" s="475">
        <v>192.58500000000001</v>
      </c>
      <c r="H9" s="459"/>
      <c r="I9" s="475">
        <v>243.30199999999999</v>
      </c>
      <c r="J9" s="459"/>
      <c r="K9" s="475">
        <v>460.33199999999999</v>
      </c>
      <c r="L9" s="459"/>
      <c r="M9" s="475">
        <v>414.48700000000002</v>
      </c>
      <c r="N9" s="459"/>
      <c r="O9" s="475">
        <v>579.56600000000003</v>
      </c>
      <c r="P9" s="459"/>
      <c r="Q9" s="475">
        <v>485.64400000000001</v>
      </c>
      <c r="R9" s="459"/>
      <c r="S9" s="475">
        <v>913.16899999999998</v>
      </c>
      <c r="T9" s="476"/>
      <c r="U9" s="475">
        <v>565.25300000000004</v>
      </c>
      <c r="V9" s="459"/>
      <c r="W9" s="475">
        <v>450.35199999999998</v>
      </c>
      <c r="X9" s="459"/>
      <c r="Y9" s="469">
        <f>flow!X60</f>
        <v>408.79399999999839</v>
      </c>
      <c r="Z9" s="459"/>
      <c r="AA9" s="469">
        <f>flow!Z60</f>
        <v>1035.7489999999982</v>
      </c>
      <c r="AB9" s="459"/>
      <c r="AC9" s="469">
        <f>flow!AB60</f>
        <v>3075.9999999999986</v>
      </c>
      <c r="AD9" s="459"/>
      <c r="AE9" s="469">
        <f>flow!AD60</f>
        <v>3611.9999999999991</v>
      </c>
      <c r="AF9" s="459"/>
      <c r="AG9" s="469">
        <f>flow!AF60</f>
        <v>3260.0000000000018</v>
      </c>
      <c r="AH9" s="459"/>
      <c r="AI9" s="469">
        <f>flow!AH60</f>
        <v>2090.0000000000027</v>
      </c>
      <c r="AJ9" s="459"/>
      <c r="AK9" s="469">
        <f>flow!AJ60</f>
        <v>2074.0000000000027</v>
      </c>
      <c r="AL9" s="459"/>
      <c r="AM9" s="469">
        <f>flow!AL60</f>
        <v>1762.0000000000027</v>
      </c>
      <c r="AN9" s="459"/>
      <c r="AO9" s="469">
        <f>flow!AN60</f>
        <v>1756.0000000000027</v>
      </c>
      <c r="AP9" s="469"/>
      <c r="AQ9" s="469">
        <f>flow!AP60</f>
        <v>2348</v>
      </c>
      <c r="AR9" s="469"/>
      <c r="AS9" s="469">
        <f>flow!AR60</f>
        <v>1561</v>
      </c>
      <c r="AT9" s="469"/>
      <c r="AU9" s="469">
        <f>flow!AT60</f>
        <v>1885</v>
      </c>
      <c r="AV9" s="469"/>
      <c r="AW9" s="1444">
        <f>flow!AV60</f>
        <v>1460</v>
      </c>
      <c r="AX9" s="1444"/>
      <c r="AY9" s="1444">
        <f>flow!AX60</f>
        <v>1510</v>
      </c>
      <c r="AZ9" s="1444"/>
      <c r="BA9" s="1444">
        <f>flow!AZ60</f>
        <v>1515</v>
      </c>
      <c r="BB9" s="469"/>
      <c r="BC9" s="1444">
        <f>flow!BB60</f>
        <v>1370</v>
      </c>
      <c r="BD9" s="469"/>
      <c r="BE9" s="1444">
        <f>flow!BD60</f>
        <v>1783.17</v>
      </c>
      <c r="BF9" s="459"/>
      <c r="BG9" s="1444">
        <f>flow!BF60</f>
        <v>1783.17</v>
      </c>
      <c r="BH9" s="1444"/>
      <c r="BI9" s="1444">
        <f>flow!BH60</f>
        <v>1845.2434235572564</v>
      </c>
      <c r="BJ9" s="1444"/>
      <c r="BK9" s="1444">
        <f>flow!BJ60</f>
        <v>2031.3044685239699</v>
      </c>
      <c r="BL9" s="1444"/>
      <c r="BM9" s="1444">
        <f>flow!BL60</f>
        <v>2141.4802094499942</v>
      </c>
      <c r="BN9" s="1444"/>
      <c r="BO9" s="1444">
        <f>flow!BN60</f>
        <v>2224.1197624254182</v>
      </c>
      <c r="BP9" s="1444"/>
      <c r="BQ9" s="1843">
        <f>flow!BP60</f>
        <v>2280.253950926347</v>
      </c>
      <c r="BR9" s="469"/>
      <c r="BS9" s="469"/>
      <c r="BT9" s="459"/>
    </row>
    <row r="10" spans="1:72">
      <c r="A10" s="474"/>
      <c r="B10" s="459" t="s">
        <v>101</v>
      </c>
      <c r="C10" s="459"/>
      <c r="D10" s="459"/>
      <c r="E10" s="477"/>
      <c r="F10" s="459"/>
      <c r="G10" s="477"/>
      <c r="H10" s="459"/>
      <c r="I10" s="477">
        <v>0</v>
      </c>
      <c r="J10" s="459"/>
      <c r="K10" s="477">
        <v>83.497</v>
      </c>
      <c r="L10" s="459"/>
      <c r="M10" s="477">
        <v>173.54300000000001</v>
      </c>
      <c r="N10" s="459"/>
      <c r="O10" s="477">
        <v>89.506</v>
      </c>
      <c r="P10" s="459"/>
      <c r="Q10" s="477">
        <v>135.63200000000001</v>
      </c>
      <c r="R10" s="459"/>
      <c r="S10" s="477">
        <v>0</v>
      </c>
      <c r="T10" s="478"/>
      <c r="U10" s="477">
        <v>0</v>
      </c>
      <c r="V10" s="459"/>
      <c r="W10" s="477">
        <v>0</v>
      </c>
      <c r="X10" s="459"/>
      <c r="Y10" s="477">
        <v>0</v>
      </c>
      <c r="Z10" s="459"/>
      <c r="AA10" s="477">
        <v>0</v>
      </c>
      <c r="AB10" s="459"/>
      <c r="AC10" s="477">
        <v>313</v>
      </c>
      <c r="AD10" s="459"/>
      <c r="AE10" s="477">
        <v>1073</v>
      </c>
      <c r="AF10" s="459"/>
      <c r="AG10" s="477">
        <v>817</v>
      </c>
      <c r="AH10" s="459"/>
      <c r="AI10" s="477">
        <v>952</v>
      </c>
      <c r="AJ10" s="459"/>
      <c r="AK10" s="477">
        <v>570</v>
      </c>
      <c r="AL10" s="459"/>
      <c r="AM10" s="477">
        <v>177</v>
      </c>
      <c r="AN10" s="459"/>
      <c r="AO10" s="477">
        <v>0</v>
      </c>
      <c r="AP10" s="479"/>
      <c r="AQ10" s="477">
        <v>225</v>
      </c>
      <c r="AR10" s="479"/>
      <c r="AS10" s="477">
        <v>100</v>
      </c>
      <c r="AT10" s="479"/>
      <c r="AU10" s="477">
        <v>0</v>
      </c>
      <c r="AV10" s="479"/>
      <c r="AW10" s="1445">
        <v>50</v>
      </c>
      <c r="AX10" s="1444"/>
      <c r="AY10" s="1445">
        <v>0</v>
      </c>
      <c r="AZ10" s="1444"/>
      <c r="BA10" s="1445">
        <v>0</v>
      </c>
      <c r="BB10" s="479"/>
      <c r="BC10" s="1446">
        <f>+BA10</f>
        <v>0</v>
      </c>
      <c r="BD10" s="469"/>
      <c r="BE10" s="1446">
        <f>+BC10</f>
        <v>0</v>
      </c>
      <c r="BF10" s="459"/>
      <c r="BG10" s="1446">
        <f>+BE10</f>
        <v>0</v>
      </c>
      <c r="BH10" s="1444"/>
      <c r="BI10" s="1444">
        <f>+BG10</f>
        <v>0</v>
      </c>
      <c r="BJ10" s="1444"/>
      <c r="BK10" s="1444">
        <f>+BI10</f>
        <v>0</v>
      </c>
      <c r="BL10" s="1444"/>
      <c r="BM10" s="1444">
        <f>+BK10</f>
        <v>0</v>
      </c>
      <c r="BN10" s="1444"/>
      <c r="BO10" s="1444">
        <f>+BM10</f>
        <v>0</v>
      </c>
      <c r="BP10" s="1444"/>
      <c r="BQ10" s="1843">
        <f>+BO10</f>
        <v>0</v>
      </c>
      <c r="BR10" s="479"/>
      <c r="BS10" s="479"/>
      <c r="BT10" s="459"/>
    </row>
    <row r="11" spans="1:72">
      <c r="A11" s="474"/>
      <c r="B11" s="459" t="s">
        <v>535</v>
      </c>
      <c r="C11" s="459"/>
      <c r="D11" s="459"/>
      <c r="E11" s="477" t="s">
        <v>590</v>
      </c>
      <c r="F11" s="459"/>
      <c r="G11" s="477"/>
      <c r="H11" s="459"/>
      <c r="I11" s="477">
        <v>9.8859999999999992</v>
      </c>
      <c r="J11" s="459"/>
      <c r="K11" s="477">
        <v>15.225</v>
      </c>
      <c r="L11" s="459"/>
      <c r="M11" s="477">
        <v>0</v>
      </c>
      <c r="N11" s="459"/>
      <c r="O11" s="477">
        <v>0</v>
      </c>
      <c r="P11" s="459"/>
      <c r="Q11" s="477">
        <v>0</v>
      </c>
      <c r="R11" s="459"/>
      <c r="S11" s="477">
        <v>0</v>
      </c>
      <c r="T11" s="478"/>
      <c r="U11" s="477">
        <v>0</v>
      </c>
      <c r="V11" s="459"/>
      <c r="W11" s="477">
        <v>0</v>
      </c>
      <c r="X11" s="459"/>
      <c r="Y11" s="477">
        <v>0</v>
      </c>
      <c r="Z11" s="459"/>
      <c r="AA11" s="477">
        <v>0</v>
      </c>
      <c r="AB11" s="459"/>
      <c r="AC11" s="477">
        <v>0</v>
      </c>
      <c r="AD11" s="459"/>
      <c r="AE11" s="477">
        <v>0</v>
      </c>
      <c r="AF11" s="459"/>
      <c r="AG11" s="477">
        <v>0</v>
      </c>
      <c r="AH11" s="459"/>
      <c r="AI11" s="477">
        <v>0</v>
      </c>
      <c r="AJ11" s="459"/>
      <c r="AK11" s="477">
        <v>0</v>
      </c>
      <c r="AL11" s="459"/>
      <c r="AM11" s="477">
        <v>0</v>
      </c>
      <c r="AN11" s="459"/>
      <c r="AO11" s="477">
        <v>0</v>
      </c>
      <c r="AP11" s="477"/>
      <c r="AQ11" s="477">
        <v>0</v>
      </c>
      <c r="AR11" s="477"/>
      <c r="AS11" s="477">
        <v>0</v>
      </c>
      <c r="AT11" s="477"/>
      <c r="AU11" s="477">
        <v>0</v>
      </c>
      <c r="AV11" s="477"/>
      <c r="AW11" s="1445">
        <v>0</v>
      </c>
      <c r="AX11" s="1445"/>
      <c r="AY11" s="1445">
        <v>0</v>
      </c>
      <c r="AZ11" s="1445"/>
      <c r="BA11" s="1445">
        <v>0</v>
      </c>
      <c r="BB11" s="477"/>
      <c r="BC11" s="1445">
        <v>0</v>
      </c>
      <c r="BD11" s="469"/>
      <c r="BE11" s="1445">
        <v>0</v>
      </c>
      <c r="BF11" s="459"/>
      <c r="BG11" s="1446">
        <v>0</v>
      </c>
      <c r="BH11" s="1444"/>
      <c r="BI11" s="1445">
        <v>0</v>
      </c>
      <c r="BJ11" s="1444"/>
      <c r="BK11" s="1445">
        <v>0</v>
      </c>
      <c r="BL11" s="1444"/>
      <c r="BM11" s="1445">
        <v>0</v>
      </c>
      <c r="BN11" s="1444"/>
      <c r="BO11" s="1445">
        <v>0</v>
      </c>
      <c r="BP11" s="1444"/>
      <c r="BQ11" s="1844">
        <v>0</v>
      </c>
      <c r="BR11" s="477"/>
      <c r="BS11" s="477"/>
      <c r="BT11" s="459"/>
    </row>
    <row r="12" spans="1:72">
      <c r="A12" s="474"/>
      <c r="B12" s="459" t="s">
        <v>77</v>
      </c>
      <c r="C12" s="459"/>
      <c r="D12" s="459"/>
      <c r="E12" s="477" t="s">
        <v>590</v>
      </c>
      <c r="F12" s="459"/>
      <c r="G12" s="477">
        <v>313.899</v>
      </c>
      <c r="H12" s="459"/>
      <c r="I12" s="477">
        <v>365.69200000000001</v>
      </c>
      <c r="J12" s="459"/>
      <c r="K12" s="477">
        <v>331.15499999999997</v>
      </c>
      <c r="L12" s="459"/>
      <c r="M12" s="477">
        <v>370.63799999999998</v>
      </c>
      <c r="N12" s="459"/>
      <c r="O12" s="477">
        <v>482.57499999999999</v>
      </c>
      <c r="P12" s="459"/>
      <c r="Q12" s="477">
        <v>578.76499999999999</v>
      </c>
      <c r="R12" s="459"/>
      <c r="S12" s="477">
        <v>733.17399999999998</v>
      </c>
      <c r="T12" s="478"/>
      <c r="U12" s="477">
        <v>1056.444</v>
      </c>
      <c r="V12" s="459"/>
      <c r="W12" s="477">
        <v>1462.0450000000001</v>
      </c>
      <c r="X12" s="459"/>
      <c r="Y12" s="477">
        <v>1904.153</v>
      </c>
      <c r="Z12" s="459"/>
      <c r="AA12" s="477">
        <v>1768.6130000000001</v>
      </c>
      <c r="AB12" s="459"/>
      <c r="AC12" s="477">
        <v>2048</v>
      </c>
      <c r="AD12" s="459"/>
      <c r="AE12" s="477">
        <v>1704</v>
      </c>
      <c r="AF12" s="459"/>
      <c r="AG12" s="477">
        <v>1814</v>
      </c>
      <c r="AH12" s="459"/>
      <c r="AI12" s="477">
        <v>1696</v>
      </c>
      <c r="AJ12" s="459"/>
      <c r="AK12" s="477">
        <v>1796</v>
      </c>
      <c r="AL12" s="459"/>
      <c r="AM12" s="477">
        <v>1575</v>
      </c>
      <c r="AN12" s="459"/>
      <c r="AO12" s="477">
        <v>1506</v>
      </c>
      <c r="AP12" s="477"/>
      <c r="AQ12" s="477">
        <v>1477</v>
      </c>
      <c r="AR12" s="479"/>
      <c r="AS12" s="477">
        <v>1620</v>
      </c>
      <c r="AT12" s="479"/>
      <c r="AU12" s="477">
        <v>1615</v>
      </c>
      <c r="AV12" s="479"/>
      <c r="AW12" s="1445">
        <v>1758</v>
      </c>
      <c r="AX12" s="1444"/>
      <c r="AY12" s="1445">
        <v>1928</v>
      </c>
      <c r="AZ12" s="1444"/>
      <c r="BA12" s="1445">
        <v>1889</v>
      </c>
      <c r="BB12" s="479"/>
      <c r="BC12" s="1445">
        <v>1873</v>
      </c>
      <c r="BD12" s="469"/>
      <c r="BE12" s="1446">
        <v>1830</v>
      </c>
      <c r="BF12" s="459"/>
      <c r="BG12" s="1446">
        <v>1997</v>
      </c>
      <c r="BH12" s="1444"/>
      <c r="BI12" s="1444">
        <f>BI66*BI72</f>
        <v>1904.8775345481201</v>
      </c>
      <c r="BJ12" s="1444"/>
      <c r="BK12" s="1444">
        <f>BK66*BK72</f>
        <v>1895.6000476573831</v>
      </c>
      <c r="BL12" s="1444"/>
      <c r="BM12" s="1444">
        <f>BM66*BM72</f>
        <v>1886.5266912937818</v>
      </c>
      <c r="BN12" s="1444"/>
      <c r="BO12" s="1444">
        <f>BO66*BO72</f>
        <v>1878.8958309103621</v>
      </c>
      <c r="BP12" s="1444"/>
      <c r="BQ12" s="1843">
        <f>BQ66*BQ72</f>
        <v>1870.5269627437033</v>
      </c>
      <c r="BR12" s="479"/>
      <c r="BS12" s="479"/>
      <c r="BT12" s="459"/>
    </row>
    <row r="13" spans="1:72">
      <c r="A13" s="474"/>
      <c r="B13" s="459" t="s">
        <v>103</v>
      </c>
      <c r="C13" s="459"/>
      <c r="D13" s="459"/>
      <c r="E13" s="480" t="s">
        <v>590</v>
      </c>
      <c r="F13" s="459"/>
      <c r="G13" s="480">
        <v>59.363999999999997</v>
      </c>
      <c r="H13" s="459"/>
      <c r="I13" s="480">
        <v>71.897000000000006</v>
      </c>
      <c r="J13" s="459"/>
      <c r="K13" s="480">
        <v>66.228999999999999</v>
      </c>
      <c r="L13" s="459"/>
      <c r="M13" s="480">
        <v>97.019000000000005</v>
      </c>
      <c r="N13" s="459"/>
      <c r="O13" s="480">
        <v>128.398</v>
      </c>
      <c r="P13" s="459"/>
      <c r="Q13" s="480">
        <v>129.214</v>
      </c>
      <c r="R13" s="478"/>
      <c r="S13" s="480">
        <v>184.60400000000001</v>
      </c>
      <c r="T13" s="478"/>
      <c r="U13" s="480">
        <v>250.12700000000001</v>
      </c>
      <c r="V13" s="459"/>
      <c r="W13" s="480">
        <v>285.39299999999997</v>
      </c>
      <c r="X13" s="459"/>
      <c r="Y13" s="480">
        <v>335.10300000000001</v>
      </c>
      <c r="Z13" s="459"/>
      <c r="AA13" s="480">
        <v>331.685</v>
      </c>
      <c r="AB13" s="459"/>
      <c r="AC13" s="480">
        <v>303</v>
      </c>
      <c r="AD13" s="459"/>
      <c r="AE13" s="480">
        <v>314</v>
      </c>
      <c r="AF13" s="459"/>
      <c r="AG13" s="480">
        <v>413</v>
      </c>
      <c r="AH13" s="459"/>
      <c r="AI13" s="480">
        <v>501</v>
      </c>
      <c r="AJ13" s="459"/>
      <c r="AK13" s="480">
        <v>589</v>
      </c>
      <c r="AL13" s="459"/>
      <c r="AM13" s="480">
        <v>572</v>
      </c>
      <c r="AN13" s="459"/>
      <c r="AO13" s="480">
        <v>743</v>
      </c>
      <c r="AP13" s="459"/>
      <c r="AQ13" s="480">
        <v>614</v>
      </c>
      <c r="AR13" s="459"/>
      <c r="AS13" s="480">
        <v>645</v>
      </c>
      <c r="AT13" s="459"/>
      <c r="AU13" s="480">
        <v>809</v>
      </c>
      <c r="AV13" s="459"/>
      <c r="AW13" s="1451">
        <v>864</v>
      </c>
      <c r="AX13" s="1444"/>
      <c r="AY13" s="1451">
        <v>992</v>
      </c>
      <c r="AZ13" s="1444"/>
      <c r="BA13" s="1451">
        <v>913</v>
      </c>
      <c r="BB13" s="481"/>
      <c r="BC13" s="1451">
        <v>742</v>
      </c>
      <c r="BD13" s="469"/>
      <c r="BE13" s="1447">
        <v>702</v>
      </c>
      <c r="BF13" s="459"/>
      <c r="BG13" s="1447">
        <v>788</v>
      </c>
      <c r="BH13" s="1444"/>
      <c r="BI13" s="1452">
        <f>+(BI73*BI66)</f>
        <v>724.23154913701455</v>
      </c>
      <c r="BJ13" s="1444"/>
      <c r="BK13" s="1452">
        <f>+(BK73*BK66)</f>
        <v>720.70426269412485</v>
      </c>
      <c r="BL13" s="1444"/>
      <c r="BM13" s="1452">
        <f>+(BM73*BM66)</f>
        <v>717.25458636800772</v>
      </c>
      <c r="BN13" s="1444"/>
      <c r="BO13" s="1452">
        <f>+(BO73*BO66)</f>
        <v>714.35334482544135</v>
      </c>
      <c r="BP13" s="1444"/>
      <c r="BQ13" s="1845">
        <f>+(BQ73*BQ66)</f>
        <v>711.17151384316742</v>
      </c>
      <c r="BR13" s="481"/>
      <c r="BS13" s="481"/>
      <c r="BT13" s="459"/>
    </row>
    <row r="14" spans="1:72">
      <c r="A14" s="474"/>
      <c r="B14" s="459"/>
      <c r="C14" s="459" t="s">
        <v>543</v>
      </c>
      <c r="D14" s="459"/>
      <c r="E14" s="482">
        <f>SUM(E9:E13)</f>
        <v>0</v>
      </c>
      <c r="F14" s="459"/>
      <c r="G14" s="482">
        <f>SUM(G9:G13)</f>
        <v>565.84800000000007</v>
      </c>
      <c r="H14" s="459"/>
      <c r="I14" s="482">
        <f>SUM(I9:I13)</f>
        <v>690.77700000000004</v>
      </c>
      <c r="J14" s="459"/>
      <c r="K14" s="482">
        <f>SUM(K9:K13)</f>
        <v>956.43799999999999</v>
      </c>
      <c r="L14" s="459"/>
      <c r="M14" s="482">
        <f>SUM(M9:M13)</f>
        <v>1055.6869999999999</v>
      </c>
      <c r="N14" s="459"/>
      <c r="O14" s="482">
        <f>SUM(O9:O13)</f>
        <v>1280.0449999999998</v>
      </c>
      <c r="P14" s="459"/>
      <c r="Q14" s="482">
        <f>SUM(Q9:Q13)</f>
        <v>1329.2550000000001</v>
      </c>
      <c r="R14" s="459"/>
      <c r="S14" s="482">
        <f>SUM(S9:S13)</f>
        <v>1830.9469999999999</v>
      </c>
      <c r="T14" s="459"/>
      <c r="U14" s="482">
        <f>SUM(U9:U13)</f>
        <v>1871.8240000000001</v>
      </c>
      <c r="V14" s="459"/>
      <c r="W14" s="482">
        <f>SUM(W9:W13)</f>
        <v>2197.79</v>
      </c>
      <c r="X14" s="459"/>
      <c r="Y14" s="482">
        <f>SUM(Y9:Y13)</f>
        <v>2648.0499999999984</v>
      </c>
      <c r="Z14" s="459"/>
      <c r="AA14" s="482">
        <f>SUM(AA9:AA13)</f>
        <v>3136.0469999999982</v>
      </c>
      <c r="AB14" s="459"/>
      <c r="AC14" s="482">
        <f>SUM(AC9:AC13)</f>
        <v>5739.9999999999982</v>
      </c>
      <c r="AD14" s="459"/>
      <c r="AE14" s="482">
        <f>SUM(AE9:AE13)</f>
        <v>6702.9999999999991</v>
      </c>
      <c r="AF14" s="459"/>
      <c r="AG14" s="482">
        <f>SUM(AG9:AG13)</f>
        <v>6304.0000000000018</v>
      </c>
      <c r="AH14" s="459"/>
      <c r="AI14" s="482">
        <f>SUM(AI9:AI13)</f>
        <v>5239.0000000000027</v>
      </c>
      <c r="AJ14" s="459"/>
      <c r="AK14" s="482">
        <f>SUM(AK9:AK13)</f>
        <v>5029.0000000000027</v>
      </c>
      <c r="AL14" s="459"/>
      <c r="AM14" s="482">
        <f>SUM(AM9:AM13)</f>
        <v>4086.0000000000027</v>
      </c>
      <c r="AN14" s="459"/>
      <c r="AO14" s="482">
        <f>SUM(AO9:AO13)</f>
        <v>4005.0000000000027</v>
      </c>
      <c r="AP14" s="459"/>
      <c r="AQ14" s="482">
        <f>SUM(AQ9:AQ13)</f>
        <v>4664</v>
      </c>
      <c r="AR14" s="459"/>
      <c r="AS14" s="482">
        <f>SUM(AS9:AS13)</f>
        <v>3926</v>
      </c>
      <c r="AT14" s="459"/>
      <c r="AU14" s="482">
        <f>SUM(AU9:AU13)</f>
        <v>4309</v>
      </c>
      <c r="AV14" s="459"/>
      <c r="AW14" s="1444">
        <f>SUM(AW9:AW13)</f>
        <v>4132</v>
      </c>
      <c r="AX14" s="1444"/>
      <c r="AY14" s="1444">
        <f>SUM(AY9:AY13)</f>
        <v>4430</v>
      </c>
      <c r="AZ14" s="1444"/>
      <c r="BA14" s="1444">
        <f>SUM(BA9:BA13)</f>
        <v>4317</v>
      </c>
      <c r="BB14" s="482"/>
      <c r="BC14" s="1444">
        <f>SUM(BC9:BC13)</f>
        <v>3985</v>
      </c>
      <c r="BD14" s="469"/>
      <c r="BE14" s="1444">
        <f>SUM(BE9:BE13)</f>
        <v>4315.17</v>
      </c>
      <c r="BF14" s="459"/>
      <c r="BG14" s="1444">
        <f>SUM(BG9:BG13)</f>
        <v>4568.17</v>
      </c>
      <c r="BH14" s="1444"/>
      <c r="BI14" s="1444">
        <f>SUM(BI9:BI13)</f>
        <v>4474.3525072423909</v>
      </c>
      <c r="BJ14" s="1444"/>
      <c r="BK14" s="1444">
        <f>SUM(BK9:BK13)</f>
        <v>4647.6087788754776</v>
      </c>
      <c r="BL14" s="1444"/>
      <c r="BM14" s="1444">
        <f>SUM(BM9:BM13)</f>
        <v>4745.2614871117839</v>
      </c>
      <c r="BN14" s="1444"/>
      <c r="BO14" s="1444">
        <f>SUM(BO9:BO13)</f>
        <v>4817.3689381612212</v>
      </c>
      <c r="BP14" s="1444"/>
      <c r="BQ14" s="1843">
        <f>SUM(BQ9:BQ13)</f>
        <v>4861.952427513218</v>
      </c>
      <c r="BR14" s="482"/>
      <c r="BS14" s="482"/>
      <c r="BT14" s="459"/>
    </row>
    <row r="15" spans="1:72" ht="6" customHeight="1">
      <c r="A15" s="483"/>
      <c r="B15" s="459"/>
      <c r="C15" s="459"/>
      <c r="D15" s="459"/>
      <c r="E15" s="482"/>
      <c r="F15" s="459"/>
      <c r="G15" s="482"/>
      <c r="H15" s="459"/>
      <c r="I15" s="482"/>
      <c r="J15" s="459"/>
      <c r="K15" s="482"/>
      <c r="L15" s="459"/>
      <c r="M15" s="482"/>
      <c r="N15" s="459"/>
      <c r="O15" s="482"/>
      <c r="P15" s="459"/>
      <c r="Q15" s="482"/>
      <c r="R15" s="459"/>
      <c r="S15" s="482"/>
      <c r="T15" s="459"/>
      <c r="U15" s="482"/>
      <c r="V15" s="459"/>
      <c r="W15" s="482"/>
      <c r="X15" s="459"/>
      <c r="Y15" s="482"/>
      <c r="Z15" s="459"/>
      <c r="AA15" s="482"/>
      <c r="AB15" s="459"/>
      <c r="AC15" s="482"/>
      <c r="AD15" s="459"/>
      <c r="AE15" s="482"/>
      <c r="AF15" s="459"/>
      <c r="AG15" s="482"/>
      <c r="AH15" s="459"/>
      <c r="AI15" s="482"/>
      <c r="AJ15" s="459"/>
      <c r="AK15" s="482"/>
      <c r="AL15" s="459"/>
      <c r="AM15" s="482"/>
      <c r="AN15" s="459"/>
      <c r="AO15" s="482"/>
      <c r="AP15" s="459"/>
      <c r="AQ15" s="482"/>
      <c r="AR15" s="459"/>
      <c r="AS15" s="482"/>
      <c r="AT15" s="459"/>
      <c r="AU15" s="482"/>
      <c r="AV15" s="459"/>
      <c r="AW15" s="1444"/>
      <c r="AX15" s="1444"/>
      <c r="AY15" s="1444"/>
      <c r="AZ15" s="1444"/>
      <c r="BA15" s="1444"/>
      <c r="BB15" s="482"/>
      <c r="BC15" s="1444"/>
      <c r="BD15" s="469"/>
      <c r="BE15" s="1444"/>
      <c r="BF15" s="459"/>
      <c r="BG15" s="1444"/>
      <c r="BH15" s="1444"/>
      <c r="BI15" s="1444"/>
      <c r="BJ15" s="1444"/>
      <c r="BK15" s="1444"/>
      <c r="BL15" s="1444"/>
      <c r="BM15" s="1444"/>
      <c r="BN15" s="1444"/>
      <c r="BO15" s="1444"/>
      <c r="BP15" s="1444"/>
      <c r="BQ15" s="1843"/>
      <c r="BR15" s="482"/>
      <c r="BS15" s="482"/>
      <c r="BT15" s="459"/>
    </row>
    <row r="16" spans="1:72">
      <c r="A16" s="474"/>
      <c r="B16" s="459" t="s">
        <v>279</v>
      </c>
      <c r="C16" s="459"/>
      <c r="D16" s="459"/>
      <c r="E16" s="475" t="s">
        <v>590</v>
      </c>
      <c r="F16" s="459"/>
      <c r="G16" s="475">
        <v>547.74</v>
      </c>
      <c r="H16" s="459"/>
      <c r="I16" s="475">
        <v>895.63300000000004</v>
      </c>
      <c r="J16" s="459"/>
      <c r="K16" s="475">
        <v>1090.48</v>
      </c>
      <c r="L16" s="459"/>
      <c r="M16" s="475">
        <v>1294.894</v>
      </c>
      <c r="N16" s="459"/>
      <c r="O16" s="475">
        <v>1562.5820000000001</v>
      </c>
      <c r="P16" s="459"/>
      <c r="Q16" s="475">
        <v>1898.6130000000001</v>
      </c>
      <c r="R16" s="459"/>
      <c r="S16" s="475">
        <v>2303.9589999999998</v>
      </c>
      <c r="T16" s="459"/>
      <c r="U16" s="475">
        <v>3048.3270000000002</v>
      </c>
      <c r="V16" s="459"/>
      <c r="W16" s="475">
        <v>4203.2879999999996</v>
      </c>
      <c r="X16" s="459"/>
      <c r="Y16" s="475">
        <v>5901.2370000000001</v>
      </c>
      <c r="Z16" s="459"/>
      <c r="AA16" s="475">
        <v>6619.5309999999999</v>
      </c>
      <c r="AB16" s="459"/>
      <c r="AC16" s="475">
        <v>6826</v>
      </c>
      <c r="AD16" s="459"/>
      <c r="AE16" s="475">
        <f>3626+3789</f>
        <v>7415</v>
      </c>
      <c r="AF16" s="459"/>
      <c r="AG16" s="484">
        <f>3376+3793</f>
        <v>7169</v>
      </c>
      <c r="AH16" s="459"/>
      <c r="AI16" s="484">
        <v>6958</v>
      </c>
      <c r="AJ16" s="459"/>
      <c r="AK16" s="484">
        <v>7135</v>
      </c>
      <c r="AL16" s="459"/>
      <c r="AM16" s="484">
        <v>7320</v>
      </c>
      <c r="AN16" s="459"/>
      <c r="AO16" s="484">
        <v>7245</v>
      </c>
      <c r="AP16" s="459"/>
      <c r="AQ16" s="484">
        <v>7427</v>
      </c>
      <c r="AR16" s="459"/>
      <c r="AS16" s="484">
        <v>7573</v>
      </c>
      <c r="AT16" s="459"/>
      <c r="AU16" s="484">
        <v>7783</v>
      </c>
      <c r="AV16" s="459"/>
      <c r="AW16" s="1445">
        <f>AW18-AW17</f>
        <v>8362</v>
      </c>
      <c r="AX16" s="1444"/>
      <c r="AY16" s="1445">
        <f>AY18-AY17</f>
        <v>8971</v>
      </c>
      <c r="AZ16" s="1444"/>
      <c r="BA16" s="1445">
        <f>BA18-BA17</f>
        <v>9486</v>
      </c>
      <c r="BB16" s="482"/>
      <c r="BC16" s="1445">
        <f>BC18-BC17</f>
        <v>10090</v>
      </c>
      <c r="BD16" s="484"/>
      <c r="BE16" s="1445">
        <f t="shared" ref="BE16" si="0">BE18-BE17</f>
        <v>10387</v>
      </c>
      <c r="BF16" s="459"/>
      <c r="BG16" s="2130">
        <v>8767</v>
      </c>
      <c r="BH16" s="1444"/>
      <c r="BI16" s="1444">
        <f>BG16+flow!BH22-(BI20-BG20)</f>
        <v>9493.1599701103187</v>
      </c>
      <c r="BJ16" s="1444"/>
      <c r="BK16" s="1444">
        <f>BI16+flow!BJ22-(BK20-BI20)</f>
        <v>10146.519756615189</v>
      </c>
      <c r="BL16" s="1444"/>
      <c r="BM16" s="1444">
        <f>BK16+flow!BL22-(BM20-BK20)</f>
        <v>10799.80561846801</v>
      </c>
      <c r="BN16" s="1444"/>
      <c r="BO16" s="1444">
        <f>BM16+flow!BN22-(BO20-BM20)</f>
        <v>11452.569089011135</v>
      </c>
      <c r="BP16" s="1444"/>
      <c r="BQ16" s="1843">
        <f>BO16+flow!BP22-(BQ20-BO20)</f>
        <v>12105.599824668165</v>
      </c>
      <c r="BR16" s="482"/>
      <c r="BS16" s="482"/>
      <c r="BT16" s="459"/>
    </row>
    <row r="17" spans="1:82">
      <c r="A17" s="474"/>
      <c r="B17" s="459" t="s">
        <v>105</v>
      </c>
      <c r="C17" s="459"/>
      <c r="D17" s="459"/>
      <c r="E17" s="477" t="s">
        <v>590</v>
      </c>
      <c r="F17" s="459"/>
      <c r="G17" s="477"/>
      <c r="H17" s="459"/>
      <c r="I17" s="477">
        <v>-245.26499999999999</v>
      </c>
      <c r="J17" s="459"/>
      <c r="K17" s="477">
        <v>-350.05799999999999</v>
      </c>
      <c r="L17" s="459"/>
      <c r="M17" s="477">
        <v>-466.11700000000002</v>
      </c>
      <c r="N17" s="459"/>
      <c r="O17" s="477">
        <v>-604.83000000000004</v>
      </c>
      <c r="P17" s="459"/>
      <c r="Q17" s="477">
        <v>-762.89300000000003</v>
      </c>
      <c r="R17" s="459"/>
      <c r="S17" s="477">
        <v>-938.71299999999997</v>
      </c>
      <c r="T17" s="459"/>
      <c r="U17" s="477">
        <v>-1171.9570000000001</v>
      </c>
      <c r="V17" s="459"/>
      <c r="W17" s="477">
        <v>-1487.973</v>
      </c>
      <c r="X17" s="459"/>
      <c r="Y17" s="477">
        <v>-1893.5519999999999</v>
      </c>
      <c r="Z17" s="459"/>
      <c r="AA17" s="477">
        <v>-2458.241</v>
      </c>
      <c r="AB17" s="459"/>
      <c r="AC17" s="477">
        <v>-3049</v>
      </c>
      <c r="AD17" s="459"/>
      <c r="AE17" s="477">
        <v>-3789</v>
      </c>
      <c r="AF17" s="459"/>
      <c r="AG17" s="477">
        <v>-3793</v>
      </c>
      <c r="AH17" s="459"/>
      <c r="AI17" s="477">
        <v>-3712</v>
      </c>
      <c r="AJ17" s="459"/>
      <c r="AK17" s="477">
        <v>-3938</v>
      </c>
      <c r="AL17" s="459"/>
      <c r="AM17" s="477">
        <v>-4053</v>
      </c>
      <c r="AN17" s="459"/>
      <c r="AO17" s="477">
        <v>-4312</v>
      </c>
      <c r="AP17" s="459"/>
      <c r="AQ17" s="477">
        <v>-4799</v>
      </c>
      <c r="AR17" s="459"/>
      <c r="AS17" s="477">
        <v>-5010</v>
      </c>
      <c r="AT17" s="459"/>
      <c r="AU17" s="477">
        <v>-5260</v>
      </c>
      <c r="AV17" s="459"/>
      <c r="AW17" s="1445">
        <f>AU17-flow!AV11</f>
        <v>-5743</v>
      </c>
      <c r="AX17" s="1444"/>
      <c r="AY17" s="1445">
        <f>+AW17-flow!AX11</f>
        <v>-6213</v>
      </c>
      <c r="AZ17" s="1444"/>
      <c r="BA17" s="1445">
        <f>+AY17-flow!AZ11</f>
        <v>-6713</v>
      </c>
      <c r="BB17" s="479"/>
      <c r="BC17" s="1444">
        <f>+BA17-flow!BB11</f>
        <v>-7240</v>
      </c>
      <c r="BD17" s="469"/>
      <c r="BE17" s="1444">
        <f>+BC17-flow!BD11</f>
        <v>-7771</v>
      </c>
      <c r="BF17" s="459"/>
      <c r="BG17" s="1843">
        <f>BG18-BG16</f>
        <v>-5962.17</v>
      </c>
      <c r="BH17" s="1444"/>
      <c r="BI17" s="1444">
        <f>+BG17-flow!BH11</f>
        <v>-6512.17</v>
      </c>
      <c r="BJ17" s="1444"/>
      <c r="BK17" s="1444">
        <f>+BI17-flow!BJ11</f>
        <v>-7077.17</v>
      </c>
      <c r="BL17" s="1444"/>
      <c r="BM17" s="1444">
        <f>+BK17-flow!BL11</f>
        <v>-7657.17</v>
      </c>
      <c r="BN17" s="1444"/>
      <c r="BO17" s="1444">
        <f>+BM17-flow!BN11</f>
        <v>-8252.17</v>
      </c>
      <c r="BP17" s="1444"/>
      <c r="BQ17" s="1843">
        <f>+BO17-flow!BP11</f>
        <v>-8862.17</v>
      </c>
      <c r="BR17" s="479"/>
      <c r="BS17" s="479"/>
      <c r="BT17" s="459"/>
    </row>
    <row r="18" spans="1:82">
      <c r="A18" s="474"/>
      <c r="B18" s="459" t="s">
        <v>136</v>
      </c>
      <c r="C18" s="459"/>
      <c r="D18" s="459"/>
      <c r="E18" s="477"/>
      <c r="F18" s="459"/>
      <c r="G18" s="477"/>
      <c r="H18" s="459"/>
      <c r="I18" s="477"/>
      <c r="J18" s="459"/>
      <c r="K18" s="477"/>
      <c r="L18" s="459"/>
      <c r="M18" s="477"/>
      <c r="N18" s="459"/>
      <c r="O18" s="477">
        <f>+O16+O17</f>
        <v>957.75200000000007</v>
      </c>
      <c r="P18" s="459"/>
      <c r="Q18" s="477">
        <f>+Q16+Q17</f>
        <v>1135.72</v>
      </c>
      <c r="R18" s="459"/>
      <c r="S18" s="477">
        <f>+S16+S17</f>
        <v>1365.2459999999999</v>
      </c>
      <c r="T18" s="459"/>
      <c r="U18" s="477">
        <f>+U16+U17</f>
        <v>1876.3700000000001</v>
      </c>
      <c r="V18" s="459"/>
      <c r="W18" s="477">
        <f>+W16+W17</f>
        <v>2715.3149999999996</v>
      </c>
      <c r="X18" s="459"/>
      <c r="Y18" s="477">
        <f>+Y16+Y17</f>
        <v>4007.6850000000004</v>
      </c>
      <c r="Z18" s="459"/>
      <c r="AA18" s="477">
        <f>+AA16+AA17</f>
        <v>4161.29</v>
      </c>
      <c r="AB18" s="459"/>
      <c r="AC18" s="477">
        <f>+AC16+AC17</f>
        <v>3777</v>
      </c>
      <c r="AD18" s="459"/>
      <c r="AE18" s="477">
        <f>+AE16+AE17</f>
        <v>3626</v>
      </c>
      <c r="AF18" s="459"/>
      <c r="AG18" s="477">
        <f>+AG16+AG17</f>
        <v>3376</v>
      </c>
      <c r="AH18" s="459"/>
      <c r="AI18" s="477">
        <v>3246</v>
      </c>
      <c r="AJ18" s="459"/>
      <c r="AK18" s="477">
        <v>3197</v>
      </c>
      <c r="AL18" s="459"/>
      <c r="AM18" s="477">
        <v>3267</v>
      </c>
      <c r="AN18" s="459"/>
      <c r="AO18" s="477">
        <v>2933</v>
      </c>
      <c r="AP18" s="459"/>
      <c r="AQ18" s="477">
        <f>+AQ16+AQ17</f>
        <v>2628</v>
      </c>
      <c r="AR18" s="459"/>
      <c r="AS18" s="477">
        <f>+AS16+AS17</f>
        <v>2563</v>
      </c>
      <c r="AT18" s="459"/>
      <c r="AU18" s="477">
        <f>+AU16+AU17</f>
        <v>2523</v>
      </c>
      <c r="AV18" s="459"/>
      <c r="AW18" s="1445">
        <v>2619</v>
      </c>
      <c r="AX18" s="1444"/>
      <c r="AY18" s="1445">
        <v>2758</v>
      </c>
      <c r="AZ18" s="1444"/>
      <c r="BA18" s="1445">
        <v>2773</v>
      </c>
      <c r="BB18" s="477"/>
      <c r="BC18" s="1445">
        <v>2850</v>
      </c>
      <c r="BD18" s="469"/>
      <c r="BE18" s="1445">
        <v>2616</v>
      </c>
      <c r="BF18" s="459"/>
      <c r="BG18" s="1445">
        <v>2804.83</v>
      </c>
      <c r="BH18" s="1444"/>
      <c r="BI18" s="1445">
        <f>+BI16+BI17</f>
        <v>2980.9899701103186</v>
      </c>
      <c r="BJ18" s="1444"/>
      <c r="BK18" s="1445">
        <f>+BK16+BK17</f>
        <v>3069.3497566151891</v>
      </c>
      <c r="BL18" s="1444"/>
      <c r="BM18" s="1445">
        <f>+BM16+BM17</f>
        <v>3142.6356184680099</v>
      </c>
      <c r="BN18" s="1444"/>
      <c r="BO18" s="1445">
        <f>+BO16+BO17</f>
        <v>3200.3990890111345</v>
      </c>
      <c r="BP18" s="1444"/>
      <c r="BQ18" s="1844">
        <f>+BQ16+BQ17</f>
        <v>3243.4298246681647</v>
      </c>
      <c r="BR18" s="477"/>
      <c r="BS18" s="477"/>
      <c r="BT18" s="459"/>
      <c r="CD18" s="454">
        <v>7</v>
      </c>
    </row>
    <row r="19" spans="1:82">
      <c r="A19" s="474"/>
      <c r="B19" s="459" t="s">
        <v>104</v>
      </c>
      <c r="C19" s="459"/>
      <c r="D19" s="459"/>
      <c r="E19" s="477"/>
      <c r="F19" s="459"/>
      <c r="G19" s="477">
        <v>0</v>
      </c>
      <c r="H19" s="459"/>
      <c r="I19" s="477">
        <v>0</v>
      </c>
      <c r="J19" s="459"/>
      <c r="K19" s="477">
        <v>0</v>
      </c>
      <c r="L19" s="459"/>
      <c r="M19" s="477">
        <v>32.097000000000001</v>
      </c>
      <c r="N19" s="459"/>
      <c r="O19" s="477">
        <v>30.37</v>
      </c>
      <c r="P19" s="459"/>
      <c r="Q19" s="477">
        <v>36.137999999999998</v>
      </c>
      <c r="R19" s="459"/>
      <c r="S19" s="477">
        <v>0</v>
      </c>
      <c r="T19" s="459"/>
      <c r="U19" s="477">
        <v>0</v>
      </c>
      <c r="V19" s="459"/>
      <c r="W19" s="477">
        <v>0</v>
      </c>
      <c r="X19" s="459"/>
      <c r="Y19" s="477">
        <v>0</v>
      </c>
      <c r="Z19" s="459"/>
      <c r="AA19" s="477">
        <v>0</v>
      </c>
      <c r="AB19" s="459"/>
      <c r="AC19" s="477">
        <v>0</v>
      </c>
      <c r="AD19" s="459"/>
      <c r="AE19" s="477">
        <v>0</v>
      </c>
      <c r="AF19" s="459"/>
      <c r="AG19" s="477">
        <v>0</v>
      </c>
      <c r="AH19" s="459"/>
      <c r="AI19" s="477">
        <v>0</v>
      </c>
      <c r="AJ19" s="459"/>
      <c r="AK19" s="477">
        <v>0</v>
      </c>
      <c r="AL19" s="459"/>
      <c r="AM19" s="477">
        <v>0</v>
      </c>
      <c r="AN19" s="459"/>
      <c r="AO19" s="477">
        <v>0</v>
      </c>
      <c r="AP19" s="459"/>
      <c r="AQ19" s="477">
        <v>0</v>
      </c>
      <c r="AR19" s="459"/>
      <c r="AS19" s="477">
        <v>0</v>
      </c>
      <c r="AT19" s="459"/>
      <c r="AU19" s="477">
        <v>0</v>
      </c>
      <c r="AV19" s="459"/>
      <c r="AW19" s="1445">
        <v>0</v>
      </c>
      <c r="AX19" s="1444"/>
      <c r="AY19" s="1445">
        <v>0</v>
      </c>
      <c r="AZ19" s="1444"/>
      <c r="BA19" s="1445">
        <v>0</v>
      </c>
      <c r="BB19" s="477"/>
      <c r="BC19" s="1445">
        <v>0</v>
      </c>
      <c r="BD19" s="469"/>
      <c r="BE19" s="1445">
        <v>0</v>
      </c>
      <c r="BF19" s="459"/>
      <c r="BG19" s="1445">
        <v>0</v>
      </c>
      <c r="BH19" s="1444"/>
      <c r="BI19" s="1445">
        <v>0</v>
      </c>
      <c r="BJ19" s="1444"/>
      <c r="BK19" s="1445">
        <v>0</v>
      </c>
      <c r="BL19" s="1444"/>
      <c r="BM19" s="1445">
        <v>0</v>
      </c>
      <c r="BN19" s="1444"/>
      <c r="BO19" s="1445">
        <v>0</v>
      </c>
      <c r="BP19" s="1444"/>
      <c r="BQ19" s="1844">
        <v>0</v>
      </c>
      <c r="BR19" s="477"/>
      <c r="BS19" s="477"/>
      <c r="BT19" s="459"/>
    </row>
    <row r="20" spans="1:82">
      <c r="A20" s="474"/>
      <c r="B20" s="459" t="s">
        <v>269</v>
      </c>
      <c r="C20" s="459"/>
      <c r="D20" s="459"/>
      <c r="E20" s="477" t="s">
        <v>590</v>
      </c>
      <c r="F20" s="459"/>
      <c r="G20" s="477">
        <v>33.826000000000001</v>
      </c>
      <c r="H20" s="459"/>
      <c r="I20" s="477">
        <v>38.103000000000002</v>
      </c>
      <c r="J20" s="459"/>
      <c r="K20" s="477">
        <v>66.257000000000005</v>
      </c>
      <c r="L20" s="459"/>
      <c r="M20" s="477">
        <v>87.683000000000007</v>
      </c>
      <c r="N20" s="459"/>
      <c r="O20" s="477">
        <v>74.900999999999996</v>
      </c>
      <c r="P20" s="459"/>
      <c r="Q20" s="477">
        <v>125.81399999999999</v>
      </c>
      <c r="R20" s="459"/>
      <c r="S20" s="477">
        <v>141.309</v>
      </c>
      <c r="T20" s="478"/>
      <c r="U20" s="477">
        <v>215.72499999999999</v>
      </c>
      <c r="V20" s="459"/>
      <c r="W20" s="477">
        <v>275.65100000000001</v>
      </c>
      <c r="X20" s="459"/>
      <c r="Y20" s="477">
        <v>357.173</v>
      </c>
      <c r="Z20" s="459"/>
      <c r="AA20" s="477">
        <v>385.48599999999999</v>
      </c>
      <c r="AB20" s="459"/>
      <c r="AC20" s="477">
        <v>385</v>
      </c>
      <c r="AD20" s="459"/>
      <c r="AE20" s="477">
        <v>384</v>
      </c>
      <c r="AF20" s="459"/>
      <c r="AG20" s="477">
        <v>368</v>
      </c>
      <c r="AH20" s="459"/>
      <c r="AI20" s="477">
        <v>336</v>
      </c>
      <c r="AJ20" s="459"/>
      <c r="AK20" s="477">
        <v>318</v>
      </c>
      <c r="AL20" s="459"/>
      <c r="AM20" s="477">
        <v>485</v>
      </c>
      <c r="AN20" s="459"/>
      <c r="AO20" s="477">
        <v>626</v>
      </c>
      <c r="AP20" s="459"/>
      <c r="AQ20" s="477">
        <v>693</v>
      </c>
      <c r="AR20" s="459"/>
      <c r="AS20" s="477">
        <v>576</v>
      </c>
      <c r="AT20" s="459"/>
      <c r="AU20" s="477">
        <v>590</v>
      </c>
      <c r="AV20" s="459"/>
      <c r="AW20" s="1445">
        <v>719</v>
      </c>
      <c r="AX20" s="1444"/>
      <c r="AY20" s="1445">
        <v>661</v>
      </c>
      <c r="AZ20" s="1444"/>
      <c r="BA20" s="1445">
        <v>600</v>
      </c>
      <c r="BB20" s="479"/>
      <c r="BC20" s="1445">
        <v>638</v>
      </c>
      <c r="BD20" s="469"/>
      <c r="BE20" s="1446">
        <v>679</v>
      </c>
      <c r="BF20" s="459"/>
      <c r="BG20" s="1446">
        <v>616</v>
      </c>
      <c r="BH20" s="1444"/>
      <c r="BI20" s="1444">
        <f>+BI74*BI66</f>
        <v>689.84002988968098</v>
      </c>
      <c r="BJ20" s="1444"/>
      <c r="BK20" s="1444">
        <f>+BK74*BK66</f>
        <v>686.4802433848098</v>
      </c>
      <c r="BL20" s="1444"/>
      <c r="BM20" s="1444">
        <f>+BM74*BM66</f>
        <v>683.19438153198928</v>
      </c>
      <c r="BN20" s="1444"/>
      <c r="BO20" s="1444">
        <f>+BO74*BO66</f>
        <v>680.43091098886532</v>
      </c>
      <c r="BP20" s="1444"/>
      <c r="BQ20" s="1843">
        <f>+BQ74*BQ66</f>
        <v>677.40017533183516</v>
      </c>
      <c r="BR20" s="479"/>
      <c r="BS20" s="479"/>
      <c r="BT20" s="459"/>
    </row>
    <row r="21" spans="1:82" ht="6" customHeight="1">
      <c r="A21" s="474"/>
      <c r="B21" s="459"/>
      <c r="C21" s="459"/>
      <c r="D21" s="459"/>
      <c r="E21" s="480"/>
      <c r="F21" s="459"/>
      <c r="G21" s="480"/>
      <c r="H21" s="459"/>
      <c r="I21" s="480"/>
      <c r="J21" s="459"/>
      <c r="K21" s="480"/>
      <c r="L21" s="459"/>
      <c r="M21" s="480"/>
      <c r="N21" s="459"/>
      <c r="O21" s="480"/>
      <c r="P21" s="459"/>
      <c r="Q21" s="480"/>
      <c r="R21" s="459"/>
      <c r="S21" s="485"/>
      <c r="T21" s="478"/>
      <c r="U21" s="485"/>
      <c r="V21" s="459"/>
      <c r="W21" s="485"/>
      <c r="X21" s="459"/>
      <c r="Y21" s="485"/>
      <c r="Z21" s="459"/>
      <c r="AA21" s="485"/>
      <c r="AB21" s="459"/>
      <c r="AC21" s="477"/>
      <c r="AD21" s="459"/>
      <c r="AE21" s="477"/>
      <c r="AF21" s="459"/>
      <c r="AG21" s="477"/>
      <c r="AH21" s="459"/>
      <c r="AI21" s="477"/>
      <c r="AJ21" s="459"/>
      <c r="AK21" s="477"/>
      <c r="AL21" s="459"/>
      <c r="AM21" s="477"/>
      <c r="AN21" s="459"/>
      <c r="AO21" s="477"/>
      <c r="AP21" s="459"/>
      <c r="AQ21" s="477"/>
      <c r="AR21" s="459"/>
      <c r="AS21" s="477"/>
      <c r="AT21" s="459"/>
      <c r="AU21" s="477"/>
      <c r="AV21" s="459"/>
      <c r="AW21" s="1445"/>
      <c r="AX21" s="1444"/>
      <c r="AY21" s="1445"/>
      <c r="AZ21" s="1444"/>
      <c r="BA21" s="1445"/>
      <c r="BB21" s="477"/>
      <c r="BC21" s="1445"/>
      <c r="BD21" s="469"/>
      <c r="BE21" s="1445"/>
      <c r="BF21" s="459"/>
      <c r="BG21" s="1445"/>
      <c r="BH21" s="1444"/>
      <c r="BI21" s="1445"/>
      <c r="BJ21" s="1444"/>
      <c r="BK21" s="1445"/>
      <c r="BL21" s="1444"/>
      <c r="BM21" s="1445"/>
      <c r="BN21" s="1444"/>
      <c r="BO21" s="1445"/>
      <c r="BP21" s="1444"/>
      <c r="BQ21" s="1844"/>
      <c r="BR21" s="477"/>
      <c r="BS21" s="477"/>
      <c r="BT21" s="459"/>
    </row>
    <row r="22" spans="1:82">
      <c r="A22" s="459" t="s">
        <v>509</v>
      </c>
      <c r="B22" s="459"/>
      <c r="C22" s="459"/>
      <c r="D22" s="459"/>
      <c r="E22" s="486" t="e">
        <f>E14+E16+E19+E20</f>
        <v>#VALUE!</v>
      </c>
      <c r="F22" s="482"/>
      <c r="G22" s="486">
        <f>SUM(G14:G20)</f>
        <v>1147.4140000000002</v>
      </c>
      <c r="H22" s="482"/>
      <c r="I22" s="486">
        <f>SUM(I14:I20)</f>
        <v>1379.248</v>
      </c>
      <c r="J22" s="482"/>
      <c r="K22" s="486">
        <f>SUM(K14:K20)</f>
        <v>1763.1170000000002</v>
      </c>
      <c r="L22" s="482"/>
      <c r="M22" s="486">
        <f>SUM(M14:M20)</f>
        <v>2004.2440000000001</v>
      </c>
      <c r="N22" s="482"/>
      <c r="O22" s="486">
        <f>O14+SUM(O18:O20)</f>
        <v>2343.0680000000002</v>
      </c>
      <c r="P22" s="482"/>
      <c r="Q22" s="486">
        <f>Q14+SUM(Q18:Q20)</f>
        <v>2626.9270000000001</v>
      </c>
      <c r="R22" s="482"/>
      <c r="S22" s="486">
        <f>S14+SUM(S18:S20)</f>
        <v>3337.5019999999995</v>
      </c>
      <c r="T22" s="482"/>
      <c r="U22" s="486">
        <f>U14+SUM(U18:U20)</f>
        <v>3963.9190000000003</v>
      </c>
      <c r="V22" s="482"/>
      <c r="W22" s="486">
        <f>W14+SUM(W18:W20)</f>
        <v>5188.7559999999994</v>
      </c>
      <c r="X22" s="482"/>
      <c r="Y22" s="486">
        <f>Y14+SUM(Y18:Y20)</f>
        <v>7012.9079999999985</v>
      </c>
      <c r="Z22" s="482"/>
      <c r="AA22" s="486">
        <f>AA14+SUM(AA18:AA20)</f>
        <v>7682.8229999999985</v>
      </c>
      <c r="AB22" s="482"/>
      <c r="AC22" s="486">
        <f>AC14+SUM(AC18:AC20)</f>
        <v>9901.9999999999982</v>
      </c>
      <c r="AD22" s="482"/>
      <c r="AE22" s="486">
        <f>AE14+SUM(AE18:AE20)</f>
        <v>10713</v>
      </c>
      <c r="AF22" s="482"/>
      <c r="AG22" s="486">
        <f>AG14+SUM(AG18:AG20)</f>
        <v>10048.000000000002</v>
      </c>
      <c r="AH22" s="482"/>
      <c r="AI22" s="486">
        <f>AI14+SUM(AI18:AI20)</f>
        <v>8821.0000000000036</v>
      </c>
      <c r="AJ22" s="482"/>
      <c r="AK22" s="486">
        <f>AK14+SUM(AK18:AK20)</f>
        <v>8544.0000000000036</v>
      </c>
      <c r="AL22" s="459"/>
      <c r="AM22" s="486">
        <f>AM14+SUM(AM18:AM20)</f>
        <v>7838.0000000000027</v>
      </c>
      <c r="AN22" s="459"/>
      <c r="AO22" s="486">
        <f>AO14+SUM(AO18:AO20)</f>
        <v>7564.0000000000027</v>
      </c>
      <c r="AP22" s="459"/>
      <c r="AQ22" s="486">
        <f>AQ14+SUM(AQ18:AQ20)</f>
        <v>7985</v>
      </c>
      <c r="AR22" s="459"/>
      <c r="AS22" s="486">
        <f>AS14+SUM(AS18:AS20)</f>
        <v>7065</v>
      </c>
      <c r="AT22" s="459"/>
      <c r="AU22" s="486">
        <f>AU14+SUM(AU18:AU20)</f>
        <v>7422</v>
      </c>
      <c r="AV22" s="459"/>
      <c r="AW22" s="1448">
        <f>AW14+SUM(AW18:AW20)</f>
        <v>7470</v>
      </c>
      <c r="AX22" s="1444"/>
      <c r="AY22" s="1448">
        <f>AY14+SUM(AY18:AY20)</f>
        <v>7849</v>
      </c>
      <c r="AZ22" s="1444"/>
      <c r="BA22" s="1448">
        <f>BA14+SUM(BA18:BA20)</f>
        <v>7690</v>
      </c>
      <c r="BB22" s="487"/>
      <c r="BC22" s="1448">
        <f>BC14+SUM(BC18:BC20)</f>
        <v>7473</v>
      </c>
      <c r="BD22" s="469"/>
      <c r="BE22" s="1448">
        <f>BE14+SUM(BE18:BE20)</f>
        <v>7610.17</v>
      </c>
      <c r="BF22" s="459"/>
      <c r="BG22" s="1448">
        <f>BG14+SUM(BG18:BG20)</f>
        <v>7989</v>
      </c>
      <c r="BH22" s="1444"/>
      <c r="BI22" s="1448">
        <f>BI14+SUM(BI18:BI20)</f>
        <v>8145.1825072423908</v>
      </c>
      <c r="BJ22" s="1444"/>
      <c r="BK22" s="1448">
        <f>BK14+SUM(BK18:BK20)</f>
        <v>8403.4387788754757</v>
      </c>
      <c r="BL22" s="1444"/>
      <c r="BM22" s="1448">
        <f>BM14+SUM(BM18:BM20)</f>
        <v>8571.091487111782</v>
      </c>
      <c r="BN22" s="1444"/>
      <c r="BO22" s="1448">
        <f>BO14+SUM(BO18:BO20)</f>
        <v>8698.198938161222</v>
      </c>
      <c r="BP22" s="1444"/>
      <c r="BQ22" s="1846">
        <f>BQ14+SUM(BQ18:BQ20)</f>
        <v>8782.7824275132189</v>
      </c>
      <c r="BR22" s="487"/>
      <c r="BS22" s="487"/>
      <c r="BT22" s="459"/>
    </row>
    <row r="23" spans="1:82" ht="6" customHeight="1">
      <c r="A23" s="459"/>
      <c r="B23" s="459"/>
      <c r="C23" s="459"/>
      <c r="D23" s="459"/>
      <c r="E23" s="459"/>
      <c r="F23" s="459"/>
      <c r="G23" s="488"/>
      <c r="H23" s="459"/>
      <c r="I23" s="488"/>
      <c r="J23" s="459"/>
      <c r="K23" s="488"/>
      <c r="L23" s="459"/>
      <c r="M23" s="488"/>
      <c r="N23" s="459"/>
      <c r="O23" s="488"/>
      <c r="P23" s="459"/>
      <c r="Q23" s="488"/>
      <c r="R23" s="459"/>
      <c r="S23" s="488"/>
      <c r="T23" s="459"/>
      <c r="U23" s="488"/>
      <c r="V23" s="459"/>
      <c r="W23" s="488"/>
      <c r="X23" s="459"/>
      <c r="Y23" s="488"/>
      <c r="Z23" s="459"/>
      <c r="AA23" s="488"/>
      <c r="AB23" s="459"/>
      <c r="AC23" s="459"/>
      <c r="AD23" s="459"/>
      <c r="AE23" s="459"/>
      <c r="AF23" s="459"/>
      <c r="AG23" s="459"/>
      <c r="AH23" s="459"/>
      <c r="AI23" s="459"/>
      <c r="AJ23" s="459"/>
      <c r="AK23" s="459"/>
      <c r="AL23" s="459"/>
      <c r="AM23" s="459"/>
      <c r="AN23" s="459"/>
      <c r="AO23" s="459"/>
      <c r="AP23" s="459"/>
      <c r="AQ23" s="459"/>
      <c r="AR23" s="459"/>
      <c r="AS23" s="459"/>
      <c r="AT23" s="459"/>
      <c r="AU23" s="459"/>
      <c r="AV23" s="459"/>
      <c r="AW23" s="1444"/>
      <c r="AX23" s="1444"/>
      <c r="AY23" s="1444"/>
      <c r="AZ23" s="1444"/>
      <c r="BA23" s="1444"/>
      <c r="BB23" s="459"/>
      <c r="BC23" s="1444"/>
      <c r="BD23" s="469"/>
      <c r="BE23" s="1444"/>
      <c r="BF23" s="459"/>
      <c r="BG23" s="1444"/>
      <c r="BH23" s="1444"/>
      <c r="BI23" s="1444"/>
      <c r="BJ23" s="1444"/>
      <c r="BK23" s="1444"/>
      <c r="BL23" s="1444"/>
      <c r="BM23" s="1444"/>
      <c r="BN23" s="1444"/>
      <c r="BO23" s="1444"/>
      <c r="BP23" s="1444"/>
      <c r="BQ23" s="1843"/>
      <c r="BR23" s="459"/>
      <c r="BS23" s="459"/>
      <c r="BT23" s="459"/>
    </row>
    <row r="24" spans="1:82">
      <c r="A24" s="489" t="s">
        <v>544</v>
      </c>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79"/>
      <c r="AB24" s="459"/>
      <c r="AC24" s="459"/>
      <c r="AD24" s="459"/>
      <c r="AE24" s="459"/>
      <c r="AF24" s="459"/>
      <c r="AG24" s="459"/>
      <c r="AH24" s="459"/>
      <c r="AI24" s="459"/>
      <c r="AJ24" s="459"/>
      <c r="AK24" s="459"/>
      <c r="AL24" s="459"/>
      <c r="AM24" s="459"/>
      <c r="AN24" s="459"/>
      <c r="AO24" s="459"/>
      <c r="AP24" s="459"/>
      <c r="AQ24" s="459"/>
      <c r="AR24" s="459"/>
      <c r="AS24" s="482"/>
      <c r="AT24" s="459"/>
      <c r="AU24" s="482"/>
      <c r="AV24" s="459"/>
      <c r="AW24" s="1444"/>
      <c r="AX24" s="1444"/>
      <c r="AY24" s="1444"/>
      <c r="AZ24" s="1444"/>
      <c r="BA24" s="1444"/>
      <c r="BB24" s="459"/>
      <c r="BC24" s="1444"/>
      <c r="BD24" s="469"/>
      <c r="BE24" s="1444"/>
      <c r="BF24" s="459"/>
      <c r="BG24" s="1444"/>
      <c r="BH24" s="1444"/>
      <c r="BI24" s="1444"/>
      <c r="BJ24" s="1444"/>
      <c r="BK24" s="1444"/>
      <c r="BL24" s="1444"/>
      <c r="BM24" s="1444"/>
      <c r="BN24" s="1444"/>
      <c r="BO24" s="1444"/>
      <c r="BP24" s="1444"/>
      <c r="BQ24" s="1843"/>
      <c r="BR24" s="459"/>
      <c r="BS24" s="459"/>
      <c r="BT24" s="459"/>
    </row>
    <row r="25" spans="1:82" ht="6" customHeight="1">
      <c r="A25" s="459"/>
      <c r="B25" s="459"/>
      <c r="C25" s="459"/>
      <c r="D25" s="459"/>
      <c r="E25" s="459"/>
      <c r="F25" s="459"/>
      <c r="G25" s="459"/>
      <c r="H25" s="459"/>
      <c r="I25" s="459"/>
      <c r="J25" s="459"/>
      <c r="K25" s="459"/>
      <c r="L25" s="459"/>
      <c r="M25" s="459"/>
      <c r="N25" s="459"/>
      <c r="O25" s="459"/>
      <c r="P25" s="459"/>
      <c r="Q25" s="459"/>
      <c r="R25" s="459"/>
      <c r="S25" s="459"/>
      <c r="T25" s="459"/>
      <c r="U25" s="459"/>
      <c r="V25" s="459"/>
      <c r="W25" s="459"/>
      <c r="X25" s="459"/>
      <c r="Y25" s="459"/>
      <c r="Z25" s="459"/>
      <c r="AA25" s="459"/>
      <c r="AB25" s="459"/>
      <c r="AC25" s="459"/>
      <c r="AD25" s="459"/>
      <c r="AE25" s="459"/>
      <c r="AF25" s="459"/>
      <c r="AG25" s="459"/>
      <c r="AH25" s="459"/>
      <c r="AI25" s="459"/>
      <c r="AJ25" s="459"/>
      <c r="AK25" s="459"/>
      <c r="AL25" s="459"/>
      <c r="AM25" s="459"/>
      <c r="AN25" s="459"/>
      <c r="AO25" s="459"/>
      <c r="AP25" s="459"/>
      <c r="AQ25" s="459"/>
      <c r="AR25" s="459"/>
      <c r="AS25" s="459"/>
      <c r="AT25" s="459"/>
      <c r="AU25" s="459"/>
      <c r="AV25" s="459"/>
      <c r="AW25" s="1444"/>
      <c r="AX25" s="1444"/>
      <c r="AY25" s="1444"/>
      <c r="AZ25" s="1444"/>
      <c r="BA25" s="1444"/>
      <c r="BB25" s="459"/>
      <c r="BC25" s="1444"/>
      <c r="BD25" s="469"/>
      <c r="BE25" s="1444"/>
      <c r="BF25" s="459"/>
      <c r="BG25" s="1444"/>
      <c r="BH25" s="1444"/>
      <c r="BI25" s="1444"/>
      <c r="BJ25" s="1444"/>
      <c r="BK25" s="1444"/>
      <c r="BL25" s="1444"/>
      <c r="BM25" s="1444"/>
      <c r="BN25" s="1444"/>
      <c r="BO25" s="1444"/>
      <c r="BP25" s="1444"/>
      <c r="BQ25" s="1843"/>
      <c r="BR25" s="459"/>
      <c r="BS25" s="459"/>
      <c r="BT25" s="459"/>
    </row>
    <row r="26" spans="1:82">
      <c r="A26" s="459"/>
      <c r="B26" s="471" t="s">
        <v>545</v>
      </c>
      <c r="C26" s="459"/>
      <c r="D26" s="459"/>
      <c r="E26" s="459"/>
      <c r="F26" s="459"/>
      <c r="G26" s="459"/>
      <c r="H26" s="459"/>
      <c r="I26" s="459"/>
      <c r="J26" s="459"/>
      <c r="K26" s="459"/>
      <c r="L26" s="459"/>
      <c r="M26" s="459"/>
      <c r="N26" s="459"/>
      <c r="O26" s="459"/>
      <c r="P26" s="459"/>
      <c r="Q26" s="459"/>
      <c r="R26" s="459"/>
      <c r="S26" s="459"/>
      <c r="T26" s="459"/>
      <c r="U26" s="459"/>
      <c r="V26" s="459"/>
      <c r="W26" s="459"/>
      <c r="X26" s="459"/>
      <c r="Y26" s="459"/>
      <c r="Z26" s="459"/>
      <c r="AA26" s="459"/>
      <c r="AB26" s="459"/>
      <c r="AC26" s="459"/>
      <c r="AD26" s="459"/>
      <c r="AE26" s="459"/>
      <c r="AF26" s="459"/>
      <c r="AG26" s="459"/>
      <c r="AH26" s="459"/>
      <c r="AI26" s="459"/>
      <c r="AJ26" s="459"/>
      <c r="AK26" s="459"/>
      <c r="AL26" s="459"/>
      <c r="AM26" s="459"/>
      <c r="AN26" s="459"/>
      <c r="AO26" s="459"/>
      <c r="AP26" s="459"/>
      <c r="AQ26" s="459"/>
      <c r="AR26" s="459"/>
      <c r="AS26" s="459"/>
      <c r="AT26" s="459"/>
      <c r="AU26" s="459"/>
      <c r="AV26" s="459"/>
      <c r="AW26" s="1444"/>
      <c r="AX26" s="1444"/>
      <c r="AY26" s="1444"/>
      <c r="AZ26" s="1444"/>
      <c r="BA26" s="1444"/>
      <c r="BB26" s="459"/>
      <c r="BC26" s="1444"/>
      <c r="BD26" s="469"/>
      <c r="BE26" s="1444"/>
      <c r="BF26" s="459"/>
      <c r="BG26" s="1444"/>
      <c r="BH26" s="1444"/>
      <c r="BI26" s="1444"/>
      <c r="BJ26" s="1444"/>
      <c r="BK26" s="1444"/>
      <c r="BL26" s="1444"/>
      <c r="BM26" s="1444"/>
      <c r="BN26" s="1444"/>
      <c r="BO26" s="1444"/>
      <c r="BP26" s="1444"/>
      <c r="BQ26" s="1843"/>
      <c r="BR26" s="459"/>
      <c r="BS26" s="459"/>
      <c r="BT26" s="459"/>
    </row>
    <row r="27" spans="1:82">
      <c r="A27" s="459"/>
      <c r="B27" s="459" t="s">
        <v>546</v>
      </c>
      <c r="C27" s="459"/>
      <c r="D27" s="459"/>
      <c r="E27" s="475"/>
      <c r="F27" s="459"/>
      <c r="G27" s="475">
        <v>158.31700000000001</v>
      </c>
      <c r="H27" s="459"/>
      <c r="I27" s="475">
        <v>193.375</v>
      </c>
      <c r="J27" s="459"/>
      <c r="K27" s="475">
        <v>216.66399999999999</v>
      </c>
      <c r="L27" s="459"/>
      <c r="M27" s="475">
        <v>263.72399999999999</v>
      </c>
      <c r="N27" s="459"/>
      <c r="O27" s="475">
        <v>262.505</v>
      </c>
      <c r="P27" s="459"/>
      <c r="Q27" s="475">
        <v>351.75400000000002</v>
      </c>
      <c r="R27" s="459"/>
      <c r="S27" s="475">
        <v>416.976</v>
      </c>
      <c r="T27" s="476"/>
      <c r="U27" s="475">
        <v>684.13</v>
      </c>
      <c r="V27" s="467"/>
      <c r="W27" s="475">
        <v>805.94500000000005</v>
      </c>
      <c r="X27" s="467"/>
      <c r="Y27" s="475">
        <v>1067.2070000000001</v>
      </c>
      <c r="Z27" s="459"/>
      <c r="AA27" s="475">
        <v>1196.614</v>
      </c>
      <c r="AB27" s="459"/>
      <c r="AC27" s="475">
        <v>1159</v>
      </c>
      <c r="AD27" s="459"/>
      <c r="AE27" s="475">
        <v>1178</v>
      </c>
      <c r="AF27" s="459"/>
      <c r="AG27" s="475">
        <v>1240</v>
      </c>
      <c r="AH27" s="459"/>
      <c r="AI27" s="475">
        <v>1132</v>
      </c>
      <c r="AJ27" s="459"/>
      <c r="AK27" s="475">
        <v>1109</v>
      </c>
      <c r="AL27" s="459"/>
      <c r="AM27" s="475">
        <v>1006</v>
      </c>
      <c r="AN27" s="459"/>
      <c r="AO27" s="475">
        <v>975</v>
      </c>
      <c r="AP27" s="475"/>
      <c r="AQ27" s="475">
        <v>1027</v>
      </c>
      <c r="AR27" s="469"/>
      <c r="AS27" s="475">
        <v>1049</v>
      </c>
      <c r="AT27" s="469"/>
      <c r="AU27" s="475">
        <v>1066</v>
      </c>
      <c r="AV27" s="469"/>
      <c r="AW27" s="1445">
        <v>1144</v>
      </c>
      <c r="AX27" s="1444"/>
      <c r="AY27" s="1445">
        <v>1242</v>
      </c>
      <c r="AZ27" s="1444"/>
      <c r="BA27" s="1445">
        <v>1173</v>
      </c>
      <c r="BB27" s="469"/>
      <c r="BC27" s="1445">
        <v>1112</v>
      </c>
      <c r="BD27" s="469"/>
      <c r="BE27" s="1446">
        <v>1243</v>
      </c>
      <c r="BF27" s="459"/>
      <c r="BG27" s="1446">
        <v>1181</v>
      </c>
      <c r="BH27" s="1444"/>
      <c r="BI27" s="1444">
        <f>+BI75*BI12</f>
        <v>1142.926520728872</v>
      </c>
      <c r="BJ27" s="1444"/>
      <c r="BK27" s="1444">
        <f>+BK75*BK12</f>
        <v>1137.3600285944299</v>
      </c>
      <c r="BL27" s="1444"/>
      <c r="BM27" s="1444">
        <f>+BM75*BM12</f>
        <v>1131.9160147762691</v>
      </c>
      <c r="BN27" s="1444"/>
      <c r="BO27" s="1444">
        <f>+BO75*BO12</f>
        <v>1127.3374985462171</v>
      </c>
      <c r="BP27" s="1444"/>
      <c r="BQ27" s="1843">
        <f>+BQ75*BQ12</f>
        <v>1122.3161776462218</v>
      </c>
      <c r="BR27" s="469"/>
      <c r="BS27" s="469"/>
      <c r="BT27" s="459"/>
    </row>
    <row r="28" spans="1:82">
      <c r="A28" s="459"/>
      <c r="B28" s="459" t="s">
        <v>547</v>
      </c>
      <c r="C28" s="459"/>
      <c r="D28" s="459"/>
      <c r="E28" s="490"/>
      <c r="F28" s="459"/>
      <c r="G28" s="490">
        <v>135.333</v>
      </c>
      <c r="H28" s="459"/>
      <c r="I28" s="490">
        <v>128.30099999999999</v>
      </c>
      <c r="J28" s="459"/>
      <c r="K28" s="490">
        <v>163.35</v>
      </c>
      <c r="L28" s="459"/>
      <c r="M28" s="490">
        <v>185.375</v>
      </c>
      <c r="N28" s="459"/>
      <c r="O28" s="490">
        <v>194.42599999999999</v>
      </c>
      <c r="P28" s="459"/>
      <c r="Q28" s="490">
        <v>282.49400000000003</v>
      </c>
      <c r="R28" s="459"/>
      <c r="S28" s="490">
        <v>406.18099999999998</v>
      </c>
      <c r="T28" s="478"/>
      <c r="U28" s="490">
        <v>655.77</v>
      </c>
      <c r="V28" s="467"/>
      <c r="W28" s="490">
        <v>751.71</v>
      </c>
      <c r="X28" s="467"/>
      <c r="Y28" s="490">
        <v>684.20899999999995</v>
      </c>
      <c r="Z28" s="459"/>
      <c r="AA28" s="490">
        <v>792.86900000000003</v>
      </c>
      <c r="AB28" s="459"/>
      <c r="AC28" s="490">
        <v>874</v>
      </c>
      <c r="AD28" s="459"/>
      <c r="AE28" s="490">
        <v>906</v>
      </c>
      <c r="AF28" s="459"/>
      <c r="AG28" s="490">
        <v>924</v>
      </c>
      <c r="AH28" s="459"/>
      <c r="AI28" s="490">
        <v>725</v>
      </c>
      <c r="AJ28" s="459"/>
      <c r="AK28" s="490">
        <v>822</v>
      </c>
      <c r="AL28" s="459"/>
      <c r="AM28" s="490">
        <v>1259</v>
      </c>
      <c r="AN28" s="459"/>
      <c r="AO28" s="490">
        <v>1076</v>
      </c>
      <c r="AP28" s="490"/>
      <c r="AQ28" s="490">
        <v>1063</v>
      </c>
      <c r="AR28" s="481"/>
      <c r="AS28" s="490">
        <v>996</v>
      </c>
      <c r="AT28" s="481"/>
      <c r="AU28" s="490">
        <f>998+59</f>
        <v>1057</v>
      </c>
      <c r="AV28" s="481"/>
      <c r="AW28" s="1450">
        <v>1092</v>
      </c>
      <c r="AX28" s="1453"/>
      <c r="AY28" s="1450">
        <v>1142</v>
      </c>
      <c r="AZ28" s="1453"/>
      <c r="BA28" s="1450">
        <v>1020</v>
      </c>
      <c r="BB28" s="481"/>
      <c r="BC28" s="1450">
        <v>979</v>
      </c>
      <c r="BD28" s="469"/>
      <c r="BE28" s="1449">
        <v>1113</v>
      </c>
      <c r="BF28" s="459"/>
      <c r="BG28" s="1449">
        <v>1270</v>
      </c>
      <c r="BH28" s="1444"/>
      <c r="BI28" s="1453">
        <f>BI76*BI68</f>
        <v>1217.7313890421099</v>
      </c>
      <c r="BJ28" s="1444"/>
      <c r="BK28" s="1453">
        <f>BK76*BK68</f>
        <v>1217.6442659069778</v>
      </c>
      <c r="BL28" s="1444"/>
      <c r="BM28" s="1453">
        <f>BM76*BM68</f>
        <v>1217.1743386903697</v>
      </c>
      <c r="BN28" s="1444"/>
      <c r="BO28" s="1453">
        <f>BO76*BO68</f>
        <v>1217.5876545922983</v>
      </c>
      <c r="BP28" s="1444"/>
      <c r="BQ28" s="1847">
        <f>BQ76*BQ68</f>
        <v>1217.0685854732728</v>
      </c>
      <c r="BR28" s="481"/>
      <c r="BS28" s="481"/>
      <c r="BT28" s="459"/>
    </row>
    <row r="29" spans="1:82">
      <c r="A29" s="459"/>
      <c r="B29" s="459" t="s">
        <v>99</v>
      </c>
      <c r="C29" s="459"/>
      <c r="D29" s="459"/>
      <c r="E29" s="490"/>
      <c r="F29" s="459"/>
      <c r="G29" s="490">
        <v>0</v>
      </c>
      <c r="H29" s="459"/>
      <c r="I29" s="490">
        <v>0</v>
      </c>
      <c r="J29" s="459"/>
      <c r="K29" s="490">
        <v>7.6029999999999998</v>
      </c>
      <c r="L29" s="459"/>
      <c r="M29" s="490">
        <v>2.4780000000000002</v>
      </c>
      <c r="N29" s="459"/>
      <c r="O29" s="490">
        <v>21.815000000000001</v>
      </c>
      <c r="P29" s="459"/>
      <c r="Q29" s="490">
        <v>40.049999999999997</v>
      </c>
      <c r="R29" s="459"/>
      <c r="S29" s="490">
        <v>84.793999999999997</v>
      </c>
      <c r="T29" s="478"/>
      <c r="U29" s="490">
        <v>90.69</v>
      </c>
      <c r="V29" s="459"/>
      <c r="W29" s="490">
        <v>168.96100000000001</v>
      </c>
      <c r="X29" s="459"/>
      <c r="Y29" s="490">
        <v>779.904</v>
      </c>
      <c r="Z29" s="459"/>
      <c r="AA29" s="490">
        <v>41.889000000000003</v>
      </c>
      <c r="AB29" s="459"/>
      <c r="AC29" s="490">
        <v>0</v>
      </c>
      <c r="AD29" s="459"/>
      <c r="AE29" s="490">
        <v>0</v>
      </c>
      <c r="AF29" s="459"/>
      <c r="AG29" s="490">
        <v>0</v>
      </c>
      <c r="AH29" s="459"/>
      <c r="AI29" s="490">
        <v>0</v>
      </c>
      <c r="AJ29" s="459"/>
      <c r="AK29" s="490">
        <v>0</v>
      </c>
      <c r="AL29" s="459"/>
      <c r="AM29" s="490">
        <v>0</v>
      </c>
      <c r="AN29" s="459"/>
      <c r="AO29" s="490">
        <v>0</v>
      </c>
      <c r="AP29" s="490"/>
      <c r="AQ29" s="490">
        <v>0</v>
      </c>
      <c r="AR29" s="490"/>
      <c r="AS29" s="490">
        <v>0</v>
      </c>
      <c r="AT29" s="490"/>
      <c r="AU29" s="490">
        <v>0</v>
      </c>
      <c r="AV29" s="490"/>
      <c r="AW29" s="1450">
        <v>0</v>
      </c>
      <c r="AX29" s="1450"/>
      <c r="AY29" s="1450">
        <v>0</v>
      </c>
      <c r="AZ29" s="1450"/>
      <c r="BA29" s="1450">
        <v>0</v>
      </c>
      <c r="BB29" s="490"/>
      <c r="BC29" s="1450">
        <v>0</v>
      </c>
      <c r="BD29" s="469"/>
      <c r="BE29" s="1450">
        <v>0</v>
      </c>
      <c r="BF29" s="459"/>
      <c r="BG29" s="1450">
        <v>0</v>
      </c>
      <c r="BH29" s="1444"/>
      <c r="BI29" s="1450">
        <v>0</v>
      </c>
      <c r="BJ29" s="1444"/>
      <c r="BK29" s="1450">
        <v>0</v>
      </c>
      <c r="BL29" s="1444"/>
      <c r="BM29" s="1450">
        <v>0</v>
      </c>
      <c r="BN29" s="1444"/>
      <c r="BO29" s="1450">
        <v>0</v>
      </c>
      <c r="BP29" s="1444"/>
      <c r="BQ29" s="1848">
        <v>0</v>
      </c>
      <c r="BR29" s="490"/>
      <c r="BS29" s="490"/>
      <c r="BT29" s="459"/>
    </row>
    <row r="30" spans="1:82">
      <c r="A30" s="459"/>
      <c r="B30" s="459" t="s">
        <v>548</v>
      </c>
      <c r="C30" s="459"/>
      <c r="D30" s="459"/>
      <c r="E30" s="490"/>
      <c r="F30" s="459"/>
      <c r="G30" s="490">
        <v>32.103999999999999</v>
      </c>
      <c r="H30" s="459"/>
      <c r="I30" s="490">
        <v>10.624000000000001</v>
      </c>
      <c r="J30" s="459"/>
      <c r="K30" s="490">
        <v>70.430999999999997</v>
      </c>
      <c r="L30" s="459"/>
      <c r="M30" s="490">
        <v>41.155999999999999</v>
      </c>
      <c r="N30" s="459"/>
      <c r="O30" s="490">
        <v>66.093999999999994</v>
      </c>
      <c r="P30" s="459"/>
      <c r="Q30" s="490">
        <v>91.805999999999997</v>
      </c>
      <c r="R30" s="459"/>
      <c r="S30" s="490">
        <v>83.596999999999994</v>
      </c>
      <c r="T30" s="478"/>
      <c r="U30" s="490">
        <v>122.51300000000001</v>
      </c>
      <c r="V30" s="459"/>
      <c r="W30" s="490">
        <v>26.263000000000002</v>
      </c>
      <c r="X30" s="459"/>
      <c r="Y30" s="490">
        <v>17.824000000000002</v>
      </c>
      <c r="Z30" s="459"/>
      <c r="AA30" s="490">
        <v>82.108000000000004</v>
      </c>
      <c r="AB30" s="459"/>
      <c r="AC30" s="490">
        <v>193</v>
      </c>
      <c r="AD30" s="459"/>
      <c r="AE30" s="490">
        <v>180</v>
      </c>
      <c r="AF30" s="459"/>
      <c r="AG30" s="490">
        <v>78</v>
      </c>
      <c r="AH30" s="459"/>
      <c r="AI30" s="490">
        <v>85</v>
      </c>
      <c r="AJ30" s="459"/>
      <c r="AK30" s="490">
        <v>16</v>
      </c>
      <c r="AL30" s="459"/>
      <c r="AM30" s="490">
        <v>30</v>
      </c>
      <c r="AN30" s="459"/>
      <c r="AO30" s="490">
        <v>57</v>
      </c>
      <c r="AP30" s="490"/>
      <c r="AQ30" s="490">
        <v>41</v>
      </c>
      <c r="AR30" s="490"/>
      <c r="AS30" s="490">
        <v>50</v>
      </c>
      <c r="AT30" s="490"/>
      <c r="AU30" s="490">
        <v>5</v>
      </c>
      <c r="AV30" s="490"/>
      <c r="AW30" s="1450">
        <v>108</v>
      </c>
      <c r="AX30" s="1450"/>
      <c r="AY30" s="1450">
        <v>36</v>
      </c>
      <c r="AZ30" s="1450"/>
      <c r="BA30" s="1450">
        <v>20</v>
      </c>
      <c r="BB30" s="490"/>
      <c r="BC30" s="1450">
        <v>23</v>
      </c>
      <c r="BD30" s="469"/>
      <c r="BE30" s="1450">
        <v>32</v>
      </c>
      <c r="BF30" s="471"/>
      <c r="BG30" s="1450">
        <v>10</v>
      </c>
      <c r="BH30" s="1454"/>
      <c r="BI30" s="1450">
        <f>BG30</f>
        <v>10</v>
      </c>
      <c r="BJ30" s="1454"/>
      <c r="BK30" s="1450">
        <v>57</v>
      </c>
      <c r="BL30" s="1454"/>
      <c r="BM30" s="1450">
        <v>57</v>
      </c>
      <c r="BN30" s="1454"/>
      <c r="BO30" s="1450">
        <v>57</v>
      </c>
      <c r="BP30" s="1454"/>
      <c r="BQ30" s="1848">
        <v>57</v>
      </c>
      <c r="BR30" s="490"/>
      <c r="BS30" s="490"/>
      <c r="BT30" s="471"/>
    </row>
    <row r="31" spans="1:82">
      <c r="A31" s="459"/>
      <c r="B31" s="459" t="s">
        <v>113</v>
      </c>
      <c r="C31" s="459"/>
      <c r="D31" s="459"/>
      <c r="E31" s="490"/>
      <c r="F31" s="459"/>
      <c r="G31" s="490">
        <v>2.5</v>
      </c>
      <c r="H31" s="459"/>
      <c r="I31" s="490">
        <v>0</v>
      </c>
      <c r="J31" s="459"/>
      <c r="K31" s="490"/>
      <c r="L31" s="459"/>
      <c r="M31" s="490"/>
      <c r="N31" s="459"/>
      <c r="O31" s="490"/>
      <c r="P31" s="459"/>
      <c r="Q31" s="490"/>
      <c r="R31" s="459"/>
      <c r="S31" s="490"/>
      <c r="T31" s="478"/>
      <c r="U31" s="490">
        <v>0</v>
      </c>
      <c r="V31" s="459"/>
      <c r="W31" s="490">
        <v>0</v>
      </c>
      <c r="X31" s="459"/>
      <c r="Y31" s="490">
        <v>250</v>
      </c>
      <c r="Z31" s="459"/>
      <c r="AA31" s="490">
        <v>0</v>
      </c>
      <c r="AB31" s="459"/>
      <c r="AC31" s="490">
        <v>500</v>
      </c>
      <c r="AD31" s="459"/>
      <c r="AE31" s="490">
        <v>283</v>
      </c>
      <c r="AF31" s="459"/>
      <c r="AG31" s="490">
        <v>0</v>
      </c>
      <c r="AH31" s="459"/>
      <c r="AI31" s="490">
        <v>0</v>
      </c>
      <c r="AJ31" s="459"/>
      <c r="AK31" s="490">
        <v>325</v>
      </c>
      <c r="AL31" s="459"/>
      <c r="AM31" s="490">
        <v>138</v>
      </c>
      <c r="AN31" s="459"/>
      <c r="AO31" s="490">
        <v>50</v>
      </c>
      <c r="AP31" s="490"/>
      <c r="AQ31" s="490">
        <v>0</v>
      </c>
      <c r="AR31" s="490"/>
      <c r="AS31" s="490">
        <v>0</v>
      </c>
      <c r="AT31" s="490"/>
      <c r="AU31" s="490">
        <v>0</v>
      </c>
      <c r="AV31" s="490"/>
      <c r="AW31" s="1450">
        <v>0</v>
      </c>
      <c r="AX31" s="1450"/>
      <c r="AY31" s="1450">
        <v>25</v>
      </c>
      <c r="AZ31" s="1450"/>
      <c r="BA31" s="1450">
        <v>21</v>
      </c>
      <c r="BB31" s="490"/>
      <c r="BC31" s="1450">
        <v>421</v>
      </c>
      <c r="BD31" s="469"/>
      <c r="BE31" s="1450">
        <v>65</v>
      </c>
      <c r="BF31" s="459"/>
      <c r="BG31" s="1450">
        <v>0</v>
      </c>
      <c r="BH31" s="1444"/>
      <c r="BI31" s="1450">
        <f>BG31</f>
        <v>0</v>
      </c>
      <c r="BJ31" s="1444"/>
      <c r="BK31" s="1450">
        <f>BI31</f>
        <v>0</v>
      </c>
      <c r="BL31" s="1444"/>
      <c r="BM31" s="1450">
        <f>BK31</f>
        <v>0</v>
      </c>
      <c r="BN31" s="1444"/>
      <c r="BO31" s="1450">
        <f>BM31</f>
        <v>0</v>
      </c>
      <c r="BP31" s="1444"/>
      <c r="BQ31" s="1848">
        <f>BO31</f>
        <v>0</v>
      </c>
      <c r="BR31" s="490"/>
      <c r="BS31" s="490"/>
      <c r="BT31" s="459"/>
    </row>
    <row r="32" spans="1:82">
      <c r="A32" s="459"/>
      <c r="B32" s="459" t="s">
        <v>106</v>
      </c>
      <c r="C32" s="459"/>
      <c r="D32" s="459"/>
      <c r="E32" s="480"/>
      <c r="F32" s="459"/>
      <c r="G32" s="480"/>
      <c r="H32" s="459"/>
      <c r="I32" s="480">
        <v>2.8279999999999998</v>
      </c>
      <c r="J32" s="459"/>
      <c r="K32" s="480">
        <v>4.1959999999999997</v>
      </c>
      <c r="L32" s="459"/>
      <c r="M32" s="480">
        <v>7.1269999999999998</v>
      </c>
      <c r="N32" s="459"/>
      <c r="O32" s="480">
        <v>6.9039999999999999</v>
      </c>
      <c r="P32" s="459"/>
      <c r="Q32" s="480">
        <v>8.7919999999999998</v>
      </c>
      <c r="R32" s="459"/>
      <c r="S32" s="480"/>
      <c r="T32" s="478"/>
      <c r="U32" s="480">
        <v>0</v>
      </c>
      <c r="V32" s="459"/>
      <c r="W32" s="480">
        <v>0</v>
      </c>
      <c r="X32" s="459"/>
      <c r="Y32" s="480">
        <v>0</v>
      </c>
      <c r="Z32" s="459"/>
      <c r="AA32" s="480">
        <v>0</v>
      </c>
      <c r="AB32" s="459"/>
      <c r="AC32" s="480">
        <v>0</v>
      </c>
      <c r="AD32" s="459"/>
      <c r="AE32" s="480">
        <v>0</v>
      </c>
      <c r="AF32" s="459"/>
      <c r="AG32" s="480">
        <v>0</v>
      </c>
      <c r="AH32" s="459"/>
      <c r="AI32" s="480">
        <v>0</v>
      </c>
      <c r="AJ32" s="459"/>
      <c r="AK32" s="480">
        <v>0</v>
      </c>
      <c r="AL32" s="459"/>
      <c r="AM32" s="480">
        <v>0</v>
      </c>
      <c r="AN32" s="459"/>
      <c r="AO32" s="480">
        <v>0</v>
      </c>
      <c r="AP32" s="459"/>
      <c r="AQ32" s="480">
        <v>0</v>
      </c>
      <c r="AR32" s="459"/>
      <c r="AS32" s="480">
        <v>0</v>
      </c>
      <c r="AT32" s="459"/>
      <c r="AU32" s="480">
        <v>0</v>
      </c>
      <c r="AV32" s="459"/>
      <c r="AW32" s="1451">
        <v>0</v>
      </c>
      <c r="AX32" s="1444"/>
      <c r="AY32" s="1451">
        <v>0</v>
      </c>
      <c r="AZ32" s="1444"/>
      <c r="BA32" s="1451">
        <v>0</v>
      </c>
      <c r="BB32" s="490"/>
      <c r="BC32" s="1451">
        <v>0</v>
      </c>
      <c r="BD32" s="469"/>
      <c r="BE32" s="1451">
        <v>0</v>
      </c>
      <c r="BF32" s="459"/>
      <c r="BG32" s="1451">
        <v>0</v>
      </c>
      <c r="BH32" s="1444"/>
      <c r="BI32" s="1451">
        <v>0</v>
      </c>
      <c r="BJ32" s="1444"/>
      <c r="BK32" s="1451">
        <v>0</v>
      </c>
      <c r="BL32" s="1444"/>
      <c r="BM32" s="1451">
        <v>0</v>
      </c>
      <c r="BN32" s="1444"/>
      <c r="BO32" s="1451">
        <v>0</v>
      </c>
      <c r="BP32" s="1444"/>
      <c r="BQ32" s="1849">
        <v>0</v>
      </c>
      <c r="BR32" s="490"/>
      <c r="BS32" s="490"/>
      <c r="BT32" s="459"/>
    </row>
    <row r="33" spans="1:72">
      <c r="A33" s="459"/>
      <c r="B33" s="459"/>
      <c r="C33" s="459" t="s">
        <v>549</v>
      </c>
      <c r="D33" s="459"/>
      <c r="E33" s="482">
        <f>SUM(E27:E30)</f>
        <v>0</v>
      </c>
      <c r="F33" s="459"/>
      <c r="G33" s="482">
        <f>SUM(G27:G30)</f>
        <v>325.75399999999996</v>
      </c>
      <c r="H33" s="459"/>
      <c r="I33" s="482">
        <f>SUM(I27:I32)</f>
        <v>335.12799999999999</v>
      </c>
      <c r="J33" s="459"/>
      <c r="K33" s="482">
        <f>SUM(K27:K32)</f>
        <v>462.24400000000003</v>
      </c>
      <c r="L33" s="459"/>
      <c r="M33" s="482">
        <f>SUM(M27:M32)</f>
        <v>499.86</v>
      </c>
      <c r="N33" s="459"/>
      <c r="O33" s="482">
        <f>SUM(O27:O32)</f>
        <v>551.74399999999991</v>
      </c>
      <c r="P33" s="459"/>
      <c r="Q33" s="482">
        <f>SUM(Q27:Q32)</f>
        <v>774.89600000000007</v>
      </c>
      <c r="R33" s="459"/>
      <c r="S33" s="482">
        <f>SUM(S27:S30)</f>
        <v>991.54799999999989</v>
      </c>
      <c r="T33" s="459"/>
      <c r="U33" s="482">
        <f>SUM(U27:U32)</f>
        <v>1553.1030000000001</v>
      </c>
      <c r="V33" s="459"/>
      <c r="W33" s="482">
        <f>SUM(W27:W32)</f>
        <v>1752.8790000000001</v>
      </c>
      <c r="X33" s="459"/>
      <c r="Y33" s="482">
        <f>SUM(Y27:Y32)</f>
        <v>2799.1440000000002</v>
      </c>
      <c r="Z33" s="459"/>
      <c r="AA33" s="482">
        <f>SUM(AA27:AA32)</f>
        <v>2113.48</v>
      </c>
      <c r="AB33" s="459"/>
      <c r="AC33" s="482">
        <f>SUM(AC27:AC32)</f>
        <v>2726</v>
      </c>
      <c r="AD33" s="459"/>
      <c r="AE33" s="482">
        <f>SUM(AE27:AE32)</f>
        <v>2547</v>
      </c>
      <c r="AF33" s="459"/>
      <c r="AG33" s="469">
        <f>SUM(AG27:AG32)</f>
        <v>2242</v>
      </c>
      <c r="AH33" s="459"/>
      <c r="AI33" s="469">
        <f>SUM(AI27:AI32)</f>
        <v>1942</v>
      </c>
      <c r="AJ33" s="469"/>
      <c r="AK33" s="469">
        <f>SUM(AK27:AK32)</f>
        <v>2272</v>
      </c>
      <c r="AL33" s="469"/>
      <c r="AM33" s="469">
        <f>SUM(AM27:AM32)</f>
        <v>2433</v>
      </c>
      <c r="AN33" s="469"/>
      <c r="AO33" s="469">
        <f>SUM(AO27:AO32)</f>
        <v>2158</v>
      </c>
      <c r="AP33" s="469"/>
      <c r="AQ33" s="469">
        <f>SUM(AQ27:AQ32)</f>
        <v>2131</v>
      </c>
      <c r="AR33" s="469"/>
      <c r="AS33" s="469">
        <f>SUM(AS27:AS32)</f>
        <v>2095</v>
      </c>
      <c r="AT33" s="469"/>
      <c r="AU33" s="469">
        <f>SUM(AU27:AU32)</f>
        <v>2128</v>
      </c>
      <c r="AV33" s="469"/>
      <c r="AW33" s="1444">
        <f>SUM(AW27:AW32)</f>
        <v>2344</v>
      </c>
      <c r="AX33" s="1444"/>
      <c r="AY33" s="1444">
        <f>SUM(AY27:AY32)</f>
        <v>2445</v>
      </c>
      <c r="AZ33" s="1444"/>
      <c r="BA33" s="1444">
        <f>SUM(BA27:BA32)</f>
        <v>2234</v>
      </c>
      <c r="BB33" s="469"/>
      <c r="BC33" s="1444">
        <f>SUM(BC27:BC32)</f>
        <v>2535</v>
      </c>
      <c r="BD33" s="469"/>
      <c r="BE33" s="1444">
        <f>SUM(BE27:BE32)</f>
        <v>2453</v>
      </c>
      <c r="BF33" s="459"/>
      <c r="BG33" s="1444">
        <f>SUM(BG27:BG32)</f>
        <v>2461</v>
      </c>
      <c r="BH33" s="1444"/>
      <c r="BI33" s="1444">
        <f>SUM(BI27:BI32)</f>
        <v>2370.6579097709819</v>
      </c>
      <c r="BJ33" s="1444"/>
      <c r="BK33" s="1444">
        <f>SUM(BK27:BK32)</f>
        <v>2412.0042945014075</v>
      </c>
      <c r="BL33" s="1444"/>
      <c r="BM33" s="1444">
        <f>SUM(BM27:BM32)</f>
        <v>2406.0903534666386</v>
      </c>
      <c r="BN33" s="1444"/>
      <c r="BO33" s="1444">
        <f>SUM(BO27:BO32)</f>
        <v>2401.9251531385153</v>
      </c>
      <c r="BP33" s="1444"/>
      <c r="BQ33" s="1843">
        <f>SUM(BQ27:BQ32)</f>
        <v>2396.3847631194949</v>
      </c>
      <c r="BR33" s="469"/>
      <c r="BS33" s="469"/>
      <c r="BT33" s="459"/>
    </row>
    <row r="34" spans="1:72" ht="6" customHeight="1">
      <c r="A34" s="459"/>
      <c r="B34" s="459"/>
      <c r="C34" s="459"/>
      <c r="D34" s="459"/>
      <c r="E34" s="459"/>
      <c r="F34" s="459"/>
      <c r="G34" s="459"/>
      <c r="H34" s="459"/>
      <c r="I34" s="459"/>
      <c r="J34" s="459"/>
      <c r="K34" s="459"/>
      <c r="L34" s="459"/>
      <c r="M34" s="459"/>
      <c r="N34" s="459"/>
      <c r="O34" s="459"/>
      <c r="P34" s="459"/>
      <c r="Q34" s="459"/>
      <c r="R34" s="459"/>
      <c r="S34" s="459"/>
      <c r="T34" s="459"/>
      <c r="U34" s="459"/>
      <c r="V34" s="459"/>
      <c r="W34" s="459"/>
      <c r="X34" s="459"/>
      <c r="Y34" s="459"/>
      <c r="Z34" s="459"/>
      <c r="AA34" s="459"/>
      <c r="AB34" s="459"/>
      <c r="AC34" s="459"/>
      <c r="AD34" s="459"/>
      <c r="AE34" s="459"/>
      <c r="AF34" s="459"/>
      <c r="AG34" s="467"/>
      <c r="AH34" s="459"/>
      <c r="AI34" s="467"/>
      <c r="AJ34" s="459"/>
      <c r="AK34" s="467"/>
      <c r="AL34" s="459"/>
      <c r="AM34" s="467"/>
      <c r="AN34" s="459"/>
      <c r="AO34" s="467"/>
      <c r="AP34" s="459"/>
      <c r="AQ34" s="467"/>
      <c r="AR34" s="459"/>
      <c r="AS34" s="467"/>
      <c r="AT34" s="459"/>
      <c r="AU34" s="467"/>
      <c r="AV34" s="459"/>
      <c r="AW34" s="1444"/>
      <c r="AX34" s="1444"/>
      <c r="AY34" s="1444"/>
      <c r="AZ34" s="1444"/>
      <c r="BA34" s="1444"/>
      <c r="BB34" s="467"/>
      <c r="BC34" s="1444"/>
      <c r="BD34" s="469"/>
      <c r="BE34" s="1444"/>
      <c r="BF34" s="459"/>
      <c r="BG34" s="1444"/>
      <c r="BH34" s="1444"/>
      <c r="BI34" s="1444"/>
      <c r="BJ34" s="1444"/>
      <c r="BK34" s="1444"/>
      <c r="BL34" s="1444"/>
      <c r="BM34" s="1444"/>
      <c r="BN34" s="1444"/>
      <c r="BO34" s="1444"/>
      <c r="BP34" s="1444"/>
      <c r="BQ34" s="1843"/>
      <c r="BR34" s="467"/>
      <c r="BS34" s="467"/>
      <c r="BT34" s="459"/>
    </row>
    <row r="35" spans="1:72">
      <c r="A35" s="459"/>
      <c r="B35" s="459" t="s">
        <v>558</v>
      </c>
      <c r="C35" s="459"/>
      <c r="D35" s="459"/>
      <c r="E35" s="475"/>
      <c r="F35" s="491"/>
      <c r="G35" s="475">
        <v>77.5</v>
      </c>
      <c r="H35" s="491"/>
      <c r="I35" s="475">
        <v>75</v>
      </c>
      <c r="J35" s="491"/>
      <c r="K35" s="475">
        <v>75</v>
      </c>
      <c r="L35" s="491"/>
      <c r="M35" s="475">
        <v>0</v>
      </c>
      <c r="N35" s="491"/>
      <c r="O35" s="475">
        <v>0</v>
      </c>
      <c r="P35" s="491"/>
      <c r="Q35" s="475">
        <v>0</v>
      </c>
      <c r="R35" s="491"/>
      <c r="S35" s="475">
        <v>496.04399999999998</v>
      </c>
      <c r="T35" s="492"/>
      <c r="U35" s="475">
        <v>496.45499999999998</v>
      </c>
      <c r="V35" s="491"/>
      <c r="W35" s="475">
        <v>784.92499999999995</v>
      </c>
      <c r="X35" s="491"/>
      <c r="Y35" s="475">
        <v>780.24599999999998</v>
      </c>
      <c r="Z35" s="491"/>
      <c r="AA35" s="475">
        <v>1961.3969999999999</v>
      </c>
      <c r="AB35" s="491"/>
      <c r="AC35" s="475">
        <f>1516+1380</f>
        <v>2896</v>
      </c>
      <c r="AD35" s="491"/>
      <c r="AE35" s="475">
        <f>1107+1380</f>
        <v>2487</v>
      </c>
      <c r="AF35" s="491"/>
      <c r="AG35" s="475">
        <f>513+1373</f>
        <v>1886</v>
      </c>
      <c r="AH35" s="491"/>
      <c r="AI35" s="475">
        <f>+AG35-AG31-1373</f>
        <v>513</v>
      </c>
      <c r="AJ35" s="491"/>
      <c r="AK35" s="475">
        <f>+AI35-AK31</f>
        <v>188</v>
      </c>
      <c r="AL35" s="459"/>
      <c r="AM35" s="475">
        <f>+AK35-AM31</f>
        <v>50</v>
      </c>
      <c r="AN35" s="459"/>
      <c r="AO35" s="475">
        <f>+AM35-AO31</f>
        <v>0</v>
      </c>
      <c r="AP35" s="459"/>
      <c r="AQ35" s="475">
        <v>0</v>
      </c>
      <c r="AR35" s="459"/>
      <c r="AS35" s="475">
        <v>0</v>
      </c>
      <c r="AT35" s="459"/>
      <c r="AU35" s="475">
        <v>1606</v>
      </c>
      <c r="AV35" s="459"/>
      <c r="AW35" s="1445">
        <v>1246</v>
      </c>
      <c r="AX35" s="1444"/>
      <c r="AY35" s="1445">
        <v>1369</v>
      </c>
      <c r="AZ35" s="1444"/>
      <c r="BA35" s="1445">
        <v>1332</v>
      </c>
      <c r="BB35" s="475"/>
      <c r="BC35" s="1445">
        <v>1310</v>
      </c>
      <c r="BD35" s="469"/>
      <c r="BE35" s="1445">
        <v>1248</v>
      </c>
      <c r="BF35" s="459"/>
      <c r="BG35" s="1445">
        <v>1249</v>
      </c>
      <c r="BH35" s="1444"/>
      <c r="BI35" s="1445">
        <f>+BG35-BI31</f>
        <v>1249</v>
      </c>
      <c r="BJ35" s="1444"/>
      <c r="BK35" s="1445">
        <f>+BI35-BK31</f>
        <v>1249</v>
      </c>
      <c r="BL35" s="1444"/>
      <c r="BM35" s="1445">
        <f>+BK35-BM31</f>
        <v>1249</v>
      </c>
      <c r="BN35" s="1444"/>
      <c r="BO35" s="1445">
        <f>+BM35-BO31</f>
        <v>1249</v>
      </c>
      <c r="BP35" s="1444"/>
      <c r="BQ35" s="1844">
        <f>+BO35-BQ31</f>
        <v>1249</v>
      </c>
      <c r="BR35" s="475"/>
      <c r="BS35" s="475"/>
      <c r="BT35" s="459"/>
    </row>
    <row r="36" spans="1:72">
      <c r="A36" s="459"/>
      <c r="B36" s="459" t="s">
        <v>100</v>
      </c>
      <c r="C36" s="459"/>
      <c r="D36" s="459"/>
      <c r="E36" s="477"/>
      <c r="F36" s="491"/>
      <c r="G36" s="477">
        <v>61.814999999999998</v>
      </c>
      <c r="H36" s="491"/>
      <c r="I36" s="477">
        <f>63.785+17.496</f>
        <v>81.280999999999992</v>
      </c>
      <c r="J36" s="491"/>
      <c r="K36" s="477">
        <f>88.045+11.353</f>
        <v>99.397999999999996</v>
      </c>
      <c r="L36" s="491"/>
      <c r="M36" s="477">
        <v>129.15199999999999</v>
      </c>
      <c r="N36" s="491"/>
      <c r="O36" s="477">
        <v>150.851</v>
      </c>
      <c r="P36" s="491"/>
      <c r="Q36" s="477">
        <v>197.56100000000001</v>
      </c>
      <c r="R36" s="491"/>
      <c r="S36" s="477">
        <v>265.92399999999998</v>
      </c>
      <c r="T36" s="492"/>
      <c r="U36" s="477">
        <v>340.68200000000002</v>
      </c>
      <c r="V36" s="491"/>
      <c r="W36" s="477">
        <v>417.90699999999998</v>
      </c>
      <c r="X36" s="491"/>
      <c r="Y36" s="477">
        <v>505.279</v>
      </c>
      <c r="Z36" s="491"/>
      <c r="AA36" s="477">
        <v>598.36500000000001</v>
      </c>
      <c r="AB36" s="491"/>
      <c r="AC36" s="477">
        <v>621</v>
      </c>
      <c r="AD36" s="491"/>
      <c r="AE36" s="477">
        <v>1031</v>
      </c>
      <c r="AF36" s="491"/>
      <c r="AG36" s="477">
        <v>984</v>
      </c>
      <c r="AH36" s="491"/>
      <c r="AI36" s="477">
        <v>941</v>
      </c>
      <c r="AJ36" s="491"/>
      <c r="AK36" s="477">
        <v>910</v>
      </c>
      <c r="AL36" s="459"/>
      <c r="AM36" s="477">
        <v>1081</v>
      </c>
      <c r="AN36" s="459"/>
      <c r="AO36" s="477">
        <v>1019</v>
      </c>
      <c r="AP36" s="459"/>
      <c r="AQ36" s="477">
        <v>963</v>
      </c>
      <c r="AR36" s="459"/>
      <c r="AS36" s="477">
        <v>890</v>
      </c>
      <c r="AT36" s="459"/>
      <c r="AU36" s="477">
        <v>933</v>
      </c>
      <c r="AV36" s="459"/>
      <c r="AW36" s="1445">
        <v>986</v>
      </c>
      <c r="AX36" s="1444"/>
      <c r="AY36" s="1445">
        <v>973</v>
      </c>
      <c r="AZ36" s="1444"/>
      <c r="BA36" s="1445">
        <v>1141</v>
      </c>
      <c r="BB36" s="477"/>
      <c r="BC36" s="1445">
        <v>1083</v>
      </c>
      <c r="BD36" s="469"/>
      <c r="BE36" s="1445">
        <v>1005</v>
      </c>
      <c r="BF36" s="459"/>
      <c r="BG36" s="1445">
        <v>1135</v>
      </c>
      <c r="BH36" s="1444"/>
      <c r="BI36" s="1445">
        <f>+flow!BH12+BG36</f>
        <v>1085</v>
      </c>
      <c r="BJ36" s="1444"/>
      <c r="BK36" s="1445">
        <f>+flow!BJ12+BI36</f>
        <v>1035</v>
      </c>
      <c r="BL36" s="1444"/>
      <c r="BM36" s="1445">
        <f>+flow!BL12+BK36</f>
        <v>985</v>
      </c>
      <c r="BN36" s="1444"/>
      <c r="BO36" s="1445">
        <f>+flow!BN12+BM36</f>
        <v>935</v>
      </c>
      <c r="BP36" s="1444"/>
      <c r="BQ36" s="1844">
        <f>+flow!BP12+BO36</f>
        <v>885</v>
      </c>
      <c r="BR36" s="477"/>
      <c r="BS36" s="477"/>
      <c r="BT36" s="459"/>
    </row>
    <row r="37" spans="1:72">
      <c r="A37" s="459"/>
      <c r="B37" s="459" t="s">
        <v>542</v>
      </c>
      <c r="C37" s="459"/>
      <c r="D37" s="459"/>
      <c r="E37" s="480"/>
      <c r="F37" s="491"/>
      <c r="G37" s="480"/>
      <c r="H37" s="491"/>
      <c r="I37" s="480">
        <v>0</v>
      </c>
      <c r="J37" s="491"/>
      <c r="K37" s="480">
        <v>0</v>
      </c>
      <c r="L37" s="491"/>
      <c r="M37" s="480">
        <v>0</v>
      </c>
      <c r="N37" s="491"/>
      <c r="O37" s="480">
        <v>0</v>
      </c>
      <c r="P37" s="491"/>
      <c r="Q37" s="480">
        <v>0</v>
      </c>
      <c r="R37" s="491"/>
      <c r="S37" s="480">
        <v>0</v>
      </c>
      <c r="T37" s="492"/>
      <c r="U37" s="480">
        <v>0</v>
      </c>
      <c r="V37" s="491"/>
      <c r="W37" s="480">
        <v>0</v>
      </c>
      <c r="X37" s="491"/>
      <c r="Y37" s="480">
        <v>0</v>
      </c>
      <c r="Z37" s="491"/>
      <c r="AA37" s="480">
        <v>0</v>
      </c>
      <c r="AB37" s="491"/>
      <c r="AC37" s="480">
        <v>0</v>
      </c>
      <c r="AD37" s="491"/>
      <c r="AE37" s="480">
        <v>0</v>
      </c>
      <c r="AF37" s="491"/>
      <c r="AG37" s="480">
        <v>0</v>
      </c>
      <c r="AH37" s="491"/>
      <c r="AI37" s="480">
        <v>0</v>
      </c>
      <c r="AJ37" s="491"/>
      <c r="AK37" s="480">
        <v>0</v>
      </c>
      <c r="AL37" s="459"/>
      <c r="AM37" s="480">
        <v>0</v>
      </c>
      <c r="AN37" s="459"/>
      <c r="AO37" s="480">
        <v>0</v>
      </c>
      <c r="AP37" s="459"/>
      <c r="AQ37" s="480">
        <v>0</v>
      </c>
      <c r="AR37" s="459"/>
      <c r="AS37" s="480">
        <v>0</v>
      </c>
      <c r="AT37" s="459"/>
      <c r="AU37" s="480">
        <v>0</v>
      </c>
      <c r="AV37" s="459"/>
      <c r="AW37" s="1451">
        <v>0</v>
      </c>
      <c r="AX37" s="1444"/>
      <c r="AY37" s="1451">
        <v>0</v>
      </c>
      <c r="AZ37" s="1444"/>
      <c r="BA37" s="1451">
        <v>0</v>
      </c>
      <c r="BB37" s="490"/>
      <c r="BC37" s="1451">
        <v>0</v>
      </c>
      <c r="BD37" s="469"/>
      <c r="BE37" s="1451">
        <v>0</v>
      </c>
      <c r="BF37" s="459"/>
      <c r="BG37" s="1451">
        <v>0</v>
      </c>
      <c r="BH37" s="1444"/>
      <c r="BI37" s="1451">
        <v>0</v>
      </c>
      <c r="BJ37" s="1444"/>
      <c r="BK37" s="1451">
        <v>0</v>
      </c>
      <c r="BL37" s="1444"/>
      <c r="BM37" s="1451">
        <v>0</v>
      </c>
      <c r="BN37" s="1444"/>
      <c r="BO37" s="1451">
        <v>0</v>
      </c>
      <c r="BP37" s="1444"/>
      <c r="BQ37" s="1849">
        <v>0</v>
      </c>
      <c r="BR37" s="490"/>
      <c r="BS37" s="490"/>
      <c r="BT37" s="459"/>
    </row>
    <row r="38" spans="1:72" hidden="1">
      <c r="A38" s="459"/>
      <c r="B38" s="459" t="s">
        <v>78</v>
      </c>
      <c r="C38" s="459"/>
      <c r="D38" s="459"/>
      <c r="E38" s="480" t="s">
        <v>590</v>
      </c>
      <c r="F38" s="491"/>
      <c r="G38" s="480"/>
      <c r="H38" s="491"/>
      <c r="I38" s="480">
        <v>0</v>
      </c>
      <c r="J38" s="491"/>
      <c r="K38" s="480">
        <v>0</v>
      </c>
      <c r="L38" s="491"/>
      <c r="M38" s="480">
        <v>0</v>
      </c>
      <c r="N38" s="491"/>
      <c r="O38" s="480">
        <v>0</v>
      </c>
      <c r="P38" s="491"/>
      <c r="Q38" s="480">
        <v>0</v>
      </c>
      <c r="R38" s="491"/>
      <c r="S38" s="480">
        <v>0</v>
      </c>
      <c r="T38" s="492"/>
      <c r="U38" s="480">
        <v>0</v>
      </c>
      <c r="V38" s="491"/>
      <c r="W38" s="480">
        <v>0</v>
      </c>
      <c r="X38" s="491"/>
      <c r="Y38" s="480">
        <v>0</v>
      </c>
      <c r="Z38" s="491"/>
      <c r="AA38" s="480">
        <v>0</v>
      </c>
      <c r="AB38" s="491"/>
      <c r="AC38" s="493"/>
      <c r="AD38" s="491"/>
      <c r="AE38" s="493"/>
      <c r="AF38" s="491"/>
      <c r="AG38" s="494"/>
      <c r="AH38" s="491"/>
      <c r="AI38" s="494"/>
      <c r="AJ38" s="491"/>
      <c r="AK38" s="494"/>
      <c r="AL38" s="459"/>
      <c r="AM38" s="494"/>
      <c r="AN38" s="459"/>
      <c r="AO38" s="494"/>
      <c r="AP38" s="459"/>
      <c r="AQ38" s="494"/>
      <c r="AR38" s="459"/>
      <c r="AS38" s="494"/>
      <c r="AT38" s="459"/>
      <c r="AU38" s="494"/>
      <c r="AV38" s="459"/>
      <c r="AW38" s="1451"/>
      <c r="AX38" s="1444"/>
      <c r="AY38" s="1451"/>
      <c r="AZ38" s="1444"/>
      <c r="BA38" s="1451"/>
      <c r="BB38" s="495"/>
      <c r="BC38" s="1451"/>
      <c r="BD38" s="469"/>
      <c r="BE38" s="1451"/>
      <c r="BF38" s="459"/>
      <c r="BG38" s="1451"/>
      <c r="BH38" s="1444"/>
      <c r="BI38" s="1451"/>
      <c r="BJ38" s="1444"/>
      <c r="BK38" s="1451"/>
      <c r="BL38" s="1444"/>
      <c r="BM38" s="1451"/>
      <c r="BN38" s="1444"/>
      <c r="BO38" s="1451"/>
      <c r="BP38" s="1444"/>
      <c r="BQ38" s="1849"/>
      <c r="BR38" s="495"/>
      <c r="BS38" s="495"/>
      <c r="BT38" s="459"/>
    </row>
    <row r="39" spans="1:72">
      <c r="A39" s="459"/>
      <c r="B39" s="459"/>
      <c r="C39" s="459" t="s">
        <v>556</v>
      </c>
      <c r="D39" s="459"/>
      <c r="E39" s="482">
        <f>SUM(E34:E38)</f>
        <v>0</v>
      </c>
      <c r="F39" s="459"/>
      <c r="G39" s="482">
        <f>SUM(G34:G38)</f>
        <v>139.315</v>
      </c>
      <c r="H39" s="459"/>
      <c r="I39" s="482">
        <f>SUM(I34:I38)</f>
        <v>156.28100000000001</v>
      </c>
      <c r="J39" s="459"/>
      <c r="K39" s="482">
        <f>SUM(K34:K38)</f>
        <v>174.398</v>
      </c>
      <c r="L39" s="459"/>
      <c r="M39" s="482">
        <f>SUM(M34:M38)</f>
        <v>129.15199999999999</v>
      </c>
      <c r="N39" s="459"/>
      <c r="O39" s="482">
        <f>SUM(O34:O38)</f>
        <v>150.851</v>
      </c>
      <c r="P39" s="459"/>
      <c r="Q39" s="482">
        <f>SUM(Q34:Q38)</f>
        <v>197.56100000000001</v>
      </c>
      <c r="R39" s="459"/>
      <c r="S39" s="482">
        <f>SUM(S35:S38)</f>
        <v>761.96799999999996</v>
      </c>
      <c r="T39" s="459"/>
      <c r="U39" s="482">
        <f>SUM(U35:U38)</f>
        <v>837.13699999999994</v>
      </c>
      <c r="V39" s="459"/>
      <c r="W39" s="482">
        <f>SUM(W35:W38)</f>
        <v>1202.8319999999999</v>
      </c>
      <c r="X39" s="459"/>
      <c r="Y39" s="482">
        <f>SUM(Y35:Y38)</f>
        <v>1285.5250000000001</v>
      </c>
      <c r="Z39" s="459"/>
      <c r="AA39" s="482">
        <f>SUM(AA35:AA38)</f>
        <v>2559.7619999999997</v>
      </c>
      <c r="AB39" s="459"/>
      <c r="AC39" s="482">
        <f>SUM(AC35:AC38)</f>
        <v>3517</v>
      </c>
      <c r="AD39" s="459"/>
      <c r="AE39" s="482">
        <f>SUM(AE35:AE38)</f>
        <v>3518</v>
      </c>
      <c r="AF39" s="459"/>
      <c r="AG39" s="469">
        <f>SUM(AG35:AG38)</f>
        <v>2870</v>
      </c>
      <c r="AH39" s="459"/>
      <c r="AI39" s="469">
        <f>SUM(AI35:AI38)</f>
        <v>1454</v>
      </c>
      <c r="AJ39" s="469"/>
      <c r="AK39" s="469">
        <f>SUM(AK35:AK38)</f>
        <v>1098</v>
      </c>
      <c r="AL39" s="469"/>
      <c r="AM39" s="469">
        <f>SUM(AM35:AM38)</f>
        <v>1131</v>
      </c>
      <c r="AN39" s="469"/>
      <c r="AO39" s="469">
        <f>SUM(AO35:AO38)</f>
        <v>1019</v>
      </c>
      <c r="AP39" s="469"/>
      <c r="AQ39" s="469">
        <f>SUM(AQ35:AQ38)</f>
        <v>963</v>
      </c>
      <c r="AR39" s="469"/>
      <c r="AS39" s="469">
        <f>SUM(AS35:AS38)</f>
        <v>890</v>
      </c>
      <c r="AT39" s="469"/>
      <c r="AU39" s="469">
        <f>SUM(AU35:AU38)</f>
        <v>2539</v>
      </c>
      <c r="AV39" s="469"/>
      <c r="AW39" s="1444">
        <f>SUM(AW35:AW38)</f>
        <v>2232</v>
      </c>
      <c r="AX39" s="1444"/>
      <c r="AY39" s="1444">
        <f>SUM(AY35:AY38)</f>
        <v>2342</v>
      </c>
      <c r="AZ39" s="1444"/>
      <c r="BA39" s="1444">
        <f>SUM(BA35:BA38)</f>
        <v>2473</v>
      </c>
      <c r="BB39" s="469"/>
      <c r="BC39" s="1444">
        <f>SUM(BC35:BC38)</f>
        <v>2393</v>
      </c>
      <c r="BD39" s="469"/>
      <c r="BE39" s="1444">
        <f>SUM(BE35:BE38)</f>
        <v>2253</v>
      </c>
      <c r="BF39" s="459"/>
      <c r="BG39" s="1444">
        <f>SUM(BG35:BG38)</f>
        <v>2384</v>
      </c>
      <c r="BH39" s="1444"/>
      <c r="BI39" s="1444">
        <f>SUM(BI35:BI38)</f>
        <v>2334</v>
      </c>
      <c r="BJ39" s="1444"/>
      <c r="BK39" s="1444">
        <f>SUM(BK35:BK38)</f>
        <v>2284</v>
      </c>
      <c r="BL39" s="1444"/>
      <c r="BM39" s="1444">
        <f>SUM(BM35:BM38)</f>
        <v>2234</v>
      </c>
      <c r="BN39" s="1444"/>
      <c r="BO39" s="1444">
        <f>SUM(BO35:BO38)</f>
        <v>2184</v>
      </c>
      <c r="BP39" s="1444"/>
      <c r="BQ39" s="1843">
        <f>SUM(BQ35:BQ38)</f>
        <v>2134</v>
      </c>
      <c r="BR39" s="469"/>
      <c r="BS39" s="469"/>
      <c r="BT39" s="459"/>
    </row>
    <row r="40" spans="1:72" ht="6" customHeight="1">
      <c r="A40" s="459"/>
      <c r="B40" s="459"/>
      <c r="C40" s="459"/>
      <c r="D40" s="459"/>
      <c r="E40" s="459"/>
      <c r="F40" s="459"/>
      <c r="G40" s="459"/>
      <c r="H40" s="459"/>
      <c r="I40" s="459"/>
      <c r="J40" s="459"/>
      <c r="K40" s="459"/>
      <c r="L40" s="459"/>
      <c r="M40" s="459"/>
      <c r="N40" s="459"/>
      <c r="O40" s="459"/>
      <c r="P40" s="459"/>
      <c r="Q40" s="459"/>
      <c r="R40" s="459"/>
      <c r="S40" s="459"/>
      <c r="T40" s="459"/>
      <c r="U40" s="459"/>
      <c r="V40" s="459"/>
      <c r="W40" s="459"/>
      <c r="X40" s="459"/>
      <c r="Y40" s="459"/>
      <c r="Z40" s="459"/>
      <c r="AA40" s="459"/>
      <c r="AB40" s="459"/>
      <c r="AC40" s="459"/>
      <c r="AD40" s="459"/>
      <c r="AE40" s="459"/>
      <c r="AF40" s="459"/>
      <c r="AG40" s="467"/>
      <c r="AH40" s="459"/>
      <c r="AI40" s="469"/>
      <c r="AJ40" s="469"/>
      <c r="AK40" s="469"/>
      <c r="AL40" s="469"/>
      <c r="AM40" s="469"/>
      <c r="AN40" s="469"/>
      <c r="AO40" s="469"/>
      <c r="AP40" s="469"/>
      <c r="AQ40" s="469"/>
      <c r="AR40" s="469"/>
      <c r="AS40" s="469"/>
      <c r="AT40" s="469"/>
      <c r="AU40" s="469"/>
      <c r="AV40" s="469"/>
      <c r="AW40" s="1444"/>
      <c r="AX40" s="1444"/>
      <c r="AY40" s="1444"/>
      <c r="AZ40" s="1444"/>
      <c r="BA40" s="1444"/>
      <c r="BB40" s="469"/>
      <c r="BC40" s="1444"/>
      <c r="BD40" s="469"/>
      <c r="BE40" s="1444"/>
      <c r="BF40" s="459"/>
      <c r="BG40" s="1444"/>
      <c r="BH40" s="1444"/>
      <c r="BI40" s="1444"/>
      <c r="BJ40" s="1444"/>
      <c r="BK40" s="1444"/>
      <c r="BL40" s="1444"/>
      <c r="BM40" s="1444"/>
      <c r="BN40" s="1444"/>
      <c r="BO40" s="1444"/>
      <c r="BP40" s="1444"/>
      <c r="BQ40" s="1843"/>
      <c r="BR40" s="469"/>
      <c r="BS40" s="469"/>
      <c r="BT40" s="459"/>
    </row>
    <row r="41" spans="1:72">
      <c r="A41" s="459"/>
      <c r="B41" s="459" t="s">
        <v>79</v>
      </c>
      <c r="C41" s="459"/>
      <c r="D41" s="459"/>
      <c r="E41" s="496">
        <f>+E33+E39</f>
        <v>0</v>
      </c>
      <c r="F41" s="459"/>
      <c r="G41" s="496">
        <f>+G33+G39</f>
        <v>465.06899999999996</v>
      </c>
      <c r="H41" s="459"/>
      <c r="I41" s="496">
        <f>+I33+I39</f>
        <v>491.40899999999999</v>
      </c>
      <c r="J41" s="459"/>
      <c r="K41" s="496">
        <f>+K33+K39</f>
        <v>636.64200000000005</v>
      </c>
      <c r="L41" s="459"/>
      <c r="M41" s="496">
        <f>+M33+M39</f>
        <v>629.01199999999994</v>
      </c>
      <c r="N41" s="459"/>
      <c r="O41" s="496">
        <f>+O33+O39</f>
        <v>702.59499999999991</v>
      </c>
      <c r="P41" s="459"/>
      <c r="Q41" s="496">
        <f>+Q33+Q39</f>
        <v>972.45700000000011</v>
      </c>
      <c r="R41" s="459"/>
      <c r="S41" s="496">
        <f>+S33+S39</f>
        <v>1753.5159999999998</v>
      </c>
      <c r="T41" s="459"/>
      <c r="U41" s="496">
        <f>+U33+U39</f>
        <v>2390.2399999999998</v>
      </c>
      <c r="V41" s="459"/>
      <c r="W41" s="496">
        <f>+W33+W39</f>
        <v>2955.7110000000002</v>
      </c>
      <c r="X41" s="459"/>
      <c r="Y41" s="496">
        <f>+Y33+Y39</f>
        <v>4084.6690000000003</v>
      </c>
      <c r="Z41" s="459"/>
      <c r="AA41" s="496">
        <f>+AA33+AA39</f>
        <v>4673.2420000000002</v>
      </c>
      <c r="AB41" s="459"/>
      <c r="AC41" s="496">
        <f>+AC33+AC39</f>
        <v>6243</v>
      </c>
      <c r="AD41" s="459"/>
      <c r="AE41" s="496">
        <f>+AE33+AE39</f>
        <v>6065</v>
      </c>
      <c r="AF41" s="459"/>
      <c r="AG41" s="497">
        <f>+AG33+AG39</f>
        <v>5112</v>
      </c>
      <c r="AH41" s="469"/>
      <c r="AI41" s="497">
        <f>+AI33+AI39</f>
        <v>3396</v>
      </c>
      <c r="AJ41" s="469"/>
      <c r="AK41" s="497">
        <f>+AK33+AK39</f>
        <v>3370</v>
      </c>
      <c r="AL41" s="469"/>
      <c r="AM41" s="497">
        <f>+AM33+AM39</f>
        <v>3564</v>
      </c>
      <c r="AN41" s="469"/>
      <c r="AO41" s="497">
        <f>+AO33+AO39</f>
        <v>3177</v>
      </c>
      <c r="AP41" s="469"/>
      <c r="AQ41" s="497">
        <f>+AQ33+AQ39</f>
        <v>3094</v>
      </c>
      <c r="AR41" s="469"/>
      <c r="AS41" s="497">
        <f>+AS33+AS39</f>
        <v>2985</v>
      </c>
      <c r="AT41" s="469"/>
      <c r="AU41" s="497">
        <f>+AU33+AU39</f>
        <v>4667</v>
      </c>
      <c r="AV41" s="469"/>
      <c r="AW41" s="1452">
        <f>+AW33+AW39</f>
        <v>4576</v>
      </c>
      <c r="AX41" s="1444"/>
      <c r="AY41" s="1452">
        <f>+AY33+AY39</f>
        <v>4787</v>
      </c>
      <c r="AZ41" s="1444"/>
      <c r="BA41" s="1452">
        <f>+BA33+BA39</f>
        <v>4707</v>
      </c>
      <c r="BB41" s="498"/>
      <c r="BC41" s="1452">
        <f>+BC33+BC39</f>
        <v>4928</v>
      </c>
      <c r="BD41" s="469"/>
      <c r="BE41" s="1452">
        <f>+BE33+BE39</f>
        <v>4706</v>
      </c>
      <c r="BF41" s="459"/>
      <c r="BG41" s="1452">
        <f>+BG33+BG39</f>
        <v>4845</v>
      </c>
      <c r="BH41" s="1444"/>
      <c r="BI41" s="1452">
        <f>+BI33+BI39</f>
        <v>4704.6579097709819</v>
      </c>
      <c r="BJ41" s="1444"/>
      <c r="BK41" s="1452">
        <f>+BK33+BK39</f>
        <v>4696.0042945014075</v>
      </c>
      <c r="BL41" s="1444"/>
      <c r="BM41" s="1452">
        <f>+BM33+BM39</f>
        <v>4640.0903534666386</v>
      </c>
      <c r="BN41" s="1444"/>
      <c r="BO41" s="1452">
        <f>+BO33+BO39</f>
        <v>4585.9251531385153</v>
      </c>
      <c r="BP41" s="1444"/>
      <c r="BQ41" s="1845">
        <f>+BQ33+BQ39</f>
        <v>4530.3847631194949</v>
      </c>
      <c r="BR41" s="498"/>
      <c r="BS41" s="498"/>
      <c r="BT41" s="459"/>
    </row>
    <row r="42" spans="1:72" ht="6" customHeight="1">
      <c r="A42" s="459"/>
      <c r="B42" s="459"/>
      <c r="C42" s="459"/>
      <c r="D42" s="459"/>
      <c r="E42" s="459"/>
      <c r="F42" s="459"/>
      <c r="G42" s="459"/>
      <c r="H42" s="459"/>
      <c r="I42" s="459"/>
      <c r="J42" s="459"/>
      <c r="K42" s="459"/>
      <c r="L42" s="459"/>
      <c r="M42" s="459"/>
      <c r="N42" s="459"/>
      <c r="O42" s="459"/>
      <c r="P42" s="459"/>
      <c r="Q42" s="459"/>
      <c r="R42" s="459"/>
      <c r="S42" s="459"/>
      <c r="T42" s="459"/>
      <c r="U42" s="459"/>
      <c r="V42" s="459"/>
      <c r="W42" s="459"/>
      <c r="X42" s="459"/>
      <c r="Y42" s="459"/>
      <c r="Z42" s="459"/>
      <c r="AA42" s="459"/>
      <c r="AB42" s="459"/>
      <c r="AC42" s="459"/>
      <c r="AD42" s="459"/>
      <c r="AE42" s="459"/>
      <c r="AF42" s="459"/>
      <c r="AG42" s="467"/>
      <c r="AH42" s="459"/>
      <c r="AI42" s="467"/>
      <c r="AJ42" s="459"/>
      <c r="AK42" s="467"/>
      <c r="AL42" s="459"/>
      <c r="AM42" s="467"/>
      <c r="AN42" s="459"/>
      <c r="AO42" s="467"/>
      <c r="AP42" s="459"/>
      <c r="AQ42" s="467"/>
      <c r="AR42" s="459"/>
      <c r="AS42" s="467"/>
      <c r="AT42" s="459"/>
      <c r="AU42" s="467"/>
      <c r="AV42" s="459"/>
      <c r="AW42" s="1444"/>
      <c r="AX42" s="1444"/>
      <c r="AY42" s="1444"/>
      <c r="AZ42" s="1444"/>
      <c r="BA42" s="1444"/>
      <c r="BB42" s="467"/>
      <c r="BC42" s="1444"/>
      <c r="BD42" s="469"/>
      <c r="BE42" s="1444"/>
      <c r="BF42" s="459"/>
      <c r="BG42" s="1444"/>
      <c r="BH42" s="1444"/>
      <c r="BI42" s="1444"/>
      <c r="BJ42" s="1444"/>
      <c r="BK42" s="1444"/>
      <c r="BL42" s="1444"/>
      <c r="BM42" s="1444"/>
      <c r="BN42" s="1444"/>
      <c r="BO42" s="1444"/>
      <c r="BP42" s="1444"/>
      <c r="BQ42" s="1843"/>
      <c r="BR42" s="467"/>
      <c r="BS42" s="467"/>
      <c r="BT42" s="459"/>
    </row>
    <row r="43" spans="1:72">
      <c r="A43" s="471" t="s">
        <v>551</v>
      </c>
      <c r="B43" s="459"/>
      <c r="C43" s="459"/>
      <c r="D43" s="459"/>
      <c r="E43" s="459"/>
      <c r="F43" s="459"/>
      <c r="G43" s="459"/>
      <c r="H43" s="459"/>
      <c r="I43" s="459"/>
      <c r="J43" s="459"/>
      <c r="K43" s="459"/>
      <c r="L43" s="459"/>
      <c r="M43" s="459"/>
      <c r="N43" s="459"/>
      <c r="O43" s="459"/>
      <c r="P43" s="459"/>
      <c r="Q43" s="459"/>
      <c r="R43" s="459"/>
      <c r="S43" s="459"/>
      <c r="T43" s="459"/>
      <c r="U43" s="499"/>
      <c r="V43" s="459"/>
      <c r="W43" s="459"/>
      <c r="X43" s="459"/>
      <c r="Y43" s="459"/>
      <c r="Z43" s="459"/>
      <c r="AA43" s="459"/>
      <c r="AB43" s="459"/>
      <c r="AC43" s="459"/>
      <c r="AD43" s="459"/>
      <c r="AE43" s="459"/>
      <c r="AF43" s="459"/>
      <c r="AG43" s="467"/>
      <c r="AH43" s="459"/>
      <c r="AI43" s="467"/>
      <c r="AJ43" s="459"/>
      <c r="AK43" s="467"/>
      <c r="AL43" s="459"/>
      <c r="AM43" s="467"/>
      <c r="AN43" s="459"/>
      <c r="AO43" s="467"/>
      <c r="AP43" s="459"/>
      <c r="AQ43" s="467"/>
      <c r="AR43" s="459"/>
      <c r="AS43" s="467"/>
      <c r="AT43" s="459"/>
      <c r="AU43" s="467"/>
      <c r="AV43" s="459"/>
      <c r="AW43" s="1444"/>
      <c r="AX43" s="1444"/>
      <c r="AY43" s="1444"/>
      <c r="AZ43" s="1444"/>
      <c r="BA43" s="1444"/>
      <c r="BB43" s="467"/>
      <c r="BC43" s="1444"/>
      <c r="BD43" s="469"/>
      <c r="BE43" s="1444"/>
      <c r="BF43" s="459"/>
      <c r="BG43" s="1444"/>
      <c r="BH43" s="1444"/>
      <c r="BI43" s="1444"/>
      <c r="BJ43" s="1444"/>
      <c r="BK43" s="1444"/>
      <c r="BL43" s="1444"/>
      <c r="BM43" s="1444"/>
      <c r="BN43" s="1444"/>
      <c r="BO43" s="1444"/>
      <c r="BP43" s="1444"/>
      <c r="BQ43" s="1843"/>
      <c r="BR43" s="467"/>
      <c r="BS43" s="467"/>
      <c r="BT43" s="459"/>
    </row>
    <row r="44" spans="1:72">
      <c r="A44" s="459"/>
      <c r="B44" s="459" t="s">
        <v>552</v>
      </c>
      <c r="C44" s="459"/>
      <c r="D44" s="459"/>
      <c r="E44" s="490"/>
      <c r="F44" s="491"/>
      <c r="G44" s="490"/>
      <c r="H44" s="491"/>
      <c r="I44" s="490">
        <v>7.7329999999999997</v>
      </c>
      <c r="J44" s="491"/>
      <c r="K44" s="490">
        <v>7.7869999999999999</v>
      </c>
      <c r="L44" s="491"/>
      <c r="M44" s="490">
        <v>15.696999999999999</v>
      </c>
      <c r="N44" s="491"/>
      <c r="O44" s="490">
        <v>15.798999999999999</v>
      </c>
      <c r="P44" s="491"/>
      <c r="Q44" s="490">
        <v>15.895</v>
      </c>
      <c r="R44" s="491"/>
      <c r="S44" s="490">
        <v>32.994</v>
      </c>
      <c r="T44" s="492"/>
      <c r="U44" s="490">
        <v>33.25</v>
      </c>
      <c r="V44" s="492"/>
      <c r="W44" s="490">
        <v>50.368000000000002</v>
      </c>
      <c r="X44" s="491"/>
      <c r="Y44" s="490">
        <v>46.960999999999999</v>
      </c>
      <c r="Z44" s="491"/>
      <c r="AA44" s="490">
        <v>47.43</v>
      </c>
      <c r="AB44" s="491" t="s">
        <v>137</v>
      </c>
      <c r="AC44" s="490">
        <v>48</v>
      </c>
      <c r="AD44" s="491" t="s">
        <v>137</v>
      </c>
      <c r="AE44" s="490">
        <v>49</v>
      </c>
      <c r="AF44" s="491"/>
      <c r="AG44" s="500">
        <v>49</v>
      </c>
      <c r="AH44" s="491"/>
      <c r="AI44" s="500">
        <v>54</v>
      </c>
      <c r="AJ44" s="491"/>
      <c r="AK44" s="500">
        <v>55</v>
      </c>
      <c r="AL44" s="459"/>
      <c r="AM44" s="500">
        <v>55</v>
      </c>
      <c r="AN44" s="459"/>
      <c r="AO44" s="500">
        <v>55</v>
      </c>
      <c r="AP44" s="459"/>
      <c r="AQ44" s="500">
        <v>55</v>
      </c>
      <c r="AR44" s="459"/>
      <c r="AS44" s="500">
        <v>55</v>
      </c>
      <c r="AT44" s="459"/>
      <c r="AU44" s="500">
        <v>55</v>
      </c>
      <c r="AV44" s="459"/>
      <c r="AW44" s="1450">
        <v>55</v>
      </c>
      <c r="AX44" s="1444"/>
      <c r="AY44" s="1450">
        <f>AW44</f>
        <v>55</v>
      </c>
      <c r="AZ44" s="1444"/>
      <c r="BA44" s="1450">
        <v>21</v>
      </c>
      <c r="BB44" s="500"/>
      <c r="BC44" s="1450">
        <v>20</v>
      </c>
      <c r="BD44" s="469"/>
      <c r="BE44" s="1450">
        <f>BC44</f>
        <v>20</v>
      </c>
      <c r="BF44" s="459"/>
      <c r="BG44" s="1450">
        <v>19</v>
      </c>
      <c r="BH44" s="1444"/>
      <c r="BI44" s="1450">
        <f>BG44</f>
        <v>19</v>
      </c>
      <c r="BJ44" s="1444"/>
      <c r="BK44" s="1450">
        <f>BI44</f>
        <v>19</v>
      </c>
      <c r="BL44" s="1444"/>
      <c r="BM44" s="1450">
        <f>BK44</f>
        <v>19</v>
      </c>
      <c r="BN44" s="1444"/>
      <c r="BO44" s="1450">
        <f>BM44</f>
        <v>19</v>
      </c>
      <c r="BP44" s="1444"/>
      <c r="BQ44" s="1848">
        <f>BO44</f>
        <v>19</v>
      </c>
      <c r="BR44" s="500"/>
      <c r="BS44" s="500"/>
      <c r="BT44" s="459"/>
    </row>
    <row r="45" spans="1:72">
      <c r="A45" s="459"/>
      <c r="B45" s="459" t="s">
        <v>553</v>
      </c>
      <c r="C45" s="459"/>
      <c r="D45" s="459"/>
      <c r="E45" s="490"/>
      <c r="F45" s="491"/>
      <c r="G45" s="490"/>
      <c r="H45" s="491"/>
      <c r="I45" s="490">
        <v>210.07599999999999</v>
      </c>
      <c r="J45" s="491"/>
      <c r="K45" s="490">
        <v>240.655</v>
      </c>
      <c r="L45" s="491"/>
      <c r="M45" s="490">
        <v>290.565</v>
      </c>
      <c r="N45" s="491"/>
      <c r="O45" s="490">
        <v>335.19299999999998</v>
      </c>
      <c r="P45" s="491"/>
      <c r="Q45" s="490">
        <v>442.04899999999998</v>
      </c>
      <c r="R45" s="491"/>
      <c r="S45" s="490">
        <v>221.89</v>
      </c>
      <c r="T45" s="492"/>
      <c r="U45" s="490">
        <v>365.66199999999998</v>
      </c>
      <c r="V45" s="492"/>
      <c r="W45" s="490">
        <v>669.49</v>
      </c>
      <c r="X45" s="491"/>
      <c r="Y45" s="490">
        <v>294.96699999999998</v>
      </c>
      <c r="Z45" s="491"/>
      <c r="AA45" s="490">
        <v>461.40800000000002</v>
      </c>
      <c r="AB45" s="491" t="s">
        <v>137</v>
      </c>
      <c r="AC45" s="490">
        <v>638</v>
      </c>
      <c r="AD45" s="491" t="s">
        <v>137</v>
      </c>
      <c r="AE45" s="490">
        <v>732</v>
      </c>
      <c r="AF45" s="491"/>
      <c r="AG45" s="490">
        <v>904</v>
      </c>
      <c r="AH45" s="491"/>
      <c r="AI45" s="490">
        <v>2402</v>
      </c>
      <c r="AJ45" s="491"/>
      <c r="AK45" s="490">
        <v>2631</v>
      </c>
      <c r="AL45" s="459"/>
      <c r="AM45" s="490">
        <v>2783</v>
      </c>
      <c r="AN45" s="459"/>
      <c r="AO45" s="490">
        <v>2895</v>
      </c>
      <c r="AP45" s="490"/>
      <c r="AQ45" s="490">
        <v>2935</v>
      </c>
      <c r="AR45" s="490"/>
      <c r="AS45" s="490">
        <v>2939</v>
      </c>
      <c r="AT45" s="490"/>
      <c r="AU45" s="490">
        <v>2867</v>
      </c>
      <c r="AV45" s="490"/>
      <c r="AW45" s="1450">
        <v>2864</v>
      </c>
      <c r="AX45" s="1450"/>
      <c r="AY45" s="1450">
        <v>2899</v>
      </c>
      <c r="AZ45" s="1450"/>
      <c r="BA45" s="1450">
        <v>0</v>
      </c>
      <c r="BB45" s="490"/>
      <c r="BC45" s="1450">
        <v>0</v>
      </c>
      <c r="BD45" s="469"/>
      <c r="BE45" s="1450">
        <v>81</v>
      </c>
      <c r="BF45" s="459"/>
      <c r="BG45" s="1450">
        <v>8</v>
      </c>
      <c r="BH45" s="1444"/>
      <c r="BI45" s="1450">
        <f>BG45+flow!BH48</f>
        <v>8</v>
      </c>
      <c r="BJ45" s="1444"/>
      <c r="BK45" s="1450">
        <f>BI45+flow!BJ48</f>
        <v>8</v>
      </c>
      <c r="BL45" s="1444"/>
      <c r="BM45" s="1450">
        <f>BK45+flow!BL48</f>
        <v>8</v>
      </c>
      <c r="BN45" s="1444"/>
      <c r="BO45" s="1450">
        <f>BM45+flow!BN48</f>
        <v>8</v>
      </c>
      <c r="BP45" s="1444"/>
      <c r="BQ45" s="1848">
        <f>BO45+flow!BP48</f>
        <v>8</v>
      </c>
      <c r="BR45" s="490"/>
      <c r="BS45" s="490"/>
      <c r="BT45" s="459"/>
    </row>
    <row r="46" spans="1:72">
      <c r="A46" s="459"/>
      <c r="B46" s="459" t="s">
        <v>554</v>
      </c>
      <c r="C46" s="459"/>
      <c r="D46" s="459"/>
      <c r="E46" s="490"/>
      <c r="F46" s="491"/>
      <c r="G46" s="490"/>
      <c r="H46" s="491"/>
      <c r="I46" s="490">
        <v>821.45299999999997</v>
      </c>
      <c r="J46" s="491"/>
      <c r="K46" s="490">
        <v>1026.836</v>
      </c>
      <c r="L46" s="491"/>
      <c r="M46" s="490">
        <v>1282.3009999999999</v>
      </c>
      <c r="N46" s="491"/>
      <c r="O46" s="490">
        <v>1569.347</v>
      </c>
      <c r="P46" s="491"/>
      <c r="Q46" s="490">
        <v>1938.3520000000001</v>
      </c>
      <c r="R46" s="491"/>
      <c r="S46" s="490">
        <v>2392.75</v>
      </c>
      <c r="T46" s="492"/>
      <c r="U46" s="490">
        <v>3121.36</v>
      </c>
      <c r="V46" s="492"/>
      <c r="W46" s="490">
        <v>4172.7960000000003</v>
      </c>
      <c r="X46" s="491"/>
      <c r="Y46" s="490">
        <v>4974.7730000000001</v>
      </c>
      <c r="Z46" s="491"/>
      <c r="AA46" s="490">
        <v>4890.375</v>
      </c>
      <c r="AB46" s="491"/>
      <c r="AC46" s="490">
        <v>5290</v>
      </c>
      <c r="AD46" s="491"/>
      <c r="AE46" s="490">
        <v>6110</v>
      </c>
      <c r="AF46" s="491"/>
      <c r="AG46" s="490">
        <v>7181</v>
      </c>
      <c r="AH46" s="491"/>
      <c r="AI46" s="490">
        <v>8133</v>
      </c>
      <c r="AJ46" s="491"/>
      <c r="AK46" s="490">
        <v>8646</v>
      </c>
      <c r="AL46" s="491"/>
      <c r="AM46" s="490">
        <v>9223</v>
      </c>
      <c r="AN46" s="491"/>
      <c r="AO46" s="490">
        <v>9947</v>
      </c>
      <c r="AP46" s="490"/>
      <c r="AQ46" s="490">
        <v>10815</v>
      </c>
      <c r="AR46" s="481"/>
      <c r="AS46" s="490">
        <v>11767</v>
      </c>
      <c r="AT46" s="481"/>
      <c r="AU46" s="490">
        <v>12364</v>
      </c>
      <c r="AV46" s="481"/>
      <c r="AW46" s="1450">
        <v>13259</v>
      </c>
      <c r="AX46" s="1453"/>
      <c r="AY46" s="1450">
        <v>14218</v>
      </c>
      <c r="AZ46" s="1453"/>
      <c r="BA46" s="1450">
        <v>2797</v>
      </c>
      <c r="BB46" s="481"/>
      <c r="BC46" s="1450">
        <v>2440</v>
      </c>
      <c r="BD46" s="469"/>
      <c r="BE46" s="1449">
        <f>2749+0.17</f>
        <v>2749.17</v>
      </c>
      <c r="BF46" s="491"/>
      <c r="BG46" s="1449">
        <v>3081</v>
      </c>
      <c r="BH46" s="1453"/>
      <c r="BI46" s="1453">
        <f>+BG46+flow!BH10+flow!BH13+flow!BH55</f>
        <v>3690.5245974714094</v>
      </c>
      <c r="BJ46" s="1453"/>
      <c r="BK46" s="1453">
        <f>+BI46+flow!BJ10+flow!BJ13+flow!BJ55</f>
        <v>4245.4344843740701</v>
      </c>
      <c r="BL46" s="1453"/>
      <c r="BM46" s="1453">
        <f>+BK46+flow!BL10+flow!BL13+flow!BL55</f>
        <v>4757.0011336451444</v>
      </c>
      <c r="BN46" s="1453"/>
      <c r="BO46" s="1453">
        <f>+BM46+flow!BN10+flow!BN13+flow!BN55</f>
        <v>5226.2737850227049</v>
      </c>
      <c r="BP46" s="1453"/>
      <c r="BQ46" s="1847">
        <f>+BO46+flow!BP10+flow!BP13+flow!BP55</f>
        <v>5654.3976643937212</v>
      </c>
      <c r="BR46" s="481"/>
      <c r="BS46" s="481"/>
      <c r="BT46" s="491"/>
    </row>
    <row r="47" spans="1:72">
      <c r="A47" s="459"/>
      <c r="B47" s="459" t="s">
        <v>107</v>
      </c>
      <c r="C47" s="459"/>
      <c r="D47" s="459"/>
      <c r="E47" s="490"/>
      <c r="F47" s="491"/>
      <c r="G47" s="490"/>
      <c r="H47" s="491"/>
      <c r="I47" s="490">
        <v>-7.41</v>
      </c>
      <c r="J47" s="491"/>
      <c r="K47" s="490">
        <v>-8.3140000000000001</v>
      </c>
      <c r="L47" s="491"/>
      <c r="M47" s="490">
        <v>-8.32</v>
      </c>
      <c r="N47" s="491"/>
      <c r="O47" s="490">
        <v>-9.0709999999999997</v>
      </c>
      <c r="P47" s="491"/>
      <c r="Q47" s="490">
        <v>-5.1870000000000003</v>
      </c>
      <c r="R47" s="491"/>
      <c r="S47" s="490">
        <v>-15.23</v>
      </c>
      <c r="T47" s="492"/>
      <c r="U47" s="490">
        <v>-12.518000000000001</v>
      </c>
      <c r="V47" s="492"/>
      <c r="W47" s="490">
        <v>-6.7590000000000003</v>
      </c>
      <c r="X47" s="491"/>
      <c r="Y47" s="490">
        <v>-20.172999999999998</v>
      </c>
      <c r="Z47" s="491"/>
      <c r="AA47" s="490">
        <v>-61.823999999999998</v>
      </c>
      <c r="AB47" s="491"/>
      <c r="AC47" s="490">
        <v>-16</v>
      </c>
      <c r="AD47" s="491"/>
      <c r="AE47" s="490">
        <v>27</v>
      </c>
      <c r="AF47" s="491"/>
      <c r="AG47" s="490">
        <v>48</v>
      </c>
      <c r="AH47" s="491"/>
      <c r="AI47" s="490">
        <v>51</v>
      </c>
      <c r="AJ47" s="491"/>
      <c r="AK47" s="490">
        <v>77</v>
      </c>
      <c r="AL47" s="491"/>
      <c r="AM47" s="490">
        <v>125</v>
      </c>
      <c r="AN47" s="491"/>
      <c r="AO47" s="490">
        <v>123</v>
      </c>
      <c r="AP47" s="490"/>
      <c r="AQ47" s="490">
        <v>155</v>
      </c>
      <c r="AR47" s="481"/>
      <c r="AS47" s="490">
        <v>185</v>
      </c>
      <c r="AT47" s="481"/>
      <c r="AU47" s="490">
        <v>229</v>
      </c>
      <c r="AV47" s="481"/>
      <c r="AW47" s="1450">
        <v>181</v>
      </c>
      <c r="AX47" s="1453"/>
      <c r="AY47" s="1450">
        <v>135</v>
      </c>
      <c r="AZ47" s="1453"/>
      <c r="BA47" s="1450">
        <v>165</v>
      </c>
      <c r="BB47" s="481"/>
      <c r="BC47" s="1450">
        <v>85</v>
      </c>
      <c r="BD47" s="469"/>
      <c r="BE47" s="1449">
        <v>54</v>
      </c>
      <c r="BF47" s="491"/>
      <c r="BG47" s="1449">
        <v>36</v>
      </c>
      <c r="BH47" s="1453"/>
      <c r="BI47" s="1453">
        <f>BG47+flow!BH56+flow!BH14</f>
        <v>123</v>
      </c>
      <c r="BJ47" s="1453"/>
      <c r="BK47" s="1453">
        <f>BI47+flow!BJ56+flow!BJ14</f>
        <v>210</v>
      </c>
      <c r="BL47" s="1453"/>
      <c r="BM47" s="1453">
        <f>BK47+flow!BL56+flow!BL14</f>
        <v>297</v>
      </c>
      <c r="BN47" s="1453"/>
      <c r="BO47" s="1453">
        <f>BM47+flow!BN56+flow!BN14</f>
        <v>384</v>
      </c>
      <c r="BP47" s="1453"/>
      <c r="BQ47" s="1847">
        <f>BO47+flow!BP56+flow!BP14</f>
        <v>471</v>
      </c>
      <c r="BR47" s="481"/>
      <c r="BS47" s="481"/>
      <c r="BT47" s="491"/>
    </row>
    <row r="48" spans="1:72">
      <c r="A48" s="459"/>
      <c r="B48" s="459" t="s">
        <v>550</v>
      </c>
      <c r="C48" s="459"/>
      <c r="D48" s="459"/>
      <c r="E48" s="490"/>
      <c r="F48" s="491"/>
      <c r="G48" s="490"/>
      <c r="H48" s="491"/>
      <c r="I48" s="490">
        <v>-51.558999999999997</v>
      </c>
      <c r="J48" s="491"/>
      <c r="K48" s="490">
        <v>-48.034999999999997</v>
      </c>
      <c r="L48" s="491"/>
      <c r="M48" s="490">
        <v>-54.265000000000001</v>
      </c>
      <c r="N48" s="491"/>
      <c r="O48" s="490">
        <v>-48.734999999999999</v>
      </c>
      <c r="P48" s="491"/>
      <c r="Q48" s="490">
        <v>-47.838000000000001</v>
      </c>
      <c r="R48" s="491"/>
      <c r="S48" s="490">
        <v>-38.167000000000002</v>
      </c>
      <c r="T48" s="492"/>
      <c r="U48" s="490">
        <v>-31.675000000000001</v>
      </c>
      <c r="V48" s="492"/>
      <c r="W48" s="490">
        <v>-23.15</v>
      </c>
      <c r="X48" s="491"/>
      <c r="Y48" s="490">
        <v>-12.162000000000001</v>
      </c>
      <c r="Z48" s="491"/>
      <c r="AA48" s="490">
        <v>-7.2450000000000001</v>
      </c>
      <c r="AB48" s="491"/>
      <c r="AC48" s="490">
        <v>-13</v>
      </c>
      <c r="AD48" s="491"/>
      <c r="AE48" s="490">
        <v>-9</v>
      </c>
      <c r="AF48" s="491"/>
      <c r="AG48" s="490">
        <v>-8</v>
      </c>
      <c r="AH48" s="491"/>
      <c r="AI48" s="490">
        <v>-5</v>
      </c>
      <c r="AJ48" s="491"/>
      <c r="AK48" s="481"/>
      <c r="AL48" s="491"/>
      <c r="AM48" s="481">
        <f>+AK48</f>
        <v>0</v>
      </c>
      <c r="AN48" s="491"/>
      <c r="AO48" s="490">
        <f>+AM48</f>
        <v>0</v>
      </c>
      <c r="AP48" s="490"/>
      <c r="AQ48" s="490">
        <v>0</v>
      </c>
      <c r="AR48" s="490"/>
      <c r="AS48" s="490">
        <v>0</v>
      </c>
      <c r="AT48" s="490"/>
      <c r="AU48" s="490">
        <v>0</v>
      </c>
      <c r="AV48" s="490"/>
      <c r="AW48" s="1450">
        <v>0</v>
      </c>
      <c r="AX48" s="1450"/>
      <c r="AY48" s="1450">
        <v>0</v>
      </c>
      <c r="AZ48" s="1453"/>
      <c r="BA48" s="1450">
        <v>0</v>
      </c>
      <c r="BB48" s="481"/>
      <c r="BC48" s="1453">
        <f>+BA48</f>
        <v>0</v>
      </c>
      <c r="BD48" s="469"/>
      <c r="BE48" s="1453">
        <f>+BC48</f>
        <v>0</v>
      </c>
      <c r="BF48" s="491"/>
      <c r="BG48" s="1449">
        <f>+BE48</f>
        <v>0</v>
      </c>
      <c r="BH48" s="1453"/>
      <c r="BI48" s="1453">
        <f>+BG48</f>
        <v>0</v>
      </c>
      <c r="BJ48" s="1453"/>
      <c r="BK48" s="1453">
        <f>+BI48</f>
        <v>0</v>
      </c>
      <c r="BL48" s="1453"/>
      <c r="BM48" s="1453">
        <f>+BK48</f>
        <v>0</v>
      </c>
      <c r="BN48" s="1453"/>
      <c r="BO48" s="1453">
        <f>+BM48</f>
        <v>0</v>
      </c>
      <c r="BP48" s="1453"/>
      <c r="BQ48" s="1847">
        <f>+BO48</f>
        <v>0</v>
      </c>
      <c r="BR48" s="481"/>
      <c r="BS48" s="481"/>
      <c r="BT48" s="491"/>
    </row>
    <row r="49" spans="1:72">
      <c r="A49" s="459"/>
      <c r="B49" s="459" t="s">
        <v>80</v>
      </c>
      <c r="C49" s="491"/>
      <c r="D49" s="459"/>
      <c r="E49" s="480"/>
      <c r="F49" s="491"/>
      <c r="G49" s="480"/>
      <c r="H49" s="491"/>
      <c r="I49" s="480">
        <v>-92.453999999999994</v>
      </c>
      <c r="J49" s="491"/>
      <c r="K49" s="480">
        <v>-92.453999999999994</v>
      </c>
      <c r="L49" s="491"/>
      <c r="M49" s="480">
        <v>-150.74600000000001</v>
      </c>
      <c r="N49" s="491"/>
      <c r="O49" s="480">
        <v>-222.06</v>
      </c>
      <c r="P49" s="491"/>
      <c r="Q49" s="480">
        <v>-688.80100000000004</v>
      </c>
      <c r="R49" s="491"/>
      <c r="S49" s="480">
        <v>-1010.251</v>
      </c>
      <c r="T49" s="492"/>
      <c r="U49" s="480">
        <v>-1902.4</v>
      </c>
      <c r="V49" s="492"/>
      <c r="W49" s="480">
        <v>-2629.7</v>
      </c>
      <c r="X49" s="480"/>
      <c r="Y49" s="480">
        <v>-2356.127</v>
      </c>
      <c r="Z49" s="491"/>
      <c r="AA49" s="480">
        <v>-2320.5630000000001</v>
      </c>
      <c r="AB49" s="491"/>
      <c r="AC49" s="480">
        <v>-2288</v>
      </c>
      <c r="AD49" s="491"/>
      <c r="AE49" s="480">
        <v>-2261</v>
      </c>
      <c r="AF49" s="491"/>
      <c r="AG49" s="480">
        <v>-3238</v>
      </c>
      <c r="AH49" s="491"/>
      <c r="AI49" s="480">
        <v>-5210</v>
      </c>
      <c r="AJ49" s="491"/>
      <c r="AK49" s="480">
        <v>-6235</v>
      </c>
      <c r="AL49" s="491"/>
      <c r="AM49" s="480">
        <v>-7912</v>
      </c>
      <c r="AN49" s="491"/>
      <c r="AO49" s="480">
        <v>-8633</v>
      </c>
      <c r="AP49" s="491"/>
      <c r="AQ49" s="480">
        <v>-9069</v>
      </c>
      <c r="AR49" s="491"/>
      <c r="AS49" s="480">
        <v>-10866</v>
      </c>
      <c r="AT49" s="491"/>
      <c r="AU49" s="480">
        <v>-12760</v>
      </c>
      <c r="AV49" s="491"/>
      <c r="AW49" s="1451">
        <v>-13465</v>
      </c>
      <c r="AX49" s="1453"/>
      <c r="AY49" s="1451">
        <v>-14245</v>
      </c>
      <c r="AZ49" s="1453"/>
      <c r="BA49" s="1451">
        <v>0</v>
      </c>
      <c r="BB49" s="490"/>
      <c r="BC49" s="1451">
        <v>0</v>
      </c>
      <c r="BD49" s="469"/>
      <c r="BE49" s="1451">
        <f>BC49+flow!BD50</f>
        <v>0</v>
      </c>
      <c r="BF49" s="491"/>
      <c r="BG49" s="1451">
        <v>0</v>
      </c>
      <c r="BH49" s="1453"/>
      <c r="BI49" s="1451">
        <f>BG49+flow!BH50</f>
        <v>-400</v>
      </c>
      <c r="BJ49" s="1453"/>
      <c r="BK49" s="1451">
        <f>BI49+flow!BJ50</f>
        <v>-775</v>
      </c>
      <c r="BL49" s="1453"/>
      <c r="BM49" s="1451">
        <f>BK49+flow!BL50</f>
        <v>-1150</v>
      </c>
      <c r="BN49" s="1453"/>
      <c r="BO49" s="1451">
        <f>BM49+flow!BN50</f>
        <v>-1525</v>
      </c>
      <c r="BP49" s="1453"/>
      <c r="BQ49" s="1849">
        <f>BO49+flow!BP50</f>
        <v>-1900</v>
      </c>
      <c r="BR49" s="490"/>
      <c r="BS49" s="490"/>
      <c r="BT49" s="491"/>
    </row>
    <row r="50" spans="1:72">
      <c r="A50" s="459"/>
      <c r="B50" s="459"/>
      <c r="C50" s="459" t="s">
        <v>555</v>
      </c>
      <c r="D50" s="459"/>
      <c r="E50" s="482">
        <f>SUM(E44:E49)</f>
        <v>0</v>
      </c>
      <c r="F50" s="459"/>
      <c r="G50" s="482">
        <f>SUM(G44:G49)</f>
        <v>0</v>
      </c>
      <c r="H50" s="459"/>
      <c r="I50" s="482">
        <f>SUM(I44:I49)</f>
        <v>887.83899999999994</v>
      </c>
      <c r="J50" s="459"/>
      <c r="K50" s="482">
        <f>SUM(K44:K49)</f>
        <v>1126.4749999999999</v>
      </c>
      <c r="L50" s="459"/>
      <c r="M50" s="482">
        <f>SUM(M44:M49)</f>
        <v>1375.2319999999997</v>
      </c>
      <c r="N50" s="459"/>
      <c r="O50" s="482">
        <f>SUM(O44:O49)</f>
        <v>1640.4730000000002</v>
      </c>
      <c r="P50" s="459"/>
      <c r="Q50" s="482">
        <f>SUM(Q44:Q49)</f>
        <v>1654.4700000000003</v>
      </c>
      <c r="R50" s="459"/>
      <c r="S50" s="482">
        <f>SUM(S44:S49)</f>
        <v>1583.9860000000001</v>
      </c>
      <c r="T50" s="459"/>
      <c r="U50" s="482">
        <f>SUM(U44:U49)</f>
        <v>1573.6789999999996</v>
      </c>
      <c r="V50" s="459"/>
      <c r="W50" s="482">
        <f>SUM(W44:W49)</f>
        <v>2233.045000000001</v>
      </c>
      <c r="X50" s="459"/>
      <c r="Y50" s="482">
        <f>SUM(Y44:Y49)</f>
        <v>2928.239</v>
      </c>
      <c r="Z50" s="459"/>
      <c r="AA50" s="482">
        <f>SUM(AA44:AA49)</f>
        <v>3009.5810000000001</v>
      </c>
      <c r="AB50" s="459"/>
      <c r="AC50" s="482">
        <f>SUM(AC44:AC49)</f>
        <v>3659</v>
      </c>
      <c r="AD50" s="459"/>
      <c r="AE50" s="482">
        <f>SUM(AE44:AE49)</f>
        <v>4648</v>
      </c>
      <c r="AF50" s="459"/>
      <c r="AG50" s="469">
        <f>SUM(AG44:AG49)</f>
        <v>4936</v>
      </c>
      <c r="AH50" s="459"/>
      <c r="AI50" s="469">
        <f>SUM(AI44:AI49)</f>
        <v>5425</v>
      </c>
      <c r="AJ50" s="459"/>
      <c r="AK50" s="469">
        <f>SUM(AK44:AK49)</f>
        <v>5174</v>
      </c>
      <c r="AL50" s="459"/>
      <c r="AM50" s="469">
        <f>SUM(AM44:AM49)</f>
        <v>4274</v>
      </c>
      <c r="AN50" s="459"/>
      <c r="AO50" s="469">
        <f>SUM(AO44:AO49)</f>
        <v>4387</v>
      </c>
      <c r="AP50" s="469"/>
      <c r="AQ50" s="469">
        <f>SUM(AQ44:AQ49)</f>
        <v>4891</v>
      </c>
      <c r="AR50" s="469"/>
      <c r="AS50" s="469">
        <f>SUM(AS44:AS49)</f>
        <v>4080</v>
      </c>
      <c r="AT50" s="469"/>
      <c r="AU50" s="469">
        <f>SUM(AU44:AU49)</f>
        <v>2755</v>
      </c>
      <c r="AV50" s="469"/>
      <c r="AW50" s="1444">
        <f>SUM(AW44:AW49)</f>
        <v>2894</v>
      </c>
      <c r="AX50" s="1444"/>
      <c r="AY50" s="1444">
        <f>SUM(AY44:AY49)</f>
        <v>3062</v>
      </c>
      <c r="AZ50" s="1444"/>
      <c r="BA50" s="1444">
        <f>SUM(BA44:BA49)</f>
        <v>2983</v>
      </c>
      <c r="BB50" s="469"/>
      <c r="BC50" s="1444">
        <f>SUM(BC44:BC49)</f>
        <v>2545</v>
      </c>
      <c r="BD50" s="469"/>
      <c r="BE50" s="1444">
        <f>SUM(BE44:BE49)</f>
        <v>2904.17</v>
      </c>
      <c r="BF50" s="459"/>
      <c r="BG50" s="1444">
        <f>SUM(BG44:BG49)</f>
        <v>3144</v>
      </c>
      <c r="BH50" s="1444"/>
      <c r="BI50" s="1444">
        <f>SUM(BI44:BI49)</f>
        <v>3440.5245974714094</v>
      </c>
      <c r="BJ50" s="1444"/>
      <c r="BK50" s="1444">
        <f>SUM(BK44:BK49)</f>
        <v>3707.4344843740701</v>
      </c>
      <c r="BL50" s="1444"/>
      <c r="BM50" s="1444">
        <f>SUM(BM44:BM49)</f>
        <v>3931.0011336451444</v>
      </c>
      <c r="BN50" s="1444"/>
      <c r="BO50" s="1444">
        <f>SUM(BO44:BO49)</f>
        <v>4112.2737850227049</v>
      </c>
      <c r="BP50" s="1444"/>
      <c r="BQ50" s="1843">
        <f>SUM(BQ44:BQ49)</f>
        <v>4252.3976643937212</v>
      </c>
      <c r="BR50" s="469"/>
      <c r="BS50" s="469"/>
      <c r="BT50" s="459"/>
    </row>
    <row r="51" spans="1:72" ht="6" customHeight="1">
      <c r="A51" s="459"/>
      <c r="B51" s="459"/>
      <c r="C51" s="459"/>
      <c r="D51" s="459"/>
      <c r="E51" s="459"/>
      <c r="F51" s="459"/>
      <c r="G51" s="459"/>
      <c r="H51" s="459"/>
      <c r="I51" s="459"/>
      <c r="J51" s="459"/>
      <c r="K51" s="459"/>
      <c r="L51" s="459"/>
      <c r="M51" s="459"/>
      <c r="N51" s="459"/>
      <c r="O51" s="459"/>
      <c r="P51" s="459"/>
      <c r="Q51" s="459"/>
      <c r="R51" s="459"/>
      <c r="S51" s="459"/>
      <c r="T51" s="459"/>
      <c r="U51" s="459"/>
      <c r="V51" s="459"/>
      <c r="W51" s="459"/>
      <c r="X51" s="459"/>
      <c r="Y51" s="459"/>
      <c r="Z51" s="459"/>
      <c r="AA51" s="459"/>
      <c r="AB51" s="459"/>
      <c r="AC51" s="459"/>
      <c r="AD51" s="459"/>
      <c r="AE51" s="459"/>
      <c r="AF51" s="459"/>
      <c r="AG51" s="459"/>
      <c r="AH51" s="459"/>
      <c r="AI51" s="459"/>
      <c r="AJ51" s="459"/>
      <c r="AK51" s="459"/>
      <c r="AL51" s="459"/>
      <c r="AM51" s="459"/>
      <c r="AN51" s="459"/>
      <c r="AO51" s="459"/>
      <c r="AP51" s="459"/>
      <c r="AQ51" s="459"/>
      <c r="AR51" s="459"/>
      <c r="AS51" s="459"/>
      <c r="AT51" s="459"/>
      <c r="AU51" s="459"/>
      <c r="AV51" s="459"/>
      <c r="AW51" s="1444"/>
      <c r="AX51" s="1444"/>
      <c r="AY51" s="1444"/>
      <c r="AZ51" s="1444"/>
      <c r="BA51" s="1444"/>
      <c r="BB51" s="459"/>
      <c r="BC51" s="1444"/>
      <c r="BD51" s="469"/>
      <c r="BE51" s="1444"/>
      <c r="BF51" s="459"/>
      <c r="BG51" s="1444"/>
      <c r="BH51" s="1444"/>
      <c r="BI51" s="1444"/>
      <c r="BJ51" s="1444"/>
      <c r="BK51" s="1444"/>
      <c r="BL51" s="1444"/>
      <c r="BM51" s="1444"/>
      <c r="BN51" s="1444"/>
      <c r="BO51" s="1444"/>
      <c r="BP51" s="1444"/>
      <c r="BQ51" s="1843"/>
      <c r="BR51" s="459"/>
      <c r="BS51" s="459"/>
      <c r="BT51" s="459"/>
    </row>
    <row r="52" spans="1:72">
      <c r="A52" s="459" t="s">
        <v>559</v>
      </c>
      <c r="B52" s="459"/>
      <c r="C52" s="459"/>
      <c r="D52" s="459"/>
      <c r="E52" s="486">
        <f>E50+E41</f>
        <v>0</v>
      </c>
      <c r="F52" s="459"/>
      <c r="G52" s="486">
        <f>G50+G41</f>
        <v>465.06899999999996</v>
      </c>
      <c r="H52" s="459"/>
      <c r="I52" s="486">
        <f>I50+I41</f>
        <v>1379.248</v>
      </c>
      <c r="J52" s="459"/>
      <c r="K52" s="486">
        <f>K50+K41</f>
        <v>1763.117</v>
      </c>
      <c r="L52" s="459"/>
      <c r="M52" s="486">
        <f>M50+M41</f>
        <v>2004.2439999999997</v>
      </c>
      <c r="N52" s="459"/>
      <c r="O52" s="486">
        <f>O50+O41</f>
        <v>2343.0680000000002</v>
      </c>
      <c r="P52" s="459"/>
      <c r="Q52" s="486">
        <f>Q50+Q41</f>
        <v>2626.9270000000006</v>
      </c>
      <c r="R52" s="459"/>
      <c r="S52" s="486">
        <f>S50+S41</f>
        <v>3337.502</v>
      </c>
      <c r="T52" s="459"/>
      <c r="U52" s="486">
        <f>U50+U41</f>
        <v>3963.9189999999994</v>
      </c>
      <c r="V52" s="459"/>
      <c r="W52" s="486">
        <f>W50+W41</f>
        <v>5188.7560000000012</v>
      </c>
      <c r="X52" s="459"/>
      <c r="Y52" s="486">
        <f>Y50+Y41</f>
        <v>7012.9080000000004</v>
      </c>
      <c r="Z52" s="459"/>
      <c r="AA52" s="486">
        <f>AA50+AA41</f>
        <v>7682.8230000000003</v>
      </c>
      <c r="AB52" s="459"/>
      <c r="AC52" s="486">
        <f>AC50+AC41</f>
        <v>9902</v>
      </c>
      <c r="AD52" s="459"/>
      <c r="AE52" s="486">
        <f>AE50+AE41</f>
        <v>10713</v>
      </c>
      <c r="AF52" s="459"/>
      <c r="AG52" s="486">
        <f>AG50+AG41</f>
        <v>10048</v>
      </c>
      <c r="AH52" s="459"/>
      <c r="AI52" s="486">
        <f>AI50+AI41</f>
        <v>8821</v>
      </c>
      <c r="AJ52" s="459"/>
      <c r="AK52" s="486">
        <f>AK50+AK41</f>
        <v>8544</v>
      </c>
      <c r="AL52" s="459"/>
      <c r="AM52" s="486">
        <f>AM50+AM41</f>
        <v>7838</v>
      </c>
      <c r="AN52" s="459"/>
      <c r="AO52" s="486">
        <f>AO50+AO41</f>
        <v>7564</v>
      </c>
      <c r="AP52" s="459"/>
      <c r="AQ52" s="486">
        <f>AQ50+AQ41</f>
        <v>7985</v>
      </c>
      <c r="AR52" s="459"/>
      <c r="AS52" s="486">
        <f>AS50+AS41</f>
        <v>7065</v>
      </c>
      <c r="AT52" s="459"/>
      <c r="AU52" s="486">
        <f>AU50+AU41</f>
        <v>7422</v>
      </c>
      <c r="AV52" s="459"/>
      <c r="AW52" s="1448">
        <f>AW50+AW41</f>
        <v>7470</v>
      </c>
      <c r="AX52" s="1444"/>
      <c r="AY52" s="1448">
        <f>AY50+AY41</f>
        <v>7849</v>
      </c>
      <c r="AZ52" s="1444"/>
      <c r="BA52" s="1448">
        <f>BA50+BA41</f>
        <v>7690</v>
      </c>
      <c r="BB52" s="487"/>
      <c r="BC52" s="1448">
        <f>BC50+BC41</f>
        <v>7473</v>
      </c>
      <c r="BD52" s="469"/>
      <c r="BE52" s="1448">
        <f>BE50+BE41</f>
        <v>7610.17</v>
      </c>
      <c r="BF52" s="459"/>
      <c r="BG52" s="1448">
        <f>BG50+BG41</f>
        <v>7989</v>
      </c>
      <c r="BH52" s="1444"/>
      <c r="BI52" s="1448">
        <f>BI50+BI41</f>
        <v>8145.1825072423908</v>
      </c>
      <c r="BJ52" s="1444"/>
      <c r="BK52" s="1448">
        <f>BK50+BK41</f>
        <v>8403.4387788754775</v>
      </c>
      <c r="BL52" s="1444"/>
      <c r="BM52" s="1448">
        <f>BM50+BM41</f>
        <v>8571.091487111782</v>
      </c>
      <c r="BN52" s="1444"/>
      <c r="BO52" s="1448">
        <f>BO50+BO41</f>
        <v>8698.1989381612202</v>
      </c>
      <c r="BP52" s="1444"/>
      <c r="BQ52" s="1846">
        <f>BQ50+BQ41</f>
        <v>8782.7824275132152</v>
      </c>
      <c r="BR52" s="487"/>
      <c r="BS52" s="487"/>
      <c r="BT52" s="459"/>
    </row>
    <row r="53" spans="1:72" ht="6" customHeight="1">
      <c r="A53" s="459"/>
      <c r="B53" s="459"/>
      <c r="C53" s="459"/>
      <c r="D53" s="459"/>
      <c r="E53" s="459"/>
      <c r="F53" s="459"/>
      <c r="G53" s="459"/>
      <c r="H53" s="459"/>
      <c r="I53" s="459"/>
      <c r="J53" s="459"/>
      <c r="K53" s="459"/>
      <c r="L53" s="459"/>
      <c r="M53" s="459"/>
      <c r="N53" s="459"/>
      <c r="O53" s="459"/>
      <c r="P53" s="459"/>
      <c r="Q53" s="459"/>
      <c r="R53" s="459"/>
      <c r="S53" s="459"/>
      <c r="T53" s="459"/>
      <c r="U53" s="459"/>
      <c r="V53" s="459"/>
      <c r="W53" s="459"/>
      <c r="X53" s="459"/>
      <c r="Y53" s="459"/>
      <c r="Z53" s="459"/>
      <c r="AA53" s="459"/>
      <c r="AB53" s="459"/>
      <c r="AC53" s="459"/>
      <c r="AD53" s="459"/>
      <c r="AE53" s="459"/>
      <c r="AF53" s="459"/>
      <c r="AG53" s="459"/>
      <c r="AH53" s="459"/>
      <c r="AI53" s="459"/>
      <c r="AJ53" s="459"/>
      <c r="AK53" s="459"/>
      <c r="AL53" s="459"/>
      <c r="AM53" s="459"/>
      <c r="AN53" s="459"/>
      <c r="AO53" s="459"/>
      <c r="AP53" s="459"/>
      <c r="AQ53" s="459"/>
      <c r="AR53" s="459"/>
      <c r="AS53" s="459"/>
      <c r="AT53" s="459"/>
      <c r="AU53" s="459"/>
      <c r="AV53" s="459"/>
      <c r="AW53" s="1444"/>
      <c r="AX53" s="1444"/>
      <c r="AY53" s="1444"/>
      <c r="AZ53" s="1444"/>
      <c r="BA53" s="1444"/>
      <c r="BB53" s="459"/>
      <c r="BC53" s="469"/>
      <c r="BD53" s="469"/>
      <c r="BE53" s="459"/>
      <c r="BF53" s="459"/>
      <c r="BG53" s="1444"/>
      <c r="BH53" s="1444"/>
      <c r="BI53" s="1444"/>
      <c r="BJ53" s="1444"/>
      <c r="BK53" s="1444"/>
      <c r="BL53" s="1444"/>
      <c r="BM53" s="1444"/>
      <c r="BN53" s="1444"/>
      <c r="BO53" s="1444"/>
      <c r="BP53" s="1444"/>
      <c r="BQ53" s="1843"/>
      <c r="BR53" s="459"/>
      <c r="BS53" s="459"/>
      <c r="BT53" s="459"/>
    </row>
    <row r="54" spans="1:72">
      <c r="A54" s="459"/>
      <c r="B54" s="468" t="s">
        <v>323</v>
      </c>
      <c r="C54" s="459"/>
      <c r="D54" s="459"/>
      <c r="E54" s="459"/>
      <c r="F54" s="459"/>
      <c r="G54" s="459"/>
      <c r="H54" s="459"/>
      <c r="I54" s="459"/>
      <c r="J54" s="459"/>
      <c r="K54" s="459"/>
      <c r="L54" s="459"/>
      <c r="M54" s="459"/>
      <c r="N54" s="459"/>
      <c r="O54" s="459"/>
      <c r="P54" s="459"/>
      <c r="Q54" s="459"/>
      <c r="R54" s="459"/>
      <c r="S54" s="459"/>
      <c r="T54" s="459"/>
      <c r="U54" s="459"/>
      <c r="V54" s="459"/>
      <c r="W54" s="459"/>
      <c r="X54" s="459"/>
      <c r="Y54" s="459"/>
      <c r="Z54" s="459"/>
      <c r="AA54" s="459"/>
      <c r="AB54" s="459"/>
      <c r="AC54" s="459"/>
      <c r="AD54" s="459"/>
      <c r="AE54" s="459"/>
      <c r="AF54" s="459"/>
      <c r="AG54" s="459"/>
      <c r="AH54" s="459"/>
      <c r="AI54" s="459"/>
      <c r="AJ54" s="459"/>
      <c r="AK54" s="459"/>
      <c r="AL54" s="459"/>
      <c r="AM54" s="459"/>
      <c r="AN54" s="459"/>
      <c r="AO54" s="459"/>
      <c r="AP54" s="459"/>
      <c r="AQ54" s="459"/>
      <c r="AR54" s="459"/>
      <c r="AS54" s="459"/>
      <c r="AT54" s="459"/>
      <c r="AU54" s="459"/>
      <c r="AV54" s="459"/>
      <c r="AW54" s="459"/>
      <c r="AX54" s="459"/>
      <c r="AY54" s="459"/>
      <c r="AZ54" s="459"/>
      <c r="BA54" s="459"/>
      <c r="BB54" s="459"/>
      <c r="BC54" s="469"/>
      <c r="BD54" s="469"/>
      <c r="BE54" s="459"/>
      <c r="BF54" s="459"/>
      <c r="BG54" s="459"/>
      <c r="BH54" s="459"/>
      <c r="BI54" s="459"/>
      <c r="BJ54" s="459"/>
      <c r="BK54" s="459"/>
      <c r="BL54" s="459"/>
      <c r="BM54" s="459"/>
      <c r="BN54" s="459"/>
      <c r="BO54" s="459"/>
      <c r="BP54" s="459"/>
      <c r="BQ54" s="57"/>
      <c r="BR54" s="459"/>
      <c r="BS54" s="459"/>
      <c r="BT54" s="459"/>
    </row>
    <row r="55" spans="1:72">
      <c r="A55" s="459"/>
      <c r="B55" s="468" t="s">
        <v>58</v>
      </c>
      <c r="C55" s="459"/>
      <c r="D55" s="459"/>
      <c r="E55" s="459"/>
      <c r="F55" s="459"/>
      <c r="G55" s="459"/>
      <c r="H55" s="459"/>
      <c r="I55" s="459"/>
      <c r="J55" s="459"/>
      <c r="K55" s="459"/>
      <c r="L55" s="459"/>
      <c r="M55" s="459"/>
      <c r="N55" s="459"/>
      <c r="O55" s="459"/>
      <c r="P55" s="459"/>
      <c r="Q55" s="459"/>
      <c r="R55" s="459"/>
      <c r="S55" s="459"/>
      <c r="T55" s="459"/>
      <c r="U55" s="459"/>
      <c r="V55" s="459"/>
      <c r="W55" s="459"/>
      <c r="X55" s="459"/>
      <c r="Y55" s="459"/>
      <c r="Z55" s="459"/>
      <c r="AA55" s="459"/>
      <c r="AB55" s="459"/>
      <c r="AC55" s="459"/>
      <c r="AD55" s="459"/>
      <c r="AE55" s="459"/>
      <c r="AF55" s="459"/>
      <c r="AG55" s="459"/>
      <c r="AH55" s="459"/>
      <c r="AI55" s="459"/>
      <c r="AJ55" s="459"/>
      <c r="AK55" s="459"/>
      <c r="AL55" s="459"/>
      <c r="AM55" s="459"/>
      <c r="AN55" s="459"/>
      <c r="AO55" s="459"/>
      <c r="AP55" s="459"/>
      <c r="AQ55" s="459"/>
      <c r="AR55" s="459"/>
      <c r="AS55" s="459"/>
      <c r="AT55" s="459"/>
      <c r="AU55" s="459"/>
      <c r="AV55" s="459"/>
      <c r="AW55" s="459"/>
      <c r="AX55" s="459"/>
      <c r="AY55" s="459"/>
      <c r="AZ55" s="459"/>
      <c r="BA55" s="459"/>
      <c r="BB55" s="459"/>
      <c r="BC55" s="469"/>
      <c r="BD55" s="469"/>
      <c r="BE55" s="459"/>
      <c r="BF55" s="459"/>
      <c r="BG55" s="459"/>
      <c r="BH55" s="459"/>
      <c r="BI55" s="459"/>
      <c r="BJ55" s="459"/>
      <c r="BK55" s="459"/>
      <c r="BL55" s="459"/>
      <c r="BM55" s="459"/>
      <c r="BN55" s="459"/>
      <c r="BO55" s="459"/>
      <c r="BP55" s="459"/>
      <c r="BQ55" s="57"/>
      <c r="BR55" s="459"/>
      <c r="BS55" s="459"/>
      <c r="BT55" s="459"/>
    </row>
    <row r="56" spans="1:72">
      <c r="A56" s="459"/>
      <c r="B56" s="459"/>
      <c r="C56" s="459"/>
      <c r="D56" s="459"/>
      <c r="E56" s="459"/>
      <c r="F56" s="459"/>
      <c r="G56" s="459"/>
      <c r="H56" s="459"/>
      <c r="I56" s="459"/>
      <c r="J56" s="459"/>
      <c r="K56" s="459"/>
      <c r="L56" s="459"/>
      <c r="M56" s="459"/>
      <c r="N56" s="459"/>
      <c r="O56" s="459"/>
      <c r="P56" s="459"/>
      <c r="Q56" s="459"/>
      <c r="R56" s="459"/>
      <c r="S56" s="459"/>
      <c r="T56" s="459"/>
      <c r="U56" s="459"/>
      <c r="V56" s="459"/>
      <c r="W56" s="459"/>
      <c r="X56" s="459"/>
      <c r="Y56" s="459"/>
      <c r="Z56" s="459"/>
      <c r="AA56" s="459"/>
      <c r="AB56" s="459"/>
      <c r="AC56" s="459"/>
      <c r="AD56" s="459"/>
      <c r="AE56" s="459"/>
      <c r="AF56" s="459"/>
      <c r="AG56" s="459"/>
      <c r="AH56" s="459"/>
      <c r="AI56" s="459"/>
      <c r="AJ56" s="459"/>
      <c r="AK56" s="459"/>
      <c r="AL56" s="459"/>
      <c r="AM56" s="459"/>
      <c r="AN56" s="459"/>
      <c r="AO56" s="459"/>
      <c r="AP56" s="459"/>
      <c r="AQ56" s="459"/>
      <c r="AR56" s="459"/>
      <c r="AS56" s="459"/>
      <c r="AT56" s="459"/>
      <c r="AU56" s="459"/>
      <c r="AV56" s="459"/>
      <c r="AW56" s="459"/>
      <c r="AX56" s="459"/>
      <c r="AY56" s="459"/>
      <c r="AZ56" s="459"/>
      <c r="BA56" s="459"/>
      <c r="BB56" s="459"/>
      <c r="BC56" s="469"/>
      <c r="BD56" s="469"/>
      <c r="BE56" s="459"/>
      <c r="BF56" s="459"/>
      <c r="BG56" s="459"/>
      <c r="BH56" s="459"/>
      <c r="BI56" s="459"/>
      <c r="BJ56" s="459"/>
      <c r="BK56" s="459"/>
      <c r="BL56" s="459"/>
      <c r="BM56" s="459"/>
      <c r="BN56" s="459"/>
      <c r="BO56" s="459"/>
      <c r="BP56" s="459"/>
      <c r="BQ56" s="57"/>
      <c r="BR56" s="459"/>
      <c r="BS56" s="459"/>
      <c r="BT56" s="459"/>
    </row>
    <row r="57" spans="1:72">
      <c r="A57" s="459"/>
      <c r="B57" s="459"/>
      <c r="C57" s="459"/>
      <c r="D57" s="459"/>
      <c r="E57" s="459"/>
      <c r="F57" s="459"/>
      <c r="G57" s="459"/>
      <c r="H57" s="459"/>
      <c r="I57" s="459"/>
      <c r="J57" s="459"/>
      <c r="K57" s="459"/>
      <c r="L57" s="459"/>
      <c r="M57" s="459"/>
      <c r="N57" s="459"/>
      <c r="O57" s="459"/>
      <c r="P57" s="459"/>
      <c r="Q57" s="459"/>
      <c r="R57" s="459"/>
      <c r="S57" s="459"/>
      <c r="T57" s="459"/>
      <c r="U57" s="459"/>
      <c r="V57" s="459"/>
      <c r="W57" s="459"/>
      <c r="X57" s="459"/>
      <c r="Y57" s="459"/>
      <c r="Z57" s="459"/>
      <c r="AA57" s="459"/>
      <c r="AB57" s="459"/>
      <c r="AC57" s="459"/>
      <c r="AD57" s="459"/>
      <c r="AE57" s="459"/>
      <c r="AF57" s="459"/>
      <c r="AG57" s="459"/>
      <c r="AH57" s="459"/>
      <c r="AI57" s="459"/>
      <c r="AJ57" s="459"/>
      <c r="AK57" s="459"/>
      <c r="AL57" s="459"/>
      <c r="AM57" s="459"/>
      <c r="AN57" s="459"/>
      <c r="AO57" s="459"/>
      <c r="AP57" s="459"/>
      <c r="AQ57" s="459"/>
      <c r="AR57" s="459"/>
      <c r="AS57" s="459"/>
      <c r="AT57" s="459"/>
      <c r="AU57" s="459"/>
      <c r="AV57" s="459"/>
      <c r="AW57" s="459"/>
      <c r="AX57" s="459"/>
      <c r="AY57" s="459"/>
      <c r="AZ57" s="459"/>
      <c r="BA57" s="459"/>
      <c r="BB57" s="459"/>
      <c r="BC57" s="469"/>
      <c r="BD57" s="469"/>
      <c r="BE57" s="459"/>
      <c r="BF57" s="459"/>
      <c r="BG57" s="459"/>
      <c r="BH57" s="459"/>
      <c r="BI57" s="459"/>
      <c r="BJ57" s="459"/>
      <c r="BK57" s="459"/>
      <c r="BL57" s="459"/>
      <c r="BM57" s="459"/>
      <c r="BN57" s="459"/>
      <c r="BO57" s="459"/>
      <c r="BP57" s="459"/>
      <c r="BQ57" s="57"/>
      <c r="BR57" s="459"/>
      <c r="BS57" s="459"/>
      <c r="BT57" s="459"/>
    </row>
    <row r="58" spans="1:72">
      <c r="A58" s="501" t="s">
        <v>520</v>
      </c>
      <c r="B58" s="459"/>
      <c r="C58" s="459"/>
      <c r="D58" s="459"/>
      <c r="E58" s="459"/>
      <c r="F58" s="459"/>
      <c r="G58" s="459"/>
      <c r="H58" s="459"/>
      <c r="I58" s="459"/>
      <c r="J58" s="459"/>
      <c r="K58" s="459"/>
      <c r="L58" s="459"/>
      <c r="M58" s="459"/>
      <c r="N58" s="459"/>
      <c r="O58" s="459"/>
      <c r="P58" s="459"/>
      <c r="Q58" s="459"/>
      <c r="R58" s="459"/>
      <c r="S58" s="459"/>
      <c r="T58" s="459"/>
      <c r="U58" s="459"/>
      <c r="V58" s="459"/>
      <c r="W58" s="459"/>
      <c r="X58" s="459"/>
      <c r="Y58" s="459"/>
      <c r="Z58" s="459"/>
      <c r="AA58" s="459"/>
      <c r="AB58" s="459"/>
      <c r="AC58" s="459"/>
      <c r="AD58" s="459"/>
      <c r="AE58" s="459"/>
      <c r="AF58" s="459"/>
      <c r="AG58" s="459"/>
      <c r="AH58" s="459"/>
      <c r="AI58" s="459"/>
      <c r="AJ58" s="459"/>
      <c r="AK58" s="459"/>
      <c r="AL58" s="459"/>
      <c r="AM58" s="459"/>
      <c r="AN58" s="459"/>
      <c r="AO58" s="459"/>
      <c r="AP58" s="459"/>
      <c r="AQ58" s="459"/>
      <c r="AR58" s="459"/>
      <c r="AS58" s="459"/>
      <c r="AT58" s="459"/>
      <c r="AU58" s="459"/>
      <c r="AV58" s="459"/>
      <c r="AW58" s="459"/>
      <c r="AX58" s="459"/>
      <c r="AY58" s="459"/>
      <c r="AZ58" s="459"/>
      <c r="BA58" s="459"/>
      <c r="BB58" s="459"/>
      <c r="BC58" s="469"/>
      <c r="BD58" s="469"/>
      <c r="BE58" s="459"/>
      <c r="BF58" s="459"/>
      <c r="BG58" s="459"/>
      <c r="BH58" s="459"/>
      <c r="BI58" s="459"/>
      <c r="BJ58" s="459"/>
      <c r="BK58" s="459"/>
      <c r="BL58" s="459"/>
      <c r="BM58" s="459"/>
      <c r="BN58" s="459"/>
      <c r="BO58" s="459"/>
      <c r="BP58" s="459"/>
      <c r="BQ58" s="57"/>
      <c r="BR58" s="459"/>
      <c r="BS58" s="459"/>
      <c r="BT58" s="459"/>
    </row>
    <row r="59" spans="1:72">
      <c r="A59" s="459"/>
      <c r="B59" s="459"/>
      <c r="C59" s="459"/>
      <c r="D59" s="459"/>
      <c r="E59" s="459"/>
      <c r="F59" s="459"/>
      <c r="G59" s="459"/>
      <c r="H59" s="459"/>
      <c r="I59" s="459"/>
      <c r="J59" s="459"/>
      <c r="K59" s="459"/>
      <c r="L59" s="459"/>
      <c r="M59" s="459"/>
      <c r="N59" s="459"/>
      <c r="O59" s="459"/>
      <c r="P59" s="459"/>
      <c r="Q59" s="459"/>
      <c r="R59" s="459"/>
      <c r="S59" s="459"/>
      <c r="T59" s="459"/>
      <c r="U59" s="459"/>
      <c r="V59" s="459"/>
      <c r="W59" s="459"/>
      <c r="X59" s="459"/>
      <c r="Y59" s="459"/>
      <c r="Z59" s="459"/>
      <c r="AA59" s="459"/>
      <c r="AB59" s="459"/>
      <c r="AC59" s="459"/>
      <c r="AD59" s="459"/>
      <c r="AE59" s="459"/>
      <c r="AF59" s="459"/>
      <c r="AG59" s="459"/>
      <c r="AH59" s="459"/>
      <c r="AI59" s="459"/>
      <c r="AJ59" s="459"/>
      <c r="AK59" s="459"/>
      <c r="AL59" s="459"/>
      <c r="AM59" s="459"/>
      <c r="AN59" s="459"/>
      <c r="AO59" s="459"/>
      <c r="AP59" s="459"/>
      <c r="AQ59" s="459"/>
      <c r="AR59" s="459"/>
      <c r="AS59" s="459"/>
      <c r="AT59" s="459"/>
      <c r="AU59" s="459"/>
      <c r="AV59" s="459"/>
      <c r="AW59" s="459"/>
      <c r="AX59" s="459"/>
      <c r="AY59" s="459"/>
      <c r="AZ59" s="459"/>
      <c r="BA59" s="459"/>
      <c r="BB59" s="459"/>
      <c r="BC59" s="469"/>
      <c r="BD59" s="469"/>
      <c r="BE59" s="459"/>
      <c r="BF59" s="459"/>
      <c r="BG59" s="459"/>
      <c r="BH59" s="459"/>
      <c r="BI59" s="459"/>
      <c r="BJ59" s="459"/>
      <c r="BK59" s="459"/>
      <c r="BL59" s="459"/>
      <c r="BM59" s="459"/>
      <c r="BN59" s="459"/>
      <c r="BO59" s="459"/>
      <c r="BP59" s="459"/>
      <c r="BQ59" s="57"/>
      <c r="BR59" s="459"/>
      <c r="BS59" s="459"/>
      <c r="BT59" s="459"/>
    </row>
    <row r="60" spans="1:72">
      <c r="A60" s="459"/>
      <c r="B60" s="459"/>
      <c r="C60" s="502" t="s">
        <v>98</v>
      </c>
      <c r="D60" s="459"/>
      <c r="E60" s="459"/>
      <c r="F60" s="459"/>
      <c r="G60" s="459"/>
      <c r="H60" s="459"/>
      <c r="I60" s="502" t="str">
        <f>IF(I52=I22,"Yes","No")</f>
        <v>Yes</v>
      </c>
      <c r="J60" s="459"/>
      <c r="K60" s="502" t="str">
        <f>IF(K52=K22,"Yes","No")</f>
        <v>Yes</v>
      </c>
      <c r="L60" s="459"/>
      <c r="M60" s="502" t="str">
        <f>IF(M52=M22,"Yes","No")</f>
        <v>Yes</v>
      </c>
      <c r="N60" s="459"/>
      <c r="O60" s="502" t="str">
        <f>IF(O52=O22,"Yes","No")</f>
        <v>Yes</v>
      </c>
      <c r="P60" s="459"/>
      <c r="Q60" s="502" t="str">
        <f>IF(Q52=Q22,"Yes","No")</f>
        <v>Yes</v>
      </c>
      <c r="R60" s="459"/>
      <c r="S60" s="502" t="str">
        <f>IF(S52=S22,"Yes","No")</f>
        <v>Yes</v>
      </c>
      <c r="T60" s="459"/>
      <c r="U60" s="502" t="str">
        <f>IF(U52=U22,"Yes","No")</f>
        <v>Yes</v>
      </c>
      <c r="V60" s="459"/>
      <c r="W60" s="502" t="str">
        <f>IF(W52=W22,"Yes","No")</f>
        <v>Yes</v>
      </c>
      <c r="X60" s="459"/>
      <c r="Y60" s="502" t="str">
        <f>IF(Y52=Y22,"Yes","No")</f>
        <v>Yes</v>
      </c>
      <c r="Z60" s="459"/>
      <c r="AA60" s="502" t="str">
        <f>IF(AA52=AA22,"Yes","No")</f>
        <v>Yes</v>
      </c>
      <c r="AB60" s="459"/>
      <c r="AC60" s="502" t="str">
        <f>IF(AC52=AC22,"Yes","No")</f>
        <v>Yes</v>
      </c>
      <c r="AD60" s="459"/>
      <c r="AE60" s="502" t="str">
        <f>IF(AE52=AE22,"Yes","No")</f>
        <v>Yes</v>
      </c>
      <c r="AF60" s="459"/>
      <c r="AG60" s="502" t="str">
        <f>IF(AG52=AG22,"Yes","No")</f>
        <v>Yes</v>
      </c>
      <c r="AH60" s="459"/>
      <c r="AI60" s="502" t="str">
        <f>IF(AI52=AI22,"Yes","No")</f>
        <v>Yes</v>
      </c>
      <c r="AJ60" s="459"/>
      <c r="AK60" s="502" t="str">
        <f>IF(AK52=AK22,"Yes","No")</f>
        <v>Yes</v>
      </c>
      <c r="AL60" s="459"/>
      <c r="AM60" s="502" t="str">
        <f>IF(ROUND(AM52,2)=ROUND(AM22,2),"Yes","No")</f>
        <v>Yes</v>
      </c>
      <c r="AN60" s="459"/>
      <c r="AO60" s="502" t="str">
        <f>IF(ROUND(AO52,2)=ROUND(AO22,2),"Yes","No")</f>
        <v>Yes</v>
      </c>
      <c r="AP60" s="502"/>
      <c r="AQ60" s="502" t="str">
        <f>IF(AQ52=AQ22,"Yes","No")</f>
        <v>Yes</v>
      </c>
      <c r="AR60" s="502"/>
      <c r="AS60" s="502" t="str">
        <f>IF(AS52=AS22,"Yes","No")</f>
        <v>Yes</v>
      </c>
      <c r="AT60" s="502"/>
      <c r="AU60" s="502" t="str">
        <f>IF(AU52=AU22,"Yes","No")</f>
        <v>Yes</v>
      </c>
      <c r="AV60" s="502"/>
      <c r="AW60" s="502" t="str">
        <f>IF(AW52=AW22,"Yes","No")</f>
        <v>Yes</v>
      </c>
      <c r="AX60" s="502"/>
      <c r="AY60" s="502" t="str">
        <f>IF(AY52=AY22,"Yes","No")</f>
        <v>Yes</v>
      </c>
      <c r="AZ60" s="502"/>
      <c r="BA60" s="502" t="str">
        <f>IF(BA52=BA22,"Yes","No")</f>
        <v>Yes</v>
      </c>
      <c r="BB60" s="502"/>
      <c r="BC60" s="502" t="str">
        <f>IF(BC52=BC22,"Yes","No")</f>
        <v>Yes</v>
      </c>
      <c r="BD60" s="469"/>
      <c r="BE60" s="502" t="str">
        <f>IF(BE52=BE22,"Yes","No")</f>
        <v>Yes</v>
      </c>
      <c r="BF60" s="459"/>
      <c r="BG60" s="502" t="str">
        <f>IF(BG52=BG22,"Yes","No")</f>
        <v>Yes</v>
      </c>
      <c r="BH60" s="459"/>
      <c r="BI60" s="502" t="str">
        <f>IF(BI52=BI22,"Yes","No")</f>
        <v>Yes</v>
      </c>
      <c r="BJ60" s="459"/>
      <c r="BK60" s="502" t="str">
        <f>IF(BK52=BK22,"Yes","No")</f>
        <v>Yes</v>
      </c>
      <c r="BL60" s="459"/>
      <c r="BM60" s="502" t="str">
        <f>IF(BM52=BM22,"Yes","No")</f>
        <v>Yes</v>
      </c>
      <c r="BN60" s="459"/>
      <c r="BO60" s="502" t="str">
        <f>IF(BO52=BO22,"Yes","No")</f>
        <v>Yes</v>
      </c>
      <c r="BP60" s="459"/>
      <c r="BQ60" s="360" t="str">
        <f>IF(BQ52=BQ22,"Yes","No")</f>
        <v>Yes</v>
      </c>
      <c r="BR60" s="502"/>
      <c r="BS60" s="502"/>
      <c r="BT60" s="459"/>
    </row>
    <row r="61" spans="1:72">
      <c r="A61" s="459"/>
      <c r="B61" s="459"/>
      <c r="C61" s="459"/>
      <c r="D61" s="459"/>
      <c r="E61" s="459"/>
      <c r="F61" s="459"/>
      <c r="G61" s="459"/>
      <c r="H61" s="459"/>
      <c r="I61" s="459"/>
      <c r="J61" s="459"/>
      <c r="K61" s="459"/>
      <c r="L61" s="459"/>
      <c r="M61" s="459"/>
      <c r="N61" s="459"/>
      <c r="O61" s="459"/>
      <c r="P61" s="459"/>
      <c r="Q61" s="459"/>
      <c r="R61" s="459"/>
      <c r="S61" s="459"/>
      <c r="T61" s="459"/>
      <c r="U61" s="459"/>
      <c r="V61" s="459"/>
      <c r="W61" s="459" t="str">
        <f>IF(W60="no",W52-W22,"")</f>
        <v/>
      </c>
      <c r="X61" s="459"/>
      <c r="Y61" s="459" t="str">
        <f>IF(Y60="no",Y52-Y22,"")</f>
        <v/>
      </c>
      <c r="Z61" s="459"/>
      <c r="AA61" s="459" t="str">
        <f>IF(AA60="no",AA52-AA22,"")</f>
        <v/>
      </c>
      <c r="AB61" s="459"/>
      <c r="AC61" s="459" t="str">
        <f>IF(AC60="no",AC52-AC22,"")</f>
        <v/>
      </c>
      <c r="AD61" s="459"/>
      <c r="AE61" s="459" t="str">
        <f>IF(AE60="no",AE52-AE22,"")</f>
        <v/>
      </c>
      <c r="AF61" s="459"/>
      <c r="AG61" s="459" t="str">
        <f>IF(AG60="no",AG52-AG22,"")</f>
        <v/>
      </c>
      <c r="AH61" s="459"/>
      <c r="AI61" s="503" t="str">
        <f>IF(AI60="no",AI52-AI22,"")</f>
        <v/>
      </c>
      <c r="AJ61" s="459"/>
      <c r="AK61" s="504" t="str">
        <f>IF(AK60="no",AK52-AK22,"")</f>
        <v/>
      </c>
      <c r="AL61" s="504"/>
      <c r="AM61" s="504" t="str">
        <f>IF(AM60="no",AM52-AM22,"")</f>
        <v/>
      </c>
      <c r="AN61" s="504"/>
      <c r="AO61" s="504">
        <f>AO22-AO52</f>
        <v>0</v>
      </c>
      <c r="AP61" s="504"/>
      <c r="AQ61" s="504">
        <f>AQ22-AQ52</f>
        <v>0</v>
      </c>
      <c r="AR61" s="504"/>
      <c r="AS61" s="504">
        <f>AS22-AS52</f>
        <v>0</v>
      </c>
      <c r="AT61" s="504"/>
      <c r="AU61" s="504">
        <f>AU22-AU52</f>
        <v>0</v>
      </c>
      <c r="AV61" s="504"/>
      <c r="AW61" s="504">
        <f>AW22-AW52</f>
        <v>0</v>
      </c>
      <c r="AX61" s="504"/>
      <c r="AY61" s="504">
        <f>AY22-AY52</f>
        <v>0</v>
      </c>
      <c r="AZ61" s="504"/>
      <c r="BA61" s="504">
        <f>BA22-BA52</f>
        <v>0</v>
      </c>
      <c r="BB61" s="504"/>
      <c r="BC61" s="504">
        <f>BC22-BC52</f>
        <v>0</v>
      </c>
      <c r="BD61" s="504"/>
      <c r="BE61" s="1467">
        <f>BE22-BE52</f>
        <v>0</v>
      </c>
      <c r="BF61" s="504"/>
      <c r="BG61" s="504">
        <f>BG22-BG52</f>
        <v>0</v>
      </c>
      <c r="BH61" s="504"/>
      <c r="BI61" s="504">
        <f>BI22-BI52</f>
        <v>0</v>
      </c>
      <c r="BJ61" s="504"/>
      <c r="BK61" s="504">
        <f>BK22-BK52</f>
        <v>0</v>
      </c>
      <c r="BL61" s="504"/>
      <c r="BM61" s="504">
        <f>BM22-BM52</f>
        <v>0</v>
      </c>
      <c r="BN61" s="504"/>
      <c r="BO61" s="504">
        <f>BO22-BO52</f>
        <v>0</v>
      </c>
      <c r="BP61" s="504"/>
      <c r="BQ61" s="1850">
        <f>BQ22-BQ52</f>
        <v>0</v>
      </c>
      <c r="BR61" s="504"/>
      <c r="BS61" s="504"/>
      <c r="BT61" s="504"/>
    </row>
    <row r="62" spans="1:72">
      <c r="A62" s="459"/>
      <c r="B62" s="459"/>
      <c r="C62" s="459"/>
      <c r="D62" s="459"/>
      <c r="E62" s="459"/>
      <c r="F62" s="459"/>
      <c r="G62" s="459"/>
      <c r="H62" s="459"/>
      <c r="I62" s="459"/>
      <c r="J62" s="459"/>
      <c r="K62" s="459"/>
      <c r="L62" s="459"/>
      <c r="M62" s="459"/>
      <c r="N62" s="459"/>
      <c r="O62" s="459"/>
      <c r="P62" s="459"/>
      <c r="Q62" s="459"/>
      <c r="R62" s="459"/>
      <c r="S62" s="459"/>
      <c r="T62" s="459"/>
      <c r="U62" s="459"/>
      <c r="V62" s="459"/>
      <c r="W62" s="459"/>
      <c r="X62" s="459"/>
      <c r="Y62" s="459"/>
      <c r="Z62" s="459"/>
      <c r="AA62" s="459"/>
      <c r="AB62" s="459"/>
      <c r="AC62" s="459"/>
      <c r="AD62" s="459"/>
      <c r="AE62" s="459"/>
      <c r="AF62" s="459"/>
      <c r="AG62" s="479"/>
      <c r="AH62" s="459"/>
      <c r="AI62" s="459"/>
      <c r="AJ62" s="459"/>
      <c r="AK62" s="459"/>
      <c r="AL62" s="459"/>
      <c r="AM62" s="459"/>
      <c r="AN62" s="459"/>
      <c r="AO62" s="505"/>
      <c r="AP62" s="505"/>
      <c r="AQ62" s="505"/>
      <c r="AR62" s="505"/>
      <c r="AS62" s="504"/>
      <c r="AT62" s="504"/>
      <c r="AU62" s="504"/>
      <c r="AV62" s="504"/>
      <c r="AW62" s="504"/>
      <c r="AX62" s="504"/>
      <c r="AY62" s="504"/>
      <c r="AZ62" s="504"/>
      <c r="BA62" s="504"/>
      <c r="BB62" s="504"/>
      <c r="BC62" s="469"/>
      <c r="BD62" s="469"/>
      <c r="BE62" s="459"/>
      <c r="BF62" s="459"/>
      <c r="BG62" s="459"/>
      <c r="BH62" s="459"/>
      <c r="BI62" s="459"/>
      <c r="BJ62" s="459"/>
      <c r="BK62" s="459"/>
      <c r="BL62" s="459"/>
      <c r="BM62" s="459"/>
      <c r="BN62" s="459"/>
      <c r="BO62" s="459"/>
      <c r="BP62" s="459"/>
      <c r="BQ62" s="57"/>
      <c r="BR62" s="459"/>
      <c r="BS62" s="459"/>
      <c r="BT62" s="459"/>
    </row>
    <row r="63" spans="1:72">
      <c r="A63" s="459"/>
      <c r="B63" s="459"/>
      <c r="C63" s="459"/>
      <c r="D63" s="459"/>
      <c r="E63" s="459"/>
      <c r="F63" s="459"/>
      <c r="G63" s="459"/>
      <c r="H63" s="459"/>
      <c r="I63" s="459"/>
      <c r="J63" s="459"/>
      <c r="K63" s="459"/>
      <c r="L63" s="459"/>
      <c r="M63" s="459"/>
      <c r="N63" s="459"/>
      <c r="O63" s="459"/>
      <c r="P63" s="459"/>
      <c r="Q63" s="459"/>
      <c r="R63" s="459"/>
      <c r="S63" s="459"/>
      <c r="T63" s="459"/>
      <c r="U63" s="459"/>
      <c r="V63" s="459"/>
      <c r="W63" s="459"/>
      <c r="X63" s="459"/>
      <c r="Y63" s="459"/>
      <c r="Z63" s="459"/>
      <c r="AA63" s="459"/>
      <c r="AB63" s="459"/>
      <c r="AC63" s="459"/>
      <c r="AD63" s="459"/>
      <c r="AE63" s="459"/>
      <c r="AF63" s="459"/>
      <c r="AG63" s="459"/>
      <c r="AH63" s="459"/>
      <c r="AI63" s="459"/>
      <c r="AJ63" s="459"/>
      <c r="AK63" s="459"/>
      <c r="AL63" s="459"/>
      <c r="AM63" s="459"/>
      <c r="AN63" s="459"/>
      <c r="AO63" s="459"/>
      <c r="AP63" s="459"/>
      <c r="AQ63" s="459"/>
      <c r="AR63" s="459"/>
      <c r="AS63" s="506"/>
      <c r="AT63" s="459"/>
      <c r="AU63" s="459"/>
      <c r="AV63" s="459"/>
      <c r="AW63" s="459"/>
      <c r="AX63" s="459"/>
      <c r="AY63" s="459"/>
      <c r="AZ63" s="459"/>
      <c r="BA63" s="459"/>
      <c r="BB63" s="459"/>
      <c r="BC63" s="469"/>
      <c r="BD63" s="469"/>
      <c r="BE63" s="459"/>
      <c r="BF63" s="459"/>
      <c r="BG63" s="459"/>
      <c r="BH63" s="459"/>
      <c r="BI63" s="459"/>
      <c r="BJ63" s="459"/>
      <c r="BK63" s="459"/>
      <c r="BL63" s="459"/>
      <c r="BM63" s="459"/>
      <c r="BN63" s="459"/>
      <c r="BO63" s="459"/>
      <c r="BP63" s="459"/>
      <c r="BQ63" s="57"/>
      <c r="BR63" s="459"/>
      <c r="BS63" s="459"/>
      <c r="BT63" s="459"/>
    </row>
    <row r="64" spans="1:72">
      <c r="A64" s="459" t="s">
        <v>563</v>
      </c>
      <c r="B64" s="459"/>
      <c r="C64" s="459"/>
      <c r="D64" s="459"/>
      <c r="E64" s="459"/>
      <c r="F64" s="459"/>
      <c r="G64" s="459"/>
      <c r="H64" s="459"/>
      <c r="I64" s="459"/>
      <c r="J64" s="459"/>
      <c r="K64" s="459"/>
      <c r="L64" s="459"/>
      <c r="M64" s="459"/>
      <c r="N64" s="459"/>
      <c r="O64" s="459"/>
      <c r="P64" s="459"/>
      <c r="Q64" s="459"/>
      <c r="R64" s="459"/>
      <c r="S64" s="459"/>
      <c r="T64" s="459"/>
      <c r="U64" s="459"/>
      <c r="V64" s="459"/>
      <c r="W64" s="459"/>
      <c r="X64" s="459"/>
      <c r="Y64" s="459"/>
      <c r="Z64" s="459"/>
      <c r="AA64" s="459"/>
      <c r="AB64" s="459"/>
      <c r="AC64" s="459"/>
      <c r="AD64" s="459"/>
      <c r="AE64" s="459"/>
      <c r="AF64" s="459"/>
      <c r="AG64" s="459"/>
      <c r="AH64" s="459"/>
      <c r="AI64" s="459"/>
      <c r="AJ64" s="459"/>
      <c r="AK64" s="459"/>
      <c r="AL64" s="459"/>
      <c r="AM64" s="459"/>
      <c r="AN64" s="459"/>
      <c r="AO64" s="459"/>
      <c r="AP64" s="459"/>
      <c r="AQ64" s="459"/>
      <c r="AR64" s="459"/>
      <c r="AS64" s="459"/>
      <c r="AT64" s="459"/>
      <c r="AU64" s="459"/>
      <c r="AV64" s="459"/>
      <c r="AW64" s="459"/>
      <c r="AX64" s="459"/>
      <c r="AY64" s="459"/>
      <c r="AZ64" s="459"/>
      <c r="BA64" s="459"/>
      <c r="BB64" s="459"/>
      <c r="BC64" s="469"/>
      <c r="BD64" s="469"/>
      <c r="BE64" s="459"/>
      <c r="BF64" s="459"/>
      <c r="BG64" s="459"/>
      <c r="BH64" s="459"/>
      <c r="BI64" s="459"/>
      <c r="BJ64" s="459"/>
      <c r="BK64" s="459"/>
      <c r="BL64" s="459"/>
      <c r="BM64" s="459"/>
      <c r="BN64" s="459"/>
      <c r="BO64" s="459"/>
      <c r="BP64" s="459"/>
      <c r="BQ64" s="57"/>
      <c r="BR64" s="459"/>
      <c r="BS64" s="459"/>
      <c r="BT64" s="459"/>
    </row>
    <row r="65" spans="1:72">
      <c r="A65" s="459"/>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59"/>
      <c r="BC65" s="469"/>
      <c r="BD65" s="469"/>
      <c r="BE65" s="459"/>
      <c r="BF65" s="459"/>
      <c r="BG65" s="459"/>
      <c r="BH65" s="459"/>
      <c r="BI65" s="459"/>
      <c r="BJ65" s="459"/>
      <c r="BK65" s="459"/>
      <c r="BL65" s="459"/>
      <c r="BM65" s="459"/>
      <c r="BN65" s="459"/>
      <c r="BO65" s="459"/>
      <c r="BP65" s="459"/>
      <c r="BQ65" s="57"/>
      <c r="BR65" s="459"/>
      <c r="BS65" s="459"/>
      <c r="BT65" s="459"/>
    </row>
    <row r="66" spans="1:72">
      <c r="A66" s="459"/>
      <c r="B66" s="459" t="s">
        <v>560</v>
      </c>
      <c r="C66" s="459"/>
      <c r="D66" s="459"/>
      <c r="E66" s="507"/>
      <c r="F66" s="459"/>
      <c r="G66" s="507">
        <f>'qtrP&amp;L'!J14</f>
        <v>2518.893</v>
      </c>
      <c r="H66" s="459"/>
      <c r="I66" s="507">
        <f>'qtrP&amp;L'!N14</f>
        <v>2960.4090000000001</v>
      </c>
      <c r="J66" s="459"/>
      <c r="K66" s="507">
        <f>'qtrP&amp;L'!R14</f>
        <v>3295.6790000000001</v>
      </c>
      <c r="L66" s="459"/>
      <c r="M66" s="507">
        <f>'qtrP&amp;L'!V14</f>
        <v>3722.9399999999996</v>
      </c>
      <c r="N66" s="459"/>
      <c r="O66" s="507">
        <f>'qtrP&amp;L'!Z14</f>
        <v>4395.2530000000006</v>
      </c>
      <c r="P66" s="459"/>
      <c r="Q66" s="507">
        <f>'qtrP&amp;L'!AD14</f>
        <v>5284.3810000000003</v>
      </c>
      <c r="R66" s="459"/>
      <c r="S66" s="507">
        <f>'qtrP&amp;L'!AH14</f>
        <v>6507.8250000000007</v>
      </c>
      <c r="T66" s="459"/>
      <c r="U66" s="507">
        <f>'qtrP&amp;L'!AL14</f>
        <v>9054.4619999999995</v>
      </c>
      <c r="V66" s="459"/>
      <c r="W66" s="507">
        <f>'qtrP&amp;L'!AP14</f>
        <v>11635.398000000001</v>
      </c>
      <c r="X66" s="459"/>
      <c r="Y66" s="507">
        <f>'qtrP&amp;L'!AT14</f>
        <v>13673.46</v>
      </c>
      <c r="Z66" s="459"/>
      <c r="AA66" s="507">
        <f>'qtrP&amp;L'!AX14</f>
        <v>13847.873</v>
      </c>
      <c r="AB66" s="459"/>
      <c r="AC66" s="507">
        <f>'qtrP&amp;L'!BB14</f>
        <v>14454.708999999999</v>
      </c>
      <c r="AD66" s="459"/>
      <c r="AE66" s="507">
        <f>'qtrP&amp;L'!BF14</f>
        <v>15853.79</v>
      </c>
      <c r="AF66" s="459"/>
      <c r="AG66" s="507">
        <f>'yrP&amp;L'!P7</f>
        <v>16267.401000000002</v>
      </c>
      <c r="AH66" s="459"/>
      <c r="AI66" s="507">
        <f>'yrP&amp;L'!Q7</f>
        <v>16023.38</v>
      </c>
      <c r="AJ66" s="459"/>
      <c r="AK66" s="507">
        <f>'yrP&amp;L'!R7</f>
        <v>15923</v>
      </c>
      <c r="AL66" s="459"/>
      <c r="AM66" s="507">
        <f>'yrP&amp;L'!S7</f>
        <v>15763</v>
      </c>
      <c r="AN66" s="459"/>
      <c r="AO66" s="507">
        <f>'yrP&amp;L'!T7</f>
        <v>14526</v>
      </c>
      <c r="AP66" s="507"/>
      <c r="AQ66" s="507">
        <f>'yrP&amp;L'!U7</f>
        <v>14197</v>
      </c>
      <c r="AR66" s="507"/>
      <c r="AS66" s="507">
        <f>'yrP&amp;L'!V7</f>
        <v>14664</v>
      </c>
      <c r="AT66" s="507"/>
      <c r="AU66" s="507">
        <f>'yrP&amp;L'!W7</f>
        <v>14549</v>
      </c>
      <c r="AV66" s="507"/>
      <c r="AW66" s="507">
        <f>'yrP&amp;L'!X7</f>
        <v>15651</v>
      </c>
      <c r="AX66" s="507">
        <f>'yrP&amp;L'!Y7</f>
        <v>16148</v>
      </c>
      <c r="AY66" s="507">
        <v>16148</v>
      </c>
      <c r="AZ66" s="507"/>
      <c r="BA66" s="507">
        <f>'yrP&amp;L'!Z7</f>
        <v>16435</v>
      </c>
      <c r="BB66" s="507"/>
      <c r="BC66" s="507">
        <f>'yrP&amp;L'!AA7</f>
        <v>15797</v>
      </c>
      <c r="BD66" s="507"/>
      <c r="BE66" s="507">
        <f>'yrP&amp;L'!AB7</f>
        <v>15516</v>
      </c>
      <c r="BF66" s="507"/>
      <c r="BG66" s="507">
        <f>'yrP&amp;L'!AC7</f>
        <v>15855</v>
      </c>
      <c r="BH66" s="507"/>
      <c r="BI66" s="507">
        <f>'yrP&amp;L'!AD7</f>
        <v>16007.374239900169</v>
      </c>
      <c r="BJ66" s="507"/>
      <c r="BK66" s="507">
        <f>'yrP&amp;L'!AE7</f>
        <v>15929.412165188094</v>
      </c>
      <c r="BL66" s="507"/>
      <c r="BM66" s="507">
        <f>'yrP&amp;L'!AF7</f>
        <v>15853.165473056992</v>
      </c>
      <c r="BN66" s="507"/>
      <c r="BO66" s="507">
        <f>'yrP&amp;L'!AG7</f>
        <v>15789.040595885397</v>
      </c>
      <c r="BP66" s="507"/>
      <c r="BQ66" s="196">
        <f>'yrP&amp;L'!AH7</f>
        <v>15718.713972636162</v>
      </c>
      <c r="BR66" s="507"/>
      <c r="BS66" s="507"/>
      <c r="BT66" s="507"/>
    </row>
    <row r="67" spans="1:72">
      <c r="A67" s="459"/>
      <c r="B67" s="459" t="s">
        <v>561</v>
      </c>
      <c r="C67" s="459"/>
      <c r="D67" s="459"/>
      <c r="E67" s="506"/>
      <c r="F67" s="459"/>
      <c r="G67" s="507">
        <f>'qtrP&amp;L'!J24</f>
        <v>1568.921</v>
      </c>
      <c r="H67" s="459"/>
      <c r="I67" s="507">
        <f>'qtrP&amp;L'!N24</f>
        <v>1955.5530000000001</v>
      </c>
      <c r="J67" s="459"/>
      <c r="K67" s="507">
        <f>'qtrP&amp;L'!R24</f>
        <v>2121.7889999999998</v>
      </c>
      <c r="L67" s="459"/>
      <c r="M67" s="507">
        <f>'qtrP&amp;L'!V24</f>
        <v>2350.9960000000001</v>
      </c>
      <c r="N67" s="459"/>
      <c r="O67" s="507">
        <f>'qtrP&amp;L'!Z24</f>
        <v>2821.4549999999999</v>
      </c>
      <c r="P67" s="459"/>
      <c r="Q67" s="507">
        <f>'qtrP&amp;L'!AD24</f>
        <v>3285.1660000000002</v>
      </c>
      <c r="R67" s="459"/>
      <c r="S67" s="507">
        <f>'qtrP&amp;L'!AH24</f>
        <v>4021.5410000000002</v>
      </c>
      <c r="T67" s="459"/>
      <c r="U67" s="507">
        <f>'qtrP&amp;L'!AL24</f>
        <v>5318.2179999999998</v>
      </c>
      <c r="V67" s="459"/>
      <c r="W67" s="507">
        <f>'qtrP&amp;L'!AP24</f>
        <v>6775.2610000000004</v>
      </c>
      <c r="X67" s="459"/>
      <c r="Y67" s="507">
        <f>'qtrP&amp;L'!AT24</f>
        <v>8599.4420000000009</v>
      </c>
      <c r="Z67" s="459"/>
      <c r="AA67" s="507">
        <f>'qtrP&amp;L'!AX24</f>
        <v>9704.389000000001</v>
      </c>
      <c r="AB67" s="459"/>
      <c r="AC67" s="506">
        <f>'qtrP&amp;L'!BB24</f>
        <v>9541.5580000000009</v>
      </c>
      <c r="AD67" s="459"/>
      <c r="AE67" s="506">
        <f>'qtrP&amp;L'!BF24</f>
        <v>9884.7890000000007</v>
      </c>
      <c r="AF67" s="459"/>
      <c r="AG67" s="506">
        <f>+'yrP&amp;L'!P12+'yrP&amp;L'!P30</f>
        <v>9886.3539999999994</v>
      </c>
      <c r="AH67" s="459"/>
      <c r="AI67" s="506">
        <f>+'yrP&amp;L'!Q12+'yrP&amp;L'!Q30</f>
        <v>10153.833999999999</v>
      </c>
      <c r="AJ67" s="459"/>
      <c r="AK67" s="506">
        <f>+'yrP&amp;L'!R12+'yrP&amp;L'!R30</f>
        <v>10266</v>
      </c>
      <c r="AL67" s="459"/>
      <c r="AM67" s="506">
        <f>+'yrP&amp;L'!S12+'yrP&amp;L'!S30</f>
        <v>10071</v>
      </c>
      <c r="AN67" s="459"/>
      <c r="AO67" s="506">
        <f>+'yrP&amp;L'!T12+'yrP&amp;L'!T30</f>
        <v>9079</v>
      </c>
      <c r="AP67" s="506"/>
      <c r="AQ67" s="506">
        <f>+'yrP&amp;L'!U12+'yrP&amp;L'!U30</f>
        <v>8473</v>
      </c>
      <c r="AR67" s="506"/>
      <c r="AS67" s="506">
        <f>+'yrP&amp;L'!V12+'yrP&amp;L'!V30</f>
        <v>8775</v>
      </c>
      <c r="AT67" s="506"/>
      <c r="AU67" s="506">
        <f>+'yrP&amp;L'!W12+'yrP&amp;L'!W30</f>
        <v>9275</v>
      </c>
      <c r="AV67" s="506"/>
      <c r="AW67" s="506">
        <f>+'yrP&amp;L'!X12+'yrP&amp;L'!X30</f>
        <v>9480</v>
      </c>
      <c r="AX67" s="506">
        <f>+'yrP&amp;L'!Y12+'yrP&amp;L'!Y30</f>
        <v>9855</v>
      </c>
      <c r="AY67" s="506">
        <f>+'yrP&amp;L'!Y12+'yrP&amp;L'!Y30</f>
        <v>9855</v>
      </c>
      <c r="AZ67" s="506"/>
      <c r="BA67" s="506">
        <f>+'yrP&amp;L'!Z12+'yrP&amp;L'!Z30</f>
        <v>10146</v>
      </c>
      <c r="BB67" s="506"/>
      <c r="BC67" s="506">
        <f>+'yrP&amp;L'!AA12+'yrP&amp;L'!AA30</f>
        <v>10044</v>
      </c>
      <c r="BD67" s="506"/>
      <c r="BE67" s="506">
        <f>+'yrP&amp;L'!AB12+'yrP&amp;L'!AB30</f>
        <v>9868</v>
      </c>
      <c r="BF67" s="506"/>
      <c r="BG67" s="506">
        <f>+'yrP&amp;L'!AC12+'yrP&amp;L'!AC30</f>
        <v>9789</v>
      </c>
      <c r="BH67" s="506"/>
      <c r="BI67" s="506">
        <f>+'yrP&amp;L'!AD12+'yrP&amp;L'!AD30</f>
        <v>9942.8848606534903</v>
      </c>
      <c r="BJ67" s="506"/>
      <c r="BK67" s="506">
        <f>'yrP&amp;L'!AE10</f>
        <v>9939.061537853433</v>
      </c>
      <c r="BL67" s="506"/>
      <c r="BM67" s="506">
        <f>'yrP&amp;L'!AF10</f>
        <v>9923.1942008392871</v>
      </c>
      <c r="BN67" s="506"/>
      <c r="BO67" s="506">
        <f>'yrP&amp;L'!AG10</f>
        <v>9914.633698329264</v>
      </c>
      <c r="BP67" s="506"/>
      <c r="BQ67" s="248">
        <f>'yrP&amp;L'!AH10</f>
        <v>9901.9099434260806</v>
      </c>
      <c r="BR67" s="506"/>
      <c r="BS67" s="506"/>
      <c r="BT67" s="506"/>
    </row>
    <row r="68" spans="1:72">
      <c r="A68" s="459"/>
      <c r="B68" s="459" t="s">
        <v>562</v>
      </c>
      <c r="C68" s="459"/>
      <c r="D68" s="459"/>
      <c r="E68" s="506"/>
      <c r="F68" s="459"/>
      <c r="G68" s="507">
        <f>'qtrP&amp;L'!J34</f>
        <v>575.68599999999992</v>
      </c>
      <c r="H68" s="459"/>
      <c r="I68" s="507">
        <f>'qtrP&amp;L'!N34</f>
        <v>661.25199999999995</v>
      </c>
      <c r="J68" s="459"/>
      <c r="K68" s="507">
        <f>'qtrP&amp;L'!R34</f>
        <v>748.19299999999998</v>
      </c>
      <c r="L68" s="459"/>
      <c r="M68" s="507">
        <f>'qtrP&amp;L'!V34</f>
        <v>853.52400000000011</v>
      </c>
      <c r="N68" s="459"/>
      <c r="O68" s="507">
        <f>'qtrP&amp;L'!Z34</f>
        <v>1004.396</v>
      </c>
      <c r="P68" s="459"/>
      <c r="Q68" s="507">
        <f>'qtrP&amp;L'!AD34</f>
        <v>1270.1379999999999</v>
      </c>
      <c r="R68" s="459"/>
      <c r="S68" s="507">
        <f>'qtrP&amp;L'!AH34</f>
        <v>1635.0169999999998</v>
      </c>
      <c r="T68" s="459"/>
      <c r="U68" s="507">
        <f>'qtrP&amp;L'!AL34</f>
        <v>2403.3649999999998</v>
      </c>
      <c r="V68" s="459"/>
      <c r="W68" s="507">
        <f>'qtrP&amp;L'!AP34</f>
        <v>3043.4319999999998</v>
      </c>
      <c r="X68" s="459"/>
      <c r="Y68" s="507">
        <f>'qtrP&amp;L'!AT34</f>
        <v>3629.2569999999996</v>
      </c>
      <c r="Z68" s="459"/>
      <c r="AA68" s="507">
        <f>'qtrP&amp;L'!AX34</f>
        <v>3805.9680000000003</v>
      </c>
      <c r="AB68" s="459"/>
      <c r="AC68" s="506">
        <f>'qtrP&amp;L'!BB34</f>
        <v>3900.5220000000004</v>
      </c>
      <c r="AD68" s="459"/>
      <c r="AE68" s="506">
        <f>'qtrP&amp;L'!BF34</f>
        <v>4089.53</v>
      </c>
      <c r="AF68" s="459"/>
      <c r="AG68" s="506">
        <f>'yrP&amp;L'!P21</f>
        <v>4401</v>
      </c>
      <c r="AH68" s="459"/>
      <c r="AI68" s="506">
        <f>'yrP&amp;L'!Q21</f>
        <v>4125.277</v>
      </c>
      <c r="AJ68" s="459"/>
      <c r="AK68" s="506">
        <f>'yrP&amp;L'!R21</f>
        <v>4432</v>
      </c>
      <c r="AL68" s="459"/>
      <c r="AM68" s="506">
        <f>'yrP&amp;L'!S21</f>
        <v>4348</v>
      </c>
      <c r="AN68" s="459"/>
      <c r="AO68" s="506">
        <f>'yrP&amp;L'!T21</f>
        <v>3899</v>
      </c>
      <c r="AP68" s="506"/>
      <c r="AQ68" s="506">
        <f>'yrP&amp;L'!U21</f>
        <v>3909</v>
      </c>
      <c r="AR68" s="506"/>
      <c r="AS68" s="506">
        <f>'yrP&amp;L'!V21</f>
        <v>3921</v>
      </c>
      <c r="AT68" s="506"/>
      <c r="AU68" s="506">
        <f>'yrP&amp;L'!W21</f>
        <v>3836</v>
      </c>
      <c r="AV68" s="506"/>
      <c r="AW68" s="506">
        <f>'yrP&amp;L'!X21</f>
        <v>4229</v>
      </c>
      <c r="AX68" s="506">
        <f>'yrP&amp;L'!Y21</f>
        <v>4144</v>
      </c>
      <c r="AY68" s="506">
        <f>'yrP&amp;L'!Y21</f>
        <v>4144</v>
      </c>
      <c r="AZ68" s="506"/>
      <c r="BA68" s="506">
        <f>'yrP&amp;L'!Z21</f>
        <v>4245</v>
      </c>
      <c r="BB68" s="506"/>
      <c r="BC68" s="506">
        <f>'yrP&amp;L'!AA21</f>
        <v>4097</v>
      </c>
      <c r="BD68" s="506"/>
      <c r="BE68" s="506">
        <f>'yrP&amp;L'!AB21</f>
        <v>4254</v>
      </c>
      <c r="BF68" s="506"/>
      <c r="BG68" s="506">
        <f>'yrP&amp;L'!AC21</f>
        <v>4651</v>
      </c>
      <c r="BH68" s="506"/>
      <c r="BI68" s="506">
        <f>'yrP&amp;L'!AD21</f>
        <v>4683.5822655465763</v>
      </c>
      <c r="BJ68" s="506"/>
      <c r="BK68" s="506">
        <f>'yrP&amp;L'!AE21</f>
        <v>4683.247176565299</v>
      </c>
      <c r="BL68" s="506"/>
      <c r="BM68" s="506">
        <f>'yrP&amp;L'!AF21</f>
        <v>4681.4397641937294</v>
      </c>
      <c r="BN68" s="506"/>
      <c r="BO68" s="506">
        <f>'yrP&amp;L'!AG21</f>
        <v>4683.0294407396086</v>
      </c>
      <c r="BP68" s="506"/>
      <c r="BQ68" s="248">
        <f>'yrP&amp;L'!AH21</f>
        <v>4681.0330210510492</v>
      </c>
      <c r="BR68" s="506"/>
      <c r="BS68" s="506"/>
      <c r="BT68" s="506"/>
    </row>
    <row r="69" spans="1:72">
      <c r="A69" s="459"/>
      <c r="B69" s="459" t="s">
        <v>564</v>
      </c>
      <c r="C69" s="459"/>
      <c r="D69" s="459"/>
      <c r="E69" s="506"/>
      <c r="F69" s="459"/>
      <c r="G69" s="507">
        <f>'qtrP&amp;L'!J111</f>
        <v>229.8730000000001</v>
      </c>
      <c r="H69" s="459"/>
      <c r="I69" s="507">
        <f>'qtrP&amp;L'!N111</f>
        <v>210.70099999999991</v>
      </c>
      <c r="J69" s="459"/>
      <c r="K69" s="507">
        <f>'qtrP&amp;L'!R111</f>
        <v>258.42400000000009</v>
      </c>
      <c r="L69" s="459"/>
      <c r="M69" s="507">
        <f>'qtrP&amp;L'!V111</f>
        <v>320.23986499999978</v>
      </c>
      <c r="N69" s="459"/>
      <c r="O69" s="507">
        <f>'qtrP&amp;L'!Z111</f>
        <v>354.0390000000001</v>
      </c>
      <c r="P69" s="459"/>
      <c r="Q69" s="507">
        <f>'qtrP&amp;L'!AD111</f>
        <v>452.85900000000015</v>
      </c>
      <c r="R69" s="459"/>
      <c r="S69" s="507">
        <f>'qtrP&amp;L'!AH111</f>
        <v>533.90099999999984</v>
      </c>
      <c r="T69" s="459"/>
      <c r="U69" s="507">
        <f>'qtrP&amp;L'!AL111</f>
        <v>824.53899999999976</v>
      </c>
      <c r="V69" s="459"/>
      <c r="W69" s="507">
        <f>'qtrP&amp;L'!AP111</f>
        <v>1127.0649999999994</v>
      </c>
      <c r="X69" s="459"/>
      <c r="Y69" s="507">
        <f>'qtrP&amp;L'!AT111</f>
        <v>877.49699999999984</v>
      </c>
      <c r="Z69" s="459"/>
      <c r="AA69" s="507">
        <f>'qtrP&amp;L'!AX111</f>
        <v>-7.7640000000001592</v>
      </c>
      <c r="AB69" s="459"/>
      <c r="AC69" s="506">
        <f>'qtrP&amp;L'!BB111</f>
        <v>477.45700000000033</v>
      </c>
      <c r="AD69" s="459"/>
      <c r="AE69" s="506">
        <f>'qtrP&amp;L'!BF111</f>
        <v>1030.7220000000002</v>
      </c>
      <c r="AF69" s="459"/>
      <c r="AG69" s="506">
        <f>'qtrP&amp;L'!BJ111</f>
        <v>1150.3410000000001</v>
      </c>
      <c r="AH69" s="459"/>
      <c r="AI69" s="506">
        <f>'yrP&amp;L'!Q45</f>
        <v>1112.6220000000008</v>
      </c>
      <c r="AJ69" s="459"/>
      <c r="AK69" s="506">
        <f>'yrP&amp;L'!R45</f>
        <v>809.19100000000003</v>
      </c>
      <c r="AL69" s="459"/>
      <c r="AM69" s="506">
        <f>'yrP&amp;L'!S45</f>
        <v>892.31046000000003</v>
      </c>
      <c r="AN69" s="459"/>
      <c r="AO69" s="506">
        <f>'yrP&amp;L'!T45</f>
        <v>967</v>
      </c>
      <c r="AP69" s="506"/>
      <c r="AQ69" s="506">
        <f>'yrP&amp;L'!U45</f>
        <v>1102</v>
      </c>
      <c r="AR69" s="506"/>
      <c r="AS69" s="506">
        <f>'yrP&amp;L'!V45</f>
        <v>1204</v>
      </c>
      <c r="AT69" s="506"/>
      <c r="AU69" s="506">
        <f>'yrP&amp;L'!W45</f>
        <v>833</v>
      </c>
      <c r="AV69" s="506"/>
      <c r="AW69" s="506">
        <f>'yrP&amp;L'!X45</f>
        <v>1135</v>
      </c>
      <c r="AX69" s="506">
        <f>'yrP&amp;L'!Y45</f>
        <v>1280</v>
      </c>
      <c r="AY69" s="506">
        <f>'yrP&amp;L'!Y45</f>
        <v>1280</v>
      </c>
      <c r="AZ69" s="506"/>
      <c r="BA69" s="506">
        <f>'yrP&amp;L'!Z45</f>
        <v>1240</v>
      </c>
      <c r="BB69" s="506"/>
      <c r="BC69" s="506">
        <f>'yrP&amp;L'!AA45</f>
        <v>1001.885</v>
      </c>
      <c r="BD69" s="506"/>
      <c r="BE69" s="506">
        <f>'yrP&amp;L'!AB45</f>
        <v>809.17</v>
      </c>
      <c r="BF69" s="506"/>
      <c r="BG69" s="506">
        <f>'yrP&amp;L'!AC45</f>
        <v>842.31999999999994</v>
      </c>
      <c r="BH69" s="506"/>
      <c r="BI69" s="506">
        <f>'yrP&amp;L'!AD45</f>
        <v>982.6512641380757</v>
      </c>
      <c r="BJ69" s="506"/>
      <c r="BK69" s="506">
        <f>'yrP&amp;L'!AE45</f>
        <v>928.03655356932757</v>
      </c>
      <c r="BL69" s="506"/>
      <c r="BM69" s="506">
        <f>'yrP&amp;L'!AF45</f>
        <v>884.69331593774132</v>
      </c>
      <c r="BN69" s="506"/>
      <c r="BO69" s="506">
        <f>'yrP&amp;L'!AG45</f>
        <v>842.39931804422781</v>
      </c>
      <c r="BP69" s="506"/>
      <c r="BQ69" s="248">
        <f>'yrP&amp;L'!AH45</f>
        <v>801.25054603768353</v>
      </c>
      <c r="BR69" s="506"/>
      <c r="BS69" s="506"/>
      <c r="BT69" s="506"/>
    </row>
    <row r="70" spans="1:72">
      <c r="A70" s="459"/>
      <c r="B70" s="459"/>
      <c r="C70" s="459"/>
      <c r="D70" s="459"/>
      <c r="E70" s="459"/>
      <c r="F70" s="459"/>
      <c r="G70" s="459"/>
      <c r="H70" s="459"/>
      <c r="I70" s="459"/>
      <c r="J70" s="459"/>
      <c r="K70" s="459"/>
      <c r="L70" s="459"/>
      <c r="M70" s="459"/>
      <c r="N70" s="459"/>
      <c r="O70" s="459"/>
      <c r="P70" s="459"/>
      <c r="Q70" s="459"/>
      <c r="R70" s="459"/>
      <c r="S70" s="459"/>
      <c r="T70" s="459"/>
      <c r="U70" s="459"/>
      <c r="V70" s="459"/>
      <c r="W70" s="459"/>
      <c r="X70" s="459"/>
      <c r="Y70" s="459"/>
      <c r="Z70" s="459"/>
      <c r="AA70" s="459"/>
      <c r="AB70" s="459"/>
      <c r="AC70" s="459"/>
      <c r="AD70" s="459"/>
      <c r="AE70" s="459"/>
      <c r="AF70" s="459"/>
      <c r="AG70" s="459"/>
      <c r="AH70" s="459"/>
      <c r="AI70" s="459"/>
      <c r="AJ70" s="459"/>
      <c r="AK70" s="459"/>
      <c r="AL70" s="459"/>
      <c r="AM70" s="459"/>
      <c r="AN70" s="459"/>
      <c r="AO70" s="459"/>
      <c r="AP70" s="459"/>
      <c r="AQ70" s="459"/>
      <c r="AR70" s="459"/>
      <c r="AS70" s="459"/>
      <c r="AT70" s="459"/>
      <c r="AU70" s="459"/>
      <c r="AV70" s="459"/>
      <c r="AW70" s="459"/>
      <c r="AX70" s="459"/>
      <c r="AY70" s="459"/>
      <c r="AZ70" s="459"/>
      <c r="BA70" s="459"/>
      <c r="BB70" s="459"/>
      <c r="BC70" s="469"/>
      <c r="BD70" s="469"/>
      <c r="BE70" s="459"/>
      <c r="BF70" s="459"/>
      <c r="BG70" s="459"/>
      <c r="BH70" s="459"/>
      <c r="BI70" s="459"/>
      <c r="BJ70" s="459"/>
      <c r="BK70" s="459"/>
      <c r="BL70" s="459"/>
      <c r="BM70" s="459"/>
      <c r="BN70" s="459"/>
      <c r="BO70" s="459"/>
      <c r="BP70" s="459"/>
      <c r="BQ70" s="57"/>
      <c r="BR70" s="459"/>
      <c r="BS70" s="459"/>
      <c r="BT70" s="459"/>
    </row>
    <row r="71" spans="1:72">
      <c r="A71" s="459" t="s">
        <v>31</v>
      </c>
      <c r="B71" s="459" t="s">
        <v>565</v>
      </c>
      <c r="C71" s="459"/>
      <c r="D71" s="459"/>
      <c r="E71" s="488"/>
      <c r="F71" s="459"/>
      <c r="G71" s="488">
        <f>G11/G66</f>
        <v>0</v>
      </c>
      <c r="H71" s="459"/>
      <c r="I71" s="488">
        <f>I11/I66</f>
        <v>3.3394034405381146E-3</v>
      </c>
      <c r="J71" s="459"/>
      <c r="K71" s="488">
        <f>K11/K66</f>
        <v>4.6196853516377052E-3</v>
      </c>
      <c r="L71" s="459"/>
      <c r="M71" s="488">
        <f>M11/M66</f>
        <v>0</v>
      </c>
      <c r="N71" s="459"/>
      <c r="O71" s="488">
        <f>O11/O66</f>
        <v>0</v>
      </c>
      <c r="P71" s="459"/>
      <c r="Q71" s="488">
        <f>Q11/Q66</f>
        <v>0</v>
      </c>
      <c r="R71" s="459"/>
      <c r="S71" s="488">
        <f>S11/S66</f>
        <v>0</v>
      </c>
      <c r="T71" s="459"/>
      <c r="U71" s="488">
        <f>U11/U66</f>
        <v>0</v>
      </c>
      <c r="V71" s="459"/>
      <c r="W71" s="488">
        <f>W11/W66</f>
        <v>0</v>
      </c>
      <c r="X71" s="459"/>
      <c r="Y71" s="488">
        <f>Y11/Y66</f>
        <v>0</v>
      </c>
      <c r="Z71" s="459"/>
      <c r="AA71" s="488">
        <f>AA11/AA66</f>
        <v>0</v>
      </c>
      <c r="AB71" s="459"/>
      <c r="AC71" s="488">
        <f>AC11/AC66</f>
        <v>0</v>
      </c>
      <c r="AD71" s="459"/>
      <c r="AE71" s="488">
        <f>AE11/AE66</f>
        <v>0</v>
      </c>
      <c r="AF71" s="459"/>
      <c r="AG71" s="488">
        <f>AG11/AG66</f>
        <v>0</v>
      </c>
      <c r="AH71" s="459"/>
      <c r="AI71" s="488">
        <f>AI11/AI66</f>
        <v>0</v>
      </c>
      <c r="AJ71" s="459"/>
      <c r="AK71" s="488">
        <f>AK11/AK66</f>
        <v>0</v>
      </c>
      <c r="AL71" s="459"/>
      <c r="AM71" s="488">
        <f>AM11/AM66</f>
        <v>0</v>
      </c>
      <c r="AN71" s="459"/>
      <c r="AO71" s="488">
        <f>AO11/AO66</f>
        <v>0</v>
      </c>
      <c r="AP71" s="488"/>
      <c r="AQ71" s="488">
        <f>AQ11/AQ66</f>
        <v>0</v>
      </c>
      <c r="AR71" s="488"/>
      <c r="AS71" s="488">
        <f>AS11/AS66</f>
        <v>0</v>
      </c>
      <c r="AT71" s="488"/>
      <c r="AU71" s="488">
        <f>AU11/AU66</f>
        <v>0</v>
      </c>
      <c r="AV71" s="488"/>
      <c r="AW71" s="488">
        <f>AW11/AW66</f>
        <v>0</v>
      </c>
      <c r="AX71" s="488">
        <f>AX11/AX66</f>
        <v>0</v>
      </c>
      <c r="AY71" s="488">
        <f>AY11/AY66</f>
        <v>0</v>
      </c>
      <c r="AZ71" s="488"/>
      <c r="BA71" s="488">
        <f>BA11/BA66</f>
        <v>0</v>
      </c>
      <c r="BB71" s="488"/>
      <c r="BC71" s="488">
        <f>BC10/BC66</f>
        <v>0</v>
      </c>
      <c r="BD71" s="488"/>
      <c r="BE71" s="488">
        <f>BE10/BE66</f>
        <v>0</v>
      </c>
      <c r="BF71" s="488"/>
      <c r="BG71" s="488">
        <f>BG10/BG66</f>
        <v>0</v>
      </c>
      <c r="BH71" s="488"/>
      <c r="BI71" s="488">
        <f>BI10/BI66</f>
        <v>0</v>
      </c>
      <c r="BJ71" s="488"/>
      <c r="BK71" s="488">
        <f>BK10/BK66</f>
        <v>0</v>
      </c>
      <c r="BL71" s="488"/>
      <c r="BM71" s="488">
        <f>BM10/BM66</f>
        <v>0</v>
      </c>
      <c r="BN71" s="488"/>
      <c r="BO71" s="488">
        <f>BO10/BO66</f>
        <v>0</v>
      </c>
      <c r="BP71" s="488"/>
      <c r="BQ71" s="1851">
        <f>BQ10/BQ66</f>
        <v>0</v>
      </c>
      <c r="BR71" s="488"/>
      <c r="BS71" s="488"/>
      <c r="BT71" s="488"/>
    </row>
    <row r="72" spans="1:72">
      <c r="A72" s="459" t="s">
        <v>31</v>
      </c>
      <c r="B72" s="459" t="s">
        <v>567</v>
      </c>
      <c r="C72" s="459"/>
      <c r="D72" s="459"/>
      <c r="E72" s="488"/>
      <c r="F72" s="459"/>
      <c r="G72" s="488">
        <f>G12/G66</f>
        <v>0.12461783807410637</v>
      </c>
      <c r="H72" s="459"/>
      <c r="I72" s="488">
        <f>I12/I66</f>
        <v>0.12352752609521184</v>
      </c>
      <c r="J72" s="459"/>
      <c r="K72" s="488">
        <f>K12/K66</f>
        <v>0.10048156995872473</v>
      </c>
      <c r="L72" s="459"/>
      <c r="M72" s="488">
        <f>M12/M66</f>
        <v>9.9555190252864675E-2</v>
      </c>
      <c r="N72" s="459"/>
      <c r="O72" s="488">
        <f>O12/O66</f>
        <v>0.1097945897539914</v>
      </c>
      <c r="P72" s="459"/>
      <c r="Q72" s="488">
        <f>Q12/Q66</f>
        <v>0.10952370769632241</v>
      </c>
      <c r="R72" s="459"/>
      <c r="S72" s="488">
        <f>S12/S66</f>
        <v>0.11266037424177815</v>
      </c>
      <c r="T72" s="459"/>
      <c r="U72" s="488">
        <f>U12/U66</f>
        <v>0.1166766175615956</v>
      </c>
      <c r="V72" s="459"/>
      <c r="W72" s="488">
        <f>W12/W66</f>
        <v>0.12565491958246722</v>
      </c>
      <c r="X72" s="459"/>
      <c r="Y72" s="488">
        <f>Y12/Y66</f>
        <v>0.13925904635695721</v>
      </c>
      <c r="Z72" s="459"/>
      <c r="AA72" s="488">
        <f>AA12/AA66</f>
        <v>0.12771730358878941</v>
      </c>
      <c r="AB72" s="459"/>
      <c r="AC72" s="488">
        <f>AC12/AC66</f>
        <v>0.1416839315132529</v>
      </c>
      <c r="AD72" s="459"/>
      <c r="AE72" s="488">
        <f>AE12/AE66</f>
        <v>0.10748218564772208</v>
      </c>
      <c r="AF72" s="459"/>
      <c r="AG72" s="488">
        <f>AG12/AG66</f>
        <v>0.11151135943596643</v>
      </c>
      <c r="AH72" s="459"/>
      <c r="AI72" s="488">
        <f>AI12/AI66</f>
        <v>0.10584533350641376</v>
      </c>
      <c r="AJ72" s="459"/>
      <c r="AK72" s="488">
        <f>AK12/AK66</f>
        <v>0.1127928154242291</v>
      </c>
      <c r="AL72" s="459"/>
      <c r="AM72" s="488">
        <f>AM12/AM66</f>
        <v>9.9917528389266E-2</v>
      </c>
      <c r="AN72" s="459"/>
      <c r="AO72" s="488">
        <f>AO12/AO66</f>
        <v>0.10367616687319289</v>
      </c>
      <c r="AP72" s="488"/>
      <c r="AQ72" s="488">
        <f>AQ12/AQ66</f>
        <v>0.10403606395717405</v>
      </c>
      <c r="AR72" s="508"/>
      <c r="AS72" s="488">
        <f>AS12/AS66</f>
        <v>0.1104746317512275</v>
      </c>
      <c r="AT72" s="508"/>
      <c r="AU72" s="488">
        <f>AU12/AU66</f>
        <v>0.11100419272802255</v>
      </c>
      <c r="AV72" s="508"/>
      <c r="AW72" s="488">
        <f>AW12/AW66</f>
        <v>0.11232509104849531</v>
      </c>
      <c r="AX72" s="488">
        <f>AX12/AX66</f>
        <v>0</v>
      </c>
      <c r="AY72" s="488">
        <f>AY12/AY66</f>
        <v>0.11939559078523657</v>
      </c>
      <c r="AZ72" s="508"/>
      <c r="BA72" s="488">
        <f>BA12/BA66</f>
        <v>0.11493763310009127</v>
      </c>
      <c r="BB72" s="508"/>
      <c r="BC72" s="488">
        <f>BC12/BC66</f>
        <v>0.11856681648414256</v>
      </c>
      <c r="BD72" s="508"/>
      <c r="BE72" s="488">
        <f>BE12/BE66</f>
        <v>0.11794276875483373</v>
      </c>
      <c r="BF72" s="508"/>
      <c r="BG72" s="508">
        <v>0.11899999999999999</v>
      </c>
      <c r="BH72" s="508"/>
      <c r="BI72" s="508">
        <f>BG72</f>
        <v>0.11899999999999999</v>
      </c>
      <c r="BJ72" s="508"/>
      <c r="BK72" s="508">
        <f>BI72</f>
        <v>0.11899999999999999</v>
      </c>
      <c r="BL72" s="508"/>
      <c r="BM72" s="508">
        <f>BK72</f>
        <v>0.11899999999999999</v>
      </c>
      <c r="BN72" s="508"/>
      <c r="BO72" s="508">
        <f>BM72</f>
        <v>0.11899999999999999</v>
      </c>
      <c r="BP72" s="508"/>
      <c r="BQ72" s="1852">
        <f>BO72</f>
        <v>0.11899999999999999</v>
      </c>
      <c r="BR72" s="508"/>
      <c r="BS72" s="508"/>
      <c r="BT72" s="508"/>
    </row>
    <row r="73" spans="1:72">
      <c r="A73" s="459" t="s">
        <v>31</v>
      </c>
      <c r="B73" s="459" t="s">
        <v>134</v>
      </c>
      <c r="C73" s="459"/>
      <c r="D73" s="459"/>
      <c r="E73" s="488"/>
      <c r="F73" s="459"/>
      <c r="G73" s="488">
        <f>G13/G66</f>
        <v>2.3567495721334729E-2</v>
      </c>
      <c r="H73" s="459"/>
      <c r="I73" s="488">
        <f>I13/I66</f>
        <v>2.4286171268902371E-2</v>
      </c>
      <c r="J73" s="459"/>
      <c r="K73" s="488">
        <f>K13/K66</f>
        <v>2.0095707136526343E-2</v>
      </c>
      <c r="L73" s="459"/>
      <c r="M73" s="488">
        <f>M13/M66</f>
        <v>2.6059780710943507E-2</v>
      </c>
      <c r="N73" s="459"/>
      <c r="O73" s="488">
        <f>O13/O66</f>
        <v>2.9212880350687431E-2</v>
      </c>
      <c r="P73" s="459"/>
      <c r="Q73" s="488">
        <f>Q13/Q66</f>
        <v>2.4452059758749416E-2</v>
      </c>
      <c r="R73" s="459"/>
      <c r="S73" s="488">
        <f>S13/S66</f>
        <v>2.8366466522993471E-2</v>
      </c>
      <c r="T73" s="459"/>
      <c r="U73" s="488">
        <f>U13/U66</f>
        <v>2.7624722484891982E-2</v>
      </c>
      <c r="V73" s="459"/>
      <c r="W73" s="488">
        <f>W13/W66</f>
        <v>2.4527996377949422E-2</v>
      </c>
      <c r="X73" s="459"/>
      <c r="Y73" s="488">
        <f>Y13/Y66</f>
        <v>2.4507549661899771E-2</v>
      </c>
      <c r="Z73" s="459"/>
      <c r="AA73" s="488">
        <f>AA13/AA66</f>
        <v>2.3952053864156612E-2</v>
      </c>
      <c r="AB73" s="459"/>
      <c r="AC73" s="488">
        <f>AC13/AC66</f>
        <v>2.096202697681427E-2</v>
      </c>
      <c r="AD73" s="459"/>
      <c r="AE73" s="488">
        <f>AE13/AE66</f>
        <v>1.9805989608793859E-2</v>
      </c>
      <c r="AF73" s="459"/>
      <c r="AG73" s="488">
        <f>AG13/AG66</f>
        <v>2.5388198151628523E-2</v>
      </c>
      <c r="AH73" s="459"/>
      <c r="AI73" s="488">
        <f>AI13/AI66</f>
        <v>3.1266811371882836E-2</v>
      </c>
      <c r="AJ73" s="459"/>
      <c r="AK73" s="488">
        <f>AK13/AK66</f>
        <v>3.6990516862400298E-2</v>
      </c>
      <c r="AL73" s="459"/>
      <c r="AM73" s="488">
        <f>AM13/AM66</f>
        <v>3.6287508722958828E-2</v>
      </c>
      <c r="AN73" s="459"/>
      <c r="AO73" s="488">
        <f>AO13/AO66</f>
        <v>5.1149662673826243E-2</v>
      </c>
      <c r="AP73" s="488"/>
      <c r="AQ73" s="488">
        <f>AQ13/AQ66</f>
        <v>4.3248573642318801E-2</v>
      </c>
      <c r="AR73" s="508"/>
      <c r="AS73" s="488">
        <f>AS13/AS66</f>
        <v>4.3985270049099835E-2</v>
      </c>
      <c r="AT73" s="508"/>
      <c r="AU73" s="488">
        <f>AU13/AU66</f>
        <v>5.5605196233418107E-2</v>
      </c>
      <c r="AV73" s="508"/>
      <c r="AW73" s="488">
        <f>AW13/AW66</f>
        <v>5.5204140310523286E-2</v>
      </c>
      <c r="AX73" s="488">
        <f>AX13/AX66</f>
        <v>0</v>
      </c>
      <c r="AY73" s="488">
        <f>AY13/AY66</f>
        <v>6.1431756254644539E-2</v>
      </c>
      <c r="AZ73" s="508"/>
      <c r="BA73" s="488">
        <f>BA13/BA66</f>
        <v>5.5552175235777303E-2</v>
      </c>
      <c r="BB73" s="508"/>
      <c r="BC73" s="488">
        <f>BC13/BC66</f>
        <v>4.6970943850098118E-2</v>
      </c>
      <c r="BD73" s="508"/>
      <c r="BE73" s="488">
        <f>BE13/BE66</f>
        <v>4.5243619489559163E-2</v>
      </c>
      <c r="BF73" s="508"/>
      <c r="BG73" s="508">
        <f>BE73</f>
        <v>4.5243619489559163E-2</v>
      </c>
      <c r="BH73" s="508"/>
      <c r="BI73" s="508">
        <f>BG73</f>
        <v>4.5243619489559163E-2</v>
      </c>
      <c r="BJ73" s="508"/>
      <c r="BK73" s="508">
        <f>BI73</f>
        <v>4.5243619489559163E-2</v>
      </c>
      <c r="BL73" s="508"/>
      <c r="BM73" s="508">
        <f>BK73</f>
        <v>4.5243619489559163E-2</v>
      </c>
      <c r="BN73" s="508"/>
      <c r="BO73" s="508">
        <f>BM73</f>
        <v>4.5243619489559163E-2</v>
      </c>
      <c r="BP73" s="508"/>
      <c r="BQ73" s="1852">
        <f>BO73</f>
        <v>4.5243619489559163E-2</v>
      </c>
      <c r="BR73" s="508"/>
      <c r="BS73" s="508"/>
      <c r="BT73" s="508"/>
    </row>
    <row r="74" spans="1:72">
      <c r="A74" s="459" t="s">
        <v>31</v>
      </c>
      <c r="B74" s="459" t="s">
        <v>135</v>
      </c>
      <c r="C74" s="459"/>
      <c r="D74" s="459"/>
      <c r="E74" s="488"/>
      <c r="F74" s="459"/>
      <c r="G74" s="488">
        <f>G20/G66</f>
        <v>1.3428915003535283E-2</v>
      </c>
      <c r="H74" s="459"/>
      <c r="I74" s="488">
        <f>I20/I66</f>
        <v>1.2870856695814666E-2</v>
      </c>
      <c r="J74" s="459"/>
      <c r="K74" s="488">
        <f>K20/K66</f>
        <v>2.0104203109586827E-2</v>
      </c>
      <c r="L74" s="459"/>
      <c r="M74" s="488">
        <f>M20/M66</f>
        <v>2.355208517999216E-2</v>
      </c>
      <c r="N74" s="459"/>
      <c r="O74" s="488">
        <f>O20/O66</f>
        <v>1.704133982730914E-2</v>
      </c>
      <c r="P74" s="459"/>
      <c r="Q74" s="488">
        <f>Q20/Q66</f>
        <v>2.3808654220806559E-2</v>
      </c>
      <c r="R74" s="459"/>
      <c r="S74" s="488">
        <f>S20/S66</f>
        <v>2.1713706192160974E-2</v>
      </c>
      <c r="T74" s="459"/>
      <c r="U74" s="488">
        <f>U20/U66</f>
        <v>2.3825269795157349E-2</v>
      </c>
      <c r="V74" s="459"/>
      <c r="W74" s="488">
        <f>W20/W66</f>
        <v>2.369072377240555E-2</v>
      </c>
      <c r="X74" s="459"/>
      <c r="Y74" s="488">
        <f>Y20/Y66</f>
        <v>2.612162539693684E-2</v>
      </c>
      <c r="Z74" s="459"/>
      <c r="AA74" s="488">
        <f>AA20/AA66</f>
        <v>2.7837199257965465E-2</v>
      </c>
      <c r="AB74" s="459"/>
      <c r="AC74" s="488">
        <f>AC20/AC66</f>
        <v>2.6634918765919124E-2</v>
      </c>
      <c r="AD74" s="459"/>
      <c r="AE74" s="488">
        <f>AE20/AE66</f>
        <v>2.4221337610754273E-2</v>
      </c>
      <c r="AF74" s="459"/>
      <c r="AG74" s="488">
        <f>AG20/AG66</f>
        <v>2.2621929587891759E-2</v>
      </c>
      <c r="AH74" s="459"/>
      <c r="AI74" s="488">
        <f>AI20/AI66</f>
        <v>2.0969358524855555E-2</v>
      </c>
      <c r="AJ74" s="459"/>
      <c r="AK74" s="488">
        <f>AK20/AK66</f>
        <v>1.9971110971550587E-2</v>
      </c>
      <c r="AL74" s="459"/>
      <c r="AM74" s="488">
        <f>AM20/AM66</f>
        <v>3.0768254773837468E-2</v>
      </c>
      <c r="AN74" s="459"/>
      <c r="AO74" s="488">
        <f>AO20/AO66</f>
        <v>4.309513974941484E-2</v>
      </c>
      <c r="AP74" s="488"/>
      <c r="AQ74" s="488">
        <f>AQ20/AQ66</f>
        <v>4.8813129534408681E-2</v>
      </c>
      <c r="AR74" s="508"/>
      <c r="AS74" s="488">
        <f>AS20/AS66</f>
        <v>3.927986906710311E-2</v>
      </c>
      <c r="AT74" s="508"/>
      <c r="AU74" s="488">
        <f>AU20/AU66</f>
        <v>4.055261530002062E-2</v>
      </c>
      <c r="AV74" s="508"/>
      <c r="AW74" s="488">
        <f>AW20/AW66</f>
        <v>4.5939556577854451E-2</v>
      </c>
      <c r="AX74" s="488">
        <f>AX20/AX66</f>
        <v>0</v>
      </c>
      <c r="AY74" s="488">
        <f>AY20/AY66</f>
        <v>4.0933861778548429E-2</v>
      </c>
      <c r="AZ74" s="508"/>
      <c r="BA74" s="488">
        <f>BA20/BA66</f>
        <v>3.6507453605111047E-2</v>
      </c>
      <c r="BB74" s="508"/>
      <c r="BC74" s="488">
        <v>4.309513974941484E-2</v>
      </c>
      <c r="BD74" s="508"/>
      <c r="BE74" s="488">
        <v>4.309513974941484E-2</v>
      </c>
      <c r="BF74" s="508"/>
      <c r="BG74" s="508">
        <v>4.309513974941484E-2</v>
      </c>
      <c r="BH74" s="508"/>
      <c r="BI74" s="508">
        <v>4.309513974941484E-2</v>
      </c>
      <c r="BJ74" s="508"/>
      <c r="BK74" s="508">
        <v>4.309513974941484E-2</v>
      </c>
      <c r="BL74" s="508"/>
      <c r="BM74" s="508">
        <v>4.309513974941484E-2</v>
      </c>
      <c r="BN74" s="508"/>
      <c r="BO74" s="508">
        <v>4.309513974941484E-2</v>
      </c>
      <c r="BP74" s="508"/>
      <c r="BQ74" s="1852">
        <v>4.309513974941484E-2</v>
      </c>
      <c r="BR74" s="508"/>
      <c r="BS74" s="508"/>
      <c r="BT74" s="508"/>
    </row>
    <row r="75" spans="1:72">
      <c r="A75" s="459" t="s">
        <v>381</v>
      </c>
      <c r="B75" s="459" t="s">
        <v>566</v>
      </c>
      <c r="C75" s="459"/>
      <c r="D75" s="459"/>
      <c r="E75" s="488"/>
      <c r="F75" s="459"/>
      <c r="G75" s="488">
        <f>+G27/G12</f>
        <v>0.50435649683496919</v>
      </c>
      <c r="H75" s="459"/>
      <c r="I75" s="488">
        <f>+I27/I12</f>
        <v>0.52879198888682277</v>
      </c>
      <c r="J75" s="459"/>
      <c r="K75" s="488">
        <f>+K27/K12</f>
        <v>0.65426763902100227</v>
      </c>
      <c r="L75" s="488"/>
      <c r="M75" s="488">
        <f>+M27/M12</f>
        <v>0.71154064073300638</v>
      </c>
      <c r="N75" s="459"/>
      <c r="O75" s="488">
        <f>+O27/O12</f>
        <v>0.54396725897528886</v>
      </c>
      <c r="P75" s="459"/>
      <c r="Q75" s="488">
        <f>+Q27/Q12</f>
        <v>0.60776653736836195</v>
      </c>
      <c r="R75" s="459"/>
      <c r="S75" s="488">
        <f>+S27/S12</f>
        <v>0.56872720527460063</v>
      </c>
      <c r="T75" s="459"/>
      <c r="U75" s="488">
        <f>+U27/U12</f>
        <v>0.64757810163151097</v>
      </c>
      <c r="V75" s="459"/>
      <c r="W75" s="488">
        <f>+W27/W12</f>
        <v>0.55124500271879462</v>
      </c>
      <c r="X75" s="459"/>
      <c r="Y75" s="488">
        <f>+Y27/Y12</f>
        <v>0.56046284095868348</v>
      </c>
      <c r="Z75" s="459"/>
      <c r="AA75" s="488">
        <f>+AA27/AA12</f>
        <v>0.67658328871268048</v>
      </c>
      <c r="AB75" s="459"/>
      <c r="AC75" s="488">
        <f>+AC27/AC12</f>
        <v>0.56591796875</v>
      </c>
      <c r="AD75" s="459"/>
      <c r="AE75" s="488">
        <f>+AE27/AE12</f>
        <v>0.69131455399061037</v>
      </c>
      <c r="AF75" s="459"/>
      <c r="AG75" s="488">
        <f>+AG27/AG12</f>
        <v>0.68357221609702312</v>
      </c>
      <c r="AH75" s="459"/>
      <c r="AI75" s="488">
        <f>+AI27/AI12</f>
        <v>0.66745283018867929</v>
      </c>
      <c r="AJ75" s="459"/>
      <c r="AK75" s="488">
        <f>+AK27/AK12</f>
        <v>0.61748329621380849</v>
      </c>
      <c r="AL75" s="459"/>
      <c r="AM75" s="488">
        <f>+AM27/AM12</f>
        <v>0.6387301587301587</v>
      </c>
      <c r="AN75" s="459"/>
      <c r="AO75" s="488">
        <f>+AO27/AO12</f>
        <v>0.64741035856573703</v>
      </c>
      <c r="AP75" s="488"/>
      <c r="AQ75" s="488">
        <f>+AQ27/AQ12</f>
        <v>0.69532836831415035</v>
      </c>
      <c r="AR75" s="508"/>
      <c r="AS75" s="488">
        <f>+AS27/AS12</f>
        <v>0.64753086419753081</v>
      </c>
      <c r="AT75" s="508"/>
      <c r="AU75" s="488">
        <f>+AU27/AU12</f>
        <v>0.66006191950464399</v>
      </c>
      <c r="AV75" s="508"/>
      <c r="AW75" s="488">
        <f>+AW27/AW12</f>
        <v>0.65073947667804322</v>
      </c>
      <c r="AX75" s="488"/>
      <c r="AY75" s="488">
        <f>+AY27/AY12</f>
        <v>0.64419087136929465</v>
      </c>
      <c r="AZ75" s="508"/>
      <c r="BA75" s="488">
        <f>+BA27/BA12</f>
        <v>0.62096347273689778</v>
      </c>
      <c r="BB75" s="508"/>
      <c r="BC75" s="488">
        <f>+BC27/BC12</f>
        <v>0.59369994660971703</v>
      </c>
      <c r="BD75" s="508"/>
      <c r="BE75" s="488">
        <f>+BE27/BE12</f>
        <v>0.67923497267759558</v>
      </c>
      <c r="BF75" s="508"/>
      <c r="BG75" s="508">
        <f>BE75</f>
        <v>0.67923497267759558</v>
      </c>
      <c r="BH75" s="508"/>
      <c r="BI75" s="508">
        <v>0.6</v>
      </c>
      <c r="BJ75" s="508"/>
      <c r="BK75" s="508">
        <v>0.6</v>
      </c>
      <c r="BL75" s="508"/>
      <c r="BM75" s="508">
        <v>0.6</v>
      </c>
      <c r="BN75" s="508"/>
      <c r="BO75" s="508">
        <v>0.6</v>
      </c>
      <c r="BP75" s="508"/>
      <c r="BQ75" s="1852">
        <v>0.6</v>
      </c>
      <c r="BR75" s="508"/>
      <c r="BS75" s="508"/>
      <c r="BT75" s="508"/>
    </row>
    <row r="76" spans="1:72">
      <c r="A76" s="459" t="s">
        <v>381</v>
      </c>
      <c r="B76" s="459" t="s">
        <v>647</v>
      </c>
      <c r="C76" s="459"/>
      <c r="D76" s="459"/>
      <c r="E76" s="459"/>
      <c r="F76" s="459"/>
      <c r="G76" s="488">
        <f>G28/G68</f>
        <v>0.23508127694611303</v>
      </c>
      <c r="H76" s="459"/>
      <c r="I76" s="488">
        <f>I28/I68</f>
        <v>0.19402739046535963</v>
      </c>
      <c r="J76" s="459"/>
      <c r="K76" s="488">
        <f>K28/K68</f>
        <v>0.21832602015790042</v>
      </c>
      <c r="L76" s="459"/>
      <c r="M76" s="488">
        <f>M28/M68</f>
        <v>0.21718780022588699</v>
      </c>
      <c r="N76" s="459"/>
      <c r="O76" s="488">
        <f>O28/O68</f>
        <v>0.19357504410610954</v>
      </c>
      <c r="P76" s="459"/>
      <c r="Q76" s="488">
        <f>Q28/Q68</f>
        <v>0.22241205286354715</v>
      </c>
      <c r="R76" s="459"/>
      <c r="S76" s="488">
        <f>S28/S68</f>
        <v>0.24842616315304369</v>
      </c>
      <c r="T76" s="459"/>
      <c r="U76" s="488">
        <f>U28/U68</f>
        <v>0.27285493464371829</v>
      </c>
      <c r="V76" s="459"/>
      <c r="W76" s="488">
        <f>W28/W68</f>
        <v>0.24699418288300842</v>
      </c>
      <c r="X76" s="459"/>
      <c r="Y76" s="488">
        <f>Y28/Y68</f>
        <v>0.18852591591061202</v>
      </c>
      <c r="Z76" s="459"/>
      <c r="AA76" s="488">
        <f>AA28/AA68</f>
        <v>0.20832256077823039</v>
      </c>
      <c r="AB76" s="459"/>
      <c r="AC76" s="488">
        <f>AC28/AC68</f>
        <v>0.22407257285050564</v>
      </c>
      <c r="AD76" s="459"/>
      <c r="AE76" s="488">
        <f>AE28/AE68</f>
        <v>0.22154135071756412</v>
      </c>
      <c r="AF76" s="459"/>
      <c r="AG76" s="488">
        <f>AG28/AG68</f>
        <v>0.20995228357191548</v>
      </c>
      <c r="AH76" s="459"/>
      <c r="AI76" s="488">
        <f>AI28/AI68</f>
        <v>0.17574577416255927</v>
      </c>
      <c r="AJ76" s="459"/>
      <c r="AK76" s="488">
        <f>AK28/AK68</f>
        <v>0.18546931407942238</v>
      </c>
      <c r="AL76" s="459"/>
      <c r="AM76" s="488">
        <f>AM28/AM68</f>
        <v>0.28955841766329349</v>
      </c>
      <c r="AN76" s="459"/>
      <c r="AO76" s="488">
        <f>AO28/AO68</f>
        <v>0.27596819697358299</v>
      </c>
      <c r="AP76" s="488"/>
      <c r="AQ76" s="488">
        <f>AQ28/AQ68</f>
        <v>0.27193655666410849</v>
      </c>
      <c r="AR76" s="508"/>
      <c r="AS76" s="488">
        <f>AS28/AS68</f>
        <v>0.25401683244070389</v>
      </c>
      <c r="AT76" s="508"/>
      <c r="AU76" s="488">
        <f>AU28/AU68</f>
        <v>0.27554744525547448</v>
      </c>
      <c r="AV76" s="508"/>
      <c r="AW76" s="488">
        <f>AW28/AW68</f>
        <v>0.25821707259399385</v>
      </c>
      <c r="AX76" s="488">
        <f>AX28/AX68</f>
        <v>0</v>
      </c>
      <c r="AY76" s="488">
        <f>AY28/AY68</f>
        <v>0.27557915057915056</v>
      </c>
      <c r="AZ76" s="508"/>
      <c r="BA76" s="488">
        <f>BA28/BA68</f>
        <v>0.24028268551236748</v>
      </c>
      <c r="BB76" s="508"/>
      <c r="BC76" s="488">
        <v>0.26</v>
      </c>
      <c r="BD76" s="508"/>
      <c r="BE76" s="488">
        <v>0.26</v>
      </c>
      <c r="BF76" s="508"/>
      <c r="BG76" s="508">
        <v>0.26</v>
      </c>
      <c r="BH76" s="508"/>
      <c r="BI76" s="508">
        <v>0.26</v>
      </c>
      <c r="BJ76" s="508"/>
      <c r="BK76" s="508">
        <v>0.26</v>
      </c>
      <c r="BL76" s="508"/>
      <c r="BM76" s="508">
        <v>0.26</v>
      </c>
      <c r="BN76" s="508"/>
      <c r="BO76" s="508">
        <v>0.26</v>
      </c>
      <c r="BP76" s="508"/>
      <c r="BQ76" s="1852">
        <v>0.26</v>
      </c>
      <c r="BR76" s="508"/>
      <c r="BS76" s="508"/>
      <c r="BT76" s="508"/>
    </row>
    <row r="77" spans="1:72">
      <c r="A77" s="459"/>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509"/>
      <c r="AM77" s="509"/>
      <c r="AN77" s="509"/>
      <c r="AO77" s="509"/>
      <c r="AP77" s="509"/>
      <c r="AQ77" s="509"/>
      <c r="AR77" s="509"/>
      <c r="AS77" s="509"/>
      <c r="AT77" s="509"/>
      <c r="AU77" s="509"/>
      <c r="AV77" s="509"/>
      <c r="AW77" s="509"/>
      <c r="AX77" s="509"/>
      <c r="AY77" s="509"/>
      <c r="AZ77" s="509"/>
      <c r="BA77" s="509"/>
      <c r="BB77" s="509"/>
      <c r="BC77" s="509"/>
      <c r="BD77" s="509"/>
      <c r="BE77" s="509"/>
      <c r="BF77" s="509"/>
      <c r="BG77" s="509"/>
      <c r="BH77" s="509"/>
      <c r="BI77" s="509"/>
      <c r="BJ77" s="509"/>
      <c r="BK77" s="509"/>
      <c r="BL77" s="509"/>
      <c r="BM77" s="509"/>
      <c r="BN77" s="509"/>
      <c r="BO77" s="509"/>
      <c r="BP77" s="509"/>
      <c r="BQ77" s="1853"/>
      <c r="BR77" s="509"/>
      <c r="BS77" s="509"/>
      <c r="BT77" s="509"/>
    </row>
    <row r="78" spans="1:72">
      <c r="A78" s="459"/>
      <c r="B78" s="459"/>
      <c r="C78" s="459"/>
      <c r="D78" s="459"/>
      <c r="E78" s="459"/>
      <c r="F78" s="459"/>
      <c r="G78" s="459"/>
      <c r="H78" s="459"/>
      <c r="I78" s="459"/>
      <c r="J78" s="459"/>
      <c r="K78" s="459"/>
      <c r="L78" s="459"/>
      <c r="M78" s="459"/>
      <c r="N78" s="459"/>
      <c r="O78" s="459"/>
      <c r="P78" s="459"/>
      <c r="Q78" s="459"/>
      <c r="R78" s="459"/>
      <c r="S78" s="459"/>
      <c r="T78" s="459"/>
      <c r="U78" s="459"/>
      <c r="V78" s="459"/>
      <c r="W78" s="459"/>
      <c r="X78" s="459"/>
      <c r="Y78" s="459"/>
      <c r="Z78" s="459"/>
      <c r="AA78" s="459"/>
      <c r="AB78" s="459"/>
      <c r="AC78" s="459"/>
      <c r="AD78" s="459"/>
      <c r="AE78" s="459"/>
      <c r="AF78" s="459"/>
      <c r="AG78" s="459"/>
      <c r="AH78" s="459"/>
      <c r="AI78" s="459"/>
      <c r="AJ78" s="459"/>
      <c r="AK78" s="459"/>
      <c r="AL78" s="459"/>
      <c r="AM78" s="459" t="s">
        <v>11</v>
      </c>
      <c r="AN78" s="459"/>
      <c r="AO78" s="459"/>
      <c r="AP78" s="459"/>
      <c r="AQ78" s="459"/>
      <c r="AR78" s="459"/>
      <c r="AS78" s="459"/>
      <c r="AT78" s="459"/>
      <c r="AU78" s="459"/>
      <c r="AV78" s="459"/>
      <c r="AW78" s="459"/>
      <c r="AX78" s="459"/>
      <c r="AY78" s="459"/>
      <c r="AZ78" s="459"/>
      <c r="BA78" s="459"/>
      <c r="BB78" s="459"/>
      <c r="BC78" s="459"/>
      <c r="BD78" s="459"/>
      <c r="BE78" s="459"/>
      <c r="BF78" s="459"/>
      <c r="BG78" s="459"/>
      <c r="BH78" s="459"/>
      <c r="BI78" s="459"/>
      <c r="BJ78" s="459"/>
      <c r="BK78" s="459"/>
      <c r="BL78" s="459"/>
      <c r="BM78" s="459"/>
      <c r="BN78" s="459"/>
      <c r="BO78" s="459"/>
      <c r="BP78" s="459"/>
      <c r="BQ78" s="57"/>
      <c r="BR78" s="459"/>
      <c r="BS78" s="459"/>
      <c r="BT78" s="459"/>
    </row>
    <row r="79" spans="1:72">
      <c r="A79" s="510"/>
      <c r="B79" s="510"/>
      <c r="C79" s="510"/>
      <c r="D79" s="510"/>
      <c r="E79" s="510"/>
      <c r="F79" s="510"/>
      <c r="G79" s="510"/>
      <c r="H79" s="510"/>
      <c r="I79" s="510"/>
      <c r="J79" s="510"/>
      <c r="K79" s="510"/>
      <c r="L79" s="510"/>
      <c r="M79" s="510" t="str">
        <f>IF(M52=M22," ","Unbalanced")</f>
        <v xml:space="preserve"> </v>
      </c>
      <c r="N79" s="510"/>
      <c r="O79" s="510" t="str">
        <f>IF(O52=O22," ",O52-O22)</f>
        <v xml:space="preserve"> </v>
      </c>
      <c r="P79" s="510"/>
      <c r="Q79" s="510" t="str">
        <f>IF(Q52=Q22," ",Q52-Q22)</f>
        <v xml:space="preserve"> </v>
      </c>
      <c r="R79" s="510"/>
      <c r="S79" s="510" t="str">
        <f>IF(S52=S22," ",S52-S22)</f>
        <v xml:space="preserve"> </v>
      </c>
      <c r="T79" s="510"/>
      <c r="U79" s="510" t="str">
        <f>IF(U52=U22," ",U52-U22)</f>
        <v xml:space="preserve"> </v>
      </c>
      <c r="V79" s="510"/>
      <c r="W79" s="510" t="str">
        <f>IF(W52=W22," ",W52-W22)</f>
        <v xml:space="preserve"> </v>
      </c>
      <c r="X79" s="510"/>
      <c r="Y79" s="510" t="str">
        <f>IF(Y52=Y22," ",Y52-Y22)</f>
        <v xml:space="preserve"> </v>
      </c>
      <c r="Z79" s="510"/>
      <c r="AA79" s="510" t="str">
        <f>IF(AA52=AA22," ",AA52-AA22)</f>
        <v xml:space="preserve"> </v>
      </c>
      <c r="AB79" s="510"/>
      <c r="AC79" s="510" t="str">
        <f>IF(AC52=AC22," ",AC52-AC22)</f>
        <v xml:space="preserve"> </v>
      </c>
      <c r="AD79" s="510"/>
      <c r="AE79" s="510" t="str">
        <f>IF(AE52=AE22," ",AE52-AE22)</f>
        <v xml:space="preserve"> </v>
      </c>
      <c r="AF79" s="510"/>
      <c r="AG79" s="510" t="str">
        <f>IF(AG52=AG22," ",AG52-AG22)</f>
        <v xml:space="preserve"> </v>
      </c>
      <c r="AH79" s="510"/>
      <c r="AI79" s="510" t="str">
        <f>IF(AI52=AI22," ",AI52-AI22)</f>
        <v xml:space="preserve"> </v>
      </c>
      <c r="AJ79" s="510"/>
      <c r="AK79" s="510" t="str">
        <f>IF(AK52=AK22," ",AK52-AK22)</f>
        <v xml:space="preserve"> </v>
      </c>
      <c r="AL79" s="510"/>
      <c r="AM79" s="459" t="s">
        <v>368</v>
      </c>
      <c r="AN79" s="510"/>
      <c r="AO79" s="511"/>
      <c r="AP79" s="511"/>
      <c r="AQ79" s="511"/>
      <c r="AR79" s="511"/>
      <c r="AS79" s="511"/>
      <c r="AT79" s="510"/>
      <c r="AU79" s="510"/>
      <c r="AV79" s="510"/>
      <c r="AW79" s="510" t="str">
        <f>IF(AW52=AW22," ",AW52-AW22)</f>
        <v xml:space="preserve"> </v>
      </c>
      <c r="AX79" s="510"/>
      <c r="AY79" s="510" t="str">
        <f>IF(AY52=AY22," ",AY52-AY22)</f>
        <v xml:space="preserve"> </v>
      </c>
      <c r="AZ79" s="510"/>
      <c r="BA79" s="510" t="str">
        <f>IF(BA52=BA22," ",BA52-BA22)</f>
        <v xml:space="preserve"> </v>
      </c>
      <c r="BB79" s="510"/>
      <c r="BC79" s="510"/>
      <c r="BD79" s="510"/>
      <c r="BE79" s="510"/>
      <c r="BF79" s="510"/>
      <c r="BG79" s="510"/>
      <c r="BH79" s="510"/>
      <c r="BI79" s="510"/>
      <c r="BJ79" s="510"/>
      <c r="BK79" s="510"/>
      <c r="BL79" s="510"/>
      <c r="BM79" s="510"/>
      <c r="BN79" s="510"/>
      <c r="BO79" s="510"/>
      <c r="BP79" s="510"/>
      <c r="BQ79" s="362"/>
      <c r="BR79" s="510"/>
      <c r="BS79" s="510"/>
      <c r="BT79" s="510"/>
    </row>
    <row r="80" spans="1:72">
      <c r="A80" s="459"/>
      <c r="B80" s="459"/>
      <c r="C80" s="459"/>
      <c r="D80" s="459"/>
      <c r="E80" s="459"/>
      <c r="F80" s="459"/>
      <c r="G80" s="459"/>
      <c r="H80" s="459"/>
      <c r="I80" s="459"/>
      <c r="J80" s="459"/>
      <c r="K80" s="459"/>
      <c r="L80" s="459"/>
      <c r="M80" s="459"/>
      <c r="N80" s="459"/>
      <c r="O80" s="459"/>
      <c r="P80" s="459"/>
      <c r="Q80" s="459"/>
      <c r="R80" s="459"/>
      <c r="S80" s="459"/>
      <c r="T80" s="459"/>
      <c r="U80" s="459"/>
      <c r="V80" s="459"/>
      <c r="W80" s="459"/>
      <c r="X80" s="459"/>
      <c r="Y80" s="459"/>
      <c r="Z80" s="459"/>
      <c r="AA80" s="459"/>
      <c r="AB80" s="459"/>
      <c r="AC80" s="459"/>
      <c r="AD80" s="459"/>
      <c r="AE80" s="459"/>
      <c r="AF80" s="459"/>
      <c r="AG80" s="459"/>
      <c r="AH80" s="459"/>
      <c r="AI80" s="459"/>
      <c r="AJ80" s="459"/>
      <c r="AK80" s="459"/>
      <c r="AL80" s="459"/>
      <c r="AM80" s="459"/>
      <c r="AN80" s="459"/>
      <c r="AO80" s="459"/>
      <c r="AP80" s="459"/>
      <c r="AQ80" s="459"/>
      <c r="AR80" s="459"/>
      <c r="AS80" s="459"/>
      <c r="AT80" s="459"/>
      <c r="AU80" s="459"/>
      <c r="AV80" s="459"/>
      <c r="AW80" s="459"/>
      <c r="AX80" s="459"/>
      <c r="AY80" s="459"/>
      <c r="AZ80" s="459"/>
      <c r="BA80" s="459"/>
      <c r="BB80" s="459"/>
      <c r="BC80" s="459"/>
      <c r="BD80" s="459"/>
      <c r="BE80" s="459"/>
      <c r="BF80" s="459"/>
      <c r="BG80" s="459"/>
      <c r="BH80" s="459"/>
      <c r="BI80" s="459"/>
      <c r="BJ80" s="459"/>
      <c r="BK80" s="459"/>
      <c r="BL80" s="459"/>
      <c r="BM80" s="459"/>
      <c r="BN80" s="459"/>
      <c r="BO80" s="459"/>
      <c r="BP80" s="459"/>
      <c r="BQ80" s="57"/>
      <c r="BR80" s="459"/>
      <c r="BS80" s="459"/>
      <c r="BT80" s="459"/>
    </row>
    <row r="81" spans="1:72">
      <c r="A81" s="512"/>
      <c r="B81" s="512" t="s">
        <v>355</v>
      </c>
      <c r="C81" s="512"/>
      <c r="D81" s="512"/>
      <c r="E81" s="512"/>
      <c r="F81" s="512"/>
      <c r="G81" s="512"/>
      <c r="H81" s="512"/>
      <c r="I81" s="512"/>
      <c r="J81" s="512"/>
      <c r="K81" s="512"/>
      <c r="L81" s="512"/>
      <c r="M81" s="512"/>
      <c r="N81" s="512"/>
      <c r="O81" s="512"/>
      <c r="P81" s="512"/>
      <c r="Q81" s="512"/>
      <c r="R81" s="512"/>
      <c r="S81" s="512"/>
      <c r="T81" s="512"/>
      <c r="U81" s="512"/>
      <c r="V81" s="512"/>
      <c r="W81" s="513">
        <f>+W9/'yrP&amp;L'!K54</f>
        <v>0.50036679411886154</v>
      </c>
      <c r="X81" s="512"/>
      <c r="Y81" s="513">
        <f>+Y9/'yrP&amp;L'!L54</f>
        <v>0.46545961604943809</v>
      </c>
      <c r="Z81" s="512"/>
      <c r="AA81" s="513">
        <f>+AA9/'yrP&amp;L'!M54</f>
        <v>1.1895495187070513</v>
      </c>
      <c r="AB81" s="512"/>
      <c r="AC81" s="513">
        <f>+AC9/'yrP&amp;L'!N54</f>
        <v>3.4895940577467992</v>
      </c>
      <c r="AD81" s="512"/>
      <c r="AE81" s="513">
        <f>+AE9/'yrP&amp;L'!O54</f>
        <v>3.6552119152622291</v>
      </c>
      <c r="AF81" s="512"/>
      <c r="AG81" s="513">
        <f>+AG9/'yrP&amp;L'!P54</f>
        <v>3.289201531193942</v>
      </c>
      <c r="AH81" s="512"/>
      <c r="AI81" s="513">
        <f>+AI9/'yrP&amp;L'!Q54</f>
        <v>2.3162873792261189</v>
      </c>
      <c r="AJ81" s="512"/>
      <c r="AK81" s="513">
        <f>+AK9/'yrP&amp;L'!R54</f>
        <v>2.4808612440191422</v>
      </c>
      <c r="AL81" s="512"/>
      <c r="AM81" s="513">
        <f>+AM9/'yrP&amp;L'!S54</f>
        <v>2.2191435768262</v>
      </c>
      <c r="AN81" s="512"/>
      <c r="AO81" s="513">
        <f>+AO9/'yrP&amp;L'!T54</f>
        <v>2.442280945758001</v>
      </c>
      <c r="AP81" s="513"/>
      <c r="AQ81" s="513">
        <f>+AQ9/'yrP&amp;L'!U54</f>
        <v>3.3590844062947065</v>
      </c>
      <c r="AR81" s="513"/>
      <c r="AS81" s="513">
        <f>+AS9/'yrP&amp;L'!V54</f>
        <v>2.435257410296412</v>
      </c>
      <c r="AT81" s="513"/>
      <c r="AU81" s="513">
        <f>+AU9/'yrP&amp;L'!W54</f>
        <v>3.5365853658536586</v>
      </c>
      <c r="AV81" s="513"/>
      <c r="AW81" s="513">
        <f>+AW9/'yrP&amp;L'!X54</f>
        <v>2.9918032786885247</v>
      </c>
      <c r="AX81" s="513"/>
      <c r="AY81" s="513">
        <f>+AY9/'yrP&amp;L'!Y54</f>
        <v>3.2368703108252945</v>
      </c>
      <c r="AZ81" s="513"/>
      <c r="BA81" s="513">
        <f>+BA9/'yrP&amp;L'!Z54</f>
        <v>3.4470989761092152</v>
      </c>
      <c r="BC81" s="513">
        <f>+BC9/'yrP&amp;L'!AA54</f>
        <v>3.3171912832929782</v>
      </c>
      <c r="BE81" s="513">
        <f>+BC9/'yrP&amp;L'!AB54</f>
        <v>3.4249999999999998</v>
      </c>
      <c r="BF81" s="513">
        <f>+BF9/'yrP&amp;L'!AJ54</f>
        <v>0</v>
      </c>
      <c r="BG81" s="513">
        <f>+BE9/'yrP&amp;L'!AC54</f>
        <v>4.5086472819216183</v>
      </c>
      <c r="BH81" s="513">
        <f>+BH9/'yrP&amp;L'!AL54</f>
        <v>0</v>
      </c>
      <c r="BI81" s="513">
        <f>+BG9/'yrP&amp;L'!AD54</f>
        <v>4.6356239168110918</v>
      </c>
      <c r="BJ81" s="513"/>
      <c r="BK81" s="513">
        <f>+BI9/'yrP&amp;L'!AE54</f>
        <v>4.9638594307374939</v>
      </c>
      <c r="BL81" s="513"/>
      <c r="BM81" s="513">
        <f>+BK9/'yrP&amp;L'!AF54</f>
        <v>5.6265494779957317</v>
      </c>
      <c r="BN81" s="513"/>
      <c r="BO81" s="513">
        <f>+BM9/'yrP&amp;L'!AG54</f>
        <v>6.1030617341888025</v>
      </c>
      <c r="BP81" s="513"/>
      <c r="BQ81" s="1854">
        <f>+BO9/'yrP&amp;L'!AH54</f>
        <v>6.5171693221116564</v>
      </c>
      <c r="BR81" s="513"/>
      <c r="BS81" s="513"/>
      <c r="BT81" s="513"/>
    </row>
    <row r="82" spans="1:72">
      <c r="A82" s="512"/>
      <c r="B82" s="512" t="s">
        <v>341</v>
      </c>
      <c r="C82" s="512"/>
      <c r="D82" s="512"/>
      <c r="E82" s="512"/>
      <c r="F82" s="512"/>
      <c r="G82" s="512"/>
      <c r="H82" s="512"/>
      <c r="I82" s="512"/>
      <c r="J82" s="512"/>
      <c r="K82" s="512"/>
      <c r="L82" s="512"/>
      <c r="M82" s="512"/>
      <c r="N82" s="512"/>
      <c r="O82" s="512"/>
      <c r="P82" s="512"/>
      <c r="Q82" s="512"/>
      <c r="R82" s="512"/>
      <c r="S82" s="512"/>
      <c r="T82" s="512"/>
      <c r="U82" s="512"/>
      <c r="V82" s="512"/>
      <c r="W82" s="513">
        <f>(W9+W10)/'yrP&amp;L'!J54</f>
        <v>0.49797754198682731</v>
      </c>
      <c r="X82" s="512"/>
      <c r="Y82" s="513">
        <f>(Y9+Y10)/'yrP&amp;L'!K54</f>
        <v>0.45419348250929292</v>
      </c>
      <c r="Z82" s="512"/>
      <c r="AA82" s="513">
        <f>(AA9+AA10)/'yrP&amp;L'!L54</f>
        <v>1.1793209583887985</v>
      </c>
      <c r="AB82" s="512"/>
      <c r="AC82" s="513">
        <f>(AC9+AC10)/'yrP&amp;L'!M54</f>
        <v>3.8922396438695115</v>
      </c>
      <c r="AD82" s="512"/>
      <c r="AE82" s="513">
        <f>(AE9+AE10)/'yrP&amp;L'!N55</f>
        <v>4.8444510966404106</v>
      </c>
      <c r="AF82" s="512"/>
      <c r="AG82" s="513">
        <f>(AG9+AG10)/'yrP&amp;L'!P55</f>
        <v>4.1135198290422386</v>
      </c>
      <c r="AH82" s="512"/>
      <c r="AI82" s="513">
        <f>(AI9+AI10)/'yrP&amp;L'!Q55</f>
        <v>3.3713618218209818</v>
      </c>
      <c r="AJ82" s="512"/>
      <c r="AK82" s="513">
        <f>(AK9+AK10)/'yrP&amp;L'!R55</f>
        <v>3.1626794258373239</v>
      </c>
      <c r="AL82" s="512"/>
      <c r="AM82" s="513">
        <f>(AM9+AM10)/'yrP&amp;L'!S55</f>
        <v>2.4420654911838824</v>
      </c>
      <c r="AN82" s="512"/>
      <c r="AO82" s="513">
        <f>(AO9+AO10)/'yrP&amp;L'!T55</f>
        <v>2.442280945758001</v>
      </c>
      <c r="AP82" s="513"/>
      <c r="AQ82" s="513">
        <f>(AQ9+AQ10)/'yrP&amp;L'!U55</f>
        <v>3.680972818311874</v>
      </c>
      <c r="AR82" s="513"/>
      <c r="AS82" s="513">
        <f>(AS9+AS10)/'yrP&amp;L'!V55</f>
        <v>2.591263650546022</v>
      </c>
      <c r="AT82" s="513"/>
      <c r="AU82" s="513">
        <f>(AU9+AU10)/'yrP&amp;L'!W55</f>
        <v>3.5365853658536586</v>
      </c>
      <c r="AV82" s="513"/>
      <c r="AW82" s="513">
        <f>(AW9+AW10)/'yrP&amp;L'!X55</f>
        <v>3.0942622950819674</v>
      </c>
      <c r="AX82" s="513"/>
      <c r="AY82" s="513">
        <f>(AY9+AY10)/'yrP&amp;L'!Y55</f>
        <v>3.2368703108252945</v>
      </c>
      <c r="AZ82" s="513"/>
      <c r="BA82" s="513">
        <f>(BA9+BA10)/'yrP&amp;L'!Z55</f>
        <v>3.4470989761092152</v>
      </c>
      <c r="BC82" s="513">
        <f>(BC9+BC10)/'yrP&amp;L'!AA55</f>
        <v>3.3171912832929782</v>
      </c>
      <c r="BE82" s="513">
        <f>(BE9+BE10)/'yrP&amp;L'!AB55</f>
        <v>4.4579250000000004</v>
      </c>
      <c r="BF82" s="513"/>
      <c r="BG82" s="513">
        <f>(BG9+BG10)/'yrP&amp;L'!AC55</f>
        <v>4.5086472819216183</v>
      </c>
      <c r="BH82" s="513"/>
      <c r="BI82" s="513">
        <f>(BI9+BI10)/'yrP&amp;L'!AD55</f>
        <v>4.7969933021419138</v>
      </c>
      <c r="BJ82" s="513"/>
      <c r="BK82" s="513">
        <f>(BK9+BK10)/'yrP&amp;L'!AE55</f>
        <v>5.4643792326021261</v>
      </c>
      <c r="BL82" s="513"/>
      <c r="BM82" s="513">
        <f>(BM9+BM10)/'yrP&amp;L'!AF55</f>
        <v>5.931727390613414</v>
      </c>
      <c r="BN82" s="513"/>
      <c r="BO82" s="513">
        <f>(BO9+BO10)/'yrP&amp;L'!AG55</f>
        <v>6.3385784068478115</v>
      </c>
      <c r="BP82" s="513"/>
      <c r="BQ82" s="1854">
        <f>(BQ9+BQ10)/'yrP&amp;L'!AH55</f>
        <v>6.6816550739135012</v>
      </c>
      <c r="BR82" s="513"/>
      <c r="BS82" s="513"/>
      <c r="BT82" s="513"/>
    </row>
    <row r="83" spans="1:72">
      <c r="A83" s="512"/>
      <c r="B83" s="512"/>
      <c r="C83" s="512"/>
      <c r="D83" s="512"/>
      <c r="E83" s="512"/>
      <c r="F83" s="512"/>
      <c r="G83" s="512"/>
      <c r="H83" s="512"/>
      <c r="I83" s="512"/>
      <c r="J83" s="512"/>
      <c r="K83" s="512"/>
      <c r="L83" s="512"/>
      <c r="M83" s="512"/>
      <c r="N83" s="512"/>
      <c r="O83" s="512"/>
      <c r="P83" s="512"/>
      <c r="Q83" s="512"/>
      <c r="R83" s="512"/>
      <c r="S83" s="512"/>
      <c r="T83" s="512"/>
      <c r="U83" s="512"/>
      <c r="V83" s="512"/>
      <c r="W83" s="512"/>
      <c r="X83" s="512"/>
      <c r="Y83" s="512"/>
      <c r="Z83" s="512"/>
      <c r="AA83" s="512"/>
      <c r="AB83" s="512"/>
      <c r="AC83" s="512"/>
      <c r="AD83" s="512"/>
      <c r="AE83" s="512"/>
      <c r="AF83" s="512"/>
      <c r="AG83" s="512"/>
      <c r="AH83" s="512"/>
      <c r="AI83" s="512"/>
      <c r="AJ83" s="512"/>
      <c r="AK83" s="512"/>
      <c r="AL83" s="512"/>
      <c r="AM83" s="512"/>
      <c r="AN83" s="512"/>
      <c r="AO83" s="512"/>
      <c r="AP83" s="512"/>
      <c r="AQ83" s="512"/>
      <c r="AR83" s="512"/>
      <c r="AS83" s="512"/>
      <c r="AT83" s="512"/>
      <c r="AU83" s="512"/>
      <c r="AV83" s="512"/>
      <c r="AW83" s="512"/>
      <c r="AX83" s="512"/>
      <c r="AY83" s="512"/>
      <c r="AZ83" s="512"/>
      <c r="BA83" s="512"/>
      <c r="BB83" s="512"/>
      <c r="BC83" s="512"/>
      <c r="BD83" s="512"/>
      <c r="BE83" s="512"/>
      <c r="BF83" s="512"/>
      <c r="BG83" s="512"/>
      <c r="BH83" s="512"/>
      <c r="BI83" s="512"/>
      <c r="BJ83" s="512"/>
      <c r="BK83" s="512"/>
      <c r="BL83" s="512"/>
      <c r="BM83" s="512"/>
      <c r="BN83" s="512"/>
      <c r="BO83" s="512"/>
      <c r="BP83" s="512"/>
      <c r="BQ83" s="1855"/>
      <c r="BR83" s="512"/>
      <c r="BS83" s="512"/>
      <c r="BT83" s="512"/>
    </row>
    <row r="84" spans="1:72" outlineLevel="1">
      <c r="A84" s="512"/>
      <c r="B84" s="514"/>
      <c r="C84" s="514"/>
      <c r="D84" s="514"/>
      <c r="E84" s="514"/>
      <c r="F84" s="514"/>
      <c r="G84" s="514"/>
      <c r="H84" s="514"/>
      <c r="I84" s="514"/>
      <c r="J84" s="514"/>
      <c r="K84" s="514"/>
      <c r="L84" s="514"/>
      <c r="M84" s="514"/>
      <c r="N84" s="514"/>
      <c r="O84" s="514"/>
      <c r="P84" s="514"/>
      <c r="Q84" s="514"/>
      <c r="R84" s="514"/>
      <c r="S84" s="514"/>
      <c r="T84" s="514"/>
      <c r="U84" s="514"/>
      <c r="V84" s="514"/>
      <c r="W84" s="514"/>
      <c r="X84" s="514"/>
      <c r="Y84" s="514"/>
      <c r="Z84" s="514"/>
      <c r="AA84" s="514"/>
      <c r="AB84" s="514"/>
      <c r="AC84" s="514"/>
      <c r="AD84" s="514"/>
      <c r="AE84" s="514"/>
      <c r="AF84" s="514"/>
      <c r="AG84" s="514"/>
      <c r="AH84" s="514"/>
      <c r="AI84" s="514"/>
      <c r="AJ84" s="514"/>
      <c r="AK84" s="514"/>
      <c r="AL84" s="514"/>
      <c r="AM84" s="514"/>
      <c r="AN84" s="514"/>
      <c r="AO84" s="514"/>
      <c r="AP84" s="514"/>
      <c r="AQ84" s="514"/>
      <c r="AR84" s="514"/>
      <c r="AS84" s="514"/>
      <c r="AT84" s="514"/>
      <c r="AU84" s="514"/>
      <c r="AV84" s="514"/>
      <c r="AW84" s="514"/>
      <c r="AX84" s="514"/>
      <c r="AY84" s="514"/>
      <c r="AZ84" s="514"/>
      <c r="BA84" s="514"/>
      <c r="BB84" s="515"/>
      <c r="BC84" s="512"/>
      <c r="BD84" s="512"/>
      <c r="BE84" s="512"/>
      <c r="BF84" s="512"/>
      <c r="BG84" s="512"/>
      <c r="BH84" s="512"/>
      <c r="BI84" s="512"/>
      <c r="BJ84" s="512"/>
      <c r="BK84" s="512"/>
      <c r="BL84" s="512"/>
      <c r="BM84" s="512"/>
      <c r="BN84" s="512"/>
      <c r="BO84" s="512"/>
      <c r="BP84" s="512"/>
      <c r="BQ84" s="1855"/>
      <c r="BR84" s="512"/>
      <c r="BS84" s="512"/>
      <c r="BT84" s="512"/>
    </row>
    <row r="85" spans="1:72" outlineLevel="1">
      <c r="A85" s="512"/>
      <c r="B85" s="512" t="s">
        <v>356</v>
      </c>
      <c r="C85" s="512"/>
      <c r="D85" s="512"/>
      <c r="E85" s="512"/>
      <c r="F85" s="512"/>
      <c r="G85" s="512"/>
      <c r="H85" s="512"/>
      <c r="I85" s="512"/>
      <c r="J85" s="512"/>
      <c r="K85" s="512"/>
      <c r="L85" s="512"/>
      <c r="M85" s="512"/>
      <c r="N85" s="512"/>
      <c r="O85" s="512"/>
      <c r="P85" s="512"/>
      <c r="Q85" s="512"/>
      <c r="R85" s="512"/>
      <c r="S85" s="512"/>
      <c r="T85" s="512"/>
      <c r="U85" s="512"/>
      <c r="V85" s="512"/>
      <c r="W85" s="516">
        <v>0</v>
      </c>
      <c r="X85" s="512"/>
      <c r="Y85" s="516">
        <v>0</v>
      </c>
      <c r="Z85" s="512"/>
      <c r="AA85" s="516">
        <v>0</v>
      </c>
      <c r="AB85" s="512"/>
      <c r="AC85" s="516">
        <v>0</v>
      </c>
      <c r="AD85" s="512"/>
      <c r="AE85" s="516">
        <v>0</v>
      </c>
      <c r="AF85" s="512"/>
      <c r="AG85" s="516">
        <v>0</v>
      </c>
      <c r="AH85" s="512"/>
      <c r="AI85" s="516">
        <v>0</v>
      </c>
      <c r="AJ85" s="512"/>
      <c r="AK85" s="516">
        <v>0</v>
      </c>
      <c r="AL85" s="517"/>
      <c r="AM85" s="516">
        <v>0</v>
      </c>
      <c r="AN85" s="517"/>
      <c r="AO85" s="516">
        <v>0</v>
      </c>
      <c r="AP85" s="516"/>
      <c r="AQ85" s="516">
        <v>0</v>
      </c>
      <c r="AR85" s="516"/>
      <c r="AS85" s="516">
        <v>0</v>
      </c>
      <c r="AT85" s="516"/>
      <c r="AU85" s="516">
        <v>0</v>
      </c>
      <c r="AV85" s="516"/>
      <c r="AW85" s="516">
        <v>0</v>
      </c>
      <c r="AX85" s="516"/>
      <c r="AY85" s="516">
        <v>0</v>
      </c>
      <c r="AZ85" s="516"/>
      <c r="BA85" s="516">
        <v>0</v>
      </c>
      <c r="BB85" s="516"/>
      <c r="BC85" s="516">
        <v>0</v>
      </c>
      <c r="BD85" s="512"/>
      <c r="BE85" s="512"/>
      <c r="BF85" s="512"/>
      <c r="BG85" s="512"/>
      <c r="BH85" s="512"/>
      <c r="BI85" s="512"/>
      <c r="BJ85" s="512"/>
      <c r="BK85" s="512"/>
      <c r="BL85" s="512"/>
      <c r="BM85" s="512"/>
      <c r="BN85" s="512"/>
      <c r="BO85" s="512"/>
      <c r="BP85" s="512"/>
      <c r="BQ85" s="1855"/>
      <c r="BR85" s="512"/>
      <c r="BS85" s="512"/>
      <c r="BT85" s="512"/>
    </row>
    <row r="86" spans="1:72" outlineLevel="1">
      <c r="A86" s="512"/>
      <c r="B86" s="512" t="s">
        <v>357</v>
      </c>
      <c r="C86" s="512"/>
      <c r="D86" s="512"/>
      <c r="E86" s="512"/>
      <c r="F86" s="512"/>
      <c r="G86" s="512"/>
      <c r="H86" s="512"/>
      <c r="I86" s="512"/>
      <c r="J86" s="512"/>
      <c r="K86" s="512"/>
      <c r="L86" s="512"/>
      <c r="M86" s="512"/>
      <c r="N86" s="512"/>
      <c r="O86" s="512"/>
      <c r="P86" s="512"/>
      <c r="Q86" s="512"/>
      <c r="R86" s="512"/>
      <c r="S86" s="512"/>
      <c r="T86" s="512"/>
      <c r="U86" s="512"/>
      <c r="V86" s="512"/>
      <c r="W86" s="518">
        <v>0</v>
      </c>
      <c r="X86" s="512"/>
      <c r="Y86" s="518">
        <v>0</v>
      </c>
      <c r="Z86" s="519"/>
      <c r="AA86" s="518">
        <v>0</v>
      </c>
      <c r="AB86" s="519"/>
      <c r="AC86" s="518">
        <v>0</v>
      </c>
      <c r="AD86" s="519"/>
      <c r="AE86" s="518">
        <v>0</v>
      </c>
      <c r="AF86" s="519"/>
      <c r="AG86" s="518">
        <v>0</v>
      </c>
      <c r="AH86" s="519"/>
      <c r="AI86" s="518">
        <v>0</v>
      </c>
      <c r="AJ86" s="519"/>
      <c r="AK86" s="518">
        <v>0</v>
      </c>
      <c r="AL86" s="520"/>
      <c r="AM86" s="518">
        <v>0</v>
      </c>
      <c r="AN86" s="520"/>
      <c r="AO86" s="518">
        <v>0</v>
      </c>
      <c r="AP86" s="518"/>
      <c r="AQ86" s="518">
        <v>0</v>
      </c>
      <c r="AR86" s="518"/>
      <c r="AS86" s="518">
        <v>0</v>
      </c>
      <c r="AT86" s="518"/>
      <c r="AU86" s="518">
        <v>0</v>
      </c>
      <c r="AV86" s="518"/>
      <c r="AW86" s="518">
        <v>0</v>
      </c>
      <c r="AX86" s="518"/>
      <c r="AY86" s="518">
        <v>0</v>
      </c>
      <c r="AZ86" s="518"/>
      <c r="BA86" s="518">
        <v>0</v>
      </c>
      <c r="BB86" s="518"/>
      <c r="BC86" s="518">
        <v>0</v>
      </c>
      <c r="BD86" s="512"/>
      <c r="BE86" s="512"/>
      <c r="BF86" s="512"/>
      <c r="BG86" s="512"/>
      <c r="BH86" s="512"/>
      <c r="BI86" s="512"/>
      <c r="BJ86" s="512"/>
      <c r="BK86" s="512"/>
      <c r="BL86" s="512"/>
      <c r="BM86" s="512"/>
      <c r="BN86" s="512"/>
      <c r="BO86" s="512"/>
      <c r="BP86" s="512"/>
      <c r="BQ86" s="1855"/>
      <c r="BR86" s="512"/>
      <c r="BS86" s="512"/>
      <c r="BT86" s="512"/>
    </row>
    <row r="87" spans="1:72" outlineLevel="1">
      <c r="A87" s="512"/>
      <c r="B87" s="512" t="s">
        <v>622</v>
      </c>
      <c r="C87" s="512"/>
      <c r="D87" s="512"/>
      <c r="E87" s="512"/>
      <c r="F87" s="512"/>
      <c r="G87" s="512"/>
      <c r="H87" s="512"/>
      <c r="I87" s="512"/>
      <c r="J87" s="512"/>
      <c r="K87" s="512"/>
      <c r="L87" s="512"/>
      <c r="M87" s="512"/>
      <c r="N87" s="512"/>
      <c r="O87" s="512"/>
      <c r="P87" s="512"/>
      <c r="Q87" s="512"/>
      <c r="R87" s="512"/>
      <c r="S87" s="512"/>
      <c r="T87" s="512"/>
      <c r="U87" s="512"/>
      <c r="V87" s="512"/>
      <c r="W87" s="516">
        <f>W85-W86</f>
        <v>0</v>
      </c>
      <c r="X87" s="512"/>
      <c r="Y87" s="516">
        <f>Y85-Y86</f>
        <v>0</v>
      </c>
      <c r="Z87" s="512"/>
      <c r="AA87" s="516">
        <f>AA85-AA86</f>
        <v>0</v>
      </c>
      <c r="AB87" s="512"/>
      <c r="AC87" s="516">
        <f>AC85-AC86</f>
        <v>0</v>
      </c>
      <c r="AD87" s="512"/>
      <c r="AE87" s="516">
        <f>AE85-AE86</f>
        <v>0</v>
      </c>
      <c r="AF87" s="512"/>
      <c r="AG87" s="516">
        <f>AG85-AG86</f>
        <v>0</v>
      </c>
      <c r="AH87" s="512"/>
      <c r="AI87" s="516">
        <f>AI85-AI86</f>
        <v>0</v>
      </c>
      <c r="AJ87" s="512"/>
      <c r="AK87" s="516">
        <f>AK85-AK86</f>
        <v>0</v>
      </c>
      <c r="AL87" s="517"/>
      <c r="AM87" s="516">
        <f>AM85-AM86</f>
        <v>0</v>
      </c>
      <c r="AN87" s="517"/>
      <c r="AO87" s="516">
        <f>AO85-AO86</f>
        <v>0</v>
      </c>
      <c r="AP87" s="516"/>
      <c r="AQ87" s="516">
        <f>AQ85-AQ86</f>
        <v>0</v>
      </c>
      <c r="AR87" s="516"/>
      <c r="AS87" s="516">
        <f>AS85-AS86</f>
        <v>0</v>
      </c>
      <c r="AT87" s="516"/>
      <c r="AU87" s="516">
        <f>AU85-AU86</f>
        <v>0</v>
      </c>
      <c r="AV87" s="516"/>
      <c r="AW87" s="516">
        <f>AW85-AW86</f>
        <v>0</v>
      </c>
      <c r="AX87" s="516"/>
      <c r="AY87" s="516">
        <f>AY85-AY86</f>
        <v>0</v>
      </c>
      <c r="AZ87" s="516"/>
      <c r="BA87" s="516">
        <f>BA85-BA86</f>
        <v>0</v>
      </c>
      <c r="BB87" s="516"/>
      <c r="BC87" s="516">
        <f>BC85-BC86</f>
        <v>0</v>
      </c>
      <c r="BD87" s="512"/>
      <c r="BE87" s="512"/>
      <c r="BF87" s="512"/>
      <c r="BG87" s="512"/>
      <c r="BH87" s="512"/>
      <c r="BI87" s="512"/>
      <c r="BJ87" s="512"/>
      <c r="BK87" s="512"/>
      <c r="BL87" s="512"/>
      <c r="BM87" s="512"/>
      <c r="BN87" s="512"/>
      <c r="BO87" s="512"/>
      <c r="BP87" s="512"/>
      <c r="BQ87" s="1855"/>
      <c r="BR87" s="512"/>
      <c r="BS87" s="512"/>
      <c r="BT87" s="512"/>
    </row>
    <row r="88" spans="1:72" outlineLevel="1">
      <c r="A88" s="512"/>
      <c r="B88" s="512" t="s">
        <v>358</v>
      </c>
      <c r="C88" s="512"/>
      <c r="D88" s="512"/>
      <c r="E88" s="512"/>
      <c r="F88" s="512"/>
      <c r="G88" s="512"/>
      <c r="H88" s="512"/>
      <c r="I88" s="512"/>
      <c r="J88" s="512"/>
      <c r="K88" s="512"/>
      <c r="L88" s="512"/>
      <c r="M88" s="512"/>
      <c r="N88" s="512"/>
      <c r="O88" s="512"/>
      <c r="P88" s="512"/>
      <c r="Q88" s="512"/>
      <c r="R88" s="512"/>
      <c r="S88" s="512"/>
      <c r="T88" s="512"/>
      <c r="U88" s="512"/>
      <c r="V88" s="512"/>
      <c r="W88" s="516">
        <v>0</v>
      </c>
      <c r="X88" s="512"/>
      <c r="Y88" s="516">
        <v>0</v>
      </c>
      <c r="Z88" s="512"/>
      <c r="AA88" s="516">
        <v>0</v>
      </c>
      <c r="AB88" s="512"/>
      <c r="AC88" s="516">
        <v>0</v>
      </c>
      <c r="AD88" s="512"/>
      <c r="AE88" s="516">
        <v>0</v>
      </c>
      <c r="AF88" s="512"/>
      <c r="AG88" s="516">
        <v>0</v>
      </c>
      <c r="AH88" s="512"/>
      <c r="AI88" s="516">
        <v>0</v>
      </c>
      <c r="AJ88" s="512"/>
      <c r="AK88" s="516">
        <v>0</v>
      </c>
      <c r="AL88" s="517"/>
      <c r="AM88" s="516">
        <v>0</v>
      </c>
      <c r="AN88" s="517"/>
      <c r="AO88" s="516">
        <v>0</v>
      </c>
      <c r="AP88" s="516"/>
      <c r="AQ88" s="516">
        <v>0</v>
      </c>
      <c r="AR88" s="516"/>
      <c r="AS88" s="516">
        <v>0</v>
      </c>
      <c r="AT88" s="516"/>
      <c r="AU88" s="516">
        <v>0</v>
      </c>
      <c r="AV88" s="516"/>
      <c r="AW88" s="516">
        <v>0</v>
      </c>
      <c r="AX88" s="516"/>
      <c r="AY88" s="516">
        <v>0</v>
      </c>
      <c r="AZ88" s="516"/>
      <c r="BA88" s="516">
        <v>0</v>
      </c>
      <c r="BB88" s="516"/>
      <c r="BC88" s="516">
        <v>0</v>
      </c>
      <c r="BD88" s="512"/>
      <c r="BE88" s="512"/>
      <c r="BF88" s="512"/>
      <c r="BG88" s="512"/>
      <c r="BH88" s="512"/>
      <c r="BI88" s="512"/>
      <c r="BJ88" s="512"/>
      <c r="BK88" s="512"/>
      <c r="BL88" s="512"/>
      <c r="BM88" s="512"/>
      <c r="BN88" s="512"/>
      <c r="BO88" s="512"/>
      <c r="BP88" s="512"/>
      <c r="BQ88" s="1855"/>
      <c r="BR88" s="512"/>
      <c r="BS88" s="512"/>
      <c r="BT88" s="512"/>
    </row>
    <row r="89" spans="1:72" outlineLevel="1">
      <c r="A89" s="512"/>
      <c r="B89" s="512" t="s">
        <v>359</v>
      </c>
      <c r="C89" s="512"/>
      <c r="D89" s="512"/>
      <c r="E89" s="512"/>
      <c r="F89" s="512"/>
      <c r="G89" s="512"/>
      <c r="H89" s="512"/>
      <c r="I89" s="512"/>
      <c r="J89" s="512"/>
      <c r="K89" s="512"/>
      <c r="L89" s="512"/>
      <c r="M89" s="512"/>
      <c r="N89" s="512"/>
      <c r="O89" s="512"/>
      <c r="P89" s="512"/>
      <c r="Q89" s="512"/>
      <c r="R89" s="512"/>
      <c r="S89" s="512"/>
      <c r="T89" s="512"/>
      <c r="U89" s="512"/>
      <c r="V89" s="512"/>
      <c r="W89" s="516">
        <v>0</v>
      </c>
      <c r="X89" s="512"/>
      <c r="Y89" s="516">
        <v>0</v>
      </c>
      <c r="Z89" s="512"/>
      <c r="AA89" s="516">
        <v>0</v>
      </c>
      <c r="AB89" s="512"/>
      <c r="AC89" s="516">
        <v>0</v>
      </c>
      <c r="AD89" s="512"/>
      <c r="AE89" s="516">
        <v>0</v>
      </c>
      <c r="AF89" s="516">
        <v>0</v>
      </c>
      <c r="AG89" s="516">
        <v>0</v>
      </c>
      <c r="AH89" s="512"/>
      <c r="AI89" s="516">
        <v>0</v>
      </c>
      <c r="AJ89" s="512"/>
      <c r="AK89" s="516">
        <v>0</v>
      </c>
      <c r="AL89" s="517"/>
      <c r="AM89" s="516">
        <v>0</v>
      </c>
      <c r="AN89" s="517"/>
      <c r="AO89" s="516">
        <v>0</v>
      </c>
      <c r="AP89" s="516"/>
      <c r="AQ89" s="516">
        <v>0</v>
      </c>
      <c r="AR89" s="516"/>
      <c r="AS89" s="516">
        <v>0</v>
      </c>
      <c r="AT89" s="516"/>
      <c r="AU89" s="516">
        <v>0</v>
      </c>
      <c r="AV89" s="516"/>
      <c r="AW89" s="516">
        <v>0</v>
      </c>
      <c r="AX89" s="516"/>
      <c r="AY89" s="516">
        <v>0</v>
      </c>
      <c r="AZ89" s="516"/>
      <c r="BA89" s="516">
        <v>0</v>
      </c>
      <c r="BB89" s="516"/>
      <c r="BC89" s="516">
        <v>0</v>
      </c>
      <c r="BD89" s="512"/>
      <c r="BE89" s="512"/>
      <c r="BF89" s="512"/>
      <c r="BG89" s="512"/>
      <c r="BH89" s="512"/>
      <c r="BI89" s="512"/>
      <c r="BJ89" s="512"/>
      <c r="BK89" s="512"/>
      <c r="BL89" s="512"/>
      <c r="BM89" s="512"/>
      <c r="BN89" s="512"/>
      <c r="BO89" s="512"/>
      <c r="BP89" s="512"/>
      <c r="BQ89" s="1855"/>
      <c r="BR89" s="512"/>
      <c r="BS89" s="512"/>
      <c r="BT89" s="512"/>
    </row>
    <row r="90" spans="1:72" outlineLevel="1">
      <c r="A90" s="459"/>
      <c r="B90" s="459"/>
      <c r="C90" s="512" t="s">
        <v>623</v>
      </c>
      <c r="D90" s="512"/>
      <c r="E90" s="512"/>
      <c r="F90" s="512"/>
      <c r="G90" s="512"/>
      <c r="H90" s="512"/>
      <c r="I90" s="512"/>
      <c r="J90" s="512"/>
      <c r="K90" s="512"/>
      <c r="L90" s="512"/>
      <c r="M90" s="512"/>
      <c r="N90" s="512"/>
      <c r="O90" s="512"/>
      <c r="P90" s="512"/>
      <c r="Q90" s="512"/>
      <c r="R90" s="512"/>
      <c r="S90" s="512"/>
      <c r="T90" s="512"/>
      <c r="U90" s="512"/>
      <c r="V90" s="512"/>
      <c r="W90" s="521">
        <v>158.875</v>
      </c>
      <c r="X90" s="521"/>
      <c r="Y90" s="521">
        <v>189.61600000000001</v>
      </c>
      <c r="Z90" s="521"/>
      <c r="AA90" s="521">
        <v>218.131</v>
      </c>
      <c r="AB90" s="512"/>
      <c r="AC90" s="512">
        <v>212</v>
      </c>
      <c r="AD90" s="512"/>
      <c r="AE90" s="512">
        <v>118</v>
      </c>
      <c r="AF90" s="512"/>
      <c r="AG90" s="512">
        <v>16</v>
      </c>
      <c r="AH90" s="512"/>
      <c r="AI90" s="512">
        <v>54</v>
      </c>
      <c r="AJ90" s="512"/>
      <c r="AK90" s="512">
        <f>+AI90</f>
        <v>54</v>
      </c>
      <c r="AL90" s="512"/>
      <c r="AM90" s="512">
        <f>+AK90</f>
        <v>54</v>
      </c>
      <c r="AN90" s="512"/>
      <c r="AO90" s="512">
        <f>+AM90</f>
        <v>54</v>
      </c>
      <c r="AP90" s="512"/>
      <c r="AQ90" s="512">
        <f>+AO90</f>
        <v>54</v>
      </c>
      <c r="AR90" s="512"/>
      <c r="AS90" s="512">
        <f>+AQ90</f>
        <v>54</v>
      </c>
      <c r="AT90" s="512"/>
      <c r="AU90" s="512">
        <f>+AS90</f>
        <v>54</v>
      </c>
      <c r="AV90" s="512"/>
      <c r="AW90" s="512">
        <f>+AU90</f>
        <v>54</v>
      </c>
      <c r="AX90" s="512"/>
      <c r="AY90" s="512">
        <f>+AW90</f>
        <v>54</v>
      </c>
      <c r="AZ90" s="512"/>
      <c r="BA90" s="512">
        <f>+AY90</f>
        <v>54</v>
      </c>
      <c r="BB90" s="512"/>
      <c r="BC90" s="512">
        <f>+BA90</f>
        <v>54</v>
      </c>
      <c r="BD90" s="459"/>
      <c r="BE90" s="459"/>
      <c r="BF90" s="459"/>
      <c r="BG90" s="459"/>
      <c r="BH90" s="459"/>
      <c r="BI90" s="459"/>
      <c r="BJ90" s="459"/>
      <c r="BK90" s="459"/>
      <c r="BL90" s="459"/>
      <c r="BM90" s="459"/>
      <c r="BN90" s="459"/>
      <c r="BO90" s="459"/>
      <c r="BP90" s="459"/>
      <c r="BQ90" s="57"/>
      <c r="BR90" s="459"/>
      <c r="BS90" s="459"/>
      <c r="BT90" s="459"/>
    </row>
    <row r="91" spans="1:72">
      <c r="A91" s="459"/>
      <c r="B91" s="459"/>
      <c r="C91" s="459"/>
      <c r="D91" s="459"/>
      <c r="E91" s="459"/>
      <c r="F91" s="459"/>
      <c r="G91" s="459"/>
      <c r="H91" s="459"/>
      <c r="I91" s="459"/>
      <c r="J91" s="459"/>
      <c r="K91" s="459"/>
      <c r="L91" s="459"/>
      <c r="M91" s="459"/>
      <c r="N91" s="459"/>
      <c r="O91" s="459"/>
      <c r="P91" s="459"/>
      <c r="Q91" s="459"/>
      <c r="R91" s="459"/>
      <c r="S91" s="459"/>
      <c r="T91" s="459"/>
      <c r="U91" s="459"/>
      <c r="V91" s="459"/>
      <c r="W91" s="459"/>
      <c r="X91" s="459"/>
      <c r="Y91" s="459"/>
      <c r="Z91" s="459"/>
      <c r="AA91" s="459"/>
      <c r="AB91" s="459"/>
      <c r="AC91" s="459"/>
      <c r="AD91" s="459"/>
      <c r="AE91" s="459"/>
      <c r="AF91" s="459"/>
      <c r="AG91" s="459"/>
      <c r="AH91" s="459"/>
      <c r="AI91" s="459"/>
      <c r="AJ91" s="459"/>
      <c r="AK91" s="459"/>
      <c r="AL91" s="459"/>
      <c r="AM91" s="459"/>
      <c r="AN91" s="459"/>
      <c r="AO91" s="459"/>
      <c r="AP91" s="459"/>
      <c r="AQ91" s="459"/>
      <c r="AR91" s="459"/>
      <c r="AS91" s="459"/>
      <c r="AT91" s="459"/>
      <c r="AU91" s="459"/>
      <c r="AV91" s="459"/>
      <c r="AW91" s="459"/>
      <c r="AX91" s="459"/>
      <c r="AY91" s="459"/>
      <c r="AZ91" s="459"/>
      <c r="BA91" s="459"/>
      <c r="BB91" s="459"/>
      <c r="BC91" s="459"/>
      <c r="BD91" s="459"/>
      <c r="BE91" s="459"/>
      <c r="BF91" s="459"/>
      <c r="BG91" s="459"/>
      <c r="BH91" s="459"/>
      <c r="BI91" s="459"/>
      <c r="BJ91" s="459"/>
      <c r="BK91" s="459"/>
      <c r="BL91" s="459"/>
      <c r="BM91" s="459"/>
      <c r="BN91" s="459"/>
      <c r="BO91" s="459"/>
      <c r="BP91" s="459"/>
      <c r="BQ91" s="57"/>
      <c r="BR91" s="459"/>
      <c r="BS91" s="459"/>
      <c r="BT91" s="459"/>
    </row>
    <row r="92" spans="1:72">
      <c r="A92" s="459"/>
      <c r="B92" s="459"/>
      <c r="C92" s="459"/>
      <c r="D92" s="459"/>
      <c r="E92" s="459"/>
      <c r="F92" s="459"/>
      <c r="G92" s="459"/>
      <c r="H92" s="459"/>
      <c r="I92" s="459"/>
      <c r="J92" s="459"/>
      <c r="K92" s="459"/>
      <c r="L92" s="459"/>
      <c r="M92" s="459"/>
      <c r="N92" s="459"/>
      <c r="O92" s="459"/>
      <c r="P92" s="459"/>
      <c r="Q92" s="459"/>
      <c r="R92" s="459"/>
      <c r="S92" s="459"/>
      <c r="T92" s="459"/>
      <c r="U92" s="459"/>
      <c r="V92" s="459"/>
      <c r="W92" s="459"/>
      <c r="X92" s="459"/>
      <c r="Y92" s="459"/>
      <c r="Z92" s="459"/>
      <c r="AA92" s="459"/>
      <c r="AB92" s="459"/>
      <c r="AC92" s="459"/>
      <c r="AD92" s="459"/>
      <c r="AE92" s="459"/>
      <c r="AF92" s="459"/>
      <c r="AG92" s="459"/>
      <c r="AH92" s="459"/>
      <c r="AI92" s="459"/>
      <c r="AJ92" s="459"/>
      <c r="AK92" s="459"/>
      <c r="AL92" s="459"/>
      <c r="AM92" s="459"/>
      <c r="AN92" s="459"/>
      <c r="AO92" s="459"/>
      <c r="AP92" s="459"/>
      <c r="AQ92" s="459"/>
      <c r="AR92" s="459"/>
      <c r="AS92" s="459"/>
      <c r="AT92" s="459"/>
      <c r="AU92" s="459"/>
      <c r="AV92" s="459"/>
      <c r="AW92" s="459"/>
      <c r="AX92" s="459"/>
      <c r="AY92" s="459"/>
      <c r="AZ92" s="459"/>
      <c r="BA92" s="459"/>
      <c r="BB92" s="459"/>
      <c r="BC92" s="459"/>
      <c r="BD92" s="459"/>
      <c r="BE92" s="459"/>
      <c r="BF92" s="459"/>
      <c r="BG92" s="459"/>
      <c r="BH92" s="459"/>
      <c r="BI92" s="459"/>
      <c r="BJ92" s="459"/>
      <c r="BK92" s="459"/>
      <c r="BL92" s="459"/>
      <c r="BM92" s="459"/>
      <c r="BN92" s="459"/>
      <c r="BO92" s="459"/>
      <c r="BP92" s="459"/>
      <c r="BQ92" s="57"/>
      <c r="BR92" s="459"/>
      <c r="BS92" s="459"/>
      <c r="BT92" s="459"/>
    </row>
    <row r="93" spans="1:72">
      <c r="A93" s="459"/>
      <c r="B93" s="459"/>
      <c r="C93" s="459"/>
      <c r="D93" s="459"/>
      <c r="E93" s="459"/>
      <c r="F93" s="459"/>
      <c r="G93" s="459"/>
      <c r="H93" s="459"/>
      <c r="I93" s="459"/>
      <c r="J93" s="459"/>
      <c r="K93" s="459"/>
      <c r="L93" s="459"/>
      <c r="M93" s="459"/>
      <c r="N93" s="459"/>
      <c r="O93" s="459"/>
      <c r="P93" s="459"/>
      <c r="Q93" s="459"/>
      <c r="R93" s="459"/>
      <c r="S93" s="459"/>
      <c r="T93" s="459"/>
      <c r="U93" s="459"/>
      <c r="V93" s="459"/>
      <c r="W93" s="459"/>
      <c r="X93" s="459"/>
      <c r="Y93" s="459"/>
      <c r="Z93" s="459"/>
      <c r="AA93" s="459"/>
      <c r="AB93" s="459"/>
      <c r="AC93" s="459"/>
      <c r="AD93" s="459"/>
      <c r="AE93" s="459"/>
      <c r="AF93" s="459"/>
      <c r="AG93" s="459"/>
      <c r="AH93" s="459"/>
      <c r="AI93" s="459"/>
      <c r="AJ93" s="459"/>
      <c r="AK93" s="459"/>
      <c r="AL93" s="459"/>
      <c r="AM93" s="459"/>
      <c r="AN93" s="459"/>
      <c r="AO93" s="459"/>
      <c r="AP93" s="459"/>
      <c r="AQ93" s="459"/>
      <c r="AR93" s="459"/>
      <c r="AS93" s="459"/>
      <c r="AT93" s="459"/>
      <c r="AU93" s="459"/>
      <c r="AV93" s="459"/>
      <c r="AW93" s="459"/>
      <c r="AX93" s="459"/>
      <c r="AY93" s="459"/>
      <c r="AZ93" s="459"/>
      <c r="BA93" s="459"/>
      <c r="BB93" s="459"/>
      <c r="BC93" s="459"/>
      <c r="BD93" s="459"/>
      <c r="BE93" s="459"/>
      <c r="BF93" s="459"/>
      <c r="BG93" s="459"/>
      <c r="BH93" s="459"/>
      <c r="BI93" s="459"/>
      <c r="BJ93" s="459"/>
      <c r="BK93" s="459"/>
      <c r="BL93" s="459"/>
      <c r="BM93" s="459"/>
      <c r="BN93" s="459"/>
      <c r="BO93" s="459"/>
      <c r="BP93" s="459"/>
      <c r="BQ93" s="57"/>
      <c r="BR93" s="459"/>
      <c r="BS93" s="459"/>
      <c r="BT93" s="459"/>
    </row>
    <row r="94" spans="1:72">
      <c r="A94" s="459"/>
      <c r="B94" s="459" t="s">
        <v>470</v>
      </c>
      <c r="C94" s="459"/>
      <c r="D94" s="459"/>
      <c r="E94" s="459"/>
      <c r="F94" s="459"/>
      <c r="G94" s="459"/>
      <c r="H94" s="459"/>
      <c r="I94" s="459"/>
      <c r="J94" s="459"/>
      <c r="K94" s="459"/>
      <c r="L94" s="459"/>
      <c r="M94" s="459"/>
      <c r="N94" s="459"/>
      <c r="O94" s="459"/>
      <c r="P94" s="459"/>
      <c r="Q94" s="459"/>
      <c r="R94" s="459"/>
      <c r="S94" s="459"/>
      <c r="T94" s="459"/>
      <c r="U94" s="459"/>
      <c r="V94" s="459"/>
      <c r="W94" s="522">
        <f>flow!V48+flow!V49+flow!V50</f>
        <v>-630.91399999999999</v>
      </c>
      <c r="X94" s="459"/>
      <c r="Y94" s="522">
        <f>flow!X48+flow!X49+flow!X50</f>
        <v>-240.453</v>
      </c>
      <c r="Z94" s="522"/>
      <c r="AA94" s="522">
        <f>flow!Z48+flow!Z49+flow!Z50</f>
        <v>138.32</v>
      </c>
      <c r="AB94" s="522"/>
      <c r="AC94" s="522">
        <f>flow!AB48+flow!AB49+flow!AB50</f>
        <v>153</v>
      </c>
      <c r="AD94" s="522"/>
      <c r="AE94" s="522">
        <f>flow!AD48+flow!AD49+flow!AD50</f>
        <v>111</v>
      </c>
      <c r="AF94" s="522"/>
      <c r="AG94" s="522">
        <f>flow!AF48+flow!AF49+flow!AF50</f>
        <v>-846</v>
      </c>
      <c r="AH94" s="522"/>
      <c r="AI94" s="522">
        <f>flow!AH48+flow!AH49+flow!AH50</f>
        <v>-1861</v>
      </c>
      <c r="AJ94" s="522"/>
      <c r="AK94" s="522">
        <f>flow!AJ48+flow!AJ49+flow!AJ50</f>
        <v>-837</v>
      </c>
      <c r="AL94" s="522"/>
      <c r="AM94" s="522">
        <f>flow!AL48+flow!AL49+flow!AL50</f>
        <v>-1570</v>
      </c>
      <c r="AN94" s="522"/>
      <c r="AO94" s="522">
        <f>flow!AN48+flow!AN49+flow!AN50</f>
        <v>-630</v>
      </c>
      <c r="AP94" s="459"/>
      <c r="AQ94" s="522">
        <f>flow!AP48+flow!AP49+flow!AP50</f>
        <v>-491</v>
      </c>
      <c r="AR94" s="522"/>
      <c r="AS94" s="522">
        <f>flow!AR48+flow!AR49+flow!AR50</f>
        <v>-1889</v>
      </c>
      <c r="AT94" s="522"/>
      <c r="AU94" s="522">
        <f>flow!AT48+flow!AT49+flow!AT50</f>
        <v>-2030</v>
      </c>
      <c r="AV94" s="522">
        <f>AV44+AV45+AV46+AV49-AT44-AT45-AT46-AT49-sumry!EA27</f>
        <v>0</v>
      </c>
      <c r="AW94" s="522">
        <f>flow!AV48+flow!AV49+flow!AV50</f>
        <v>-856</v>
      </c>
      <c r="AX94" s="522">
        <f>AX44+AX45+AX46+AX49-AV44-AV45-AV46-AV49-sumry!EC27</f>
        <v>0</v>
      </c>
      <c r="AY94" s="522">
        <f>flow!AX48+flow!AX49+flow!AX50</f>
        <v>-882</v>
      </c>
      <c r="AZ94" s="522">
        <f>AZ44+AZ45+AZ46+AZ49-AX44-AX45-AX46-AX49-sumry!EE27</f>
        <v>0</v>
      </c>
      <c r="BA94" s="522">
        <f>flow!AZ48+flow!AZ49+flow!AZ50</f>
        <v>-1141</v>
      </c>
      <c r="BB94" s="522">
        <f>flow!BA48+flow!BA49+flow!BA50</f>
        <v>0</v>
      </c>
      <c r="BC94" s="522">
        <f>flow!BB48+flow!BB49+flow!BB50</f>
        <v>-987</v>
      </c>
      <c r="BD94" s="522">
        <f>flow!BC48+flow!BC49+flow!BC50</f>
        <v>0</v>
      </c>
      <c r="BE94" s="522">
        <f>flow!BD48+flow!BD49+flow!BD50</f>
        <v>1</v>
      </c>
      <c r="BF94" s="522">
        <f>flow!BE48+flow!BE49+flow!BE50</f>
        <v>0</v>
      </c>
      <c r="BG94" s="522">
        <f>flow!BF48+flow!BF49+flow!BF50</f>
        <v>-315</v>
      </c>
      <c r="BH94" s="522">
        <f>flow!BK48+flow!BK49+flow!BK50</f>
        <v>0</v>
      </c>
      <c r="BI94" s="522">
        <f>flow!BH48+flow!BH49+flow!BH50</f>
        <v>-400</v>
      </c>
      <c r="BJ94" s="522"/>
      <c r="BK94" s="522">
        <f>flow!BJ48+flow!BJ49+flow!BJ50</f>
        <v>-375</v>
      </c>
      <c r="BL94" s="522"/>
      <c r="BM94" s="522">
        <f>flow!BL48+flow!BL49+flow!BL50</f>
        <v>-375</v>
      </c>
      <c r="BN94" s="522"/>
      <c r="BO94" s="522">
        <f>flow!BN48+flow!BN49+flow!BN50</f>
        <v>-375</v>
      </c>
      <c r="BP94" s="522"/>
      <c r="BQ94" s="1856">
        <f>flow!BP48+flow!BP49+flow!BP50</f>
        <v>-375</v>
      </c>
      <c r="BR94" s="522"/>
      <c r="BS94" s="522"/>
      <c r="BT94" s="522"/>
    </row>
    <row r="95" spans="1:72">
      <c r="A95" s="459"/>
      <c r="B95" s="459" t="s">
        <v>197</v>
      </c>
      <c r="C95" s="459"/>
      <c r="D95" s="459"/>
      <c r="E95" s="459"/>
      <c r="F95" s="459"/>
      <c r="G95" s="459"/>
      <c r="H95" s="459"/>
      <c r="I95" s="459"/>
      <c r="J95" s="459"/>
      <c r="K95" s="459"/>
      <c r="L95" s="459"/>
      <c r="M95" s="459"/>
      <c r="N95" s="459"/>
      <c r="O95" s="459"/>
      <c r="P95" s="459"/>
      <c r="Q95" s="459"/>
      <c r="R95" s="459"/>
      <c r="S95" s="459"/>
      <c r="T95" s="459"/>
      <c r="U95" s="459"/>
      <c r="V95" s="459"/>
      <c r="W95" s="522">
        <f>flow!V55</f>
        <v>-75.795000000000002</v>
      </c>
      <c r="X95" s="522">
        <f>flow!W55</f>
        <v>0</v>
      </c>
      <c r="Y95" s="522">
        <f>flow!X55</f>
        <v>-75.488</v>
      </c>
      <c r="Z95" s="522">
        <f>flow!Y55</f>
        <v>0</v>
      </c>
      <c r="AA95" s="522">
        <f>flow!Z55</f>
        <v>-76.373000000000005</v>
      </c>
      <c r="AB95" s="522">
        <f>flow!AA55</f>
        <v>0</v>
      </c>
      <c r="AC95" s="522">
        <f>flow!AB55</f>
        <v>-78</v>
      </c>
      <c r="AD95" s="522">
        <f>flow!AC55</f>
        <v>0</v>
      </c>
      <c r="AE95" s="522">
        <f>flow!AD55</f>
        <v>-79</v>
      </c>
      <c r="AF95" s="522">
        <f>flow!AE55</f>
        <v>0</v>
      </c>
      <c r="AG95" s="522">
        <f>flow!AF55</f>
        <v>-79</v>
      </c>
      <c r="AH95" s="522">
        <f>flow!AG55</f>
        <v>0</v>
      </c>
      <c r="AI95" s="522">
        <f>flow!AH55</f>
        <v>-179</v>
      </c>
      <c r="AJ95" s="522">
        <f>flow!AI55</f>
        <v>0</v>
      </c>
      <c r="AK95" s="522">
        <f>flow!AJ55</f>
        <v>-265</v>
      </c>
      <c r="AL95" s="522">
        <f>flow!AK55</f>
        <v>0</v>
      </c>
      <c r="AM95" s="522">
        <f>flow!AL55</f>
        <v>-252</v>
      </c>
      <c r="AN95" s="522">
        <f>flow!AM55</f>
        <v>0</v>
      </c>
      <c r="AO95" s="522">
        <f>flow!AN55</f>
        <v>-243</v>
      </c>
      <c r="AP95" s="522">
        <f>flow!AO55</f>
        <v>0</v>
      </c>
      <c r="AQ95" s="522">
        <f>flow!AP55</f>
        <v>-234</v>
      </c>
      <c r="AR95" s="522">
        <f>flow!AQ55</f>
        <v>0</v>
      </c>
      <c r="AS95" s="522">
        <f>flow!AR55</f>
        <v>-252</v>
      </c>
      <c r="AT95" s="522">
        <f>flow!AS55</f>
        <v>0</v>
      </c>
      <c r="AU95" s="522">
        <f>flow!AT55</f>
        <v>-236</v>
      </c>
      <c r="AV95" s="522">
        <f>flow!AU55</f>
        <v>0</v>
      </c>
      <c r="AW95" s="522">
        <f>flow!AV55</f>
        <v>-240</v>
      </c>
      <c r="AX95" s="522">
        <f>flow!AW55</f>
        <v>0</v>
      </c>
      <c r="AY95" s="522">
        <f>flow!AX55</f>
        <v>-321</v>
      </c>
      <c r="AZ95" s="522">
        <f>flow!BA55</f>
        <v>0</v>
      </c>
      <c r="BA95" s="522">
        <f>flow!AZ55</f>
        <v>-383</v>
      </c>
      <c r="BB95" s="522">
        <f>flow!BA55</f>
        <v>0</v>
      </c>
      <c r="BC95" s="522">
        <f>flow!BB55</f>
        <v>-377</v>
      </c>
      <c r="BD95" s="522">
        <f>flow!BC55</f>
        <v>0</v>
      </c>
      <c r="BE95" s="522">
        <f>flow!BD55</f>
        <v>-367</v>
      </c>
      <c r="BF95" s="522">
        <f>flow!BE55</f>
        <v>0</v>
      </c>
      <c r="BG95" s="522">
        <f>flow!BF55</f>
        <v>-361</v>
      </c>
      <c r="BH95" s="522">
        <f>flow!BK55</f>
        <v>0</v>
      </c>
      <c r="BI95" s="522">
        <f>flow!BH55</f>
        <v>-373.12666666666667</v>
      </c>
      <c r="BJ95" s="522"/>
      <c r="BK95" s="522">
        <f>flow!BJ55</f>
        <v>-373.12666666666667</v>
      </c>
      <c r="BL95" s="522"/>
      <c r="BM95" s="522">
        <f>flow!BL55</f>
        <v>-373.12666666666667</v>
      </c>
      <c r="BN95" s="522"/>
      <c r="BO95" s="522">
        <f>flow!BN55</f>
        <v>-373.12666666666667</v>
      </c>
      <c r="BP95" s="522"/>
      <c r="BQ95" s="1856">
        <f>flow!BP55</f>
        <v>-373.12666666666667</v>
      </c>
      <c r="BR95" s="522"/>
      <c r="BS95" s="522"/>
      <c r="BT95" s="522"/>
    </row>
    <row r="96" spans="1:72">
      <c r="A96" s="459"/>
      <c r="B96" s="459" t="s">
        <v>471</v>
      </c>
      <c r="C96" s="459"/>
      <c r="D96" s="459"/>
      <c r="E96" s="459"/>
      <c r="F96" s="459"/>
      <c r="G96" s="459"/>
      <c r="H96" s="459"/>
      <c r="I96" s="459"/>
      <c r="J96" s="459"/>
      <c r="K96" s="459"/>
      <c r="L96" s="459"/>
      <c r="M96" s="459"/>
      <c r="N96" s="459"/>
      <c r="O96" s="459"/>
      <c r="P96" s="459"/>
      <c r="Q96" s="459"/>
      <c r="R96" s="459"/>
      <c r="S96" s="459"/>
      <c r="T96" s="459"/>
      <c r="U96" s="459"/>
      <c r="V96" s="459"/>
      <c r="W96" s="459">
        <v>0</v>
      </c>
      <c r="X96" s="459"/>
      <c r="Y96" s="459">
        <v>0</v>
      </c>
      <c r="Z96" s="459"/>
      <c r="AA96" s="459">
        <v>0</v>
      </c>
      <c r="AB96" s="459"/>
      <c r="AC96" s="459">
        <v>0</v>
      </c>
      <c r="AD96" s="459"/>
      <c r="AE96" s="459">
        <v>0</v>
      </c>
      <c r="AF96" s="459"/>
      <c r="AG96" s="459">
        <v>0</v>
      </c>
      <c r="AH96" s="459"/>
      <c r="AI96" s="459">
        <v>0</v>
      </c>
      <c r="AJ96" s="459"/>
      <c r="AK96" s="459">
        <v>0</v>
      </c>
      <c r="AL96" s="459"/>
      <c r="AM96" s="459">
        <v>0</v>
      </c>
      <c r="AN96" s="459"/>
      <c r="AO96" s="459">
        <v>0</v>
      </c>
      <c r="AP96" s="459"/>
      <c r="AQ96" s="459">
        <v>0</v>
      </c>
      <c r="AR96" s="459"/>
      <c r="AS96" s="459">
        <v>0</v>
      </c>
      <c r="AT96" s="459"/>
      <c r="AU96" s="459">
        <v>0</v>
      </c>
      <c r="AV96" s="459"/>
      <c r="AW96" s="459">
        <v>0</v>
      </c>
      <c r="AX96" s="459"/>
      <c r="AY96" s="459">
        <v>0</v>
      </c>
      <c r="AZ96" s="459"/>
      <c r="BA96" s="459">
        <v>0</v>
      </c>
      <c r="BB96" s="459">
        <v>0</v>
      </c>
      <c r="BC96" s="459">
        <v>0</v>
      </c>
      <c r="BD96" s="459"/>
      <c r="BE96" s="459">
        <v>0</v>
      </c>
      <c r="BF96" s="459"/>
      <c r="BG96" s="459">
        <v>0</v>
      </c>
      <c r="BH96" s="459"/>
      <c r="BI96" s="459">
        <v>0</v>
      </c>
      <c r="BJ96" s="459"/>
      <c r="BK96" s="459">
        <v>0</v>
      </c>
      <c r="BL96" s="459"/>
      <c r="BM96" s="459">
        <v>0</v>
      </c>
      <c r="BN96" s="459"/>
      <c r="BO96" s="459">
        <v>0</v>
      </c>
      <c r="BP96" s="459"/>
      <c r="BQ96" s="57">
        <v>0</v>
      </c>
      <c r="BR96" s="459"/>
      <c r="BS96" s="459"/>
      <c r="BT96" s="459"/>
    </row>
    <row r="97" spans="1:72">
      <c r="A97" s="459"/>
      <c r="B97" s="459"/>
      <c r="C97" s="459"/>
      <c r="D97" s="459"/>
      <c r="E97" s="459"/>
      <c r="F97" s="459"/>
      <c r="G97" s="459"/>
      <c r="H97" s="459"/>
      <c r="I97" s="459"/>
      <c r="J97" s="459"/>
      <c r="K97" s="459"/>
      <c r="L97" s="459"/>
      <c r="M97" s="459"/>
      <c r="N97" s="459"/>
      <c r="O97" s="459"/>
      <c r="P97" s="459"/>
      <c r="Q97" s="459"/>
      <c r="R97" s="459"/>
      <c r="S97" s="459"/>
      <c r="T97" s="459"/>
      <c r="U97" s="459"/>
      <c r="V97" s="459"/>
      <c r="W97" s="459"/>
      <c r="X97" s="459"/>
      <c r="Y97" s="459"/>
      <c r="Z97" s="459"/>
      <c r="AA97" s="459"/>
      <c r="AB97" s="459"/>
      <c r="AC97" s="459"/>
      <c r="AD97" s="459"/>
      <c r="AE97" s="459"/>
      <c r="AF97" s="459"/>
      <c r="AG97" s="459"/>
      <c r="AH97" s="459"/>
      <c r="AI97" s="459"/>
      <c r="AJ97" s="459"/>
      <c r="AK97" s="459"/>
      <c r="AL97" s="459"/>
      <c r="AM97" s="459"/>
      <c r="AN97" s="459"/>
      <c r="AO97" s="459"/>
      <c r="AP97" s="459"/>
      <c r="AQ97" s="459"/>
      <c r="AR97" s="459"/>
      <c r="AS97" s="459"/>
      <c r="AT97" s="459"/>
      <c r="AU97" s="459"/>
      <c r="AV97" s="459"/>
      <c r="AW97" s="459"/>
      <c r="AX97" s="459"/>
      <c r="AY97" s="459"/>
      <c r="AZ97" s="459"/>
      <c r="BA97" s="459"/>
      <c r="BB97" s="459"/>
      <c r="BC97" s="459"/>
      <c r="BD97" s="459"/>
      <c r="BE97" s="459"/>
      <c r="BF97" s="459"/>
      <c r="BG97" s="459"/>
      <c r="BH97" s="459"/>
      <c r="BI97" s="459"/>
      <c r="BJ97" s="459"/>
      <c r="BK97" s="459"/>
      <c r="BL97" s="459"/>
      <c r="BM97" s="459"/>
      <c r="BN97" s="459"/>
      <c r="BO97" s="459"/>
      <c r="BP97" s="459"/>
      <c r="BQ97" s="57"/>
      <c r="BR97" s="459"/>
      <c r="BS97" s="459"/>
      <c r="BT97" s="459"/>
    </row>
    <row r="98" spans="1:72" customFormat="1"/>
  </sheetData>
  <phoneticPr fontId="0" type="noConversion"/>
  <dataValidations disablePrompts="1" count="1">
    <dataValidation type="custom" allowBlank="1" showInputMessage="1" showErrorMessage="1" sqref="B84:B89 AU84:BB89 W85:W89 Y85:AT89 C84:AT84 BC85:BC89">
      <formula1>-1</formula1>
    </dataValidation>
  </dataValidations>
  <pageMargins left="0" right="0" top="0" bottom="0" header="0" footer="0"/>
  <pageSetup paperSize="5" scale="83" orientation="landscape" r:id="rId1"/>
  <headerFooter alignWithMargins="0">
    <oddFooter>&amp;R&amp;8&amp;D/&amp;T
&amp;F/&amp;A</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CE94"/>
  <sheetViews>
    <sheetView showGridLines="0" zoomScale="85" zoomScaleNormal="85" zoomScaleSheetLayoutView="100" workbookViewId="0">
      <pane xSplit="3" ySplit="8" topLeftCell="AR9" activePane="bottomRight" state="frozen"/>
      <selection activeCell="CD18" sqref="CD18"/>
      <selection pane="topRight" activeCell="CD18" sqref="CD18"/>
      <selection pane="bottomLeft" activeCell="CD18" sqref="CD18"/>
      <selection pane="bottomRight" activeCell="BF32" sqref="BF32"/>
    </sheetView>
  </sheetViews>
  <sheetFormatPr defaultRowHeight="12.75" outlineLevelRow="1" outlineLevelCol="1"/>
  <cols>
    <col min="1" max="1" width="2.7109375" style="1045" customWidth="1"/>
    <col min="2" max="2" width="3.28515625" style="1045" customWidth="1"/>
    <col min="3" max="3" width="34.5703125" style="1045" customWidth="1"/>
    <col min="4" max="4" width="8.85546875" style="1045" hidden="1" customWidth="1" outlineLevel="1"/>
    <col min="5" max="5" width="1.7109375" style="1045" hidden="1" customWidth="1" outlineLevel="1"/>
    <col min="6" max="6" width="8.85546875" style="1045" hidden="1" customWidth="1" outlineLevel="1"/>
    <col min="7" max="7" width="1.7109375" style="1045" hidden="1" customWidth="1" outlineLevel="1"/>
    <col min="8" max="8" width="8.85546875" style="1045" hidden="1" customWidth="1" outlineLevel="1"/>
    <col min="9" max="9" width="1.7109375" style="1045" hidden="1" customWidth="1" outlineLevel="1"/>
    <col min="10" max="10" width="8.85546875" style="1045" hidden="1" customWidth="1" outlineLevel="1"/>
    <col min="11" max="11" width="1.7109375" style="1045" hidden="1" customWidth="1" outlineLevel="1"/>
    <col min="12" max="12" width="8.85546875" style="1045" hidden="1" customWidth="1" outlineLevel="1"/>
    <col min="13" max="13" width="2.5703125" style="1045" hidden="1" customWidth="1" outlineLevel="1"/>
    <col min="14" max="14" width="8.85546875" style="1045" hidden="1" customWidth="1" outlineLevel="1"/>
    <col min="15" max="15" width="1.7109375" style="1045" hidden="1" customWidth="1" outlineLevel="1"/>
    <col min="16" max="16" width="8.85546875" style="1045" hidden="1" customWidth="1" outlineLevel="1"/>
    <col min="17" max="17" width="1.7109375" style="1045" hidden="1" customWidth="1" outlineLevel="1"/>
    <col min="18" max="18" width="9.140625" style="1045" hidden="1" customWidth="1" outlineLevel="1"/>
    <col min="19" max="19" width="1.7109375" style="1045" hidden="1" customWidth="1" outlineLevel="1"/>
    <col min="20" max="20" width="9.140625" style="1045" hidden="1" customWidth="1" outlineLevel="1"/>
    <col min="21" max="21" width="1.7109375" style="1045" hidden="1" customWidth="1" outlineLevel="1"/>
    <col min="22" max="22" width="9.7109375" style="1045" hidden="1" customWidth="1" outlineLevel="1" collapsed="1"/>
    <col min="23" max="23" width="1.42578125" style="1045" hidden="1" customWidth="1" outlineLevel="1"/>
    <col min="24" max="24" width="9.7109375" style="1045" hidden="1" customWidth="1" outlineLevel="1"/>
    <col min="25" max="25" width="1.42578125" style="1045" hidden="1" customWidth="1" outlineLevel="1"/>
    <col min="26" max="26" width="9.7109375" style="1045" hidden="1" customWidth="1" outlineLevel="1"/>
    <col min="27" max="27" width="1.42578125" style="1045" hidden="1" customWidth="1" outlineLevel="1"/>
    <col min="28" max="28" width="9.7109375" style="1045" hidden="1" customWidth="1" outlineLevel="1"/>
    <col min="29" max="29" width="1.42578125" style="1045" hidden="1" customWidth="1" outlineLevel="1"/>
    <col min="30" max="30" width="9.7109375" style="1045" hidden="1" customWidth="1" outlineLevel="1"/>
    <col min="31" max="31" width="1.42578125" style="1045" hidden="1" customWidth="1" outlineLevel="1"/>
    <col min="32" max="32" width="9.7109375" style="1045" hidden="1" customWidth="1" outlineLevel="1"/>
    <col min="33" max="33" width="1.42578125" style="1045" hidden="1" customWidth="1" outlineLevel="1"/>
    <col min="34" max="34" width="9.7109375" style="1045" hidden="1" customWidth="1" outlineLevel="1"/>
    <col min="35" max="35" width="1.42578125" style="1045" hidden="1" customWidth="1" outlineLevel="1"/>
    <col min="36" max="36" width="9.7109375" style="1045" hidden="1" customWidth="1" outlineLevel="1"/>
    <col min="37" max="37" width="1.42578125" style="1045" hidden="1" customWidth="1" outlineLevel="1"/>
    <col min="38" max="38" width="9.7109375" style="1045" hidden="1" customWidth="1" outlineLevel="1"/>
    <col min="39" max="39" width="1.42578125" style="1045" hidden="1" customWidth="1" outlineLevel="1"/>
    <col min="40" max="40" width="10.28515625" style="1045" hidden="1" customWidth="1" outlineLevel="1"/>
    <col min="41" max="41" width="1.5703125" style="1045" hidden="1" customWidth="1" outlineLevel="1"/>
    <col min="42" max="42" width="10.28515625" style="1045" hidden="1" customWidth="1" outlineLevel="1"/>
    <col min="43" max="43" width="1.28515625" style="1045" hidden="1" customWidth="1" outlineLevel="1"/>
    <col min="44" max="44" width="9.7109375" style="1045" customWidth="1" collapsed="1"/>
    <col min="45" max="45" width="1.42578125" style="1045" customWidth="1"/>
    <col min="46" max="46" width="9.7109375" style="1045" customWidth="1"/>
    <col min="47" max="47" width="1.42578125" style="1045" customWidth="1"/>
    <col min="48" max="48" width="9.7109375" style="1045" customWidth="1"/>
    <col min="49" max="49" width="1.42578125" style="1045" customWidth="1"/>
    <col min="50" max="50" width="9.7109375" style="1045" customWidth="1"/>
    <col min="51" max="51" width="1.42578125" style="1045" customWidth="1"/>
    <col min="52" max="52" width="9.7109375" style="1045" customWidth="1"/>
    <col min="53" max="53" width="1.42578125" style="1045" customWidth="1"/>
    <col min="54" max="54" width="10.7109375" style="1045" bestFit="1" customWidth="1"/>
    <col min="55" max="55" width="1.42578125" style="1045" customWidth="1"/>
    <col min="56" max="56" width="9.140625" style="1045"/>
    <col min="57" max="57" width="1.42578125" style="1045" customWidth="1"/>
    <col min="58" max="58" width="9.140625" style="24"/>
    <col min="59" max="59" width="1.42578125" style="1045" customWidth="1"/>
    <col min="60" max="60" width="9.140625" style="1045"/>
    <col min="61" max="61" width="1.42578125" style="1045" customWidth="1"/>
    <col min="62" max="62" width="9.140625" style="1045" customWidth="1" outlineLevel="1"/>
    <col min="63" max="63" width="1.42578125" style="1045" customWidth="1" outlineLevel="1"/>
    <col min="64" max="64" width="9.140625" style="1045" customWidth="1" outlineLevel="1"/>
    <col min="65" max="65" width="1.42578125" style="1045" customWidth="1" outlineLevel="1"/>
    <col min="66" max="66" width="9.140625" style="1045" customWidth="1" outlineLevel="1"/>
    <col min="67" max="67" width="1.42578125" style="1045" customWidth="1" outlineLevel="1"/>
    <col min="68" max="68" width="9.140625" style="24" customWidth="1" outlineLevel="1"/>
    <col min="69" max="69" width="8.85546875" style="1045" customWidth="1"/>
    <col min="70" max="70" width="21.28515625" hidden="1" customWidth="1" outlineLevel="1"/>
    <col min="71" max="75" width="0" hidden="1" customWidth="1" outlineLevel="1"/>
    <col min="76" max="78" width="0" style="1045" hidden="1" customWidth="1" outlineLevel="1"/>
    <col min="79" max="79" width="9.140625" style="1045" collapsed="1"/>
    <col min="80" max="16384" width="9.140625" style="1045"/>
  </cols>
  <sheetData>
    <row r="1" spans="1:69">
      <c r="A1" s="1265" t="str">
        <f>'qtrP&amp;L'!A1</f>
        <v>The Gap, Inc.</v>
      </c>
      <c r="B1" s="1265"/>
      <c r="C1" s="1265"/>
      <c r="D1" s="1265"/>
      <c r="E1" s="1266"/>
      <c r="F1" s="1265"/>
      <c r="G1" s="1265"/>
      <c r="H1" s="1265"/>
      <c r="I1" s="1266"/>
      <c r="J1" s="1267"/>
      <c r="K1" s="1267"/>
      <c r="L1" s="1267"/>
      <c r="M1" s="1268"/>
      <c r="N1" s="1265"/>
      <c r="O1" s="1266"/>
      <c r="P1" s="1265"/>
      <c r="Q1" s="1265"/>
      <c r="R1" s="1265"/>
      <c r="S1" s="1266"/>
      <c r="T1" s="1267"/>
      <c r="U1" s="1267"/>
      <c r="V1" s="1267"/>
      <c r="W1" s="1268"/>
      <c r="X1" s="1267"/>
      <c r="Y1" s="1267"/>
      <c r="Z1" s="1267"/>
      <c r="AA1" s="1267"/>
      <c r="AB1" s="1267"/>
      <c r="AC1" s="1267"/>
      <c r="AD1" s="1267"/>
      <c r="AE1" s="1267"/>
      <c r="AF1" s="1267"/>
      <c r="AG1" s="1267"/>
      <c r="AH1" s="1267"/>
      <c r="AI1" s="1267"/>
      <c r="AJ1" s="1267"/>
      <c r="AK1" s="1267"/>
      <c r="AL1" s="1267"/>
      <c r="AM1" s="1267"/>
      <c r="AN1" s="1267"/>
      <c r="AO1" s="1267"/>
      <c r="AP1" s="1267"/>
      <c r="AQ1" s="1267"/>
      <c r="AR1" s="1267"/>
      <c r="AS1" s="1267"/>
      <c r="AT1" s="1267"/>
      <c r="AU1" s="1267"/>
      <c r="AV1" s="1267"/>
      <c r="AW1" s="1267"/>
      <c r="AX1" s="1267"/>
      <c r="AY1" s="1267"/>
      <c r="AZ1" s="1267"/>
      <c r="BA1" s="1265"/>
      <c r="BB1" s="1265"/>
      <c r="BC1" s="1265"/>
      <c r="BD1" s="1265"/>
      <c r="BE1" s="1265"/>
      <c r="BF1" s="1840"/>
      <c r="BG1" s="1265"/>
      <c r="BH1" s="1265"/>
      <c r="BI1" s="1265"/>
      <c r="BJ1" s="1265"/>
      <c r="BK1" s="1265"/>
      <c r="BL1" s="1265"/>
      <c r="BM1" s="1265"/>
      <c r="BN1" s="1265"/>
      <c r="BO1" s="1265"/>
      <c r="BP1" s="1840"/>
      <c r="BQ1" s="1265"/>
    </row>
    <row r="2" spans="1:69">
      <c r="A2" s="1269" t="s">
        <v>568</v>
      </c>
      <c r="B2" s="1269"/>
      <c r="C2" s="1269"/>
      <c r="D2" s="1269"/>
      <c r="E2" s="1270"/>
      <c r="F2" s="1269"/>
      <c r="G2" s="1269"/>
      <c r="H2" s="1269"/>
      <c r="I2" s="1270"/>
      <c r="J2" s="1269"/>
      <c r="K2" s="1269"/>
      <c r="L2" s="1269"/>
      <c r="M2" s="1270"/>
      <c r="N2" s="1269"/>
      <c r="O2" s="1270"/>
      <c r="P2" s="1269"/>
      <c r="Q2" s="1269"/>
      <c r="R2" s="1269"/>
      <c r="S2" s="1270"/>
      <c r="T2" s="1269"/>
      <c r="U2" s="1269"/>
      <c r="V2" s="1269"/>
      <c r="W2" s="1270"/>
      <c r="X2" s="1269"/>
      <c r="Y2" s="1269"/>
      <c r="Z2" s="1269"/>
      <c r="AA2" s="1269"/>
      <c r="AB2" s="1269"/>
      <c r="AC2" s="1269"/>
      <c r="AD2" s="1269"/>
      <c r="AE2" s="1269"/>
      <c r="AF2" s="1269"/>
      <c r="AG2" s="1269"/>
      <c r="AH2" s="1269"/>
      <c r="AI2" s="1269"/>
      <c r="AJ2" s="1269"/>
      <c r="AK2" s="1269"/>
      <c r="AL2" s="1269"/>
      <c r="AM2" s="1269"/>
      <c r="AN2" s="1271"/>
      <c r="AO2" s="1269"/>
      <c r="AP2" s="1269"/>
      <c r="AQ2" s="1269"/>
      <c r="AR2" s="1269"/>
      <c r="AS2" s="1269"/>
      <c r="AT2" s="1269"/>
      <c r="AU2" s="1269"/>
      <c r="AV2" s="1269"/>
      <c r="AW2" s="1269"/>
      <c r="AX2" s="1269"/>
      <c r="AY2" s="1269"/>
      <c r="AZ2" s="1269"/>
      <c r="BA2" s="1269"/>
      <c r="BB2" s="1269"/>
      <c r="BC2" s="1269"/>
      <c r="BD2" s="1269"/>
      <c r="BE2" s="1269"/>
      <c r="BF2" s="1841"/>
      <c r="BG2" s="1269"/>
      <c r="BH2" s="1269"/>
      <c r="BI2" s="1269"/>
      <c r="BJ2" s="1269"/>
      <c r="BK2" s="1269"/>
      <c r="BL2" s="1269"/>
      <c r="BM2" s="1267"/>
      <c r="BN2" s="1269"/>
      <c r="BO2" s="1269"/>
      <c r="BP2" s="1841"/>
      <c r="BQ2" s="1265"/>
    </row>
    <row r="3" spans="1:69">
      <c r="A3" s="1272" t="str">
        <f>+'qtrP&amp;L'!A3</f>
        <v>For the fiscal year ending January 31 of the following year</v>
      </c>
      <c r="B3" s="1272"/>
      <c r="C3" s="1273"/>
      <c r="D3" s="1273"/>
      <c r="E3" s="1273"/>
      <c r="F3" s="1273"/>
      <c r="G3" s="1273"/>
      <c r="H3" s="1273"/>
      <c r="I3" s="1273"/>
      <c r="J3" s="1273"/>
      <c r="K3" s="1273"/>
      <c r="L3" s="1273"/>
      <c r="M3" s="1273"/>
      <c r="N3" s="1273"/>
      <c r="O3" s="1273"/>
      <c r="P3" s="1273"/>
      <c r="Q3" s="1273"/>
      <c r="R3" s="1273"/>
      <c r="S3" s="1273"/>
      <c r="T3" s="1273"/>
      <c r="U3" s="1273"/>
      <c r="V3" s="1273"/>
      <c r="W3" s="1273"/>
      <c r="X3" s="1273"/>
      <c r="Y3" s="1273"/>
      <c r="Z3" s="1273"/>
      <c r="AA3" s="1273"/>
      <c r="AB3" s="1273"/>
      <c r="AC3" s="1273"/>
      <c r="AD3" s="1273"/>
      <c r="AE3" s="1273"/>
      <c r="AF3" s="1273"/>
      <c r="AG3" s="1273"/>
      <c r="AH3" s="1273"/>
      <c r="AI3" s="1273"/>
      <c r="AJ3" s="1273"/>
      <c r="AK3" s="1273"/>
      <c r="AL3" s="1273"/>
      <c r="AM3" s="1273"/>
      <c r="AN3" s="1273"/>
      <c r="AO3" s="1273"/>
      <c r="AP3" s="1273"/>
      <c r="AQ3" s="1273"/>
      <c r="AR3" s="1273"/>
      <c r="AS3" s="1273"/>
      <c r="AT3" s="1273"/>
      <c r="AU3" s="1273"/>
      <c r="AV3" s="1273"/>
      <c r="AW3" s="1273"/>
      <c r="AX3" s="1273"/>
      <c r="AY3" s="1273"/>
      <c r="AZ3" s="1273"/>
      <c r="BA3" s="1273"/>
      <c r="BB3" s="1273"/>
      <c r="BC3" s="1273"/>
      <c r="BD3" s="1273"/>
      <c r="BE3" s="1273"/>
      <c r="BF3" s="57"/>
      <c r="BG3" s="1273"/>
      <c r="BH3" s="1273"/>
      <c r="BI3" s="1273"/>
      <c r="BJ3" s="1273"/>
      <c r="BK3" s="1273"/>
      <c r="BL3" s="1273"/>
      <c r="BM3" s="1273"/>
      <c r="BN3" s="1273"/>
      <c r="BO3" s="1273"/>
      <c r="BP3" s="57"/>
      <c r="BQ3" s="1273"/>
    </row>
    <row r="4" spans="1:69">
      <c r="A4" s="1272" t="s">
        <v>534</v>
      </c>
      <c r="B4" s="1272"/>
      <c r="C4" s="1273"/>
      <c r="D4" s="1273"/>
      <c r="E4" s="1273"/>
      <c r="F4" s="1273"/>
      <c r="G4" s="1273"/>
      <c r="H4" s="1273"/>
      <c r="I4" s="1273"/>
      <c r="J4" s="1273"/>
      <c r="K4" s="1273"/>
      <c r="L4" s="1273"/>
      <c r="M4" s="1273"/>
      <c r="N4" s="1273"/>
      <c r="O4" s="1273"/>
      <c r="P4" s="1273"/>
      <c r="Q4" s="1273"/>
      <c r="R4" s="1273"/>
      <c r="S4" s="1273"/>
      <c r="T4" s="1273"/>
      <c r="U4" s="1273"/>
      <c r="V4" s="1273"/>
      <c r="W4" s="1273"/>
      <c r="X4" s="1273"/>
      <c r="Y4" s="1273"/>
      <c r="Z4" s="1273"/>
      <c r="AA4" s="1273"/>
      <c r="AB4" s="1273"/>
      <c r="AC4" s="1273"/>
      <c r="AD4" s="1273"/>
      <c r="AE4" s="1273"/>
      <c r="AF4" s="1273"/>
      <c r="AG4" s="1273"/>
      <c r="AH4" s="1273"/>
      <c r="AI4" s="1273"/>
      <c r="AJ4" s="1273" t="str">
        <f>bal!AK61</f>
        <v/>
      </c>
      <c r="AK4" s="1273"/>
      <c r="AL4" s="1273"/>
      <c r="AM4" s="1273"/>
      <c r="AN4" s="1273"/>
      <c r="AO4" s="1273"/>
      <c r="AP4" s="1273"/>
      <c r="AQ4" s="1273"/>
      <c r="AR4" s="1273"/>
      <c r="AS4" s="1273"/>
      <c r="AT4" s="1273"/>
      <c r="AU4" s="1273"/>
      <c r="AV4" s="1273"/>
      <c r="AW4" s="1273"/>
      <c r="AX4" s="1273"/>
      <c r="AY4" s="1273"/>
      <c r="AZ4" s="1273"/>
      <c r="BA4" s="1273"/>
      <c r="BB4" s="1274"/>
      <c r="BC4" s="1273"/>
      <c r="BD4" s="1273"/>
      <c r="BE4" s="1273"/>
      <c r="BF4" s="57"/>
      <c r="BG4" s="1273"/>
      <c r="BH4" s="1273"/>
      <c r="BI4" s="1273"/>
      <c r="BJ4" s="1273"/>
      <c r="BK4" s="1273"/>
      <c r="BL4" s="1273"/>
      <c r="BM4" s="1273"/>
      <c r="BN4" s="1273"/>
      <c r="BO4" s="1273"/>
      <c r="BP4" s="57"/>
      <c r="BQ4" s="1273"/>
    </row>
    <row r="5" spans="1:69">
      <c r="A5" s="1272"/>
      <c r="B5" s="1272"/>
      <c r="C5" s="1273"/>
      <c r="D5" s="1273"/>
      <c r="E5" s="1273"/>
      <c r="F5" s="1273"/>
      <c r="G5" s="1273"/>
      <c r="H5" s="1273"/>
      <c r="I5" s="1273"/>
      <c r="J5" s="1273"/>
      <c r="K5" s="1273"/>
      <c r="L5" s="1273"/>
      <c r="M5" s="1273"/>
      <c r="N5" s="1273"/>
      <c r="O5" s="1273"/>
      <c r="P5" s="1273"/>
      <c r="Q5" s="1273"/>
      <c r="R5" s="1273"/>
      <c r="S5" s="1273"/>
      <c r="T5" s="1273"/>
      <c r="U5" s="1273"/>
      <c r="V5" s="1273"/>
      <c r="W5" s="1273"/>
      <c r="X5" s="1273"/>
      <c r="Y5" s="1273"/>
      <c r="Z5" s="1273"/>
      <c r="AA5" s="1273"/>
      <c r="AB5" s="1273"/>
      <c r="AC5" s="1273"/>
      <c r="AD5" s="1273"/>
      <c r="AE5" s="1273"/>
      <c r="AF5" s="1273"/>
      <c r="AG5" s="1273"/>
      <c r="AH5" s="1275"/>
      <c r="AI5" s="1273"/>
      <c r="AJ5" s="1275"/>
      <c r="AK5" s="1273"/>
      <c r="AL5" s="1273"/>
      <c r="AM5" s="1273"/>
      <c r="AN5" s="1273"/>
      <c r="AO5" s="1273"/>
      <c r="AP5" s="1273"/>
      <c r="AQ5" s="1273"/>
      <c r="AR5" s="1273"/>
      <c r="AS5" s="1273"/>
      <c r="AT5" s="1273"/>
      <c r="AU5" s="1273"/>
      <c r="AV5" s="1273"/>
      <c r="AW5" s="1273"/>
      <c r="AX5" s="1273"/>
      <c r="AY5" s="1273"/>
      <c r="AZ5" s="1273"/>
      <c r="BA5" s="1273"/>
      <c r="BB5" s="1276"/>
      <c r="BC5" s="1273"/>
      <c r="BD5" s="1273"/>
      <c r="BE5" s="1273"/>
      <c r="BF5" s="57"/>
      <c r="BG5" s="1273"/>
      <c r="BH5" s="1273"/>
      <c r="BI5" s="1273"/>
      <c r="BJ5" s="1273"/>
      <c r="BK5" s="1273"/>
      <c r="BL5" s="1273"/>
      <c r="BM5" s="1273"/>
      <c r="BN5" s="1273"/>
      <c r="BO5" s="1273"/>
      <c r="BP5" s="57"/>
      <c r="BQ5" s="1273"/>
    </row>
    <row r="6" spans="1:69">
      <c r="A6" s="1273"/>
      <c r="B6" s="1273"/>
      <c r="C6" s="1273"/>
      <c r="D6" s="1277"/>
      <c r="E6" s="1277"/>
      <c r="F6" s="1278"/>
      <c r="G6" s="1277"/>
      <c r="H6" s="1279"/>
      <c r="I6" s="1279" t="s">
        <v>662</v>
      </c>
      <c r="J6" s="1277"/>
      <c r="K6" s="1277"/>
      <c r="L6" s="1277"/>
      <c r="M6" s="1277"/>
      <c r="N6" s="1277"/>
      <c r="O6" s="1277"/>
      <c r="P6" s="1278"/>
      <c r="Q6" s="1277"/>
      <c r="R6" s="1279" t="s">
        <v>662</v>
      </c>
      <c r="S6" s="1279"/>
      <c r="T6" s="1279"/>
      <c r="U6" s="1279"/>
      <c r="V6" s="1280" t="s">
        <v>662</v>
      </c>
      <c r="W6" s="1280"/>
      <c r="X6" s="1280"/>
      <c r="Y6" s="1280"/>
      <c r="Z6" s="1280"/>
      <c r="AA6" s="1280"/>
      <c r="AB6" s="1280"/>
      <c r="AC6" s="1280"/>
      <c r="AD6" s="1280"/>
      <c r="AE6" s="1280"/>
      <c r="AF6" s="1280"/>
      <c r="AG6" s="1281"/>
      <c r="AH6" s="1281"/>
      <c r="AI6" s="1281"/>
      <c r="AJ6" s="1281"/>
      <c r="AK6" s="1277"/>
      <c r="AL6" s="1281"/>
      <c r="AM6" s="1277"/>
      <c r="AN6" s="1281"/>
      <c r="AO6" s="1281"/>
      <c r="AP6" s="1281"/>
      <c r="AQ6" s="1281"/>
      <c r="AR6" s="1281"/>
      <c r="AS6" s="1281"/>
      <c r="AT6" s="1281"/>
      <c r="AU6" s="1281"/>
      <c r="AV6" s="1281"/>
      <c r="AW6" s="1281"/>
      <c r="AX6" s="1281"/>
      <c r="AY6" s="1281"/>
      <c r="AZ6" s="1281"/>
      <c r="BA6" s="1281"/>
      <c r="BB6" s="1281"/>
      <c r="BC6" s="1281"/>
      <c r="BD6" s="1281"/>
      <c r="BE6" s="1281"/>
      <c r="BF6" s="1857"/>
      <c r="BG6" s="1281"/>
      <c r="BH6" s="1281"/>
      <c r="BI6" s="1281"/>
      <c r="BJ6" s="1281"/>
      <c r="BK6" s="1281"/>
      <c r="BL6" s="1281"/>
      <c r="BM6" s="1282"/>
      <c r="BN6" s="1281"/>
      <c r="BO6" s="1281"/>
      <c r="BP6" s="1857"/>
      <c r="BQ6" s="1273"/>
    </row>
    <row r="7" spans="1:69" ht="3.95" customHeight="1">
      <c r="A7" s="1273"/>
      <c r="B7" s="1273"/>
      <c r="C7" s="1273"/>
      <c r="D7" s="1273"/>
      <c r="E7" s="1273"/>
      <c r="F7" s="1273"/>
      <c r="G7" s="1273"/>
      <c r="H7" s="1273"/>
      <c r="I7" s="1273"/>
      <c r="J7" s="1273"/>
      <c r="K7" s="1273"/>
      <c r="L7" s="1273"/>
      <c r="M7" s="1273"/>
      <c r="N7" s="1273"/>
      <c r="O7" s="1273"/>
      <c r="P7" s="1273"/>
      <c r="Q7" s="1273"/>
      <c r="R7" s="1273"/>
      <c r="S7" s="1273"/>
      <c r="T7" s="1273"/>
      <c r="U7" s="1273"/>
      <c r="V7" s="1273"/>
      <c r="W7" s="1273"/>
      <c r="X7" s="1273"/>
      <c r="Y7" s="1273"/>
      <c r="Z7" s="1273"/>
      <c r="AA7" s="1273"/>
      <c r="AB7" s="1274"/>
      <c r="AC7" s="1273"/>
      <c r="AD7" s="1273"/>
      <c r="AE7" s="1273"/>
      <c r="AF7" s="1273"/>
      <c r="AG7" s="1273"/>
      <c r="AH7" s="1273"/>
      <c r="AI7" s="1273"/>
      <c r="AJ7" s="1273"/>
      <c r="AK7" s="1273"/>
      <c r="AL7" s="1273"/>
      <c r="AM7" s="1273"/>
      <c r="AN7" s="1273"/>
      <c r="AO7" s="1273"/>
      <c r="AP7" s="1273"/>
      <c r="AQ7" s="1273"/>
      <c r="AR7" s="1273"/>
      <c r="AS7" s="1273"/>
      <c r="AT7" s="1273"/>
      <c r="AU7" s="1273"/>
      <c r="AV7" s="1273"/>
      <c r="AW7" s="1273"/>
      <c r="AX7" s="1273"/>
      <c r="AY7" s="1273"/>
      <c r="AZ7" s="1273"/>
      <c r="BA7" s="1273"/>
      <c r="BB7" s="1273"/>
      <c r="BC7" s="1273"/>
      <c r="BD7" s="1273"/>
      <c r="BE7" s="1273"/>
      <c r="BF7" s="57"/>
      <c r="BG7" s="1273"/>
      <c r="BH7" s="1273"/>
      <c r="BI7" s="1273"/>
      <c r="BJ7" s="1273"/>
      <c r="BK7" s="1273"/>
      <c r="BL7" s="1273"/>
      <c r="BM7" s="1273"/>
      <c r="BN7" s="1273"/>
      <c r="BO7" s="1273"/>
      <c r="BP7" s="57"/>
      <c r="BQ7" s="1273"/>
    </row>
    <row r="8" spans="1:69">
      <c r="A8" s="1273"/>
      <c r="B8" s="1273"/>
      <c r="C8" s="1273"/>
      <c r="D8" s="1283">
        <v>1990</v>
      </c>
      <c r="E8" s="1284"/>
      <c r="F8" s="1285">
        <f>D8+1</f>
        <v>1991</v>
      </c>
      <c r="G8" s="1284"/>
      <c r="H8" s="1285">
        <f>F8+1</f>
        <v>1992</v>
      </c>
      <c r="I8" s="1284"/>
      <c r="J8" s="1285">
        <f>H8+1</f>
        <v>1993</v>
      </c>
      <c r="K8" s="1284"/>
      <c r="L8" s="1285">
        <f>J8+1</f>
        <v>1994</v>
      </c>
      <c r="M8" s="1273"/>
      <c r="N8" s="1286">
        <f>L8+1</f>
        <v>1995</v>
      </c>
      <c r="O8" s="1284"/>
      <c r="P8" s="1285">
        <f>N8+1</f>
        <v>1996</v>
      </c>
      <c r="Q8" s="1284"/>
      <c r="R8" s="1285">
        <f>P8+1</f>
        <v>1997</v>
      </c>
      <c r="S8" s="1284"/>
      <c r="T8" s="1285">
        <f>R8+1</f>
        <v>1998</v>
      </c>
      <c r="U8" s="1284"/>
      <c r="V8" s="1285">
        <f>T8+1</f>
        <v>1999</v>
      </c>
      <c r="W8" s="1273"/>
      <c r="X8" s="1285">
        <f>V8+1</f>
        <v>2000</v>
      </c>
      <c r="Y8" s="1284"/>
      <c r="Z8" s="1285">
        <f>X8+1</f>
        <v>2001</v>
      </c>
      <c r="AA8" s="1284"/>
      <c r="AB8" s="1285">
        <f>Z8+1</f>
        <v>2002</v>
      </c>
      <c r="AC8" s="1284"/>
      <c r="AD8" s="1285">
        <f>AB8+1</f>
        <v>2003</v>
      </c>
      <c r="AE8" s="1284"/>
      <c r="AF8" s="1285">
        <f>AD8+1</f>
        <v>2004</v>
      </c>
      <c r="AG8" s="1284"/>
      <c r="AH8" s="1287">
        <f>AF8+1</f>
        <v>2005</v>
      </c>
      <c r="AI8" s="1288"/>
      <c r="AJ8" s="1287">
        <f>AH8+1</f>
        <v>2006</v>
      </c>
      <c r="AK8" s="1289"/>
      <c r="AL8" s="1287">
        <f>AJ8+1</f>
        <v>2007</v>
      </c>
      <c r="AM8" s="1289"/>
      <c r="AN8" s="1287">
        <f>AL8+1</f>
        <v>2008</v>
      </c>
      <c r="AO8" s="1289"/>
      <c r="AP8" s="1287">
        <f>AN8+1</f>
        <v>2009</v>
      </c>
      <c r="AQ8" s="1289"/>
      <c r="AR8" s="1287">
        <f>AP8+1</f>
        <v>2010</v>
      </c>
      <c r="AS8" s="1289"/>
      <c r="AT8" s="1287">
        <f>AR8+1</f>
        <v>2011</v>
      </c>
      <c r="AU8" s="1289"/>
      <c r="AV8" s="1287">
        <f>AT8+1</f>
        <v>2012</v>
      </c>
      <c r="AW8" s="1289"/>
      <c r="AX8" s="1287">
        <f>AV8+1</f>
        <v>2013</v>
      </c>
      <c r="AY8" s="1289"/>
      <c r="AZ8" s="1287">
        <f>AX8+1</f>
        <v>2014</v>
      </c>
      <c r="BA8" s="1273"/>
      <c r="BB8" s="1287">
        <f>AZ8+1</f>
        <v>2015</v>
      </c>
      <c r="BC8" s="1273"/>
      <c r="BD8" s="1287">
        <f>BB8+1</f>
        <v>2016</v>
      </c>
      <c r="BE8" s="1273"/>
      <c r="BF8" s="2116">
        <f>BD8+1</f>
        <v>2017</v>
      </c>
      <c r="BG8" s="1273"/>
      <c r="BH8" s="1290">
        <f>BF8+1</f>
        <v>2018</v>
      </c>
      <c r="BI8" s="1273"/>
      <c r="BJ8" s="1290">
        <f>BH8+1</f>
        <v>2019</v>
      </c>
      <c r="BK8" s="1273"/>
      <c r="BL8" s="1290">
        <f>BJ8+1</f>
        <v>2020</v>
      </c>
      <c r="BM8" s="1273"/>
      <c r="BN8" s="1290">
        <f>BL8+1</f>
        <v>2021</v>
      </c>
      <c r="BO8" s="1290"/>
      <c r="BP8" s="1842">
        <f>BN8+1</f>
        <v>2022</v>
      </c>
      <c r="BQ8" s="1273"/>
    </row>
    <row r="9" spans="1:69" ht="6" customHeight="1">
      <c r="A9" s="1273"/>
      <c r="B9" s="1273"/>
      <c r="C9" s="1273"/>
      <c r="D9" s="1273"/>
      <c r="E9" s="1273"/>
      <c r="F9" s="1273"/>
      <c r="G9" s="1273"/>
      <c r="H9" s="1273"/>
      <c r="I9" s="1273"/>
      <c r="J9" s="1273"/>
      <c r="K9" s="1273"/>
      <c r="L9" s="1273"/>
      <c r="M9" s="1273"/>
      <c r="N9" s="1273"/>
      <c r="O9" s="1273"/>
      <c r="P9" s="1273"/>
      <c r="Q9" s="1273"/>
      <c r="R9" s="1273"/>
      <c r="S9" s="1273"/>
      <c r="T9" s="1273"/>
      <c r="U9" s="1273"/>
      <c r="V9" s="1273"/>
      <c r="W9" s="1273"/>
      <c r="X9" s="1273"/>
      <c r="Y9" s="1273"/>
      <c r="Z9" s="1273"/>
      <c r="AA9" s="1273"/>
      <c r="AB9" s="1291" t="s">
        <v>52</v>
      </c>
      <c r="AC9" s="1273"/>
      <c r="AD9" s="1291" t="s">
        <v>52</v>
      </c>
      <c r="AE9" s="1273"/>
      <c r="AF9" s="1292"/>
      <c r="AG9" s="1273"/>
      <c r="AH9" s="1273"/>
      <c r="AI9" s="1273"/>
      <c r="AJ9" s="1273"/>
      <c r="AK9" s="1273"/>
      <c r="AL9" s="1273"/>
      <c r="AM9" s="1273"/>
      <c r="AN9" s="1273"/>
      <c r="AO9" s="1273"/>
      <c r="AP9" s="1273"/>
      <c r="AQ9" s="1273"/>
      <c r="AR9" s="1273"/>
      <c r="AS9" s="1273"/>
      <c r="AT9" s="1273"/>
      <c r="AU9" s="1273"/>
      <c r="AV9" s="1273"/>
      <c r="AW9" s="1273"/>
      <c r="AX9" s="1273"/>
      <c r="AY9" s="1273"/>
      <c r="AZ9" s="1273"/>
      <c r="BA9" s="1273"/>
      <c r="BB9" s="1273"/>
      <c r="BC9" s="1273"/>
      <c r="BD9" s="1273"/>
      <c r="BE9" s="1273"/>
      <c r="BF9" s="57"/>
      <c r="BG9" s="1273"/>
      <c r="BH9" s="1273"/>
      <c r="BI9" s="1273"/>
      <c r="BJ9" s="1273"/>
      <c r="BK9" s="1273"/>
      <c r="BL9" s="1273"/>
      <c r="BM9" s="1273"/>
      <c r="BN9" s="1273"/>
      <c r="BO9" s="1273"/>
      <c r="BP9" s="57"/>
      <c r="BQ9" s="1273"/>
    </row>
    <row r="10" spans="1:69">
      <c r="A10" s="1273"/>
      <c r="B10" s="1273" t="s">
        <v>621</v>
      </c>
      <c r="C10" s="1273"/>
      <c r="D10" s="1276">
        <f>'qtrP&amp;L'!F111</f>
        <v>144.52199999999999</v>
      </c>
      <c r="E10" s="1273" t="s">
        <v>641</v>
      </c>
      <c r="F10" s="1276">
        <f>'qtrP&amp;L'!J111</f>
        <v>229.8730000000001</v>
      </c>
      <c r="G10" s="1276"/>
      <c r="H10" s="1276">
        <f>'qtrP&amp;L'!N111</f>
        <v>210.70099999999991</v>
      </c>
      <c r="I10" s="1276"/>
      <c r="J10" s="1276">
        <f>'qtrP&amp;L'!R111</f>
        <v>258.42400000000009</v>
      </c>
      <c r="K10" s="1276"/>
      <c r="L10" s="1276">
        <f>'qtrP&amp;L'!V111</f>
        <v>320.23986499999978</v>
      </c>
      <c r="M10" s="1276"/>
      <c r="N10" s="1276">
        <f>'qtrP&amp;L'!Z111</f>
        <v>354.0390000000001</v>
      </c>
      <c r="O10" s="1273" t="s">
        <v>641</v>
      </c>
      <c r="P10" s="1276">
        <f>'qtrP&amp;L'!AD111</f>
        <v>452.85900000000015</v>
      </c>
      <c r="Q10" s="1276"/>
      <c r="R10" s="1276">
        <f>'qtrP&amp;L'!AH111</f>
        <v>533.90099999999984</v>
      </c>
      <c r="S10" s="1276"/>
      <c r="T10" s="1276">
        <f>'qtrP&amp;L'!AL111</f>
        <v>824.53899999999976</v>
      </c>
      <c r="U10" s="1276"/>
      <c r="V10" s="1276">
        <f>'qtrP&amp;L'!AP111</f>
        <v>1127.0649999999994</v>
      </c>
      <c r="W10" s="1276"/>
      <c r="X10" s="1276">
        <f>'qtrP&amp;L'!AT111</f>
        <v>877.49699999999984</v>
      </c>
      <c r="Y10" s="1276"/>
      <c r="Z10" s="1276">
        <f>+'qtrP&amp;L'!AX111</f>
        <v>-7.7640000000001592</v>
      </c>
      <c r="AA10" s="1276"/>
      <c r="AB10" s="1276">
        <f>+'qtrP&amp;L'!BB111+0.543</f>
        <v>478.00000000000034</v>
      </c>
      <c r="AC10" s="1276"/>
      <c r="AD10" s="1276">
        <f>+'qtrP&amp;L'!BF111+0.278</f>
        <v>1031.0000000000002</v>
      </c>
      <c r="AE10" s="1276"/>
      <c r="AF10" s="1276">
        <f>'yrP&amp;L'!P45</f>
        <v>1150.0130000000024</v>
      </c>
      <c r="AG10" s="1276"/>
      <c r="AH10" s="1276">
        <f>'yrP&amp;L'!Q45</f>
        <v>1112.6220000000008</v>
      </c>
      <c r="AI10" s="1276"/>
      <c r="AJ10" s="1293">
        <f>'qtrP&amp;L'!BR222-0.512</f>
        <v>777.67900000000009</v>
      </c>
      <c r="AK10" s="1276"/>
      <c r="AL10" s="1276">
        <f>'qtrP&amp;L'!BV120</f>
        <v>833</v>
      </c>
      <c r="AM10" s="1276"/>
      <c r="AN10" s="1276">
        <f>'yrP&amp;L'!T45</f>
        <v>967</v>
      </c>
      <c r="AO10" s="1276"/>
      <c r="AP10" s="1276">
        <f>'yrP&amp;L'!U45</f>
        <v>1102</v>
      </c>
      <c r="AQ10" s="1276"/>
      <c r="AR10" s="1276">
        <f>'yrP&amp;L'!V45</f>
        <v>1204</v>
      </c>
      <c r="AS10" s="1276"/>
      <c r="AT10" s="1276">
        <f>'yrP&amp;L'!W45</f>
        <v>833</v>
      </c>
      <c r="AU10" s="1276"/>
      <c r="AV10" s="1455">
        <f>'yrP&amp;L'!X45</f>
        <v>1135</v>
      </c>
      <c r="AW10" s="1455"/>
      <c r="AX10" s="1455">
        <f>'yrP&amp;L'!Y45</f>
        <v>1280</v>
      </c>
      <c r="AY10" s="1455"/>
      <c r="AZ10" s="1455">
        <f>'yrP&amp;L'!Z45+22</f>
        <v>1262</v>
      </c>
      <c r="BA10" s="1455"/>
      <c r="BB10" s="1455">
        <f>'yrP&amp;L'!AA45-81.885</f>
        <v>920</v>
      </c>
      <c r="BC10" s="1455"/>
      <c r="BD10" s="1455">
        <f>'yrP&amp;L'!AB45-133</f>
        <v>676.17</v>
      </c>
      <c r="BE10" s="1455"/>
      <c r="BF10" s="1858">
        <f>'qtrP&amp;L'!DJ120</f>
        <v>848</v>
      </c>
      <c r="BG10" s="1455"/>
      <c r="BH10" s="1455">
        <f>'yrP&amp;L'!AD45</f>
        <v>982.6512641380757</v>
      </c>
      <c r="BI10" s="1455"/>
      <c r="BJ10" s="1455">
        <f>'yrP&amp;L'!AE45</f>
        <v>928.03655356932757</v>
      </c>
      <c r="BK10" s="1455"/>
      <c r="BL10" s="1455">
        <f>'yrP&amp;L'!AF45</f>
        <v>884.69331593774132</v>
      </c>
      <c r="BM10" s="1455"/>
      <c r="BN10" s="1455">
        <f>'yrP&amp;L'!AG45</f>
        <v>842.39931804422781</v>
      </c>
      <c r="BO10" s="1455"/>
      <c r="BP10" s="1858">
        <f>'yrP&amp;L'!AH45</f>
        <v>801.25054603768353</v>
      </c>
      <c r="BQ10" s="1273"/>
    </row>
    <row r="11" spans="1:69">
      <c r="A11" s="1273"/>
      <c r="B11" s="1273" t="s">
        <v>624</v>
      </c>
      <c r="C11" s="1273"/>
      <c r="D11" s="1294">
        <f>'yrP&amp;L'!B30</f>
        <v>53.598999999999997</v>
      </c>
      <c r="E11" s="1294" t="s">
        <v>641</v>
      </c>
      <c r="F11" s="1294">
        <f>'qtrP&amp;L'!J54</f>
        <v>82.132999999999996</v>
      </c>
      <c r="G11" s="1294"/>
      <c r="H11" s="1294">
        <f>'qtrP&amp;L'!N54</f>
        <v>114.011</v>
      </c>
      <c r="I11" s="1294"/>
      <c r="J11" s="1294">
        <f>'qtrP&amp;L'!R54</f>
        <v>141.75800000000001</v>
      </c>
      <c r="K11" s="1294"/>
      <c r="L11" s="1294">
        <f>'qtrP&amp;L'!V54</f>
        <v>168.22</v>
      </c>
      <c r="M11" s="1294"/>
      <c r="N11" s="1294">
        <f>'qtrP&amp;L'!Z54</f>
        <v>197.44</v>
      </c>
      <c r="O11" s="1294" t="s">
        <v>641</v>
      </c>
      <c r="P11" s="1294">
        <f>'qtrP&amp;L'!AD54</f>
        <v>214.905</v>
      </c>
      <c r="Q11" s="1294"/>
      <c r="R11" s="1294">
        <f>'qtrP&amp;L'!AH54</f>
        <v>269.70600000000002</v>
      </c>
      <c r="S11" s="1294"/>
      <c r="T11" s="1294">
        <f>'qtrP&amp;L'!AL54</f>
        <v>326.447</v>
      </c>
      <c r="U11" s="1294"/>
      <c r="V11" s="1294">
        <f>'qtrP&amp;L'!AP54</f>
        <v>436.18400000000003</v>
      </c>
      <c r="W11" s="1294"/>
      <c r="X11" s="1294">
        <f>'qtrP&amp;L'!AT54</f>
        <v>590.36500000000001</v>
      </c>
      <c r="Y11" s="1294"/>
      <c r="Z11" s="1294">
        <f>'qtrP&amp;L'!AX54</f>
        <v>810.48599999999999</v>
      </c>
      <c r="AA11" s="1294"/>
      <c r="AB11" s="1295">
        <v>706</v>
      </c>
      <c r="AC11" s="1294"/>
      <c r="AD11" s="1295">
        <v>675</v>
      </c>
      <c r="AE11" s="1294"/>
      <c r="AF11" s="1295">
        <v>615</v>
      </c>
      <c r="AG11" s="1294"/>
      <c r="AH11" s="1295">
        <v>625</v>
      </c>
      <c r="AI11" s="1294"/>
      <c r="AJ11" s="1296">
        <f>'yrP&amp;L'!R30</f>
        <v>530</v>
      </c>
      <c r="AK11" s="1294"/>
      <c r="AL11" s="1295">
        <f>'yrP&amp;L'!S30</f>
        <v>547</v>
      </c>
      <c r="AM11" s="1294"/>
      <c r="AN11" s="1295">
        <f>'yrP&amp;L'!T30</f>
        <v>568</v>
      </c>
      <c r="AO11" s="1294"/>
      <c r="AP11" s="1295">
        <f>'yrP&amp;L'!U30</f>
        <v>573</v>
      </c>
      <c r="AQ11" s="1294"/>
      <c r="AR11" s="1295">
        <f>+'yrP&amp;L'!V30</f>
        <v>562</v>
      </c>
      <c r="AS11" s="1294"/>
      <c r="AT11" s="1295">
        <f>+'yrP&amp;L'!W30</f>
        <v>506</v>
      </c>
      <c r="AU11" s="1294"/>
      <c r="AV11" s="1456">
        <f>+'yrP&amp;L'!X30</f>
        <v>483</v>
      </c>
      <c r="AW11" s="1455"/>
      <c r="AX11" s="1456">
        <f>'yrP&amp;L'!Y30</f>
        <v>470</v>
      </c>
      <c r="AY11" s="1455"/>
      <c r="AZ11" s="1456">
        <f>'yrP&amp;L'!Z30</f>
        <v>500</v>
      </c>
      <c r="BA11" s="1455"/>
      <c r="BB11" s="1456">
        <f>592-65</f>
        <v>527</v>
      </c>
      <c r="BC11" s="1455"/>
      <c r="BD11" s="1466">
        <f>593-62</f>
        <v>531</v>
      </c>
      <c r="BE11" s="1455"/>
      <c r="BF11" s="2117">
        <v>499</v>
      </c>
      <c r="BG11" s="1455"/>
      <c r="BH11" s="1455">
        <f>'yrP&amp;L'!AD30</f>
        <v>550</v>
      </c>
      <c r="BI11" s="1455"/>
      <c r="BJ11" s="1455">
        <f>'yrP&amp;L'!AE30</f>
        <v>565</v>
      </c>
      <c r="BK11" s="1455"/>
      <c r="BL11" s="1455">
        <f>'yrP&amp;L'!AF30</f>
        <v>580</v>
      </c>
      <c r="BM11" s="1455"/>
      <c r="BN11" s="1455">
        <f>'yrP&amp;L'!AG30</f>
        <v>595</v>
      </c>
      <c r="BO11" s="1455"/>
      <c r="BP11" s="1858">
        <f>'yrP&amp;L'!AH30</f>
        <v>610</v>
      </c>
      <c r="BQ11" s="1273"/>
    </row>
    <row r="12" spans="1:69">
      <c r="A12" s="1273"/>
      <c r="B12" s="1273" t="s">
        <v>542</v>
      </c>
      <c r="C12" s="1273"/>
      <c r="D12" s="1294"/>
      <c r="E12" s="1294"/>
      <c r="F12" s="1297">
        <v>-7.0449999999999999</v>
      </c>
      <c r="G12" s="1297"/>
      <c r="H12" s="1297">
        <v>-10.525</v>
      </c>
      <c r="I12" s="1297"/>
      <c r="J12" s="1297">
        <v>-22.36</v>
      </c>
      <c r="K12" s="1297"/>
      <c r="L12" s="1297">
        <v>-24.431000000000001</v>
      </c>
      <c r="M12" s="1297"/>
      <c r="N12" s="1296">
        <v>-2.4769999999999999</v>
      </c>
      <c r="O12" s="1297"/>
      <c r="P12" s="1296">
        <v>-28.896999999999998</v>
      </c>
      <c r="Q12" s="1297"/>
      <c r="R12" s="1296">
        <v>-13.706</v>
      </c>
      <c r="S12" s="1297"/>
      <c r="T12" s="1296">
        <v>-34.765999999999998</v>
      </c>
      <c r="U12" s="1297"/>
      <c r="V12" s="1296">
        <v>2.444</v>
      </c>
      <c r="W12" s="1296"/>
      <c r="X12" s="1296">
        <v>-38.872</v>
      </c>
      <c r="Y12" s="1296"/>
      <c r="Z12" s="1296">
        <f>-28.512</f>
        <v>-28.512</v>
      </c>
      <c r="AA12" s="1294"/>
      <c r="AB12" s="1296">
        <v>5</v>
      </c>
      <c r="AC12" s="1294"/>
      <c r="AD12" s="1296">
        <v>101</v>
      </c>
      <c r="AE12" s="1294"/>
      <c r="AF12" s="1296">
        <v>-80</v>
      </c>
      <c r="AG12" s="1294"/>
      <c r="AH12" s="1296">
        <v>-46</v>
      </c>
      <c r="AI12" s="1294"/>
      <c r="AJ12" s="1296">
        <f>-41</f>
        <v>-41</v>
      </c>
      <c r="AK12" s="1296"/>
      <c r="AL12" s="1296">
        <v>-51</v>
      </c>
      <c r="AM12" s="1296"/>
      <c r="AN12" s="1296">
        <v>10</v>
      </c>
      <c r="AO12" s="1296"/>
      <c r="AP12" s="1296">
        <v>-50</v>
      </c>
      <c r="AQ12" s="1296"/>
      <c r="AR12" s="1296">
        <v>93</v>
      </c>
      <c r="AS12" s="1296"/>
      <c r="AT12" s="1296">
        <v>-11</v>
      </c>
      <c r="AU12" s="1296"/>
      <c r="AV12" s="1456">
        <v>-37</v>
      </c>
      <c r="AW12" s="1456"/>
      <c r="AX12" s="1456">
        <v>69</v>
      </c>
      <c r="AY12" s="1456"/>
      <c r="AZ12" s="1456">
        <v>75</v>
      </c>
      <c r="BA12" s="1455"/>
      <c r="BB12" s="1456">
        <v>101</v>
      </c>
      <c r="BC12" s="1455"/>
      <c r="BD12" s="1456">
        <v>-54</v>
      </c>
      <c r="BE12" s="1455"/>
      <c r="BF12" s="1859">
        <v>61</v>
      </c>
      <c r="BG12" s="1455"/>
      <c r="BH12" s="1456">
        <v>-50</v>
      </c>
      <c r="BI12" s="1455"/>
      <c r="BJ12" s="1456">
        <v>-50</v>
      </c>
      <c r="BK12" s="1455"/>
      <c r="BL12" s="1456">
        <v>-50</v>
      </c>
      <c r="BM12" s="1455"/>
      <c r="BN12" s="1456">
        <v>-50</v>
      </c>
      <c r="BO12" s="1456"/>
      <c r="BP12" s="1859">
        <v>-50</v>
      </c>
      <c r="BQ12" s="1273"/>
    </row>
    <row r="13" spans="1:69">
      <c r="A13" s="1273"/>
      <c r="B13" s="1273" t="s">
        <v>123</v>
      </c>
      <c r="C13" s="1273"/>
      <c r="D13" s="1295"/>
      <c r="E13" s="1294"/>
      <c r="F13" s="1295">
        <v>13.766</v>
      </c>
      <c r="G13" s="1294"/>
      <c r="H13" s="1295">
        <v>28.16</v>
      </c>
      <c r="I13" s="1294"/>
      <c r="J13" s="1295">
        <v>6.4909999999999997</v>
      </c>
      <c r="K13" s="1295"/>
      <c r="L13" s="1295">
        <v>19.384</v>
      </c>
      <c r="M13" s="1294"/>
      <c r="N13" s="1295">
        <v>11.444000000000001</v>
      </c>
      <c r="O13" s="1295"/>
      <c r="P13" s="1295">
        <v>47.347999999999999</v>
      </c>
      <c r="Q13" s="1294"/>
      <c r="R13" s="1295">
        <v>23.681999999999999</v>
      </c>
      <c r="S13" s="1295"/>
      <c r="T13" s="1295">
        <v>79.808000000000007</v>
      </c>
      <c r="U13" s="1294"/>
      <c r="V13" s="1295">
        <v>211.89099999999999</v>
      </c>
      <c r="W13" s="1295"/>
      <c r="X13" s="1295">
        <v>130.88200000000001</v>
      </c>
      <c r="Y13" s="1294"/>
      <c r="Z13" s="1295">
        <v>58.444000000000003</v>
      </c>
      <c r="AA13" s="1295"/>
      <c r="AB13" s="1295">
        <v>44</v>
      </c>
      <c r="AC13" s="1295"/>
      <c r="AD13" s="1295">
        <v>7</v>
      </c>
      <c r="AE13" s="1295"/>
      <c r="AF13" s="1295">
        <v>31</v>
      </c>
      <c r="AG13" s="1295"/>
      <c r="AH13" s="1295">
        <v>19</v>
      </c>
      <c r="AI13" s="1295"/>
      <c r="AJ13" s="1295">
        <f>25-23</f>
        <v>2</v>
      </c>
      <c r="AK13" s="1295"/>
      <c r="AL13" s="1295">
        <f>8-7</f>
        <v>1</v>
      </c>
      <c r="AM13" s="1295"/>
      <c r="AN13" s="1295">
        <f>5+-6+6</f>
        <v>5</v>
      </c>
      <c r="AO13" s="1295"/>
      <c r="AP13" s="1295">
        <f>-2-4+4</f>
        <v>-2</v>
      </c>
      <c r="AQ13" s="1295"/>
      <c r="AR13" s="1295">
        <f>-11+11+11</f>
        <v>11</v>
      </c>
      <c r="AS13" s="1295"/>
      <c r="AT13" s="1295">
        <f>10-13+13</f>
        <v>10</v>
      </c>
      <c r="AU13" s="1295"/>
      <c r="AV13" s="1456">
        <f>33-34+34</f>
        <v>33</v>
      </c>
      <c r="AW13" s="1456"/>
      <c r="AX13" s="1456">
        <v>50</v>
      </c>
      <c r="AY13" s="1456"/>
      <c r="AZ13" s="1456">
        <v>37</v>
      </c>
      <c r="BA13" s="1455"/>
      <c r="BB13" s="1456">
        <v>26</v>
      </c>
      <c r="BC13" s="1455"/>
      <c r="BD13" s="1456">
        <v>-4</v>
      </c>
      <c r="BE13" s="1455"/>
      <c r="BF13" s="1859">
        <v>0</v>
      </c>
      <c r="BG13" s="1455"/>
      <c r="BH13" s="1456">
        <f>BF13</f>
        <v>0</v>
      </c>
      <c r="BI13" s="1455"/>
      <c r="BJ13" s="1456">
        <f>BH13</f>
        <v>0</v>
      </c>
      <c r="BK13" s="1455"/>
      <c r="BL13" s="1456">
        <f>BJ13</f>
        <v>0</v>
      </c>
      <c r="BM13" s="1455"/>
      <c r="BN13" s="1456">
        <f>BL13</f>
        <v>0</v>
      </c>
      <c r="BO13" s="1456"/>
      <c r="BP13" s="1859">
        <f>BN13</f>
        <v>0</v>
      </c>
      <c r="BQ13" s="1273"/>
    </row>
    <row r="14" spans="1:69">
      <c r="A14" s="1273"/>
      <c r="B14" s="1273" t="s">
        <v>370</v>
      </c>
      <c r="C14" s="1273"/>
      <c r="D14" s="1295"/>
      <c r="E14" s="1294"/>
      <c r="F14" s="1295"/>
      <c r="G14" s="1294"/>
      <c r="H14" s="1295"/>
      <c r="I14" s="1294"/>
      <c r="J14" s="1295"/>
      <c r="K14" s="1295"/>
      <c r="L14" s="1295"/>
      <c r="M14" s="1294"/>
      <c r="N14" s="1295"/>
      <c r="O14" s="1295"/>
      <c r="P14" s="1295"/>
      <c r="Q14" s="1294"/>
      <c r="R14" s="1295"/>
      <c r="S14" s="1295"/>
      <c r="T14" s="1295"/>
      <c r="U14" s="1294"/>
      <c r="V14" s="1295"/>
      <c r="W14" s="1295"/>
      <c r="X14" s="1295"/>
      <c r="Y14" s="1294"/>
      <c r="Z14" s="1295"/>
      <c r="AA14" s="1295"/>
      <c r="AB14" s="1295"/>
      <c r="AC14" s="1295"/>
      <c r="AD14" s="1295"/>
      <c r="AE14" s="1295"/>
      <c r="AF14" s="1295">
        <v>5</v>
      </c>
      <c r="AG14" s="1295"/>
      <c r="AH14" s="1295">
        <v>22</v>
      </c>
      <c r="AI14" s="1295"/>
      <c r="AJ14" s="1295">
        <v>54</v>
      </c>
      <c r="AK14" s="1295"/>
      <c r="AL14" s="1295">
        <f>52</f>
        <v>52</v>
      </c>
      <c r="AM14" s="1295"/>
      <c r="AN14" s="1295">
        <v>55</v>
      </c>
      <c r="AO14" s="1295"/>
      <c r="AP14" s="1295">
        <v>64</v>
      </c>
      <c r="AQ14" s="1295"/>
      <c r="AR14" s="1295">
        <v>77</v>
      </c>
      <c r="AS14" s="1295"/>
      <c r="AT14" s="1295">
        <v>58</v>
      </c>
      <c r="AU14" s="1295"/>
      <c r="AV14" s="1456">
        <v>113</v>
      </c>
      <c r="AW14" s="1456"/>
      <c r="AX14" s="1456">
        <v>116</v>
      </c>
      <c r="AY14" s="1456"/>
      <c r="AZ14" s="1456">
        <v>100</v>
      </c>
      <c r="BA14" s="1455"/>
      <c r="BB14" s="1456">
        <v>76</v>
      </c>
      <c r="BC14" s="1455"/>
      <c r="BD14" s="1456">
        <f>BB14</f>
        <v>76</v>
      </c>
      <c r="BE14" s="1455"/>
      <c r="BF14" s="1859">
        <v>87</v>
      </c>
      <c r="BG14" s="1455"/>
      <c r="BH14" s="1456">
        <f>BF14</f>
        <v>87</v>
      </c>
      <c r="BI14" s="1455"/>
      <c r="BJ14" s="1456">
        <f>BH14</f>
        <v>87</v>
      </c>
      <c r="BK14" s="1455"/>
      <c r="BL14" s="1456">
        <f>BJ14</f>
        <v>87</v>
      </c>
      <c r="BM14" s="1455"/>
      <c r="BN14" s="1456">
        <f>BL14</f>
        <v>87</v>
      </c>
      <c r="BO14" s="1456"/>
      <c r="BP14" s="1859">
        <f>BN14</f>
        <v>87</v>
      </c>
      <c r="BQ14" s="1273"/>
    </row>
    <row r="15" spans="1:69">
      <c r="A15" s="1273"/>
      <c r="B15" s="1273" t="s">
        <v>701</v>
      </c>
      <c r="C15" s="1273"/>
      <c r="D15" s="1298"/>
      <c r="E15" s="1273"/>
      <c r="F15" s="1298"/>
      <c r="G15" s="1273"/>
      <c r="H15" s="1298"/>
      <c r="I15" s="1273"/>
      <c r="J15" s="1298"/>
      <c r="K15" s="1273"/>
      <c r="L15" s="1298"/>
      <c r="M15" s="1273"/>
      <c r="N15" s="1298"/>
      <c r="O15" s="1273"/>
      <c r="P15" s="1298"/>
      <c r="Q15" s="1273"/>
      <c r="R15" s="1298"/>
      <c r="S15" s="1273"/>
      <c r="T15" s="1298"/>
      <c r="U15" s="1273"/>
      <c r="V15" s="1298"/>
      <c r="W15" s="1273"/>
      <c r="X15" s="1298"/>
      <c r="Y15" s="1273"/>
      <c r="Z15" s="1298">
        <v>56.947000000000003</v>
      </c>
      <c r="AA15" s="1273"/>
      <c r="AB15" s="1298">
        <v>117</v>
      </c>
      <c r="AC15" s="1273"/>
      <c r="AD15" s="1298">
        <v>72</v>
      </c>
      <c r="AE15" s="1273"/>
      <c r="AF15" s="1298">
        <v>21.033999999999999</v>
      </c>
      <c r="AG15" s="1273"/>
      <c r="AH15" s="1299">
        <v>-69</v>
      </c>
      <c r="AI15" s="1273"/>
      <c r="AJ15" s="1298">
        <v>11</v>
      </c>
      <c r="AK15" s="1300"/>
      <c r="AL15" s="1298">
        <v>54</v>
      </c>
      <c r="AM15" s="1300"/>
      <c r="AN15" s="1298">
        <v>61</v>
      </c>
      <c r="AO15" s="1300"/>
      <c r="AP15" s="1298">
        <v>16</v>
      </c>
      <c r="AQ15" s="1300"/>
      <c r="AR15" s="1298">
        <v>55</v>
      </c>
      <c r="AS15" s="1300"/>
      <c r="AT15" s="1298">
        <v>74</v>
      </c>
      <c r="AU15" s="1300"/>
      <c r="AV15" s="1457">
        <v>11</v>
      </c>
      <c r="AW15" s="1458"/>
      <c r="AX15" s="1457">
        <v>-60</v>
      </c>
      <c r="AY15" s="1458"/>
      <c r="AZ15" s="1457">
        <v>-56</v>
      </c>
      <c r="BA15" s="1455"/>
      <c r="BB15" s="1457">
        <f>-72-28</f>
        <v>-100</v>
      </c>
      <c r="BC15" s="1455"/>
      <c r="BD15" s="1457">
        <f>+-4+71+107-1</f>
        <v>173</v>
      </c>
      <c r="BE15" s="1455"/>
      <c r="BF15" s="1860">
        <f>28+19</f>
        <v>47</v>
      </c>
      <c r="BG15" s="1455"/>
      <c r="BH15" s="1457">
        <v>0</v>
      </c>
      <c r="BI15" s="1455"/>
      <c r="BJ15" s="1457">
        <v>0</v>
      </c>
      <c r="BK15" s="1455"/>
      <c r="BL15" s="1457">
        <v>0</v>
      </c>
      <c r="BM15" s="1455"/>
      <c r="BN15" s="1457">
        <v>0</v>
      </c>
      <c r="BO15" s="1457"/>
      <c r="BP15" s="1860">
        <v>0</v>
      </c>
      <c r="BQ15" s="1273"/>
    </row>
    <row r="16" spans="1:69" ht="6" customHeight="1">
      <c r="A16" s="1273"/>
      <c r="B16" s="1273"/>
      <c r="C16" s="1273"/>
      <c r="D16" s="1300"/>
      <c r="E16" s="1273"/>
      <c r="F16" s="1300"/>
      <c r="G16" s="1273"/>
      <c r="H16" s="1300"/>
      <c r="I16" s="1273"/>
      <c r="J16" s="1300"/>
      <c r="K16" s="1273"/>
      <c r="L16" s="1300"/>
      <c r="M16" s="1273"/>
      <c r="N16" s="1300"/>
      <c r="O16" s="1273"/>
      <c r="P16" s="1300"/>
      <c r="Q16" s="1273"/>
      <c r="R16" s="1300"/>
      <c r="S16" s="1273"/>
      <c r="T16" s="1300"/>
      <c r="U16" s="1273"/>
      <c r="V16" s="1300"/>
      <c r="W16" s="1273"/>
      <c r="X16" s="1300"/>
      <c r="Y16" s="1273"/>
      <c r="Z16" s="1300"/>
      <c r="AA16" s="1273"/>
      <c r="AB16" s="1300"/>
      <c r="AC16" s="1273"/>
      <c r="AD16" s="1300"/>
      <c r="AE16" s="1273"/>
      <c r="AF16" s="1300"/>
      <c r="AG16" s="1273"/>
      <c r="AH16" s="1300"/>
      <c r="AI16" s="1273"/>
      <c r="AJ16" s="1300"/>
      <c r="AK16" s="1300"/>
      <c r="AL16" s="1300"/>
      <c r="AM16" s="1300"/>
      <c r="AN16" s="1300"/>
      <c r="AO16" s="1300"/>
      <c r="AP16" s="1300"/>
      <c r="AQ16" s="1300"/>
      <c r="AR16" s="1300"/>
      <c r="AS16" s="1300"/>
      <c r="AT16" s="1300"/>
      <c r="AU16" s="1300"/>
      <c r="AV16" s="1458"/>
      <c r="AW16" s="1458"/>
      <c r="AX16" s="1458"/>
      <c r="AY16" s="1458"/>
      <c r="AZ16" s="1458"/>
      <c r="BA16" s="1455"/>
      <c r="BB16" s="1458"/>
      <c r="BC16" s="1455"/>
      <c r="BD16" s="1458"/>
      <c r="BE16" s="1455"/>
      <c r="BF16" s="1861"/>
      <c r="BG16" s="1455"/>
      <c r="BH16" s="1458"/>
      <c r="BI16" s="1455"/>
      <c r="BJ16" s="1458"/>
      <c r="BK16" s="1455"/>
      <c r="BL16" s="1458"/>
      <c r="BM16" s="1455"/>
      <c r="BN16" s="1458"/>
      <c r="BO16" s="1458"/>
      <c r="BP16" s="1861"/>
      <c r="BQ16" s="1273"/>
    </row>
    <row r="17" spans="1:77">
      <c r="A17" s="1265" t="s">
        <v>625</v>
      </c>
      <c r="B17" s="1265"/>
      <c r="C17" s="1265"/>
      <c r="D17" s="1301">
        <f>SUM(D10:D15)</f>
        <v>198.12099999999998</v>
      </c>
      <c r="E17" s="1265"/>
      <c r="F17" s="1301">
        <f>SUM(F10:F15)</f>
        <v>318.72700000000009</v>
      </c>
      <c r="G17" s="1301"/>
      <c r="H17" s="1301">
        <f>SUM(H10:H15)</f>
        <v>342.34699999999992</v>
      </c>
      <c r="I17" s="1301"/>
      <c r="J17" s="1301">
        <f>SUM(J10:J15)</f>
        <v>384.3130000000001</v>
      </c>
      <c r="K17" s="1301"/>
      <c r="L17" s="1301">
        <f>SUM(L10:L15)</f>
        <v>483.41286499999984</v>
      </c>
      <c r="M17" s="1301"/>
      <c r="N17" s="1301">
        <f>SUM(N10:N15)</f>
        <v>560.44600000000003</v>
      </c>
      <c r="O17" s="1265"/>
      <c r="P17" s="1301">
        <f>SUM(P10:P15)</f>
        <v>686.21500000000003</v>
      </c>
      <c r="Q17" s="1301"/>
      <c r="R17" s="1301">
        <f>SUM(R10:R15)</f>
        <v>813.58299999999986</v>
      </c>
      <c r="S17" s="1301"/>
      <c r="T17" s="1301">
        <f>SUM(T10:T15)</f>
        <v>1196.0279999999998</v>
      </c>
      <c r="U17" s="1301"/>
      <c r="V17" s="1301">
        <f>SUM(V10:V15)</f>
        <v>1777.5839999999994</v>
      </c>
      <c r="W17" s="1301"/>
      <c r="X17" s="1301">
        <f>SUM(X10:X15)</f>
        <v>1559.8719999999998</v>
      </c>
      <c r="Y17" s="1301"/>
      <c r="Z17" s="1301">
        <f>SUM(Z10:Z15)</f>
        <v>889.60099999999977</v>
      </c>
      <c r="AA17" s="1301"/>
      <c r="AB17" s="1301">
        <f>SUM(AB10:AB15)</f>
        <v>1350.0000000000005</v>
      </c>
      <c r="AC17" s="1301"/>
      <c r="AD17" s="1301">
        <f>SUM(AD10:AD15)</f>
        <v>1886.0000000000002</v>
      </c>
      <c r="AE17" s="1301"/>
      <c r="AF17" s="1301">
        <f>SUM(AF10:AF15)</f>
        <v>1742.0470000000025</v>
      </c>
      <c r="AG17" s="1301"/>
      <c r="AH17" s="1301">
        <f>SUM(AH10:AH15)</f>
        <v>1663.6220000000008</v>
      </c>
      <c r="AI17" s="1301"/>
      <c r="AJ17" s="1301">
        <f>SUM(AJ10:AJ15)</f>
        <v>1333.6790000000001</v>
      </c>
      <c r="AK17" s="1301"/>
      <c r="AL17" s="1301">
        <f>SUM(AL10:AL15)</f>
        <v>1436</v>
      </c>
      <c r="AM17" s="1301"/>
      <c r="AN17" s="1301">
        <f>SUM(AN10:AN15)</f>
        <v>1666</v>
      </c>
      <c r="AO17" s="1301"/>
      <c r="AP17" s="1301">
        <f>SUM(AP10:AP15)</f>
        <v>1703</v>
      </c>
      <c r="AQ17" s="1301"/>
      <c r="AR17" s="1301">
        <f>SUM(AR10:AR15)</f>
        <v>2002</v>
      </c>
      <c r="AS17" s="1301"/>
      <c r="AT17" s="1301">
        <f>SUM(AT10:AT15)</f>
        <v>1470</v>
      </c>
      <c r="AU17" s="1301"/>
      <c r="AV17" s="1459">
        <f>SUM(AV10:AV15)</f>
        <v>1738</v>
      </c>
      <c r="AW17" s="1459"/>
      <c r="AX17" s="1459">
        <f>SUM(AX10:AX15)</f>
        <v>1925</v>
      </c>
      <c r="AY17" s="1459"/>
      <c r="AZ17" s="1459">
        <f>SUM(AZ10:AZ15)</f>
        <v>1918</v>
      </c>
      <c r="BA17" s="1455"/>
      <c r="BB17" s="1459">
        <f>SUM(BB10:BB15)</f>
        <v>1550</v>
      </c>
      <c r="BC17" s="1455"/>
      <c r="BD17" s="1459">
        <f>SUM(BD10:BD15)</f>
        <v>1398.17</v>
      </c>
      <c r="BE17" s="1455"/>
      <c r="BF17" s="1862">
        <f>SUM(BF10:BF15)</f>
        <v>1542</v>
      </c>
      <c r="BG17" s="1455"/>
      <c r="BH17" s="1459">
        <f>SUM(BH10:BH15)</f>
        <v>1569.6512641380757</v>
      </c>
      <c r="BI17" s="1455"/>
      <c r="BJ17" s="1459">
        <f>SUM(BJ10:BJ15)</f>
        <v>1530.0365535693277</v>
      </c>
      <c r="BK17" s="1455"/>
      <c r="BL17" s="1459">
        <f>SUM(BL10:BL15)</f>
        <v>1501.6933159377413</v>
      </c>
      <c r="BM17" s="1455"/>
      <c r="BN17" s="1459">
        <f>SUM(BN10:BN15)</f>
        <v>1474.3993180442278</v>
      </c>
      <c r="BO17" s="1459"/>
      <c r="BP17" s="1862">
        <f>SUM(BP10:BP15)</f>
        <v>1448.2505460376835</v>
      </c>
      <c r="BQ17" s="1273"/>
    </row>
    <row r="18" spans="1:77" hidden="1" outlineLevel="1">
      <c r="A18" s="1273"/>
      <c r="B18" s="1273"/>
      <c r="C18" s="1273"/>
      <c r="D18" s="1276"/>
      <c r="E18" s="1273"/>
      <c r="F18" s="1276"/>
      <c r="G18" s="1276"/>
      <c r="H18" s="1276"/>
      <c r="I18" s="1276"/>
      <c r="J18" s="1276"/>
      <c r="K18" s="1276"/>
      <c r="L18" s="1276"/>
      <c r="M18" s="1276"/>
      <c r="N18" s="1276"/>
      <c r="O18" s="1273"/>
      <c r="P18" s="1276"/>
      <c r="Q18" s="1276"/>
      <c r="R18" s="1276"/>
      <c r="S18" s="1276"/>
      <c r="T18" s="1276"/>
      <c r="U18" s="1276"/>
      <c r="V18" s="1276"/>
      <c r="W18" s="1276"/>
      <c r="X18" s="1276"/>
      <c r="Y18" s="1276"/>
      <c r="Z18" s="1276"/>
      <c r="AA18" s="1276"/>
      <c r="AB18" s="1276"/>
      <c r="AC18" s="1276"/>
      <c r="AD18" s="1276"/>
      <c r="AE18" s="1276"/>
      <c r="AF18" s="1276"/>
      <c r="AG18" s="1276"/>
      <c r="AH18" s="1276"/>
      <c r="AI18" s="1276"/>
      <c r="AJ18" s="1276"/>
      <c r="AK18" s="1276"/>
      <c r="AL18" s="1276"/>
      <c r="AM18" s="1276"/>
      <c r="AN18" s="1276"/>
      <c r="AO18" s="1276"/>
      <c r="AP18" s="1276"/>
      <c r="AQ18" s="1276"/>
      <c r="AR18" s="1276"/>
      <c r="AS18" s="1276"/>
      <c r="AT18" s="1276"/>
      <c r="AU18" s="1276"/>
      <c r="AV18" s="1455"/>
      <c r="AW18" s="1455"/>
      <c r="AX18" s="1455"/>
      <c r="AY18" s="1455"/>
      <c r="AZ18" s="1455"/>
      <c r="BA18" s="1455"/>
      <c r="BB18" s="1455"/>
      <c r="BC18" s="1455"/>
      <c r="BD18" s="1455"/>
      <c r="BE18" s="1455"/>
      <c r="BF18" s="1858"/>
      <c r="BG18" s="1455"/>
      <c r="BH18" s="1455"/>
      <c r="BI18" s="1455"/>
      <c r="BJ18" s="1455"/>
      <c r="BK18" s="1455"/>
      <c r="BL18" s="1455"/>
      <c r="BM18" s="1455"/>
      <c r="BN18" s="1455"/>
      <c r="BO18" s="1455"/>
      <c r="BP18" s="1858"/>
      <c r="BQ18" s="1273"/>
    </row>
    <row r="19" spans="1:77" hidden="1" outlineLevel="1">
      <c r="A19" s="1273"/>
      <c r="B19" s="1273"/>
      <c r="C19" s="1273"/>
      <c r="D19" s="1273"/>
      <c r="E19" s="1273"/>
      <c r="F19" s="1273"/>
      <c r="G19" s="1273"/>
      <c r="H19" s="1273"/>
      <c r="I19" s="1273"/>
      <c r="J19" s="1273"/>
      <c r="K19" s="1273"/>
      <c r="L19" s="1273"/>
      <c r="M19" s="1273"/>
      <c r="N19" s="1276"/>
      <c r="O19" s="1273"/>
      <c r="P19" s="1273"/>
      <c r="Q19" s="1273"/>
      <c r="R19" s="1273"/>
      <c r="S19" s="1273"/>
      <c r="T19" s="1273"/>
      <c r="U19" s="1273"/>
      <c r="V19" s="1273"/>
      <c r="W19" s="1273"/>
      <c r="X19" s="1273"/>
      <c r="Y19" s="1273"/>
      <c r="Z19" s="1273"/>
      <c r="AA19" s="1273"/>
      <c r="AB19" s="1273"/>
      <c r="AC19" s="1273"/>
      <c r="AD19" s="1273"/>
      <c r="AE19" s="1273"/>
      <c r="AF19" s="1273"/>
      <c r="AG19" s="1273"/>
      <c r="AH19" s="1273"/>
      <c r="AI19" s="1273"/>
      <c r="AJ19" s="1276"/>
      <c r="AK19" s="1302"/>
      <c r="AL19" s="1302"/>
      <c r="AM19" s="1302"/>
      <c r="AN19" s="1302"/>
      <c r="AO19" s="1302"/>
      <c r="AP19" s="1302"/>
      <c r="AQ19" s="1302"/>
      <c r="AR19" s="1302"/>
      <c r="AS19" s="1302"/>
      <c r="AT19" s="1302"/>
      <c r="AU19" s="1302"/>
      <c r="AV19" s="1460"/>
      <c r="AW19" s="1460"/>
      <c r="AX19" s="1460"/>
      <c r="AY19" s="1460"/>
      <c r="AZ19" s="1460"/>
      <c r="BA19" s="1455"/>
      <c r="BB19" s="1460"/>
      <c r="BC19" s="1455"/>
      <c r="BD19" s="1460"/>
      <c r="BE19" s="1455"/>
      <c r="BF19" s="1863"/>
      <c r="BG19" s="1455"/>
      <c r="BH19" s="1460"/>
      <c r="BI19" s="1455"/>
      <c r="BJ19" s="1460"/>
      <c r="BK19" s="1455"/>
      <c r="BL19" s="1460"/>
      <c r="BM19" s="1455"/>
      <c r="BN19" s="1460"/>
      <c r="BO19" s="1460"/>
      <c r="BP19" s="1863"/>
      <c r="BQ19" s="1273"/>
    </row>
    <row r="20" spans="1:77" ht="6" hidden="1" customHeight="1" outlineLevel="1">
      <c r="A20" s="1273"/>
      <c r="B20" s="1273"/>
      <c r="C20" s="1273"/>
      <c r="D20" s="1277"/>
      <c r="E20" s="1277"/>
      <c r="F20" s="1278"/>
      <c r="G20" s="1277"/>
      <c r="H20" s="1279"/>
      <c r="I20" s="1279" t="s">
        <v>626</v>
      </c>
      <c r="J20" s="1277"/>
      <c r="K20" s="1277"/>
      <c r="L20" s="1277"/>
      <c r="M20" s="1277"/>
      <c r="N20" s="1277"/>
      <c r="O20" s="1277"/>
      <c r="P20" s="1278"/>
      <c r="Q20" s="1277"/>
      <c r="R20" s="1279" t="s">
        <v>626</v>
      </c>
      <c r="S20" s="1279"/>
      <c r="T20" s="1279"/>
      <c r="U20" s="1279"/>
      <c r="V20" s="1280" t="s">
        <v>634</v>
      </c>
      <c r="W20" s="1280"/>
      <c r="X20" s="1280"/>
      <c r="Y20" s="1280"/>
      <c r="Z20" s="1280"/>
      <c r="AA20" s="1280"/>
      <c r="AB20" s="1280"/>
      <c r="AC20" s="1280"/>
      <c r="AD20" s="1280"/>
      <c r="AE20" s="1280"/>
      <c r="AF20" s="1280"/>
      <c r="AG20" s="1280"/>
      <c r="AH20" s="1280"/>
      <c r="AI20" s="1280"/>
      <c r="AJ20" s="1280"/>
      <c r="AK20" s="1277"/>
      <c r="AL20" s="1280"/>
      <c r="AM20" s="1277"/>
      <c r="AN20" s="1280"/>
      <c r="AO20" s="1277"/>
      <c r="AP20" s="1280"/>
      <c r="AQ20" s="1277"/>
      <c r="AR20" s="1280"/>
      <c r="AS20" s="1277"/>
      <c r="AT20" s="1280"/>
      <c r="AU20" s="1277"/>
      <c r="AV20" s="1461"/>
      <c r="AW20" s="1462"/>
      <c r="AX20" s="1461"/>
      <c r="AY20" s="1462"/>
      <c r="AZ20" s="1461"/>
      <c r="BA20" s="1455"/>
      <c r="BB20" s="1461"/>
      <c r="BC20" s="1455"/>
      <c r="BD20" s="1461"/>
      <c r="BE20" s="1455"/>
      <c r="BF20" s="1864"/>
      <c r="BG20" s="1455"/>
      <c r="BH20" s="1461"/>
      <c r="BI20" s="1455"/>
      <c r="BJ20" s="1461"/>
      <c r="BK20" s="1455"/>
      <c r="BL20" s="1461"/>
      <c r="BM20" s="1455"/>
      <c r="BN20" s="1461"/>
      <c r="BO20" s="1461"/>
      <c r="BP20" s="1864"/>
      <c r="BQ20" s="1273"/>
    </row>
    <row r="21" spans="1:77" ht="6" customHeight="1" collapsed="1">
      <c r="A21" s="1273"/>
      <c r="B21" s="1273"/>
      <c r="C21" s="1273"/>
      <c r="D21" s="1273"/>
      <c r="E21" s="1273"/>
      <c r="F21" s="1273"/>
      <c r="G21" s="1273"/>
      <c r="H21" s="1273"/>
      <c r="I21" s="1273"/>
      <c r="J21" s="1273"/>
      <c r="K21" s="1273"/>
      <c r="L21" s="1273"/>
      <c r="M21" s="1273"/>
      <c r="N21" s="1273"/>
      <c r="O21" s="1273"/>
      <c r="P21" s="1273"/>
      <c r="Q21" s="1273"/>
      <c r="R21" s="1273"/>
      <c r="S21" s="1273"/>
      <c r="T21" s="1273"/>
      <c r="U21" s="1273"/>
      <c r="V21" s="1273"/>
      <c r="W21" s="1273"/>
      <c r="X21" s="1273"/>
      <c r="Y21" s="1273"/>
      <c r="Z21" s="1273"/>
      <c r="AA21" s="1273"/>
      <c r="AB21" s="1273"/>
      <c r="AC21" s="1273"/>
      <c r="AD21" s="1273"/>
      <c r="AE21" s="1273"/>
      <c r="AF21" s="1273"/>
      <c r="AG21" s="1273"/>
      <c r="AH21" s="1273"/>
      <c r="AI21" s="1273"/>
      <c r="AJ21" s="1273"/>
      <c r="AK21" s="1273"/>
      <c r="AL21" s="1273"/>
      <c r="AM21" s="1273"/>
      <c r="AN21" s="1273"/>
      <c r="AO21" s="1273"/>
      <c r="AP21" s="1273"/>
      <c r="AQ21" s="1273"/>
      <c r="AR21" s="1294"/>
      <c r="AS21" s="1273"/>
      <c r="AT21" s="1294"/>
      <c r="AU21" s="1273"/>
      <c r="AV21" s="1455"/>
      <c r="AW21" s="1455"/>
      <c r="AX21" s="1455"/>
      <c r="AY21" s="1455"/>
      <c r="AZ21" s="1455"/>
      <c r="BA21" s="1455"/>
      <c r="BB21" s="1455"/>
      <c r="BC21" s="1455"/>
      <c r="BD21" s="1455"/>
      <c r="BE21" s="1455"/>
      <c r="BF21" s="1858"/>
      <c r="BG21" s="1455"/>
      <c r="BH21" s="1455"/>
      <c r="BI21" s="1455"/>
      <c r="BJ21" s="1455"/>
      <c r="BK21" s="1455"/>
      <c r="BL21" s="1455"/>
      <c r="BM21" s="1455"/>
      <c r="BN21" s="1455"/>
      <c r="BO21" s="1455"/>
      <c r="BP21" s="1858"/>
      <c r="BQ21" s="1273"/>
    </row>
    <row r="22" spans="1:77">
      <c r="A22" s="1273"/>
      <c r="B22" s="1273" t="s">
        <v>149</v>
      </c>
      <c r="C22" s="1273"/>
      <c r="D22" s="1295">
        <v>199.61699999999999</v>
      </c>
      <c r="E22" s="1295"/>
      <c r="F22" s="1295">
        <f>236.521+7.802</f>
        <v>244.32299999999998</v>
      </c>
      <c r="G22" s="1295"/>
      <c r="H22" s="1295">
        <f>205.507+8.152</f>
        <v>213.65899999999999</v>
      </c>
      <c r="I22" s="1295"/>
      <c r="J22" s="1295">
        <f>212.34+3.687</f>
        <v>216.02700000000002</v>
      </c>
      <c r="K22" s="1295"/>
      <c r="L22" s="1295">
        <f>232.776+4.938</f>
        <v>237.714</v>
      </c>
      <c r="M22" s="1295"/>
      <c r="N22" s="1295">
        <f>302.26+6.623</f>
        <v>308.88299999999998</v>
      </c>
      <c r="O22" s="1295"/>
      <c r="P22" s="1295">
        <f>371.833+12.206</f>
        <v>384.03900000000004</v>
      </c>
      <c r="Q22" s="1295"/>
      <c r="R22" s="1295">
        <f>465.843+19.779</f>
        <v>485.62200000000001</v>
      </c>
      <c r="S22" s="1295"/>
      <c r="T22" s="1295">
        <f>797.592+28.815</f>
        <v>826.40700000000004</v>
      </c>
      <c r="U22" s="1295"/>
      <c r="V22" s="1295">
        <f>1238.722+39.839</f>
        <v>1278.5609999999999</v>
      </c>
      <c r="W22" s="1295"/>
      <c r="X22" s="1295">
        <f>1858.662+16.252</f>
        <v>1874.914</v>
      </c>
      <c r="Y22" s="1295"/>
      <c r="Z22" s="1295">
        <f>957.054+10.549</f>
        <v>967.60299999999995</v>
      </c>
      <c r="AA22" s="1295"/>
      <c r="AB22" s="1295">
        <f>308-9</f>
        <v>299</v>
      </c>
      <c r="AC22" s="1295"/>
      <c r="AD22" s="1295">
        <f>261</f>
        <v>261</v>
      </c>
      <c r="AE22" s="1295"/>
      <c r="AF22" s="1295">
        <v>442</v>
      </c>
      <c r="AG22" s="1295"/>
      <c r="AH22" s="1295">
        <f>600-27</f>
        <v>573</v>
      </c>
      <c r="AI22" s="1295"/>
      <c r="AJ22" s="1295">
        <f>572-22</f>
        <v>550</v>
      </c>
      <c r="AK22" s="1295"/>
      <c r="AL22" s="1295">
        <f>682-11</f>
        <v>671</v>
      </c>
      <c r="AM22" s="1295"/>
      <c r="AN22" s="1295">
        <f>431-1</f>
        <v>430</v>
      </c>
      <c r="AO22" s="1295"/>
      <c r="AP22" s="1295">
        <v>334</v>
      </c>
      <c r="AQ22" s="1295"/>
      <c r="AR22" s="1295">
        <v>557</v>
      </c>
      <c r="AS22" s="1295"/>
      <c r="AT22" s="1295">
        <v>548</v>
      </c>
      <c r="AU22" s="1295"/>
      <c r="AV22" s="1456">
        <v>659</v>
      </c>
      <c r="AW22" s="1456"/>
      <c r="AX22" s="1456">
        <v>670</v>
      </c>
      <c r="AY22" s="1456"/>
      <c r="AZ22" s="1456">
        <v>714</v>
      </c>
      <c r="BA22" s="1455"/>
      <c r="BB22" s="1456">
        <f>726+4</f>
        <v>730</v>
      </c>
      <c r="BC22" s="1455"/>
      <c r="BD22" s="1456">
        <f>524+5</f>
        <v>529</v>
      </c>
      <c r="BE22" s="1455"/>
      <c r="BF22" s="1859">
        <f>731+3-66</f>
        <v>668</v>
      </c>
      <c r="BG22" s="1455"/>
      <c r="BH22" s="1456">
        <v>800</v>
      </c>
      <c r="BI22" s="1455">
        <v>625</v>
      </c>
      <c r="BJ22" s="1456">
        <v>650</v>
      </c>
      <c r="BK22" s="1455"/>
      <c r="BL22" s="1456">
        <v>650</v>
      </c>
      <c r="BM22" s="1455"/>
      <c r="BN22" s="1456">
        <v>650</v>
      </c>
      <c r="BO22" s="1456"/>
      <c r="BP22" s="1859">
        <v>650</v>
      </c>
      <c r="BQ22" s="1273"/>
    </row>
    <row r="23" spans="1:77" ht="6" customHeight="1">
      <c r="A23" s="1273"/>
      <c r="B23" s="1273"/>
      <c r="C23" s="1273"/>
      <c r="D23" s="1273"/>
      <c r="E23" s="1273"/>
      <c r="F23" s="1273"/>
      <c r="G23" s="1273"/>
      <c r="H23" s="1273"/>
      <c r="I23" s="1273"/>
      <c r="J23" s="1273"/>
      <c r="K23" s="1273"/>
      <c r="L23" s="1273"/>
      <c r="M23" s="1273"/>
      <c r="N23" s="1273"/>
      <c r="O23" s="1273"/>
      <c r="P23" s="1273"/>
      <c r="Q23" s="1273"/>
      <c r="R23" s="1273"/>
      <c r="S23" s="1273"/>
      <c r="T23" s="1273"/>
      <c r="U23" s="1273"/>
      <c r="V23" s="1273"/>
      <c r="W23" s="1273"/>
      <c r="X23" s="1273"/>
      <c r="Y23" s="1273"/>
      <c r="Z23" s="1273"/>
      <c r="AA23" s="1273"/>
      <c r="AB23" s="1273"/>
      <c r="AC23" s="1273"/>
      <c r="AD23" s="1273"/>
      <c r="AE23" s="1273"/>
      <c r="AF23" s="1273"/>
      <c r="AG23" s="1273"/>
      <c r="AH23" s="1273"/>
      <c r="AI23" s="1273"/>
      <c r="AJ23" s="1303"/>
      <c r="AK23" s="1273"/>
      <c r="AL23" s="1273"/>
      <c r="AM23" s="1273"/>
      <c r="AN23" s="1273"/>
      <c r="AO23" s="1273"/>
      <c r="AP23" s="1273"/>
      <c r="AQ23" s="1273"/>
      <c r="AR23" s="1273"/>
      <c r="AS23" s="1273"/>
      <c r="AT23" s="1273"/>
      <c r="AU23" s="1273"/>
      <c r="AV23" s="1455"/>
      <c r="AW23" s="1455"/>
      <c r="AX23" s="1455"/>
      <c r="AY23" s="1455"/>
      <c r="AZ23" s="1455"/>
      <c r="BA23" s="1455"/>
      <c r="BB23" s="1455"/>
      <c r="BC23" s="1455"/>
      <c r="BD23" s="1455"/>
      <c r="BE23" s="1455"/>
      <c r="BF23" s="1858"/>
      <c r="BG23" s="1455"/>
      <c r="BH23" s="1455"/>
      <c r="BI23" s="1455"/>
      <c r="BJ23" s="1455"/>
      <c r="BK23" s="1455"/>
      <c r="BL23" s="1455"/>
      <c r="BM23" s="1455"/>
      <c r="BN23" s="1455"/>
      <c r="BO23" s="1455"/>
      <c r="BP23" s="1858"/>
      <c r="BQ23" s="1273"/>
    </row>
    <row r="24" spans="1:77">
      <c r="A24" s="1273" t="s">
        <v>627</v>
      </c>
      <c r="B24" s="1273"/>
      <c r="C24" s="1273"/>
      <c r="D24" s="1273"/>
      <c r="E24" s="1273"/>
      <c r="F24" s="1273"/>
      <c r="G24" s="1273"/>
      <c r="H24" s="1273"/>
      <c r="I24" s="1273"/>
      <c r="J24" s="1273"/>
      <c r="K24" s="1273"/>
      <c r="L24" s="1273"/>
      <c r="M24" s="1273"/>
      <c r="N24" s="1273"/>
      <c r="O24" s="1273"/>
      <c r="P24" s="1273"/>
      <c r="Q24" s="1273"/>
      <c r="R24" s="1273"/>
      <c r="S24" s="1273"/>
      <c r="T24" s="1273"/>
      <c r="U24" s="1273"/>
      <c r="V24" s="1273"/>
      <c r="W24" s="1273"/>
      <c r="X24" s="1273"/>
      <c r="Y24" s="1273"/>
      <c r="Z24" s="1273"/>
      <c r="AA24" s="1273"/>
      <c r="AB24" s="1273"/>
      <c r="AC24" s="1273"/>
      <c r="AD24" s="1273"/>
      <c r="AE24" s="1273"/>
      <c r="AF24" s="1273"/>
      <c r="AG24" s="1273"/>
      <c r="AH24" s="1273"/>
      <c r="AI24" s="1273"/>
      <c r="AJ24" s="1273"/>
      <c r="AK24" s="1273"/>
      <c r="AL24" s="1273"/>
      <c r="AM24" s="1273"/>
      <c r="AN24" s="1273"/>
      <c r="AO24" s="1273"/>
      <c r="AP24" s="1273"/>
      <c r="AQ24" s="1273"/>
      <c r="AR24" s="1273"/>
      <c r="AS24" s="1273"/>
      <c r="AT24" s="1273"/>
      <c r="AU24" s="1273"/>
      <c r="AV24" s="1455"/>
      <c r="AW24" s="1455"/>
      <c r="AX24" s="1455"/>
      <c r="AY24" s="1455"/>
      <c r="AZ24" s="1455"/>
      <c r="BA24" s="1455"/>
      <c r="BB24" s="1455"/>
      <c r="BC24" s="1455"/>
      <c r="BD24" s="1455"/>
      <c r="BE24" s="1455"/>
      <c r="BF24" s="1858"/>
      <c r="BG24" s="1455"/>
      <c r="BH24" s="1455"/>
      <c r="BI24" s="1455"/>
      <c r="BJ24" s="1455"/>
      <c r="BK24" s="1455"/>
      <c r="BL24" s="1455"/>
      <c r="BM24" s="1455"/>
      <c r="BN24" s="1455"/>
      <c r="BO24" s="1455"/>
      <c r="BP24" s="1858"/>
      <c r="BQ24" s="1273"/>
      <c r="BX24" s="1045" t="s">
        <v>710</v>
      </c>
      <c r="BY24" s="1243">
        <f>BB60</f>
        <v>1370</v>
      </c>
    </row>
    <row r="25" spans="1:77">
      <c r="A25" s="1273"/>
      <c r="B25" s="1273" t="s">
        <v>628</v>
      </c>
      <c r="C25" s="1273"/>
      <c r="D25" s="1276"/>
      <c r="E25" s="1273"/>
      <c r="F25" s="1276"/>
      <c r="G25" s="1276"/>
      <c r="H25" s="1276">
        <f>bal!I12-bal!G12</f>
        <v>51.793000000000006</v>
      </c>
      <c r="I25" s="1276"/>
      <c r="J25" s="1276">
        <f>bal!K12-bal!I12</f>
        <v>-34.537000000000035</v>
      </c>
      <c r="K25" s="1276"/>
      <c r="L25" s="1276">
        <f>bal!M12-bal!K12</f>
        <v>39.483000000000004</v>
      </c>
      <c r="M25" s="1276"/>
      <c r="N25" s="1304">
        <v>113.021</v>
      </c>
      <c r="O25" s="1273"/>
      <c r="P25" s="1304">
        <v>93.8</v>
      </c>
      <c r="Q25" s="1276"/>
      <c r="R25" s="1304">
        <v>156.09100000000001</v>
      </c>
      <c r="S25" s="1276"/>
      <c r="T25" s="1304">
        <v>322.28699999999998</v>
      </c>
      <c r="U25" s="1276"/>
      <c r="V25" s="1304">
        <v>404.21100000000001</v>
      </c>
      <c r="W25" s="1276"/>
      <c r="X25" s="1304">
        <v>454.59500000000003</v>
      </c>
      <c r="Y25" s="1276"/>
      <c r="Z25" s="1305">
        <v>-121.57</v>
      </c>
      <c r="AA25" s="1306"/>
      <c r="AB25" s="1305">
        <v>258</v>
      </c>
      <c r="AC25" s="1306"/>
      <c r="AD25" s="1305">
        <v>-385</v>
      </c>
      <c r="AE25" s="1306"/>
      <c r="AF25" s="1305">
        <v>90</v>
      </c>
      <c r="AG25" s="1306"/>
      <c r="AH25" s="1305">
        <v>-114</v>
      </c>
      <c r="AI25" s="1306"/>
      <c r="AJ25" s="1305">
        <v>97</v>
      </c>
      <c r="AK25" s="1306"/>
      <c r="AL25" s="1305">
        <v>-252</v>
      </c>
      <c r="AM25" s="1306"/>
      <c r="AN25" s="1305">
        <v>-51</v>
      </c>
      <c r="AO25" s="1306"/>
      <c r="AP25" s="1305">
        <v>-43</v>
      </c>
      <c r="AQ25" s="1306"/>
      <c r="AR25" s="1305">
        <v>127</v>
      </c>
      <c r="AS25" s="1306"/>
      <c r="AT25" s="1305">
        <v>-4</v>
      </c>
      <c r="AU25" s="1306"/>
      <c r="AV25" s="1456">
        <v>143</v>
      </c>
      <c r="AW25" s="1455"/>
      <c r="AX25" s="1456">
        <v>193</v>
      </c>
      <c r="AY25" s="1455"/>
      <c r="AZ25" s="1456">
        <v>9</v>
      </c>
      <c r="BA25" s="1455"/>
      <c r="BB25" s="1456">
        <v>6</v>
      </c>
      <c r="BC25" s="1455"/>
      <c r="BD25" s="1455">
        <v>-46</v>
      </c>
      <c r="BE25" s="1455"/>
      <c r="BF25" s="2117">
        <v>142</v>
      </c>
      <c r="BG25" s="1455"/>
      <c r="BH25" s="1455">
        <f>bal!BI12-bal!BG12</f>
        <v>-92.122465451879862</v>
      </c>
      <c r="BI25" s="1455"/>
      <c r="BJ25" s="1455">
        <f>bal!BK12-bal!BI12</f>
        <v>-9.2774868907370092</v>
      </c>
      <c r="BK25" s="1455"/>
      <c r="BL25" s="1455">
        <f>bal!BM12-bal!BK12</f>
        <v>-9.0733563636013059</v>
      </c>
      <c r="BM25" s="1455"/>
      <c r="BN25" s="1455">
        <f>bal!BO12-bal!BM12</f>
        <v>-7.6308603834197584</v>
      </c>
      <c r="BO25" s="1455"/>
      <c r="BP25" s="1858">
        <f>bal!BQ12-bal!BO12</f>
        <v>-8.3688681666587854</v>
      </c>
      <c r="BQ25" s="1273"/>
      <c r="BX25" s="1045" t="s">
        <v>707</v>
      </c>
      <c r="BY25" s="1045">
        <v>928</v>
      </c>
    </row>
    <row r="26" spans="1:77">
      <c r="A26" s="1273"/>
      <c r="B26" s="1273" t="s">
        <v>535</v>
      </c>
      <c r="C26" s="1273"/>
      <c r="D26" s="1294"/>
      <c r="E26" s="1294"/>
      <c r="F26" s="1294"/>
      <c r="G26" s="1294"/>
      <c r="H26" s="1294">
        <f>bal!I11-bal!G11</f>
        <v>9.8859999999999992</v>
      </c>
      <c r="I26" s="1294"/>
      <c r="J26" s="1294">
        <f>bal!K11-bal!I11</f>
        <v>5.3390000000000004</v>
      </c>
      <c r="K26" s="1294"/>
      <c r="L26" s="1294">
        <f>bal!M11-bal!K11</f>
        <v>-15.225</v>
      </c>
      <c r="M26" s="1294"/>
      <c r="N26" s="1294">
        <f>+bal!O11-bal!M11</f>
        <v>0</v>
      </c>
      <c r="O26" s="1294"/>
      <c r="P26" s="1294">
        <f>bal!Q11-bal!O11</f>
        <v>0</v>
      </c>
      <c r="Q26" s="1294"/>
      <c r="R26" s="1294">
        <f>bal!S11-bal!Q11</f>
        <v>0</v>
      </c>
      <c r="S26" s="1294"/>
      <c r="T26" s="1294">
        <f>bal!U11-bal!S11</f>
        <v>0</v>
      </c>
      <c r="U26" s="1294"/>
      <c r="V26" s="1294">
        <f>bal!W11-bal!U11</f>
        <v>0</v>
      </c>
      <c r="W26" s="1294"/>
      <c r="X26" s="1294">
        <f>bal!Y11-bal!W11</f>
        <v>0</v>
      </c>
      <c r="Y26" s="1294"/>
      <c r="Z26" s="1297">
        <f>bal!AA11-bal!Y11</f>
        <v>0</v>
      </c>
      <c r="AA26" s="1297"/>
      <c r="AB26" s="1297">
        <f>bal!AC11-bal!AA11</f>
        <v>0</v>
      </c>
      <c r="AC26" s="1297"/>
      <c r="AD26" s="1296">
        <v>0</v>
      </c>
      <c r="AE26" s="1297"/>
      <c r="AF26" s="1296">
        <v>0</v>
      </c>
      <c r="AG26" s="1297"/>
      <c r="AH26" s="1296">
        <v>0</v>
      </c>
      <c r="AI26" s="1297"/>
      <c r="AJ26" s="1296">
        <f>bal!AK11-bal!AI11</f>
        <v>0</v>
      </c>
      <c r="AK26" s="1297"/>
      <c r="AL26" s="1296">
        <f>bal!AM11-bal!AK11</f>
        <v>0</v>
      </c>
      <c r="AM26" s="1297"/>
      <c r="AN26" s="1296">
        <f>bal!AO11-bal!AM11</f>
        <v>0</v>
      </c>
      <c r="AO26" s="1297"/>
      <c r="AP26" s="1296">
        <v>0</v>
      </c>
      <c r="AQ26" s="1297"/>
      <c r="AR26" s="1296">
        <v>0</v>
      </c>
      <c r="AS26" s="1297"/>
      <c r="AT26" s="1296">
        <v>0</v>
      </c>
      <c r="AU26" s="1297"/>
      <c r="AV26" s="1456">
        <v>0</v>
      </c>
      <c r="AW26" s="1455"/>
      <c r="AX26" s="1456">
        <v>0</v>
      </c>
      <c r="AY26" s="1455"/>
      <c r="AZ26" s="1456">
        <v>0</v>
      </c>
      <c r="BA26" s="1455"/>
      <c r="BB26" s="1456">
        <v>0</v>
      </c>
      <c r="BC26" s="1455"/>
      <c r="BD26" s="1466">
        <f>bal!BE11-bal!BC11</f>
        <v>0</v>
      </c>
      <c r="BE26" s="1455"/>
      <c r="BF26" s="2117">
        <f>bal!BG11-bal!BE11</f>
        <v>0</v>
      </c>
      <c r="BG26" s="1455"/>
      <c r="BH26" s="1455">
        <f>bal!BI11-bal!BG11</f>
        <v>0</v>
      </c>
      <c r="BI26" s="1455"/>
      <c r="BJ26" s="1455">
        <f>bal!BK11-bal!BI11</f>
        <v>0</v>
      </c>
      <c r="BK26" s="1455"/>
      <c r="BL26" s="1455">
        <f>bal!BM11-bal!BK11</f>
        <v>0</v>
      </c>
      <c r="BM26" s="1455"/>
      <c r="BN26" s="1455">
        <f>bal!BO11-bal!BM11</f>
        <v>0</v>
      </c>
      <c r="BO26" s="1455"/>
      <c r="BP26" s="1858">
        <f>bal!BQ11-bal!BO11</f>
        <v>0</v>
      </c>
      <c r="BQ26" s="1273"/>
      <c r="BX26" s="1045" t="s">
        <v>332</v>
      </c>
      <c r="BY26" s="1045">
        <v>560</v>
      </c>
    </row>
    <row r="27" spans="1:77">
      <c r="A27" s="1273"/>
      <c r="B27" s="1273" t="s">
        <v>536</v>
      </c>
      <c r="C27" s="1273"/>
      <c r="D27" s="1294"/>
      <c r="E27" s="1294"/>
      <c r="F27" s="1294"/>
      <c r="G27" s="1294"/>
      <c r="H27" s="1294">
        <f>bal!I13-bal!G13</f>
        <v>12.533000000000008</v>
      </c>
      <c r="I27" s="1294"/>
      <c r="J27" s="1294">
        <f>bal!K13-bal!I13</f>
        <v>-5.6680000000000064</v>
      </c>
      <c r="K27" s="1294"/>
      <c r="L27" s="1294">
        <f>bal!M13-bal!K13</f>
        <v>30.790000000000006</v>
      </c>
      <c r="M27" s="1294"/>
      <c r="N27" s="1295">
        <v>15.278</v>
      </c>
      <c r="O27" s="1294"/>
      <c r="P27" s="1295">
        <v>16.355</v>
      </c>
      <c r="Q27" s="1294"/>
      <c r="R27" s="1295">
        <v>44.735999999999997</v>
      </c>
      <c r="S27" s="1294"/>
      <c r="T27" s="1295">
        <v>77.292000000000002</v>
      </c>
      <c r="U27" s="1294"/>
      <c r="V27" s="1295">
        <v>55.518999999999998</v>
      </c>
      <c r="W27" s="1294"/>
      <c r="X27" s="1295">
        <v>61.095999999999997</v>
      </c>
      <c r="Y27" s="1294"/>
      <c r="Z27" s="1296">
        <v>13.303000000000001</v>
      </c>
      <c r="AA27" s="1297"/>
      <c r="AB27" s="1296">
        <v>-33</v>
      </c>
      <c r="AC27" s="1297"/>
      <c r="AD27" s="1296">
        <v>-5</v>
      </c>
      <c r="AE27" s="1297"/>
      <c r="AF27" s="1296">
        <v>18</v>
      </c>
      <c r="AG27" s="1297"/>
      <c r="AH27" s="1296">
        <v>104</v>
      </c>
      <c r="AI27" s="1297"/>
      <c r="AJ27" s="1296">
        <v>-12</v>
      </c>
      <c r="AK27" s="1297"/>
      <c r="AL27" s="1296">
        <v>-18</v>
      </c>
      <c r="AM27" s="1297"/>
      <c r="AN27" s="1296">
        <v>-34</v>
      </c>
      <c r="AO27" s="1297"/>
      <c r="AP27" s="1296">
        <v>-83</v>
      </c>
      <c r="AQ27" s="1297"/>
      <c r="AR27" s="1296">
        <v>87</v>
      </c>
      <c r="AS27" s="1297"/>
      <c r="AT27" s="1296">
        <v>101</v>
      </c>
      <c r="AU27" s="1297"/>
      <c r="AV27" s="1456">
        <v>44</v>
      </c>
      <c r="AW27" s="1455"/>
      <c r="AX27" s="1456">
        <v>44</v>
      </c>
      <c r="AY27" s="1455"/>
      <c r="AZ27" s="1456">
        <v>-240</v>
      </c>
      <c r="BA27" s="1455"/>
      <c r="BB27" s="1456">
        <v>-133</v>
      </c>
      <c r="BC27" s="1455"/>
      <c r="BD27" s="1455">
        <v>-54</v>
      </c>
      <c r="BE27" s="1455"/>
      <c r="BF27" s="1858">
        <v>-33</v>
      </c>
      <c r="BG27" s="1455"/>
      <c r="BH27" s="1455">
        <f>bal!BI13-bal!BG13</f>
        <v>-63.768450862985446</v>
      </c>
      <c r="BI27" s="1455"/>
      <c r="BJ27" s="1455">
        <f>bal!BK13-bal!BI13</f>
        <v>-3.5272864428897037</v>
      </c>
      <c r="BK27" s="1455"/>
      <c r="BL27" s="1455">
        <f>bal!BM13-bal!BK13</f>
        <v>-3.4496763261171282</v>
      </c>
      <c r="BM27" s="1455"/>
      <c r="BN27" s="1455">
        <f>bal!BO13-bal!BM13</f>
        <v>-2.9012415425663676</v>
      </c>
      <c r="BO27" s="1455"/>
      <c r="BP27" s="1858">
        <f>bal!BQ13-bal!BO13</f>
        <v>-3.1818309822739366</v>
      </c>
      <c r="BQ27" s="1273"/>
      <c r="BX27" s="1045" t="s">
        <v>593</v>
      </c>
      <c r="BY27" s="1045">
        <f>SUM(BY25:BY26)</f>
        <v>1488</v>
      </c>
    </row>
    <row r="28" spans="1:77">
      <c r="A28" s="1273"/>
      <c r="B28" s="1273" t="s">
        <v>138</v>
      </c>
      <c r="C28" s="1273"/>
      <c r="D28" s="1294"/>
      <c r="E28" s="1294"/>
      <c r="F28" s="1294"/>
      <c r="G28" s="1294"/>
      <c r="H28" s="1294"/>
      <c r="I28" s="1294"/>
      <c r="J28" s="1294"/>
      <c r="K28" s="1294"/>
      <c r="L28" s="1294"/>
      <c r="M28" s="1294"/>
      <c r="N28" s="1295">
        <v>-116.134</v>
      </c>
      <c r="O28" s="1294"/>
      <c r="P28" s="1295">
        <v>11.773999999999999</v>
      </c>
      <c r="Q28" s="1294"/>
      <c r="R28" s="1295">
        <v>-174.709</v>
      </c>
      <c r="S28" s="1294"/>
      <c r="T28" s="1294">
        <f>bal!U10-bal!S10</f>
        <v>0</v>
      </c>
      <c r="U28" s="1294"/>
      <c r="V28" s="1294">
        <f>bal!W10-bal!U10</f>
        <v>0</v>
      </c>
      <c r="W28" s="1294"/>
      <c r="X28" s="1294">
        <f>bal!Y10-bal!W10</f>
        <v>0</v>
      </c>
      <c r="Y28" s="1294"/>
      <c r="Z28" s="1297">
        <f>bal!AA10-bal!Y10</f>
        <v>0</v>
      </c>
      <c r="AA28" s="1297"/>
      <c r="AB28" s="1297">
        <f>bal!AC10-bal!AA10</f>
        <v>313</v>
      </c>
      <c r="AC28" s="1297"/>
      <c r="AD28" s="1296">
        <f>1202-442</f>
        <v>760</v>
      </c>
      <c r="AE28" s="1297"/>
      <c r="AF28" s="1296">
        <f>1813-2072</f>
        <v>-259</v>
      </c>
      <c r="AG28" s="1297"/>
      <c r="AH28" s="1296">
        <f>1768-1645</f>
        <v>123</v>
      </c>
      <c r="AI28" s="1297"/>
      <c r="AJ28" s="1296">
        <f>1460-1841</f>
        <v>-381</v>
      </c>
      <c r="AK28" s="1297"/>
      <c r="AL28" s="1296">
        <v>0</v>
      </c>
      <c r="AM28" s="1297"/>
      <c r="AN28" s="1296">
        <v>0</v>
      </c>
      <c r="AO28" s="1297"/>
      <c r="AP28" s="1296">
        <v>0</v>
      </c>
      <c r="AQ28" s="1297"/>
      <c r="AR28" s="1296">
        <v>0</v>
      </c>
      <c r="AS28" s="1297"/>
      <c r="AT28" s="1296">
        <v>0</v>
      </c>
      <c r="AU28" s="1297"/>
      <c r="AV28" s="1456">
        <v>0</v>
      </c>
      <c r="AW28" s="1455"/>
      <c r="AX28" s="1456">
        <v>0</v>
      </c>
      <c r="AY28" s="1455"/>
      <c r="AZ28" s="1456">
        <v>0</v>
      </c>
      <c r="BA28" s="1455"/>
      <c r="BB28" s="1456">
        <v>0</v>
      </c>
      <c r="BC28" s="1455"/>
      <c r="BD28" s="1466">
        <f>bal!BE10-bal!BC10</f>
        <v>0</v>
      </c>
      <c r="BE28" s="1455"/>
      <c r="BF28" s="2117">
        <f>bal!BG10-bal!BE10</f>
        <v>0</v>
      </c>
      <c r="BG28" s="1455"/>
      <c r="BH28" s="1455">
        <f>bal!BI10-bal!BG10</f>
        <v>0</v>
      </c>
      <c r="BI28" s="1455"/>
      <c r="BJ28" s="1455">
        <f>bal!BK10-bal!BI10</f>
        <v>0</v>
      </c>
      <c r="BK28" s="1455"/>
      <c r="BL28" s="1455">
        <f>bal!BM10-bal!BK10</f>
        <v>0</v>
      </c>
      <c r="BM28" s="1455"/>
      <c r="BN28" s="1455">
        <f>bal!BO10-bal!BM10</f>
        <v>0</v>
      </c>
      <c r="BO28" s="1455"/>
      <c r="BP28" s="1858">
        <f>bal!BQ10-bal!BO10</f>
        <v>0</v>
      </c>
      <c r="BQ28" s="1273"/>
      <c r="BX28" s="1045" t="s">
        <v>708</v>
      </c>
      <c r="BY28" s="1263">
        <f>-BD22</f>
        <v>-529</v>
      </c>
    </row>
    <row r="29" spans="1:77">
      <c r="A29" s="1273"/>
      <c r="B29" s="1273" t="s">
        <v>139</v>
      </c>
      <c r="C29" s="1273"/>
      <c r="D29" s="1294"/>
      <c r="E29" s="1294"/>
      <c r="F29" s="1294"/>
      <c r="G29" s="1294"/>
      <c r="H29" s="1294"/>
      <c r="I29" s="1294"/>
      <c r="J29" s="1294"/>
      <c r="K29" s="1294"/>
      <c r="L29" s="1294"/>
      <c r="M29" s="1294"/>
      <c r="N29" s="1295">
        <v>30.37</v>
      </c>
      <c r="O29" s="1294"/>
      <c r="P29" s="1295">
        <v>40.119999999999997</v>
      </c>
      <c r="Q29" s="1294"/>
      <c r="R29" s="1295">
        <v>2.9390000000000001</v>
      </c>
      <c r="S29" s="1294"/>
      <c r="T29" s="1294">
        <f>bal!U19-bal!S19</f>
        <v>0</v>
      </c>
      <c r="U29" s="1294"/>
      <c r="V29" s="1294">
        <f>bal!W19-bal!U19</f>
        <v>0</v>
      </c>
      <c r="W29" s="1294"/>
      <c r="X29" s="1294">
        <f>bal!Y19-bal!W19</f>
        <v>0</v>
      </c>
      <c r="Y29" s="1294"/>
      <c r="Z29" s="1297">
        <f>bal!AA19-bal!Y19</f>
        <v>0</v>
      </c>
      <c r="AA29" s="1297"/>
      <c r="AB29" s="1297">
        <f>bal!AC19-bal!AA19</f>
        <v>0</v>
      </c>
      <c r="AC29" s="1297"/>
      <c r="AD29" s="1296">
        <v>0</v>
      </c>
      <c r="AE29" s="1297"/>
      <c r="AF29" s="1296">
        <v>0</v>
      </c>
      <c r="AG29" s="1297"/>
      <c r="AH29" s="1296">
        <f>bal!AI19-bal!AG19</f>
        <v>0</v>
      </c>
      <c r="AI29" s="1297"/>
      <c r="AJ29" s="1296">
        <f>bal!AK19-bal!AI19</f>
        <v>0</v>
      </c>
      <c r="AK29" s="1297"/>
      <c r="AL29" s="1296">
        <f>bal!AM19-bal!AK19</f>
        <v>0</v>
      </c>
      <c r="AM29" s="1297"/>
      <c r="AN29" s="1296">
        <f>bal!AO19-bal!AM19</f>
        <v>0</v>
      </c>
      <c r="AO29" s="1297"/>
      <c r="AP29" s="1296">
        <f>bal!AQ19-bal!AO19</f>
        <v>0</v>
      </c>
      <c r="AQ29" s="1297"/>
      <c r="AR29" s="1296">
        <f>bal!AS19-bal!AQ19</f>
        <v>0</v>
      </c>
      <c r="AS29" s="1297"/>
      <c r="AT29" s="1296">
        <f>bal!AU19-bal!AS19</f>
        <v>0</v>
      </c>
      <c r="AU29" s="1297"/>
      <c r="AV29" s="1456">
        <v>0</v>
      </c>
      <c r="AW29" s="1455"/>
      <c r="AX29" s="1456">
        <v>0</v>
      </c>
      <c r="AY29" s="1455"/>
      <c r="AZ29" s="1456">
        <v>0</v>
      </c>
      <c r="BA29" s="1455"/>
      <c r="BB29" s="1456">
        <v>0</v>
      </c>
      <c r="BC29" s="1455"/>
      <c r="BD29" s="1466">
        <f>bal!BE19-bal!BC19</f>
        <v>0</v>
      </c>
      <c r="BE29" s="1455"/>
      <c r="BF29" s="2117">
        <f>bal!BG19-bal!BE19</f>
        <v>0</v>
      </c>
      <c r="BG29" s="1455"/>
      <c r="BH29" s="1455">
        <f>bal!BI19-bal!BG19</f>
        <v>0</v>
      </c>
      <c r="BI29" s="1455"/>
      <c r="BJ29" s="1455">
        <f>bal!BK19-bal!BI19</f>
        <v>0</v>
      </c>
      <c r="BK29" s="1455"/>
      <c r="BL29" s="1455">
        <f>bal!BM19-bal!BK19</f>
        <v>0</v>
      </c>
      <c r="BM29" s="1455"/>
      <c r="BN29" s="1455">
        <f>bal!BO19-bal!BM19</f>
        <v>0</v>
      </c>
      <c r="BO29" s="1455"/>
      <c r="BP29" s="1858">
        <f>bal!BQ19-bal!BO19</f>
        <v>0</v>
      </c>
      <c r="BQ29" s="1273"/>
      <c r="BX29" s="1045" t="s">
        <v>709</v>
      </c>
      <c r="BY29" s="1243">
        <f>BD55</f>
        <v>-367</v>
      </c>
    </row>
    <row r="30" spans="1:77">
      <c r="A30" s="1273"/>
      <c r="B30" s="1273" t="s">
        <v>557</v>
      </c>
      <c r="C30" s="1273"/>
      <c r="D30" s="1276"/>
      <c r="E30" s="1294"/>
      <c r="F30" s="1276"/>
      <c r="G30" s="1294"/>
      <c r="H30" s="1276"/>
      <c r="I30" s="1294"/>
      <c r="J30" s="1276"/>
      <c r="K30" s="1294"/>
      <c r="L30" s="1276"/>
      <c r="M30" s="1294"/>
      <c r="N30" s="1276"/>
      <c r="O30" s="1294"/>
      <c r="P30" s="1276"/>
      <c r="Q30" s="1294"/>
      <c r="R30" s="1276"/>
      <c r="S30" s="1294"/>
      <c r="T30" s="1276"/>
      <c r="U30" s="1294"/>
      <c r="V30" s="1276"/>
      <c r="W30" s="1294"/>
      <c r="X30" s="1276"/>
      <c r="Y30" s="1294"/>
      <c r="Z30" s="1297"/>
      <c r="AA30" s="1297"/>
      <c r="AB30" s="1296">
        <v>-3</v>
      </c>
      <c r="AC30" s="1297"/>
      <c r="AD30" s="1296">
        <v>-5</v>
      </c>
      <c r="AE30" s="1297"/>
      <c r="AF30" s="1296">
        <v>-6</v>
      </c>
      <c r="AG30" s="1297"/>
      <c r="AH30" s="1296">
        <v>-23</v>
      </c>
      <c r="AI30" s="1297"/>
      <c r="AJ30" s="1296">
        <v>-8</v>
      </c>
      <c r="AK30" s="1297"/>
      <c r="AL30" s="1296">
        <v>0</v>
      </c>
      <c r="AM30" s="1297"/>
      <c r="AN30" s="1296">
        <v>0</v>
      </c>
      <c r="AO30" s="1297"/>
      <c r="AP30" s="1296">
        <v>0</v>
      </c>
      <c r="AQ30" s="1297"/>
      <c r="AR30" s="1296">
        <v>0</v>
      </c>
      <c r="AS30" s="1297"/>
      <c r="AT30" s="1296">
        <v>0</v>
      </c>
      <c r="AU30" s="1297"/>
      <c r="AV30" s="1456">
        <v>0</v>
      </c>
      <c r="AW30" s="1455"/>
      <c r="AX30" s="1456">
        <v>0</v>
      </c>
      <c r="AY30" s="1455"/>
      <c r="AZ30" s="1456">
        <v>0</v>
      </c>
      <c r="BA30" s="1455"/>
      <c r="BB30" s="1456">
        <v>0</v>
      </c>
      <c r="BC30" s="1455"/>
      <c r="BD30" s="1466">
        <v>0</v>
      </c>
      <c r="BE30" s="1455"/>
      <c r="BF30" s="2117">
        <v>0</v>
      </c>
      <c r="BG30" s="1455"/>
      <c r="BH30" s="1455">
        <v>0</v>
      </c>
      <c r="BI30" s="1455"/>
      <c r="BJ30" s="1455">
        <v>0</v>
      </c>
      <c r="BK30" s="1455"/>
      <c r="BL30" s="1455">
        <v>0</v>
      </c>
      <c r="BM30" s="1455"/>
      <c r="BN30" s="1455">
        <v>0</v>
      </c>
      <c r="BO30" s="1455"/>
      <c r="BP30" s="1858">
        <v>0</v>
      </c>
      <c r="BQ30" s="1273"/>
      <c r="BX30" s="1045" t="s">
        <v>678</v>
      </c>
      <c r="BY30" s="1243">
        <f>BD50</f>
        <v>0</v>
      </c>
    </row>
    <row r="31" spans="1:77">
      <c r="A31" s="1273" t="s">
        <v>629</v>
      </c>
      <c r="B31" s="1273"/>
      <c r="C31" s="1273"/>
      <c r="D31" s="1307"/>
      <c r="E31" s="1307"/>
      <c r="F31" s="1308"/>
      <c r="G31" s="1273"/>
      <c r="H31" s="1307"/>
      <c r="I31" s="1273"/>
      <c r="J31" s="1307"/>
      <c r="K31" s="1307"/>
      <c r="L31" s="1309"/>
      <c r="M31" s="1307"/>
      <c r="N31" s="1307"/>
      <c r="O31" s="1307"/>
      <c r="P31" s="1308"/>
      <c r="Q31" s="1273"/>
      <c r="R31" s="1307"/>
      <c r="S31" s="1273"/>
      <c r="T31" s="1307"/>
      <c r="U31" s="1307"/>
      <c r="V31" s="1309"/>
      <c r="W31" s="1307"/>
      <c r="X31" s="1307"/>
      <c r="Y31" s="1307"/>
      <c r="Z31" s="1297"/>
      <c r="AA31" s="1297"/>
      <c r="AB31" s="1297"/>
      <c r="AC31" s="1297"/>
      <c r="AD31" s="1297"/>
      <c r="AE31" s="1297"/>
      <c r="AF31" s="1297"/>
      <c r="AG31" s="1297"/>
      <c r="AH31" s="1297"/>
      <c r="AI31" s="1297"/>
      <c r="AJ31" s="1297"/>
      <c r="AK31" s="1297"/>
      <c r="AL31" s="1306"/>
      <c r="AM31" s="1297"/>
      <c r="AN31" s="1296"/>
      <c r="AO31" s="1297"/>
      <c r="AP31" s="1296"/>
      <c r="AQ31" s="1297"/>
      <c r="AR31" s="1296"/>
      <c r="AS31" s="1297"/>
      <c r="AT31" s="1296"/>
      <c r="AU31" s="1297"/>
      <c r="AV31" s="1456"/>
      <c r="AW31" s="1455"/>
      <c r="AX31" s="1456"/>
      <c r="AY31" s="1455"/>
      <c r="AZ31" s="1456"/>
      <c r="BA31" s="1455"/>
      <c r="BB31" s="1455"/>
      <c r="BC31" s="1455"/>
      <c r="BD31" s="1455"/>
      <c r="BE31" s="1455"/>
      <c r="BF31" s="2117"/>
      <c r="BG31" s="1455"/>
      <c r="BH31" s="1455"/>
      <c r="BI31" s="1455"/>
      <c r="BJ31" s="1455"/>
      <c r="BK31" s="1455"/>
      <c r="BL31" s="1455"/>
      <c r="BM31" s="1455"/>
      <c r="BN31" s="1455"/>
      <c r="BO31" s="1455"/>
      <c r="BP31" s="1858"/>
      <c r="BQ31" s="1273"/>
      <c r="BX31" s="1045" t="s">
        <v>711</v>
      </c>
      <c r="BY31" s="1045">
        <f>-421</f>
        <v>-421</v>
      </c>
    </row>
    <row r="32" spans="1:77">
      <c r="A32" s="1273"/>
      <c r="B32" s="1273" t="s">
        <v>546</v>
      </c>
      <c r="C32" s="1273"/>
      <c r="D32" s="1297"/>
      <c r="E32" s="1297"/>
      <c r="F32" s="1297">
        <f>bal!E27-bal!G27</f>
        <v>-158.31700000000001</v>
      </c>
      <c r="G32" s="1297"/>
      <c r="H32" s="1297">
        <f>bal!G27-bal!I27</f>
        <v>-35.057999999999993</v>
      </c>
      <c r="I32" s="1297"/>
      <c r="J32" s="1297">
        <f>bal!I27-bal!K27</f>
        <v>-23.288999999999987</v>
      </c>
      <c r="K32" s="1297"/>
      <c r="L32" s="1297">
        <f>bal!K27-bal!M27</f>
        <v>-47.06</v>
      </c>
      <c r="M32" s="1297"/>
      <c r="N32" s="1296">
        <v>-1.1830000000000001</v>
      </c>
      <c r="O32" s="1297"/>
      <c r="P32" s="1296">
        <v>-88.531999999999996</v>
      </c>
      <c r="Q32" s="1297"/>
      <c r="R32" s="1296">
        <v>-63.531999999999996</v>
      </c>
      <c r="S32" s="1297"/>
      <c r="T32" s="1296">
        <v>-265.29599999999999</v>
      </c>
      <c r="U32" s="1297"/>
      <c r="V32" s="1296">
        <v>-118.121</v>
      </c>
      <c r="W32" s="1297"/>
      <c r="X32" s="1296">
        <v>-249.54499999999999</v>
      </c>
      <c r="Y32" s="1297"/>
      <c r="Z32" s="1296">
        <v>-133.702</v>
      </c>
      <c r="AA32" s="1296" t="s">
        <v>137</v>
      </c>
      <c r="AB32" s="1296">
        <v>47</v>
      </c>
      <c r="AC32" s="1296"/>
      <c r="AD32" s="1296">
        <v>10</v>
      </c>
      <c r="AE32" s="1296"/>
      <c r="AF32" s="1296">
        <v>-42</v>
      </c>
      <c r="AG32" s="1296"/>
      <c r="AH32" s="1296">
        <v>102</v>
      </c>
      <c r="AI32" s="1296"/>
      <c r="AJ32" s="1296">
        <v>25</v>
      </c>
      <c r="AK32" s="1297"/>
      <c r="AL32" s="1296">
        <v>-199</v>
      </c>
      <c r="AM32" s="1297"/>
      <c r="AN32" s="1296">
        <v>4</v>
      </c>
      <c r="AO32" s="1297"/>
      <c r="AP32" s="1296">
        <v>-40</v>
      </c>
      <c r="AQ32" s="1297"/>
      <c r="AR32" s="1296">
        <v>7</v>
      </c>
      <c r="AS32" s="1297"/>
      <c r="AT32" s="1296">
        <v>-11</v>
      </c>
      <c r="AU32" s="1297"/>
      <c r="AV32" s="1456">
        <v>-91</v>
      </c>
      <c r="AW32" s="1455"/>
      <c r="AX32" s="1456">
        <v>-105</v>
      </c>
      <c r="AY32" s="1455"/>
      <c r="AZ32" s="1456">
        <v>41</v>
      </c>
      <c r="BA32" s="1455"/>
      <c r="BB32" s="1456">
        <v>47</v>
      </c>
      <c r="BC32" s="1455"/>
      <c r="BD32" s="1455">
        <v>-146</v>
      </c>
      <c r="BE32" s="1455"/>
      <c r="BF32" s="2117">
        <v>90</v>
      </c>
      <c r="BG32" s="1455"/>
      <c r="BH32" s="1455">
        <f>bal!BG27-bal!BI27</f>
        <v>38.073479271128008</v>
      </c>
      <c r="BI32" s="1455"/>
      <c r="BJ32" s="1455">
        <f>bal!BI27-bal!BK27</f>
        <v>5.5664921344421145</v>
      </c>
      <c r="BK32" s="1455"/>
      <c r="BL32" s="1455">
        <f>bal!BK27-bal!BM27</f>
        <v>5.4440138181607836</v>
      </c>
      <c r="BM32" s="1455"/>
      <c r="BN32" s="1455">
        <f>bal!BM27-bal!BO27</f>
        <v>4.578516230051946</v>
      </c>
      <c r="BO32" s="1455"/>
      <c r="BP32" s="1858">
        <f>bal!BO27-bal!BQ27</f>
        <v>5.0213208999953167</v>
      </c>
      <c r="BQ32" s="1273"/>
      <c r="BX32" s="1045">
        <v>421</v>
      </c>
      <c r="BY32" s="1263">
        <f>BY27+SUM(BY28:BY31)</f>
        <v>171</v>
      </c>
    </row>
    <row r="33" spans="1:83">
      <c r="A33" s="1273"/>
      <c r="B33" s="1273" t="s">
        <v>640</v>
      </c>
      <c r="C33" s="1273"/>
      <c r="D33" s="1297"/>
      <c r="E33" s="1297"/>
      <c r="F33" s="1297">
        <f>bal!E28-bal!G28</f>
        <v>-135.333</v>
      </c>
      <c r="G33" s="1297"/>
      <c r="H33" s="1297">
        <f>bal!G28-bal!I28</f>
        <v>7.0320000000000107</v>
      </c>
      <c r="I33" s="1297"/>
      <c r="J33" s="1297">
        <f>bal!I28-bal!K28</f>
        <v>-35.049000000000007</v>
      </c>
      <c r="K33" s="1297"/>
      <c r="L33" s="1297">
        <f>bal!K28-bal!M28</f>
        <v>-22.025000000000006</v>
      </c>
      <c r="M33" s="1297"/>
      <c r="N33" s="1296">
        <v>-9.4269999999999996</v>
      </c>
      <c r="O33" s="1297"/>
      <c r="P33" s="1296">
        <v>-87.974000000000004</v>
      </c>
      <c r="Q33" s="1297"/>
      <c r="R33" s="1296">
        <v>-107.36499999999999</v>
      </c>
      <c r="S33" s="1297"/>
      <c r="T33" s="1296">
        <v>-231.178</v>
      </c>
      <c r="U33" s="1297"/>
      <c r="V33" s="1296">
        <v>-89.070999999999998</v>
      </c>
      <c r="W33" s="1297"/>
      <c r="X33" s="1296">
        <v>56.540999999999997</v>
      </c>
      <c r="Y33" s="1297"/>
      <c r="Z33" s="1296">
        <v>-111.13800000000001</v>
      </c>
      <c r="AA33" s="1297" t="s">
        <v>137</v>
      </c>
      <c r="AB33" s="1296">
        <v>-55</v>
      </c>
      <c r="AC33" s="1297"/>
      <c r="AD33" s="1296">
        <v>42</v>
      </c>
      <c r="AE33" s="1297"/>
      <c r="AF33" s="1296">
        <v>3</v>
      </c>
      <c r="AG33" s="1297"/>
      <c r="AH33" s="1296">
        <v>121</v>
      </c>
      <c r="AI33" s="1297"/>
      <c r="AJ33" s="1296">
        <v>-75</v>
      </c>
      <c r="AK33" s="1297"/>
      <c r="AL33" s="1296">
        <v>-32</v>
      </c>
      <c r="AM33" s="1297"/>
      <c r="AN33" s="1296">
        <v>284</v>
      </c>
      <c r="AO33" s="1297"/>
      <c r="AP33" s="1296">
        <v>23</v>
      </c>
      <c r="AQ33" s="1297"/>
      <c r="AR33" s="1296">
        <v>141</v>
      </c>
      <c r="AS33" s="1297"/>
      <c r="AT33" s="1296">
        <v>45</v>
      </c>
      <c r="AU33" s="1297"/>
      <c r="AV33" s="1456">
        <v>-68</v>
      </c>
      <c r="AW33" s="1455"/>
      <c r="AX33" s="1456">
        <v>5</v>
      </c>
      <c r="AY33" s="1455"/>
      <c r="AZ33" s="1456">
        <v>33</v>
      </c>
      <c r="BA33" s="1455"/>
      <c r="BB33" s="1456">
        <v>41</v>
      </c>
      <c r="BC33" s="1455"/>
      <c r="BD33" s="1455">
        <v>-76</v>
      </c>
      <c r="BE33" s="1455"/>
      <c r="BF33" s="1858">
        <v>-34</v>
      </c>
      <c r="BG33" s="1455"/>
      <c r="BH33" s="1455">
        <f>bal!BG28-bal!BI28</f>
        <v>52.268610957890132</v>
      </c>
      <c r="BI33" s="1455"/>
      <c r="BJ33" s="1455">
        <f>bal!BI28-bal!BK28</f>
        <v>8.712313513206027E-2</v>
      </c>
      <c r="BK33" s="1455"/>
      <c r="BL33" s="1455">
        <f>bal!BK28-bal!BM28</f>
        <v>0.46992721660808456</v>
      </c>
      <c r="BM33" s="1455"/>
      <c r="BN33" s="1455">
        <f>bal!BM28-bal!BO28</f>
        <v>-0.41331590192862677</v>
      </c>
      <c r="BO33" s="1455"/>
      <c r="BP33" s="1858">
        <f>bal!BO28-bal!BQ28</f>
        <v>0.51906911902551656</v>
      </c>
      <c r="BQ33" s="1273"/>
    </row>
    <row r="34" spans="1:83">
      <c r="A34" s="1273"/>
      <c r="B34" s="1273" t="s">
        <v>630</v>
      </c>
      <c r="C34" s="1273"/>
      <c r="D34" s="1297"/>
      <c r="E34" s="1297"/>
      <c r="F34" s="1297">
        <f>(bal!E30-bal!G30)+(bal!E37-bal!G37)</f>
        <v>-32.103999999999999</v>
      </c>
      <c r="G34" s="1297"/>
      <c r="H34" s="1297">
        <f>(bal!G30-bal!I30)+(bal!G37-bal!I37)</f>
        <v>21.479999999999997</v>
      </c>
      <c r="I34" s="1297"/>
      <c r="J34" s="1297">
        <f>(bal!I30-bal!K30)+(bal!I37-bal!K37)</f>
        <v>-59.806999999999995</v>
      </c>
      <c r="K34" s="1297"/>
      <c r="L34" s="1297">
        <f>(bal!K30-bal!M30)+(bal!K37-bal!M37)</f>
        <v>29.274999999999999</v>
      </c>
      <c r="M34" s="1297"/>
      <c r="N34" s="1296">
        <v>-24.806000000000001</v>
      </c>
      <c r="O34" s="1297"/>
      <c r="P34" s="1296">
        <v>-25.706</v>
      </c>
      <c r="Q34" s="1297"/>
      <c r="R34" s="1296">
        <v>8.2140000000000004</v>
      </c>
      <c r="S34" s="1297"/>
      <c r="T34" s="1296">
        <v>-38.805</v>
      </c>
      <c r="U34" s="1297"/>
      <c r="V34" s="1296">
        <v>94.893000000000001</v>
      </c>
      <c r="W34" s="1297"/>
      <c r="X34" s="1296">
        <v>0</v>
      </c>
      <c r="Y34" s="1297"/>
      <c r="Z34" s="1296">
        <v>-64.361999999999995</v>
      </c>
      <c r="AA34" s="1296"/>
      <c r="AB34" s="1296">
        <v>-108</v>
      </c>
      <c r="AC34" s="1296"/>
      <c r="AD34" s="1296">
        <v>38</v>
      </c>
      <c r="AE34" s="1296"/>
      <c r="AF34" s="1296">
        <v>112</v>
      </c>
      <c r="AG34" s="1296"/>
      <c r="AH34" s="1296">
        <v>19</v>
      </c>
      <c r="AI34" s="1296"/>
      <c r="AJ34" s="1296">
        <v>102</v>
      </c>
      <c r="AK34" s="1297"/>
      <c r="AL34" s="1296">
        <v>4</v>
      </c>
      <c r="AM34" s="1297"/>
      <c r="AN34" s="1296">
        <v>94</v>
      </c>
      <c r="AO34" s="1297"/>
      <c r="AP34" s="1296">
        <v>-64</v>
      </c>
      <c r="AQ34" s="1297"/>
      <c r="AR34" s="1296">
        <v>-66</v>
      </c>
      <c r="AS34" s="1297"/>
      <c r="AT34" s="1296">
        <v>91</v>
      </c>
      <c r="AU34" s="1297"/>
      <c r="AV34" s="1456">
        <v>-146</v>
      </c>
      <c r="AW34" s="1455"/>
      <c r="AX34" s="1456">
        <v>74</v>
      </c>
      <c r="AY34" s="1455"/>
      <c r="AZ34" s="1456">
        <v>87</v>
      </c>
      <c r="BA34" s="1455"/>
      <c r="BB34" s="1456">
        <v>24</v>
      </c>
      <c r="BC34" s="1455"/>
      <c r="BD34" s="1455">
        <v>-19</v>
      </c>
      <c r="BE34" s="1455"/>
      <c r="BF34" s="2117">
        <v>52</v>
      </c>
      <c r="BG34" s="1455"/>
      <c r="BH34" s="1455">
        <f>(bal!BG30-bal!BI30)+(bal!BG37-bal!BI37)</f>
        <v>0</v>
      </c>
      <c r="BI34" s="1455"/>
      <c r="BJ34" s="1455">
        <f>(bal!BI30-bal!BK30)+(bal!BI37-bal!BK37)</f>
        <v>-47</v>
      </c>
      <c r="BK34" s="1455"/>
      <c r="BL34" s="1455">
        <f>(bal!BK30-bal!BM30)+(bal!BK37-bal!BM37)</f>
        <v>0</v>
      </c>
      <c r="BM34" s="1455"/>
      <c r="BN34" s="1455">
        <f>(bal!BM30-bal!BO30)+(bal!BM37-bal!BO37)</f>
        <v>0</v>
      </c>
      <c r="BO34" s="1455"/>
      <c r="BP34" s="1858">
        <f>(bal!BO30-bal!BQ30)+(bal!BO37-bal!BQ37)</f>
        <v>0</v>
      </c>
      <c r="BQ34" s="1273"/>
    </row>
    <row r="35" spans="1:83">
      <c r="A35" s="1273"/>
      <c r="B35" s="1273" t="s">
        <v>124</v>
      </c>
      <c r="C35" s="1273"/>
      <c r="D35" s="1310"/>
      <c r="E35" s="1297"/>
      <c r="F35" s="1310">
        <f>bal!E36-bal!G36</f>
        <v>-61.814999999999998</v>
      </c>
      <c r="G35" s="1297"/>
      <c r="H35" s="1310">
        <f>bal!G36-bal!I36</f>
        <v>-19.465999999999994</v>
      </c>
      <c r="I35" s="1297"/>
      <c r="J35" s="1310">
        <f>bal!I36-bal!K36</f>
        <v>-18.117000000000004</v>
      </c>
      <c r="K35" s="1297"/>
      <c r="L35" s="1310">
        <f>bal!K36-bal!M36</f>
        <v>-29.753999999999991</v>
      </c>
      <c r="M35" s="1297"/>
      <c r="N35" s="1299">
        <v>-21.524000000000001</v>
      </c>
      <c r="O35" s="1297"/>
      <c r="P35" s="1299">
        <v>-56.680999999999997</v>
      </c>
      <c r="Q35" s="1297"/>
      <c r="R35" s="1299">
        <v>-69.212000000000003</v>
      </c>
      <c r="S35" s="1297"/>
      <c r="T35" s="1299">
        <v>-62.433</v>
      </c>
      <c r="U35" s="1297"/>
      <c r="V35" s="1299">
        <v>-47.774999999999999</v>
      </c>
      <c r="W35" s="1297"/>
      <c r="X35" s="1299">
        <v>-54.02</v>
      </c>
      <c r="Y35" s="1297"/>
      <c r="Z35" s="1299">
        <v>-27.745000000000001</v>
      </c>
      <c r="AA35" s="1297" t="s">
        <v>137</v>
      </c>
      <c r="AB35" s="1299">
        <v>-2</v>
      </c>
      <c r="AC35" s="1297"/>
      <c r="AD35" s="1299">
        <v>26</v>
      </c>
      <c r="AE35" s="1297"/>
      <c r="AF35" s="1299">
        <v>-59</v>
      </c>
      <c r="AG35" s="1297"/>
      <c r="AH35" s="1299">
        <v>-119</v>
      </c>
      <c r="AI35" s="1297"/>
      <c r="AJ35" s="1299">
        <v>-53</v>
      </c>
      <c r="AK35" s="1311"/>
      <c r="AL35" s="1299">
        <v>-148</v>
      </c>
      <c r="AM35" s="1311"/>
      <c r="AN35" s="1299">
        <v>-49</v>
      </c>
      <c r="AO35" s="1311"/>
      <c r="AP35" s="1299">
        <v>-22</v>
      </c>
      <c r="AQ35" s="1311"/>
      <c r="AR35" s="1299">
        <v>-49</v>
      </c>
      <c r="AS35" s="1311"/>
      <c r="AT35" s="1299">
        <v>-128</v>
      </c>
      <c r="AU35" s="1311"/>
      <c r="AV35" s="1457">
        <v>-114</v>
      </c>
      <c r="AW35" s="1460"/>
      <c r="AX35" s="1457">
        <v>-47</v>
      </c>
      <c r="AY35" s="1460"/>
      <c r="AZ35" s="1457">
        <v>-179</v>
      </c>
      <c r="BA35" s="1455"/>
      <c r="BB35" s="1457">
        <v>-29</v>
      </c>
      <c r="BC35" s="1455"/>
      <c r="BD35" s="1457">
        <v>20</v>
      </c>
      <c r="BE35" s="1455"/>
      <c r="BF35" s="1860">
        <v>-55</v>
      </c>
      <c r="BG35" s="1455"/>
      <c r="BH35" s="1457">
        <v>0</v>
      </c>
      <c r="BI35" s="1455"/>
      <c r="BJ35" s="1457">
        <v>0</v>
      </c>
      <c r="BK35" s="1455"/>
      <c r="BL35" s="1457">
        <v>0</v>
      </c>
      <c r="BM35" s="1455"/>
      <c r="BN35" s="1457">
        <v>0</v>
      </c>
      <c r="BO35" s="1457"/>
      <c r="BP35" s="1860">
        <v>0</v>
      </c>
      <c r="BQ35" s="1273"/>
    </row>
    <row r="36" spans="1:83">
      <c r="A36" s="1273"/>
      <c r="B36" s="1273" t="s">
        <v>631</v>
      </c>
      <c r="C36" s="1273"/>
      <c r="D36" s="1276">
        <f>SUM(D25:D35)</f>
        <v>0</v>
      </c>
      <c r="E36" s="1273"/>
      <c r="F36" s="1276">
        <f>SUM(F25:F35)</f>
        <v>-387.56899999999996</v>
      </c>
      <c r="G36" s="1276"/>
      <c r="H36" s="1276">
        <f>SUM(H25:H35)</f>
        <v>48.200000000000031</v>
      </c>
      <c r="I36" s="1276"/>
      <c r="J36" s="1276">
        <f>SUM(J25:J35)</f>
        <v>-171.12800000000004</v>
      </c>
      <c r="K36" s="1276"/>
      <c r="L36" s="1276">
        <f>SUM(L25:L35)</f>
        <v>-14.515999999999991</v>
      </c>
      <c r="M36" s="1276"/>
      <c r="N36" s="1276">
        <f>SUM(N25:N35)</f>
        <v>-14.40499999999999</v>
      </c>
      <c r="O36" s="1273"/>
      <c r="P36" s="1276">
        <f>SUM(P25:P35)</f>
        <v>-96.843999999999994</v>
      </c>
      <c r="Q36" s="1276"/>
      <c r="R36" s="1276">
        <f>SUM(R25:R35)</f>
        <v>-202.83800000000002</v>
      </c>
      <c r="S36" s="1276"/>
      <c r="T36" s="1276">
        <f>SUM(T25:T35)</f>
        <v>-198.13300000000004</v>
      </c>
      <c r="U36" s="1276"/>
      <c r="V36" s="1276">
        <f>SUM(V25:V35)</f>
        <v>299.65600000000006</v>
      </c>
      <c r="W36" s="1276"/>
      <c r="X36" s="1276">
        <f>SUM(X25:X35)</f>
        <v>268.66700000000009</v>
      </c>
      <c r="Y36" s="1276"/>
      <c r="Z36" s="1297">
        <f>SUM(Z25:Z35)</f>
        <v>-445.21399999999994</v>
      </c>
      <c r="AA36" s="1297"/>
      <c r="AB36" s="1297">
        <f>SUM(AB25:AB35)</f>
        <v>417</v>
      </c>
      <c r="AC36" s="1297"/>
      <c r="AD36" s="1297">
        <f>SUM(AD25:AD35)</f>
        <v>481</v>
      </c>
      <c r="AE36" s="1297"/>
      <c r="AF36" s="1297">
        <f>SUM(AF25:AF35)</f>
        <v>-143</v>
      </c>
      <c r="AG36" s="1297"/>
      <c r="AH36" s="1297">
        <f>SUM(AH25:AH35)</f>
        <v>213</v>
      </c>
      <c r="AI36" s="1297"/>
      <c r="AJ36" s="1297">
        <f>SUM(AJ25:AJ35)</f>
        <v>-305</v>
      </c>
      <c r="AK36" s="1297"/>
      <c r="AL36" s="1297">
        <f>SUM(AL25:AL35)</f>
        <v>-645</v>
      </c>
      <c r="AM36" s="1297"/>
      <c r="AN36" s="1297">
        <f>SUM(AN25:AN35)</f>
        <v>248</v>
      </c>
      <c r="AO36" s="1297"/>
      <c r="AP36" s="1297">
        <f>SUM(AP25:AP35)</f>
        <v>-229</v>
      </c>
      <c r="AQ36" s="1297"/>
      <c r="AR36" s="1297">
        <f>SUM(AR25:AR35)</f>
        <v>247</v>
      </c>
      <c r="AS36" s="1297"/>
      <c r="AT36" s="1297">
        <f>SUM(AT25:AT35)</f>
        <v>94</v>
      </c>
      <c r="AU36" s="1297"/>
      <c r="AV36" s="1455">
        <f>SUM(AV25:AV35)</f>
        <v>-232</v>
      </c>
      <c r="AW36" s="1455"/>
      <c r="AX36" s="1455">
        <f>SUM(AX25:AX35)</f>
        <v>164</v>
      </c>
      <c r="AY36" s="1455"/>
      <c r="AZ36" s="1455">
        <f>SUM(AZ25:AZ35)</f>
        <v>-249</v>
      </c>
      <c r="BA36" s="1455"/>
      <c r="BB36" s="1455">
        <f>SUM(BB25:BB35)</f>
        <v>-44</v>
      </c>
      <c r="BC36" s="1455"/>
      <c r="BD36" s="1455">
        <f>SUM(BD25:BD35)</f>
        <v>-321</v>
      </c>
      <c r="BE36" s="1455"/>
      <c r="BF36" s="1858">
        <f>SUM(BF25:BF35)</f>
        <v>162</v>
      </c>
      <c r="BG36" s="1455"/>
      <c r="BH36" s="1455">
        <f>SUM(BH25:BH35)</f>
        <v>-65.548826085847168</v>
      </c>
      <c r="BI36" s="1455"/>
      <c r="BJ36" s="1455">
        <f>SUM(BJ25:BJ35)</f>
        <v>-54.151158064052538</v>
      </c>
      <c r="BK36" s="1455"/>
      <c r="BL36" s="1455">
        <f>SUM(BL25:BL35)</f>
        <v>-6.609091654949566</v>
      </c>
      <c r="BM36" s="1455"/>
      <c r="BN36" s="1455">
        <f>SUM(BN25:BN35)</f>
        <v>-6.3669015978628067</v>
      </c>
      <c r="BO36" s="1455"/>
      <c r="BP36" s="1858">
        <f>SUM(BP25:BP35)</f>
        <v>-6.0103091299118887</v>
      </c>
      <c r="BQ36" s="1273"/>
    </row>
    <row r="37" spans="1:83" ht="6" customHeight="1">
      <c r="A37" s="1273"/>
      <c r="B37" s="1273"/>
      <c r="C37" s="1273"/>
      <c r="D37" s="1273"/>
      <c r="E37" s="1273"/>
      <c r="F37" s="1273"/>
      <c r="G37" s="1273"/>
      <c r="H37" s="1273"/>
      <c r="I37" s="1273"/>
      <c r="J37" s="1273"/>
      <c r="K37" s="1273"/>
      <c r="L37" s="1273"/>
      <c r="M37" s="1273"/>
      <c r="N37" s="1273"/>
      <c r="O37" s="1273"/>
      <c r="P37" s="1273"/>
      <c r="Q37" s="1273"/>
      <c r="R37" s="1273"/>
      <c r="S37" s="1273"/>
      <c r="T37" s="1273"/>
      <c r="U37" s="1273"/>
      <c r="V37" s="1273"/>
      <c r="W37" s="1273"/>
      <c r="X37" s="1273"/>
      <c r="Y37" s="1273"/>
      <c r="Z37" s="1273"/>
      <c r="AA37" s="1273"/>
      <c r="AB37" s="1273"/>
      <c r="AC37" s="1273"/>
      <c r="AD37" s="1273"/>
      <c r="AE37" s="1273"/>
      <c r="AF37" s="1273"/>
      <c r="AG37" s="1273"/>
      <c r="AH37" s="1273"/>
      <c r="AI37" s="1273"/>
      <c r="AJ37" s="1273"/>
      <c r="AK37" s="1273"/>
      <c r="AL37" s="1273"/>
      <c r="AM37" s="1273"/>
      <c r="AN37" s="1273"/>
      <c r="AO37" s="1273"/>
      <c r="AP37" s="1273"/>
      <c r="AQ37" s="1273"/>
      <c r="AR37" s="1273"/>
      <c r="AS37" s="1273"/>
      <c r="AT37" s="1273"/>
      <c r="AU37" s="1273"/>
      <c r="AV37" s="1455"/>
      <c r="AW37" s="1455"/>
      <c r="AX37" s="1455"/>
      <c r="AY37" s="1455"/>
      <c r="AZ37" s="1455"/>
      <c r="BA37" s="1455"/>
      <c r="BB37" s="1455"/>
      <c r="BC37" s="1455"/>
      <c r="BD37" s="1455"/>
      <c r="BE37" s="1455"/>
      <c r="BF37" s="1858"/>
      <c r="BG37" s="1455"/>
      <c r="BH37" s="1455"/>
      <c r="BI37" s="1455"/>
      <c r="BJ37" s="1455"/>
      <c r="BK37" s="1455"/>
      <c r="BL37" s="1455"/>
      <c r="BM37" s="1455"/>
      <c r="BN37" s="1455"/>
      <c r="BO37" s="1455"/>
      <c r="BP37" s="1858"/>
      <c r="BQ37" s="1273"/>
    </row>
    <row r="38" spans="1:83">
      <c r="A38" s="1265" t="s">
        <v>633</v>
      </c>
      <c r="B38" s="1265"/>
      <c r="C38" s="1265"/>
      <c r="D38" s="1301">
        <f>D36+D22</f>
        <v>199.61699999999999</v>
      </c>
      <c r="E38" s="1265"/>
      <c r="F38" s="1301">
        <f>F36+F22</f>
        <v>-143.24599999999998</v>
      </c>
      <c r="G38" s="1301"/>
      <c r="H38" s="1301">
        <f>H36+H22</f>
        <v>261.85900000000004</v>
      </c>
      <c r="I38" s="1301"/>
      <c r="J38" s="1301">
        <f>J36+J22</f>
        <v>44.898999999999972</v>
      </c>
      <c r="K38" s="1301"/>
      <c r="L38" s="1301">
        <f>L36+L22</f>
        <v>223.19800000000001</v>
      </c>
      <c r="M38" s="1301"/>
      <c r="N38" s="1301">
        <f>N36+N22</f>
        <v>294.47800000000001</v>
      </c>
      <c r="O38" s="1265"/>
      <c r="P38" s="1301">
        <f>P36+P22</f>
        <v>287.19500000000005</v>
      </c>
      <c r="Q38" s="1301"/>
      <c r="R38" s="1301">
        <f>R36+R22</f>
        <v>282.78399999999999</v>
      </c>
      <c r="S38" s="1301"/>
      <c r="T38" s="1301">
        <f>T36+T22</f>
        <v>628.274</v>
      </c>
      <c r="U38" s="1301"/>
      <c r="V38" s="1301">
        <f>V36+V22</f>
        <v>1578.2170000000001</v>
      </c>
      <c r="W38" s="1301"/>
      <c r="X38" s="1301">
        <f>X36+X22</f>
        <v>2143.5810000000001</v>
      </c>
      <c r="Y38" s="1301"/>
      <c r="Z38" s="1301">
        <f>Z36+Z22</f>
        <v>522.38900000000001</v>
      </c>
      <c r="AA38" s="1301"/>
      <c r="AB38" s="1301">
        <f>AB36+AB22</f>
        <v>716</v>
      </c>
      <c r="AC38" s="1301"/>
      <c r="AD38" s="1301">
        <f>AD36+AD22</f>
        <v>742</v>
      </c>
      <c r="AE38" s="1301"/>
      <c r="AF38" s="1301">
        <f>AF36+AF22</f>
        <v>299</v>
      </c>
      <c r="AG38" s="1301"/>
      <c r="AH38" s="1301">
        <f>AH36+AH22</f>
        <v>786</v>
      </c>
      <c r="AI38" s="1301"/>
      <c r="AJ38" s="1301">
        <f>AJ36+AJ22</f>
        <v>245</v>
      </c>
      <c r="AK38" s="1301"/>
      <c r="AL38" s="1301">
        <f>AL36+AL22</f>
        <v>26</v>
      </c>
      <c r="AM38" s="1301"/>
      <c r="AN38" s="1301">
        <f>AN36+AN22</f>
        <v>678</v>
      </c>
      <c r="AO38" s="1301"/>
      <c r="AP38" s="1301">
        <f>AP36+AP22</f>
        <v>105</v>
      </c>
      <c r="AQ38" s="1301"/>
      <c r="AR38" s="1301">
        <f>AR36+AR22</f>
        <v>804</v>
      </c>
      <c r="AS38" s="1301"/>
      <c r="AT38" s="1301">
        <f>AT36+AT22</f>
        <v>642</v>
      </c>
      <c r="AU38" s="1301"/>
      <c r="AV38" s="1459">
        <f>AV36+AV22</f>
        <v>427</v>
      </c>
      <c r="AW38" s="1459"/>
      <c r="AX38" s="1459">
        <f>AX36+AX22</f>
        <v>834</v>
      </c>
      <c r="AY38" s="1459"/>
      <c r="AZ38" s="1459">
        <f>AZ36+AZ22</f>
        <v>465</v>
      </c>
      <c r="BA38" s="1455"/>
      <c r="BB38" s="1459">
        <f>BB36+BB22</f>
        <v>686</v>
      </c>
      <c r="BC38" s="1455"/>
      <c r="BD38" s="1459">
        <f>BD36+BD22</f>
        <v>208</v>
      </c>
      <c r="BE38" s="1455"/>
      <c r="BF38" s="1862">
        <f>BF36+BF22</f>
        <v>830</v>
      </c>
      <c r="BG38" s="1455"/>
      <c r="BH38" s="1459">
        <f>BH36+BH22</f>
        <v>734.45117391415283</v>
      </c>
      <c r="BI38" s="1455"/>
      <c r="BJ38" s="1459">
        <f>BJ36+BJ22</f>
        <v>595.84884193594746</v>
      </c>
      <c r="BK38" s="1455"/>
      <c r="BL38" s="1459">
        <f>BL36+BL22</f>
        <v>643.39090834505043</v>
      </c>
      <c r="BM38" s="1455"/>
      <c r="BN38" s="1459">
        <f>BN36+BN22</f>
        <v>643.63309840213719</v>
      </c>
      <c r="BO38" s="1459"/>
      <c r="BP38" s="1862">
        <f>BP36+BP22</f>
        <v>643.98969087008811</v>
      </c>
      <c r="BQ38" s="1273"/>
    </row>
    <row r="39" spans="1:83" ht="6" customHeight="1">
      <c r="A39" s="1273"/>
      <c r="B39" s="1273"/>
      <c r="C39" s="1273"/>
      <c r="D39" s="1273"/>
      <c r="E39" s="1273"/>
      <c r="F39" s="1273"/>
      <c r="G39" s="1273"/>
      <c r="H39" s="1273"/>
      <c r="I39" s="1273"/>
      <c r="J39" s="1273"/>
      <c r="K39" s="1273"/>
      <c r="L39" s="1273"/>
      <c r="M39" s="1273"/>
      <c r="N39" s="1273"/>
      <c r="O39" s="1273"/>
      <c r="P39" s="1273"/>
      <c r="Q39" s="1273"/>
      <c r="R39" s="1273"/>
      <c r="S39" s="1273"/>
      <c r="T39" s="1273"/>
      <c r="U39" s="1273"/>
      <c r="V39" s="1273"/>
      <c r="W39" s="1273"/>
      <c r="X39" s="1273"/>
      <c r="Y39" s="1273"/>
      <c r="Z39" s="1273"/>
      <c r="AA39" s="1273"/>
      <c r="AB39" s="1273"/>
      <c r="AC39" s="1273"/>
      <c r="AD39" s="1273"/>
      <c r="AE39" s="1273"/>
      <c r="AF39" s="1273"/>
      <c r="AG39" s="1273"/>
      <c r="AH39" s="1273"/>
      <c r="AI39" s="1273"/>
      <c r="AJ39" s="1273"/>
      <c r="AK39" s="1273"/>
      <c r="AL39" s="1273"/>
      <c r="AM39" s="1273"/>
      <c r="AN39" s="1273"/>
      <c r="AO39" s="1273"/>
      <c r="AP39" s="1273"/>
      <c r="AQ39" s="1273"/>
      <c r="AR39" s="1273"/>
      <c r="AS39" s="1273"/>
      <c r="AT39" s="1273"/>
      <c r="AU39" s="1273"/>
      <c r="AV39" s="1455"/>
      <c r="AW39" s="1455"/>
      <c r="AX39" s="1455"/>
      <c r="AY39" s="1455"/>
      <c r="AZ39" s="1455"/>
      <c r="BA39" s="1455"/>
      <c r="BB39" s="1455"/>
      <c r="BC39" s="1455"/>
      <c r="BD39" s="1455"/>
      <c r="BE39" s="1455"/>
      <c r="BF39" s="1858"/>
      <c r="BG39" s="1455"/>
      <c r="BH39" s="1455"/>
      <c r="BI39" s="1455"/>
      <c r="BJ39" s="1455"/>
      <c r="BK39" s="1455"/>
      <c r="BL39" s="1455"/>
      <c r="BM39" s="1455"/>
      <c r="BN39" s="1455"/>
      <c r="BO39" s="1455"/>
      <c r="BP39" s="1858"/>
      <c r="BQ39" s="1273"/>
    </row>
    <row r="40" spans="1:83">
      <c r="A40" s="1312" t="s">
        <v>632</v>
      </c>
      <c r="B40" s="1313"/>
      <c r="C40" s="1313"/>
      <c r="D40" s="1314">
        <f>D17-D38</f>
        <v>-1.4960000000000093</v>
      </c>
      <c r="E40" s="1313"/>
      <c r="F40" s="1314">
        <f>F17-F38</f>
        <v>461.97300000000007</v>
      </c>
      <c r="G40" s="1314"/>
      <c r="H40" s="1314">
        <f>H17-H38</f>
        <v>80.487999999999886</v>
      </c>
      <c r="I40" s="1314"/>
      <c r="J40" s="1314">
        <f>J17-J38</f>
        <v>339.4140000000001</v>
      </c>
      <c r="K40" s="1314"/>
      <c r="L40" s="1314">
        <f>L17-L38</f>
        <v>260.2148649999998</v>
      </c>
      <c r="M40" s="1314"/>
      <c r="N40" s="1314">
        <f>N17-N38</f>
        <v>265.96800000000002</v>
      </c>
      <c r="O40" s="1313"/>
      <c r="P40" s="1314">
        <f>P17-P38</f>
        <v>399.02</v>
      </c>
      <c r="Q40" s="1314"/>
      <c r="R40" s="1314">
        <f>R17-R38</f>
        <v>530.79899999999986</v>
      </c>
      <c r="S40" s="1314"/>
      <c r="T40" s="1314">
        <f>T17-T38</f>
        <v>567.75399999999979</v>
      </c>
      <c r="U40" s="1314"/>
      <c r="V40" s="1314">
        <f>V17-V38</f>
        <v>199.36699999999928</v>
      </c>
      <c r="W40" s="1314"/>
      <c r="X40" s="1314">
        <f>X17-X38</f>
        <v>-583.70900000000029</v>
      </c>
      <c r="Y40" s="1314"/>
      <c r="Z40" s="1314">
        <f>Z17-Z38</f>
        <v>367.21199999999976</v>
      </c>
      <c r="AA40" s="1314"/>
      <c r="AB40" s="1314">
        <f>AB17-AB38</f>
        <v>634.00000000000045</v>
      </c>
      <c r="AC40" s="1314"/>
      <c r="AD40" s="1314">
        <f>AD17-AD38</f>
        <v>1144.0000000000002</v>
      </c>
      <c r="AE40" s="1314"/>
      <c r="AF40" s="1314">
        <f>AF17-AF38</f>
        <v>1443.0470000000025</v>
      </c>
      <c r="AG40" s="1314"/>
      <c r="AH40" s="1314">
        <f>AH17-AH38</f>
        <v>877.62200000000075</v>
      </c>
      <c r="AI40" s="1314"/>
      <c r="AJ40" s="1314">
        <f>AJ17-AJ38</f>
        <v>1088.6790000000001</v>
      </c>
      <c r="AK40" s="1314"/>
      <c r="AL40" s="1314">
        <f>AL17-AL38</f>
        <v>1410</v>
      </c>
      <c r="AM40" s="1314"/>
      <c r="AN40" s="1314">
        <f>AN17-AN38</f>
        <v>988</v>
      </c>
      <c r="AO40" s="1314"/>
      <c r="AP40" s="1314">
        <f>AP17-AP38</f>
        <v>1598</v>
      </c>
      <c r="AQ40" s="1314"/>
      <c r="AR40" s="1314">
        <f>AR17-AR38</f>
        <v>1198</v>
      </c>
      <c r="AS40" s="1314"/>
      <c r="AT40" s="1314">
        <f>AT17-AT38</f>
        <v>828</v>
      </c>
      <c r="AU40" s="1314"/>
      <c r="AV40" s="1463">
        <f>AV17-AV38</f>
        <v>1311</v>
      </c>
      <c r="AW40" s="1463"/>
      <c r="AX40" s="1463">
        <f>AX17-AX38</f>
        <v>1091</v>
      </c>
      <c r="AY40" s="1463"/>
      <c r="AZ40" s="1463">
        <f>AZ17-AZ38</f>
        <v>1453</v>
      </c>
      <c r="BA40" s="1459"/>
      <c r="BB40" s="1463">
        <f>BB17-BB38</f>
        <v>864</v>
      </c>
      <c r="BC40" s="1459"/>
      <c r="BD40" s="1463">
        <f>BD17-BD38</f>
        <v>1190.17</v>
      </c>
      <c r="BE40" s="1459"/>
      <c r="BF40" s="1865">
        <f>BF17-BF38</f>
        <v>712</v>
      </c>
      <c r="BG40" s="1459"/>
      <c r="BH40" s="1463">
        <f>BH17-BH38</f>
        <v>835.20009022392287</v>
      </c>
      <c r="BI40" s="1459"/>
      <c r="BJ40" s="1463">
        <f>BJ17-BJ38</f>
        <v>934.18771163338022</v>
      </c>
      <c r="BK40" s="1459"/>
      <c r="BL40" s="1463">
        <f>BL17-BL38</f>
        <v>858.30240759269088</v>
      </c>
      <c r="BM40" s="1459"/>
      <c r="BN40" s="1463">
        <f>BN17-BN38</f>
        <v>830.76621964209062</v>
      </c>
      <c r="BO40" s="1463"/>
      <c r="BP40" s="1865">
        <f>BP17-BP38</f>
        <v>804.26085516759542</v>
      </c>
      <c r="BQ40" s="1265"/>
    </row>
    <row r="41" spans="1:83" hidden="1" outlineLevel="1">
      <c r="A41" s="1315"/>
      <c r="B41" s="1315"/>
      <c r="C41" s="1315"/>
      <c r="D41" s="1302"/>
      <c r="E41" s="1315"/>
      <c r="F41" s="1302"/>
      <c r="G41" s="1302"/>
      <c r="H41" s="1302"/>
      <c r="I41" s="1302"/>
      <c r="J41" s="1302"/>
      <c r="K41" s="1302"/>
      <c r="L41" s="1302"/>
      <c r="M41" s="1302"/>
      <c r="N41" s="1302"/>
      <c r="O41" s="1315"/>
      <c r="P41" s="1302"/>
      <c r="Q41" s="1302"/>
      <c r="R41" s="1302"/>
      <c r="S41" s="1302"/>
      <c r="T41" s="1302"/>
      <c r="U41" s="1302"/>
      <c r="V41" s="1302"/>
      <c r="W41" s="1302"/>
      <c r="X41" s="1302"/>
      <c r="Y41" s="1302"/>
      <c r="Z41" s="1302"/>
      <c r="AA41" s="1302"/>
      <c r="AB41" s="1302"/>
      <c r="AC41" s="1302"/>
      <c r="AD41" s="1302"/>
      <c r="AE41" s="1302"/>
      <c r="AF41" s="1302"/>
      <c r="AG41" s="1302"/>
      <c r="AH41" s="1302"/>
      <c r="AI41" s="1302"/>
      <c r="AJ41" s="1302"/>
      <c r="AK41" s="1302"/>
      <c r="AL41" s="1302"/>
      <c r="AM41" s="1302"/>
      <c r="AN41" s="1302"/>
      <c r="AO41" s="1302"/>
      <c r="AP41" s="1302"/>
      <c r="AQ41" s="1302"/>
      <c r="AR41" s="1302"/>
      <c r="AS41" s="1302"/>
      <c r="AT41" s="1302"/>
      <c r="AU41" s="1302"/>
      <c r="AV41" s="1460"/>
      <c r="AW41" s="1460"/>
      <c r="AX41" s="1460"/>
      <c r="AY41" s="1460"/>
      <c r="AZ41" s="1460"/>
      <c r="BA41" s="1455"/>
      <c r="BB41" s="1460"/>
      <c r="BC41" s="1455"/>
      <c r="BD41" s="1460"/>
      <c r="BE41" s="1455"/>
      <c r="BF41" s="1863"/>
      <c r="BG41" s="1455"/>
      <c r="BH41" s="1460"/>
      <c r="BI41" s="1455"/>
      <c r="BJ41" s="1460"/>
      <c r="BK41" s="1455"/>
      <c r="BL41" s="1460"/>
      <c r="BM41" s="1455"/>
      <c r="BN41" s="1460"/>
      <c r="BO41" s="1460"/>
      <c r="BP41" s="1863"/>
      <c r="BQ41" s="1273"/>
    </row>
    <row r="42" spans="1:83" hidden="1" outlineLevel="1">
      <c r="A42" s="1273"/>
      <c r="B42" s="1273"/>
      <c r="C42" s="1273"/>
      <c r="D42" s="1273"/>
      <c r="E42" s="1273"/>
      <c r="F42" s="1273"/>
      <c r="G42" s="1273"/>
      <c r="H42" s="1273"/>
      <c r="I42" s="1273"/>
      <c r="J42" s="1273"/>
      <c r="K42" s="1273"/>
      <c r="L42" s="1273"/>
      <c r="M42" s="1273"/>
      <c r="N42" s="1273"/>
      <c r="O42" s="1273"/>
      <c r="P42" s="1273"/>
      <c r="Q42" s="1273"/>
      <c r="R42" s="1273"/>
      <c r="S42" s="1273"/>
      <c r="T42" s="1273"/>
      <c r="U42" s="1273"/>
      <c r="V42" s="1273"/>
      <c r="W42" s="1273"/>
      <c r="X42" s="1273"/>
      <c r="Y42" s="1273"/>
      <c r="Z42" s="1273"/>
      <c r="AA42" s="1273"/>
      <c r="AB42" s="1273"/>
      <c r="AC42" s="1273"/>
      <c r="AD42" s="1273"/>
      <c r="AE42" s="1273"/>
      <c r="AF42" s="1273"/>
      <c r="AG42" s="1273"/>
      <c r="AH42" s="1273"/>
      <c r="AI42" s="1273"/>
      <c r="AJ42" s="1273"/>
      <c r="AK42" s="1273"/>
      <c r="AL42" s="1273"/>
      <c r="AM42" s="1273"/>
      <c r="AN42" s="1273"/>
      <c r="AO42" s="1273"/>
      <c r="AP42" s="1273"/>
      <c r="AQ42" s="1273"/>
      <c r="AR42" s="1316"/>
      <c r="AS42" s="1273"/>
      <c r="AT42" s="1316"/>
      <c r="AU42" s="1273"/>
      <c r="AV42" s="1455"/>
      <c r="AW42" s="1455"/>
      <c r="AX42" s="1455"/>
      <c r="AY42" s="1455"/>
      <c r="AZ42" s="1455"/>
      <c r="BA42" s="1455"/>
      <c r="BB42" s="1455"/>
      <c r="BC42" s="1455"/>
      <c r="BD42" s="1455"/>
      <c r="BE42" s="1455"/>
      <c r="BF42" s="1858"/>
      <c r="BG42" s="1455"/>
      <c r="BH42" s="1455"/>
      <c r="BI42" s="1455"/>
      <c r="BJ42" s="1455"/>
      <c r="BK42" s="1455"/>
      <c r="BL42" s="1455"/>
      <c r="BM42" s="1455"/>
      <c r="BN42" s="1455"/>
      <c r="BO42" s="1455"/>
      <c r="BP42" s="1858"/>
      <c r="BQ42" s="1273"/>
    </row>
    <row r="43" spans="1:83" ht="6" hidden="1" customHeight="1" outlineLevel="1">
      <c r="A43" s="1273"/>
      <c r="B43" s="1273"/>
      <c r="C43" s="1273"/>
      <c r="D43" s="1317"/>
      <c r="E43" s="1317"/>
      <c r="F43" s="1278"/>
      <c r="G43" s="1317"/>
      <c r="H43" s="1279"/>
      <c r="I43" s="1279" t="s">
        <v>634</v>
      </c>
      <c r="J43" s="1317"/>
      <c r="K43" s="1317"/>
      <c r="L43" s="1317"/>
      <c r="M43" s="1277"/>
      <c r="N43" s="1317"/>
      <c r="O43" s="1317"/>
      <c r="P43" s="1278"/>
      <c r="Q43" s="1317"/>
      <c r="R43" s="1279" t="s">
        <v>634</v>
      </c>
      <c r="S43" s="1279"/>
      <c r="T43" s="1279"/>
      <c r="U43" s="1279"/>
      <c r="V43" s="1280" t="s">
        <v>634</v>
      </c>
      <c r="W43" s="1280"/>
      <c r="X43" s="1280"/>
      <c r="Y43" s="1280"/>
      <c r="Z43" s="1280"/>
      <c r="AA43" s="1280"/>
      <c r="AB43" s="1280"/>
      <c r="AC43" s="1280"/>
      <c r="AD43" s="1280"/>
      <c r="AE43" s="1280"/>
      <c r="AF43" s="1280"/>
      <c r="AG43" s="1280"/>
      <c r="AH43" s="1280"/>
      <c r="AI43" s="1280"/>
      <c r="AJ43" s="1280"/>
      <c r="AK43" s="1277"/>
      <c r="AL43" s="1280"/>
      <c r="AM43" s="1277"/>
      <c r="AN43" s="1280"/>
      <c r="AO43" s="1277"/>
      <c r="AP43" s="1280"/>
      <c r="AQ43" s="1277"/>
      <c r="AR43" s="1280"/>
      <c r="AS43" s="1277"/>
      <c r="AT43" s="1280"/>
      <c r="AU43" s="1277"/>
      <c r="AV43" s="1461"/>
      <c r="AW43" s="1462"/>
      <c r="AX43" s="1461"/>
      <c r="AY43" s="1462"/>
      <c r="AZ43" s="1461"/>
      <c r="BA43" s="1455"/>
      <c r="BB43" s="1461"/>
      <c r="BC43" s="1455"/>
      <c r="BD43" s="1461"/>
      <c r="BE43" s="1455"/>
      <c r="BF43" s="1864"/>
      <c r="BG43" s="1455"/>
      <c r="BH43" s="1461"/>
      <c r="BI43" s="1455"/>
      <c r="BJ43" s="1461"/>
      <c r="BK43" s="1455"/>
      <c r="BL43" s="1461"/>
      <c r="BM43" s="1455"/>
      <c r="BN43" s="1461"/>
      <c r="BO43" s="1461"/>
      <c r="BP43" s="1864"/>
      <c r="BQ43" s="1273"/>
    </row>
    <row r="44" spans="1:83" ht="6" customHeight="1" collapsed="1">
      <c r="A44" s="1273"/>
      <c r="B44" s="1273"/>
      <c r="C44" s="1273"/>
      <c r="D44" s="1273"/>
      <c r="E44" s="1273"/>
      <c r="F44" s="1273"/>
      <c r="G44" s="1273"/>
      <c r="H44" s="1273"/>
      <c r="I44" s="1273"/>
      <c r="J44" s="1273"/>
      <c r="K44" s="1273"/>
      <c r="L44" s="1273"/>
      <c r="M44" s="1273"/>
      <c r="N44" s="1273"/>
      <c r="O44" s="1273"/>
      <c r="P44" s="1273"/>
      <c r="Q44" s="1273"/>
      <c r="R44" s="1273"/>
      <c r="S44" s="1273"/>
      <c r="T44" s="1273"/>
      <c r="U44" s="1273"/>
      <c r="V44" s="1273"/>
      <c r="W44" s="1273"/>
      <c r="X44" s="1273"/>
      <c r="Y44" s="1273"/>
      <c r="Z44" s="1273"/>
      <c r="AA44" s="1273"/>
      <c r="AB44" s="1273"/>
      <c r="AC44" s="1273"/>
      <c r="AD44" s="1273"/>
      <c r="AE44" s="1273"/>
      <c r="AF44" s="1273"/>
      <c r="AG44" s="1273"/>
      <c r="AH44" s="1273"/>
      <c r="AI44" s="1273"/>
      <c r="AJ44" s="1273"/>
      <c r="AK44" s="1273"/>
      <c r="AL44" s="1273"/>
      <c r="AM44" s="1273"/>
      <c r="AN44" s="1273"/>
      <c r="AO44" s="1273"/>
      <c r="AP44" s="1273"/>
      <c r="AQ44" s="1273"/>
      <c r="AR44" s="1273"/>
      <c r="AS44" s="1273"/>
      <c r="AT44" s="1273"/>
      <c r="AU44" s="1273"/>
      <c r="AV44" s="1455"/>
      <c r="AW44" s="1455"/>
      <c r="AX44" s="1455"/>
      <c r="AY44" s="1455"/>
      <c r="AZ44" s="1455"/>
      <c r="BA44" s="1455"/>
      <c r="BB44" s="1455"/>
      <c r="BC44" s="1455"/>
      <c r="BD44" s="1455"/>
      <c r="BE44" s="1455"/>
      <c r="BF44" s="1858"/>
      <c r="BG44" s="1455"/>
      <c r="BH44" s="1455"/>
      <c r="BI44" s="1455"/>
      <c r="BJ44" s="1455"/>
      <c r="BK44" s="1455"/>
      <c r="BL44" s="1455"/>
      <c r="BM44" s="1455"/>
      <c r="BN44" s="1455"/>
      <c r="BO44" s="1455"/>
      <c r="BP44" s="1858"/>
      <c r="BQ44" s="1273"/>
    </row>
    <row r="45" spans="1:83">
      <c r="A45" s="1273"/>
      <c r="B45" s="1273" t="s">
        <v>133</v>
      </c>
      <c r="C45" s="1273"/>
      <c r="D45" s="1294">
        <f>bal!E29-bal!C29</f>
        <v>0</v>
      </c>
      <c r="E45" s="1273"/>
      <c r="F45" s="1294">
        <f>bal!G29-bal!E29</f>
        <v>0</v>
      </c>
      <c r="G45" s="1273"/>
      <c r="H45" s="1294">
        <f>bal!I29-bal!G29</f>
        <v>0</v>
      </c>
      <c r="I45" s="1273"/>
      <c r="J45" s="1294">
        <f>bal!K29-bal!I29</f>
        <v>7.6029999999999998</v>
      </c>
      <c r="K45" s="1273"/>
      <c r="L45" s="1294">
        <f>bal!M29-bal!K29</f>
        <v>-5.125</v>
      </c>
      <c r="M45" s="1273"/>
      <c r="N45" s="1295">
        <v>20.786999999999999</v>
      </c>
      <c r="O45" s="1273"/>
      <c r="P45" s="1295">
        <v>18.445</v>
      </c>
      <c r="Q45" s="1273"/>
      <c r="R45" s="1295">
        <v>44.462000000000003</v>
      </c>
      <c r="S45" s="1273"/>
      <c r="T45" s="1295">
        <v>1.357</v>
      </c>
      <c r="U45" s="1273"/>
      <c r="V45" s="1295">
        <v>84.778000000000006</v>
      </c>
      <c r="W45" s="1273"/>
      <c r="X45" s="1296">
        <v>621.41999999999996</v>
      </c>
      <c r="Y45" s="1297"/>
      <c r="Z45" s="1296">
        <v>-734.92700000000002</v>
      </c>
      <c r="AA45" s="1297" t="s">
        <v>137</v>
      </c>
      <c r="AB45" s="1296">
        <v>-42</v>
      </c>
      <c r="AC45" s="1297"/>
      <c r="AD45" s="1297">
        <v>0</v>
      </c>
      <c r="AE45" s="1297"/>
      <c r="AF45" s="1297">
        <f>bal!AG29-bal!AE29</f>
        <v>0</v>
      </c>
      <c r="AG45" s="1297"/>
      <c r="AH45" s="1297">
        <f>bal!AI29-bal!AG29</f>
        <v>0</v>
      </c>
      <c r="AI45" s="1297"/>
      <c r="AJ45" s="1297">
        <f>bal!AK29-bal!AI29</f>
        <v>0</v>
      </c>
      <c r="AK45" s="1297"/>
      <c r="AL45" s="1296">
        <f>1287-894</f>
        <v>393</v>
      </c>
      <c r="AM45" s="1297"/>
      <c r="AN45" s="1296">
        <f>251-75</f>
        <v>176</v>
      </c>
      <c r="AO45" s="1297"/>
      <c r="AP45" s="1296">
        <f>125-350</f>
        <v>-225</v>
      </c>
      <c r="AQ45" s="1297"/>
      <c r="AR45" s="1296">
        <f>600-475+6-3</f>
        <v>128</v>
      </c>
      <c r="AS45" s="1297"/>
      <c r="AT45" s="1296">
        <f>150-50+16</f>
        <v>116</v>
      </c>
      <c r="AU45" s="1297"/>
      <c r="AV45" s="1456">
        <f>150-200-19</f>
        <v>-69</v>
      </c>
      <c r="AW45" s="1455"/>
      <c r="AX45" s="1456">
        <v>50</v>
      </c>
      <c r="AY45" s="1455"/>
      <c r="AZ45" s="1456">
        <v>-21</v>
      </c>
      <c r="BA45" s="1455"/>
      <c r="BB45" s="1456">
        <v>-21</v>
      </c>
      <c r="BC45" s="1455"/>
      <c r="BD45" s="1455">
        <v>-21</v>
      </c>
      <c r="BE45" s="1455"/>
      <c r="BF45" s="2117">
        <f>bal!BG29-bal!BE29</f>
        <v>0</v>
      </c>
      <c r="BG45" s="1455"/>
      <c r="BH45" s="1455">
        <f>bal!BI29-bal!BG29</f>
        <v>0</v>
      </c>
      <c r="BI45" s="1455"/>
      <c r="BJ45" s="1455">
        <f>bal!BK29-bal!BI29</f>
        <v>0</v>
      </c>
      <c r="BK45" s="1455"/>
      <c r="BL45" s="1455">
        <f>bal!BM29-bal!BK29</f>
        <v>0</v>
      </c>
      <c r="BM45" s="1455"/>
      <c r="BN45" s="1455">
        <f>bal!BO29-bal!BM29</f>
        <v>0</v>
      </c>
      <c r="BO45" s="1455"/>
      <c r="BP45" s="1858">
        <f>bal!BQ29-bal!BO29</f>
        <v>0</v>
      </c>
      <c r="BQ45" s="1273"/>
      <c r="CB45" s="1244"/>
      <c r="CC45" s="1244"/>
      <c r="CD45" s="1244"/>
      <c r="CE45" s="1244"/>
    </row>
    <row r="46" spans="1:83">
      <c r="A46" s="1273"/>
      <c r="B46" s="1273" t="s">
        <v>484</v>
      </c>
      <c r="C46" s="1273"/>
      <c r="D46" s="1294">
        <f>bal!E35-bal!C35+(bal!E31-bal!C31)</f>
        <v>0</v>
      </c>
      <c r="E46" s="1294"/>
      <c r="F46" s="1294">
        <f>bal!G35-bal!E35+(bal!G31-bal!E31)</f>
        <v>80</v>
      </c>
      <c r="G46" s="1294"/>
      <c r="H46" s="1294">
        <f>bal!I35-bal!G35+(bal!I31-bal!G31)</f>
        <v>-5</v>
      </c>
      <c r="I46" s="1294"/>
      <c r="J46" s="1294">
        <f>bal!K35-bal!I35+(bal!K31-bal!I31)</f>
        <v>0</v>
      </c>
      <c r="K46" s="1294"/>
      <c r="L46" s="1294">
        <f>bal!M35-bal!K35+(bal!M31-bal!K31)</f>
        <v>-75</v>
      </c>
      <c r="M46" s="1294"/>
      <c r="N46" s="1294">
        <f>bal!O35-bal!M35+(bal!O31-bal!M31)</f>
        <v>0</v>
      </c>
      <c r="O46" s="1294"/>
      <c r="P46" s="1294">
        <f>bal!Q35-bal!O35+(bal!Q31-bal!O31)</f>
        <v>0</v>
      </c>
      <c r="Q46" s="1294"/>
      <c r="R46" s="1295">
        <v>495.89</v>
      </c>
      <c r="S46" s="1294"/>
      <c r="T46" s="1295">
        <v>0</v>
      </c>
      <c r="U46" s="1294"/>
      <c r="V46" s="1295">
        <v>311.839</v>
      </c>
      <c r="W46" s="1294"/>
      <c r="X46" s="1296">
        <v>250</v>
      </c>
      <c r="Y46" s="1297"/>
      <c r="Z46" s="1296">
        <f>1194.265-250</f>
        <v>944.2650000000001</v>
      </c>
      <c r="AA46" s="1297"/>
      <c r="AB46" s="1296">
        <v>1346</v>
      </c>
      <c r="AC46" s="1297"/>
      <c r="AD46" s="1296">
        <v>-668</v>
      </c>
      <c r="AE46" s="1297"/>
      <c r="AF46" s="1296">
        <v>-871</v>
      </c>
      <c r="AG46" s="1297"/>
      <c r="AH46" s="1296">
        <v>0</v>
      </c>
      <c r="AI46" s="1297"/>
      <c r="AJ46" s="1296">
        <v>0</v>
      </c>
      <c r="AK46" s="1297"/>
      <c r="AL46" s="1296">
        <v>-326</v>
      </c>
      <c r="AM46" s="1297"/>
      <c r="AN46" s="1296">
        <v>-138</v>
      </c>
      <c r="AO46" s="1297"/>
      <c r="AP46" s="1296">
        <v>-50</v>
      </c>
      <c r="AQ46" s="1297"/>
      <c r="AR46" s="1296">
        <v>0</v>
      </c>
      <c r="AS46" s="1297"/>
      <c r="AT46" s="1296">
        <f>1646-11</f>
        <v>1635</v>
      </c>
      <c r="AU46" s="1297"/>
      <c r="AV46" s="1456">
        <v>-400</v>
      </c>
      <c r="AW46" s="1455"/>
      <c r="AX46" s="1456">
        <v>144</v>
      </c>
      <c r="AY46" s="1455"/>
      <c r="AZ46" s="1456">
        <v>0</v>
      </c>
      <c r="BA46" s="1455"/>
      <c r="BB46" s="1456">
        <v>400</v>
      </c>
      <c r="BC46" s="1455"/>
      <c r="BD46" s="1455">
        <v>-400</v>
      </c>
      <c r="BE46" s="1455"/>
      <c r="BF46" s="1858">
        <v>-67</v>
      </c>
      <c r="BG46" s="1455"/>
      <c r="BH46" s="1455">
        <f>bal!BI35-bal!BG35+(bal!BI31-bal!BG31)</f>
        <v>0</v>
      </c>
      <c r="BI46" s="1455"/>
      <c r="BJ46" s="1455">
        <f>bal!BK35-bal!BI35+(bal!BK31-bal!BI31)</f>
        <v>0</v>
      </c>
      <c r="BK46" s="1455"/>
      <c r="BL46" s="1455">
        <f>bal!BM35-bal!BK35+(bal!BM31-bal!BK31)</f>
        <v>0</v>
      </c>
      <c r="BM46" s="1455"/>
      <c r="BN46" s="1455">
        <f>bal!BO35-bal!BM35+(bal!BO31-bal!BM31)</f>
        <v>0</v>
      </c>
      <c r="BO46" s="1455"/>
      <c r="BP46" s="1858">
        <f>bal!BQ35-bal!BO35+(bal!BQ31-bal!BO31)</f>
        <v>0</v>
      </c>
      <c r="BQ46" s="1273"/>
    </row>
    <row r="47" spans="1:83">
      <c r="A47" s="1273"/>
      <c r="B47" s="1273" t="s">
        <v>380</v>
      </c>
      <c r="C47" s="1273"/>
      <c r="D47" s="1294"/>
      <c r="E47" s="1294"/>
      <c r="F47" s="1294"/>
      <c r="G47" s="1294"/>
      <c r="H47" s="1294"/>
      <c r="I47" s="1294"/>
      <c r="J47" s="1294"/>
      <c r="K47" s="1294"/>
      <c r="L47" s="1294"/>
      <c r="M47" s="1294"/>
      <c r="N47" s="1294"/>
      <c r="O47" s="1294"/>
      <c r="P47" s="1294"/>
      <c r="Q47" s="1294"/>
      <c r="R47" s="1295"/>
      <c r="S47" s="1294"/>
      <c r="T47" s="1295"/>
      <c r="U47" s="1294"/>
      <c r="V47" s="1295"/>
      <c r="W47" s="1294"/>
      <c r="X47" s="1296"/>
      <c r="Y47" s="1297"/>
      <c r="Z47" s="1296"/>
      <c r="AA47" s="1297"/>
      <c r="AB47" s="1296"/>
      <c r="AC47" s="1297"/>
      <c r="AD47" s="1296"/>
      <c r="AE47" s="1297"/>
      <c r="AF47" s="1296"/>
      <c r="AG47" s="1297"/>
      <c r="AH47" s="1296"/>
      <c r="AI47" s="1297"/>
      <c r="AJ47" s="1296"/>
      <c r="AK47" s="1297"/>
      <c r="AL47" s="1296"/>
      <c r="AM47" s="1297"/>
      <c r="AN47" s="1296">
        <f>-142</f>
        <v>-142</v>
      </c>
      <c r="AO47" s="1297"/>
      <c r="AP47" s="1296">
        <v>0</v>
      </c>
      <c r="AQ47" s="1297"/>
      <c r="AR47" s="1296">
        <v>0</v>
      </c>
      <c r="AS47" s="1297"/>
      <c r="AT47" s="1296">
        <v>0</v>
      </c>
      <c r="AU47" s="1297"/>
      <c r="AV47" s="1456">
        <v>-129</v>
      </c>
      <c r="AW47" s="1455"/>
      <c r="AX47" s="1456">
        <v>0</v>
      </c>
      <c r="AY47" s="1455"/>
      <c r="AZ47" s="1456">
        <v>0</v>
      </c>
      <c r="BA47" s="1455"/>
      <c r="BB47" s="1456">
        <v>0</v>
      </c>
      <c r="BC47" s="1455"/>
      <c r="BD47" s="1456">
        <v>0</v>
      </c>
      <c r="BE47" s="1455"/>
      <c r="BF47" s="1859">
        <v>0</v>
      </c>
      <c r="BG47" s="1455"/>
      <c r="BH47" s="1456">
        <v>0</v>
      </c>
      <c r="BI47" s="1455"/>
      <c r="BJ47" s="1456">
        <v>0</v>
      </c>
      <c r="BK47" s="1455"/>
      <c r="BL47" s="1456">
        <v>0</v>
      </c>
      <c r="BM47" s="1455"/>
      <c r="BN47" s="1456">
        <v>0</v>
      </c>
      <c r="BO47" s="1456"/>
      <c r="BP47" s="1859">
        <v>0</v>
      </c>
      <c r="BQ47" s="1273"/>
    </row>
    <row r="48" spans="1:83">
      <c r="A48" s="1273"/>
      <c r="B48" s="1273" t="s">
        <v>372</v>
      </c>
      <c r="C48" s="1273"/>
      <c r="D48" s="1294"/>
      <c r="E48" s="1294"/>
      <c r="F48" s="1294"/>
      <c r="G48" s="1294"/>
      <c r="H48" s="1294"/>
      <c r="I48" s="1294"/>
      <c r="J48" s="1294"/>
      <c r="K48" s="1294"/>
      <c r="L48" s="1294"/>
      <c r="M48" s="1294"/>
      <c r="N48" s="1294"/>
      <c r="O48" s="1294"/>
      <c r="P48" s="1294"/>
      <c r="Q48" s="1294"/>
      <c r="R48" s="1295"/>
      <c r="S48" s="1294"/>
      <c r="T48" s="1295"/>
      <c r="U48" s="1294"/>
      <c r="V48" s="1295"/>
      <c r="W48" s="1294"/>
      <c r="X48" s="1296"/>
      <c r="Y48" s="1297"/>
      <c r="Z48" s="1296"/>
      <c r="AA48" s="1297"/>
      <c r="AB48" s="1296"/>
      <c r="AC48" s="1297"/>
      <c r="AD48" s="1296"/>
      <c r="AE48" s="1297"/>
      <c r="AF48" s="1296"/>
      <c r="AG48" s="1297"/>
      <c r="AH48" s="1296"/>
      <c r="AI48" s="1297"/>
      <c r="AJ48" s="1296">
        <f>190+23</f>
        <v>213</v>
      </c>
      <c r="AK48" s="1297"/>
      <c r="AL48" s="1296">
        <f>125+7-2</f>
        <v>130</v>
      </c>
      <c r="AM48" s="1297"/>
      <c r="AN48" s="1296">
        <v>75</v>
      </c>
      <c r="AO48" s="1297"/>
      <c r="AP48" s="1296">
        <v>56</v>
      </c>
      <c r="AQ48" s="1297"/>
      <c r="AR48" s="1296">
        <v>70</v>
      </c>
      <c r="AS48" s="1297"/>
      <c r="AT48" s="1296">
        <v>62</v>
      </c>
      <c r="AU48" s="1297"/>
      <c r="AV48" s="1456">
        <v>174</v>
      </c>
      <c r="AW48" s="1455"/>
      <c r="AX48" s="1456">
        <v>97</v>
      </c>
      <c r="AY48" s="1455"/>
      <c r="AZ48" s="1456">
        <v>38</v>
      </c>
      <c r="BA48" s="1455"/>
      <c r="BB48" s="1456">
        <v>28</v>
      </c>
      <c r="BC48" s="1455"/>
      <c r="BD48" s="1456">
        <v>1</v>
      </c>
      <c r="BE48" s="1455"/>
      <c r="BF48" s="1859">
        <v>0</v>
      </c>
      <c r="BG48" s="1455">
        <v>5</v>
      </c>
      <c r="BH48" s="1456">
        <v>0</v>
      </c>
      <c r="BI48" s="1455"/>
      <c r="BJ48" s="1456">
        <v>0</v>
      </c>
      <c r="BK48" s="1455"/>
      <c r="BL48" s="1456">
        <v>0</v>
      </c>
      <c r="BM48" s="1455"/>
      <c r="BN48" s="1456">
        <v>0</v>
      </c>
      <c r="BO48" s="1456"/>
      <c r="BP48" s="1859">
        <v>0</v>
      </c>
      <c r="BQ48" s="1297"/>
    </row>
    <row r="49" spans="1:80">
      <c r="A49" s="1273"/>
      <c r="B49" s="1273" t="s">
        <v>635</v>
      </c>
      <c r="C49" s="1273"/>
      <c r="D49" s="1295"/>
      <c r="E49" s="1295"/>
      <c r="F49" s="1295"/>
      <c r="G49" s="1295"/>
      <c r="H49" s="1295"/>
      <c r="I49" s="1295"/>
      <c r="J49" s="1295"/>
      <c r="K49" s="1295"/>
      <c r="L49" s="1295">
        <v>12.849</v>
      </c>
      <c r="M49" s="1295"/>
      <c r="N49" s="1295">
        <v>17.096</v>
      </c>
      <c r="O49" s="1295"/>
      <c r="P49" s="1295">
        <v>37.052999999999997</v>
      </c>
      <c r="Q49" s="1295"/>
      <c r="R49" s="1295">
        <v>30.652999999999999</v>
      </c>
      <c r="S49" s="1295"/>
      <c r="T49" s="1295">
        <v>56.411000000000001</v>
      </c>
      <c r="U49" s="1295"/>
      <c r="V49" s="1295">
        <v>114.142</v>
      </c>
      <c r="W49" s="1294"/>
      <c r="X49" s="1296">
        <v>152.10499999999999</v>
      </c>
      <c r="Y49" s="1297"/>
      <c r="Z49" s="1296">
        <v>139.10499999999999</v>
      </c>
      <c r="AA49" s="1297"/>
      <c r="AB49" s="1296">
        <v>120</v>
      </c>
      <c r="AC49" s="1297"/>
      <c r="AD49" s="1296">
        <v>85</v>
      </c>
      <c r="AE49" s="1297"/>
      <c r="AF49" s="1296">
        <v>130</v>
      </c>
      <c r="AG49" s="1297"/>
      <c r="AH49" s="1296">
        <v>110</v>
      </c>
      <c r="AI49" s="1297"/>
      <c r="AJ49" s="1296">
        <v>0</v>
      </c>
      <c r="AK49" s="1297"/>
      <c r="AL49" s="1296">
        <v>0</v>
      </c>
      <c r="AM49" s="1297"/>
      <c r="AN49" s="1296">
        <v>0</v>
      </c>
      <c r="AO49" s="1297"/>
      <c r="AP49" s="1296">
        <v>0</v>
      </c>
      <c r="AQ49" s="1297"/>
      <c r="AR49" s="1296">
        <v>0</v>
      </c>
      <c r="AS49" s="1297"/>
      <c r="AT49" s="1296">
        <v>0</v>
      </c>
      <c r="AU49" s="1297"/>
      <c r="AV49" s="1456">
        <v>0</v>
      </c>
      <c r="AW49" s="1455"/>
      <c r="AX49" s="1456">
        <v>0</v>
      </c>
      <c r="AY49" s="1455"/>
      <c r="AZ49" s="1456">
        <v>0</v>
      </c>
      <c r="BA49" s="1455"/>
      <c r="BB49" s="1456">
        <v>0</v>
      </c>
      <c r="BC49" s="1455"/>
      <c r="BD49" s="1466">
        <f>+(bal!BE44-bal!BC44)</f>
        <v>0</v>
      </c>
      <c r="BE49" s="1455"/>
      <c r="BF49" s="2117">
        <v>0</v>
      </c>
      <c r="BG49" s="1455"/>
      <c r="BH49" s="1455">
        <f>+(bal!BI44-bal!BG44)</f>
        <v>0</v>
      </c>
      <c r="BI49" s="1455"/>
      <c r="BJ49" s="1455">
        <f>+(bal!BK44-bal!BI44)</f>
        <v>0</v>
      </c>
      <c r="BK49" s="1455"/>
      <c r="BL49" s="1455">
        <f>+(bal!BM44-bal!BK44)</f>
        <v>0</v>
      </c>
      <c r="BM49" s="1455"/>
      <c r="BN49" s="1455">
        <f>+(bal!BO44-bal!BM44)</f>
        <v>0</v>
      </c>
      <c r="BO49" s="1455"/>
      <c r="BP49" s="1858">
        <f>+(bal!BQ44-bal!BO44)</f>
        <v>0</v>
      </c>
      <c r="BQ49" s="1273"/>
    </row>
    <row r="50" spans="1:80">
      <c r="A50" s="1273"/>
      <c r="B50" s="1273" t="s">
        <v>636</v>
      </c>
      <c r="C50" s="1273"/>
      <c r="D50" s="1294"/>
      <c r="E50" s="1273"/>
      <c r="F50" s="1294">
        <f>bal!E49-bal!G49</f>
        <v>0</v>
      </c>
      <c r="G50" s="1273"/>
      <c r="H50" s="1294">
        <f>bal!G49-bal!I49</f>
        <v>92.453999999999994</v>
      </c>
      <c r="I50" s="1318"/>
      <c r="J50" s="1294">
        <f>bal!I49-bal!K49</f>
        <v>0</v>
      </c>
      <c r="K50" s="1318"/>
      <c r="L50" s="1303">
        <f>bal!M49-bal!K49</f>
        <v>-58.292000000000016</v>
      </c>
      <c r="M50" s="1318"/>
      <c r="N50" s="1303">
        <f>bal!O49-bal!M49</f>
        <v>-71.313999999999993</v>
      </c>
      <c r="O50" s="1273"/>
      <c r="P50" s="1303">
        <f>bal!Q49-bal!O49</f>
        <v>-466.74100000000004</v>
      </c>
      <c r="Q50" s="1273"/>
      <c r="R50" s="1319">
        <v>-593.14200000000005</v>
      </c>
      <c r="S50" s="1318"/>
      <c r="T50" s="1294">
        <v>-899.13900000000001</v>
      </c>
      <c r="U50" s="1318"/>
      <c r="V50" s="1294">
        <v>-745.05600000000004</v>
      </c>
      <c r="W50" s="1318"/>
      <c r="X50" s="1297">
        <v>-392.55799999999999</v>
      </c>
      <c r="Y50" s="1296"/>
      <c r="Z50" s="1297">
        <v>-0.78500000000000003</v>
      </c>
      <c r="AA50" s="1296"/>
      <c r="AB50" s="1296">
        <v>33</v>
      </c>
      <c r="AC50" s="1296"/>
      <c r="AD50" s="1296">
        <v>26</v>
      </c>
      <c r="AE50" s="1296"/>
      <c r="AF50" s="1296">
        <v>-976</v>
      </c>
      <c r="AG50" s="1296"/>
      <c r="AH50" s="1296">
        <v>-1971</v>
      </c>
      <c r="AI50" s="1296"/>
      <c r="AJ50" s="1296">
        <v>-1050</v>
      </c>
      <c r="AK50" s="1297"/>
      <c r="AL50" s="1296">
        <v>-1700</v>
      </c>
      <c r="AM50" s="1296"/>
      <c r="AN50" s="1296">
        <v>-705</v>
      </c>
      <c r="AO50" s="1296"/>
      <c r="AP50" s="1296">
        <v>-547</v>
      </c>
      <c r="AQ50" s="1296"/>
      <c r="AR50" s="1296">
        <v>-1959</v>
      </c>
      <c r="AS50" s="1296"/>
      <c r="AT50" s="1296">
        <v>-2092</v>
      </c>
      <c r="AU50" s="1296"/>
      <c r="AV50" s="1456">
        <v>-1030</v>
      </c>
      <c r="AW50" s="1456"/>
      <c r="AX50" s="1456">
        <v>-979</v>
      </c>
      <c r="AY50" s="1456"/>
      <c r="AZ50" s="1456">
        <v>-1179</v>
      </c>
      <c r="BA50" s="1455"/>
      <c r="BB50" s="1456">
        <v>-1015</v>
      </c>
      <c r="BC50" s="1455"/>
      <c r="BD50" s="1456">
        <v>0</v>
      </c>
      <c r="BE50" s="1464"/>
      <c r="BF50" s="1859">
        <v>-315</v>
      </c>
      <c r="BG50" s="1464"/>
      <c r="BH50" s="1456">
        <v>-400</v>
      </c>
      <c r="BI50" s="1455"/>
      <c r="BJ50" s="1456">
        <v>-375</v>
      </c>
      <c r="BK50" s="1455"/>
      <c r="BL50" s="1456">
        <v>-375</v>
      </c>
      <c r="BM50" s="1455"/>
      <c r="BN50" s="1456">
        <v>-375</v>
      </c>
      <c r="BO50" s="1456"/>
      <c r="BP50" s="1859">
        <v>-375</v>
      </c>
      <c r="BQ50" s="1273"/>
    </row>
    <row r="51" spans="1:80">
      <c r="A51" s="1273"/>
      <c r="B51" s="1273" t="s">
        <v>193</v>
      </c>
      <c r="C51" s="1273"/>
      <c r="D51" s="1294"/>
      <c r="E51" s="1273"/>
      <c r="F51" s="1294"/>
      <c r="G51" s="1273"/>
      <c r="H51" s="1294"/>
      <c r="I51" s="1318"/>
      <c r="J51" s="1294"/>
      <c r="K51" s="1318"/>
      <c r="L51" s="1303"/>
      <c r="M51" s="1318"/>
      <c r="N51" s="1303"/>
      <c r="O51" s="1273"/>
      <c r="P51" s="1303"/>
      <c r="Q51" s="1273"/>
      <c r="R51" s="1319"/>
      <c r="S51" s="1318"/>
      <c r="T51" s="1294"/>
      <c r="U51" s="1318"/>
      <c r="V51" s="1294"/>
      <c r="W51" s="1318"/>
      <c r="X51" s="1297"/>
      <c r="Y51" s="1296"/>
      <c r="Z51" s="1297"/>
      <c r="AA51" s="1296"/>
      <c r="AB51" s="1296"/>
      <c r="AC51" s="1296"/>
      <c r="AD51" s="1296"/>
      <c r="AE51" s="1296"/>
      <c r="AF51" s="1296"/>
      <c r="AG51" s="1296"/>
      <c r="AH51" s="1296"/>
      <c r="AI51" s="1296"/>
      <c r="AJ51" s="1296"/>
      <c r="AK51" s="1297"/>
      <c r="AL51" s="1296"/>
      <c r="AM51" s="1296"/>
      <c r="AN51" s="1296">
        <v>1</v>
      </c>
      <c r="AO51" s="1296"/>
      <c r="AP51" s="1296">
        <f>1+21</f>
        <v>22</v>
      </c>
      <c r="AQ51" s="1296"/>
      <c r="AR51" s="1296">
        <f>4-1</f>
        <v>3</v>
      </c>
      <c r="AS51" s="1296"/>
      <c r="AT51" s="1296">
        <v>-6</v>
      </c>
      <c r="AU51" s="1296"/>
      <c r="AV51" s="1456">
        <v>-6</v>
      </c>
      <c r="AW51" s="1456"/>
      <c r="AX51" s="1456">
        <f>+-4-1</f>
        <v>-5</v>
      </c>
      <c r="AY51" s="1456"/>
      <c r="AZ51" s="1456">
        <f>-3+121</f>
        <v>118</v>
      </c>
      <c r="BA51" s="1455"/>
      <c r="BB51" s="1456">
        <f>65+-69+-1</f>
        <v>-5</v>
      </c>
      <c r="BC51" s="1456">
        <v>0</v>
      </c>
      <c r="BD51" s="1456">
        <f>29-19</f>
        <v>10</v>
      </c>
      <c r="BE51" s="1455"/>
      <c r="BF51" s="1859">
        <f>30-18</f>
        <v>12</v>
      </c>
      <c r="BG51" s="1455"/>
      <c r="BH51" s="1456">
        <v>0</v>
      </c>
      <c r="BI51" s="1455"/>
      <c r="BJ51" s="1456">
        <v>0</v>
      </c>
      <c r="BK51" s="1455"/>
      <c r="BL51" s="1456">
        <v>0</v>
      </c>
      <c r="BM51" s="1455"/>
      <c r="BN51" s="1456">
        <v>0</v>
      </c>
      <c r="BO51" s="1456"/>
      <c r="BP51" s="1859">
        <v>0</v>
      </c>
      <c r="BQ51" s="1273"/>
      <c r="CB51" s="1243"/>
    </row>
    <row r="52" spans="1:80" ht="7.9" customHeight="1">
      <c r="A52" s="1273"/>
      <c r="B52" s="1273"/>
      <c r="C52" s="1273"/>
      <c r="D52" s="1273"/>
      <c r="E52" s="1273"/>
      <c r="F52" s="1273"/>
      <c r="G52" s="1273"/>
      <c r="H52" s="1273"/>
      <c r="I52" s="1273"/>
      <c r="J52" s="1273"/>
      <c r="K52" s="1273"/>
      <c r="L52" s="1273"/>
      <c r="M52" s="1273"/>
      <c r="N52" s="1273"/>
      <c r="O52" s="1273"/>
      <c r="P52" s="1273"/>
      <c r="Q52" s="1273"/>
      <c r="R52" s="1273"/>
      <c r="S52" s="1273"/>
      <c r="T52" s="1273"/>
      <c r="U52" s="1273"/>
      <c r="V52" s="1273"/>
      <c r="W52" s="1273"/>
      <c r="X52" s="1273"/>
      <c r="Y52" s="1273"/>
      <c r="Z52" s="1273"/>
      <c r="AA52" s="1273"/>
      <c r="AB52" s="1273"/>
      <c r="AC52" s="1273"/>
      <c r="AD52" s="1273"/>
      <c r="AE52" s="1273"/>
      <c r="AF52" s="1273"/>
      <c r="AG52" s="1273"/>
      <c r="AH52" s="1273"/>
      <c r="AI52" s="1273"/>
      <c r="AJ52" s="1273"/>
      <c r="AK52" s="1273"/>
      <c r="AL52" s="1273"/>
      <c r="AM52" s="1273"/>
      <c r="AN52" s="1297"/>
      <c r="AO52" s="1273"/>
      <c r="AP52" s="1297"/>
      <c r="AQ52" s="1273"/>
      <c r="AR52" s="1273"/>
      <c r="AS52" s="1273"/>
      <c r="AT52" s="1273"/>
      <c r="AU52" s="1273"/>
      <c r="AV52" s="1455"/>
      <c r="AW52" s="1455"/>
      <c r="AX52" s="1455"/>
      <c r="AY52" s="1455"/>
      <c r="AZ52" s="1455"/>
      <c r="BA52" s="1455"/>
      <c r="BB52" s="1455"/>
      <c r="BC52" s="1455"/>
      <c r="BD52" s="1455"/>
      <c r="BE52" s="1455"/>
      <c r="BF52" s="1858"/>
      <c r="BG52" s="1455"/>
      <c r="BH52" s="1455"/>
      <c r="BI52" s="1455"/>
      <c r="BJ52" s="1455"/>
      <c r="BK52" s="1455"/>
      <c r="BL52" s="1455"/>
      <c r="BM52" s="1455"/>
      <c r="BN52" s="1455"/>
      <c r="BO52" s="1455"/>
      <c r="BP52" s="1858"/>
      <c r="BQ52" s="1273"/>
    </row>
    <row r="53" spans="1:80">
      <c r="A53" s="1273" t="s">
        <v>648</v>
      </c>
      <c r="B53" s="1273"/>
      <c r="C53" s="1273"/>
      <c r="D53" s="1302">
        <f>SUM(D45:D50)</f>
        <v>0</v>
      </c>
      <c r="E53" s="1320"/>
      <c r="F53" s="1302">
        <f>SUM(F45:F50)</f>
        <v>80</v>
      </c>
      <c r="G53" s="1302"/>
      <c r="H53" s="1302">
        <f>SUM(H45:H50)</f>
        <v>87.453999999999994</v>
      </c>
      <c r="I53" s="1302"/>
      <c r="J53" s="1302">
        <f>SUM(J45:J50)</f>
        <v>7.6029999999999998</v>
      </c>
      <c r="K53" s="1302"/>
      <c r="L53" s="1302">
        <f>SUM(L45:L50)</f>
        <v>-125.56800000000001</v>
      </c>
      <c r="M53" s="1302"/>
      <c r="N53" s="1302">
        <f>SUM(N45:N50)</f>
        <v>-33.430999999999997</v>
      </c>
      <c r="O53" s="1320"/>
      <c r="P53" s="1302">
        <f>SUM(P45:P50)</f>
        <v>-411.24300000000005</v>
      </c>
      <c r="Q53" s="1302"/>
      <c r="R53" s="1302">
        <f>SUM(R45:R50)</f>
        <v>-22.137000000000057</v>
      </c>
      <c r="S53" s="1302"/>
      <c r="T53" s="1302">
        <f>SUM(T45:T50)</f>
        <v>-841.37099999999998</v>
      </c>
      <c r="U53" s="1302"/>
      <c r="V53" s="1302">
        <f>SUM(V45:V50)</f>
        <v>-234.29700000000003</v>
      </c>
      <c r="W53" s="1302"/>
      <c r="X53" s="1302">
        <f>SUM(X45:X50)</f>
        <v>630.96699999999998</v>
      </c>
      <c r="Y53" s="1302"/>
      <c r="Z53" s="1321">
        <f>SUM(Z45:Z50)</f>
        <v>347.65800000000007</v>
      </c>
      <c r="AA53" s="1321"/>
      <c r="AB53" s="1321">
        <f>SUM(AB45:AB50)</f>
        <v>1457</v>
      </c>
      <c r="AC53" s="1321"/>
      <c r="AD53" s="1321">
        <f>SUM(AD45:AD50)</f>
        <v>-557</v>
      </c>
      <c r="AE53" s="1321"/>
      <c r="AF53" s="1321">
        <f>SUM(AF45:AF50)</f>
        <v>-1717</v>
      </c>
      <c r="AG53" s="1321"/>
      <c r="AH53" s="1321">
        <f>SUM(AH45:AH50)</f>
        <v>-1861</v>
      </c>
      <c r="AI53" s="1321"/>
      <c r="AJ53" s="1321">
        <f>SUM(AJ45:AJ50)</f>
        <v>-837</v>
      </c>
      <c r="AK53" s="1321"/>
      <c r="AL53" s="1321">
        <f>SUM(AL45:AL50)</f>
        <v>-1503</v>
      </c>
      <c r="AM53" s="1321"/>
      <c r="AN53" s="1321">
        <f>SUM(AN45:AN51)</f>
        <v>-733</v>
      </c>
      <c r="AO53" s="1321"/>
      <c r="AP53" s="1321">
        <f>SUM(AP45:AP51)</f>
        <v>-744</v>
      </c>
      <c r="AQ53" s="1321"/>
      <c r="AR53" s="1321">
        <f>SUM(AR45:AR51)</f>
        <v>-1758</v>
      </c>
      <c r="AS53" s="1321"/>
      <c r="AT53" s="1321">
        <f>SUM(AT45:AT51)</f>
        <v>-285</v>
      </c>
      <c r="AU53" s="1321"/>
      <c r="AV53" s="1460">
        <f>SUM(AV45:AV51)</f>
        <v>-1460</v>
      </c>
      <c r="AW53" s="1460"/>
      <c r="AX53" s="1460">
        <f>SUM(AX45:AX51)</f>
        <v>-693</v>
      </c>
      <c r="AY53" s="1460"/>
      <c r="AZ53" s="1460">
        <f>SUM(AZ45:AZ51)</f>
        <v>-1044</v>
      </c>
      <c r="BA53" s="1455"/>
      <c r="BB53" s="1460">
        <f>SUM(BB45:BB51)</f>
        <v>-613</v>
      </c>
      <c r="BC53" s="1455"/>
      <c r="BD53" s="1460">
        <f>SUM(BD45:BD51)</f>
        <v>-410</v>
      </c>
      <c r="BE53" s="1455"/>
      <c r="BF53" s="1863">
        <f>SUM(BF45:BF51)</f>
        <v>-370</v>
      </c>
      <c r="BG53" s="1455"/>
      <c r="BH53" s="1460">
        <f>SUM(BH45:BH51)</f>
        <v>-400</v>
      </c>
      <c r="BI53" s="1455"/>
      <c r="BJ53" s="1460">
        <f>SUM(BJ45:BJ51)</f>
        <v>-375</v>
      </c>
      <c r="BK53" s="1455"/>
      <c r="BL53" s="1460">
        <f>SUM(BL45:BL51)</f>
        <v>-375</v>
      </c>
      <c r="BM53" s="1455"/>
      <c r="BN53" s="1460">
        <f>SUM(BN45:BN51)</f>
        <v>-375</v>
      </c>
      <c r="BO53" s="1460"/>
      <c r="BP53" s="1863">
        <f>SUM(BP45:BP51)</f>
        <v>-375</v>
      </c>
      <c r="BQ53" s="1273"/>
    </row>
    <row r="54" spans="1:80" ht="6" customHeight="1">
      <c r="A54" s="1273"/>
      <c r="B54" s="1273"/>
      <c r="C54" s="1273"/>
      <c r="D54" s="1273"/>
      <c r="E54" s="1273"/>
      <c r="F54" s="1273"/>
      <c r="G54" s="1273"/>
      <c r="H54" s="1273"/>
      <c r="I54" s="1273"/>
      <c r="J54" s="1273"/>
      <c r="K54" s="1273"/>
      <c r="L54" s="1273"/>
      <c r="M54" s="1273"/>
      <c r="N54" s="1273"/>
      <c r="O54" s="1273"/>
      <c r="P54" s="1273"/>
      <c r="Q54" s="1273"/>
      <c r="R54" s="1273"/>
      <c r="S54" s="1273"/>
      <c r="T54" s="1273"/>
      <c r="U54" s="1273"/>
      <c r="V54" s="1273"/>
      <c r="W54" s="1273"/>
      <c r="X54" s="1273"/>
      <c r="Y54" s="1273"/>
      <c r="Z54" s="1274"/>
      <c r="AA54" s="1273"/>
      <c r="AB54" s="1273"/>
      <c r="AC54" s="1273"/>
      <c r="AD54" s="1273"/>
      <c r="AE54" s="1273"/>
      <c r="AF54" s="1273"/>
      <c r="AG54" s="1273"/>
      <c r="AH54" s="1273"/>
      <c r="AI54" s="1273"/>
      <c r="AJ54" s="1306"/>
      <c r="AK54" s="1273"/>
      <c r="AL54" s="1273"/>
      <c r="AM54" s="1273"/>
      <c r="AN54" s="1273"/>
      <c r="AO54" s="1273"/>
      <c r="AP54" s="1273"/>
      <c r="AQ54" s="1273"/>
      <c r="AR54" s="1273"/>
      <c r="AS54" s="1273"/>
      <c r="AT54" s="1273"/>
      <c r="AU54" s="1273"/>
      <c r="AV54" s="1455"/>
      <c r="AW54" s="1455"/>
      <c r="AX54" s="1455"/>
      <c r="AY54" s="1455"/>
      <c r="AZ54" s="1455"/>
      <c r="BA54" s="1455"/>
      <c r="BB54" s="1455"/>
      <c r="BC54" s="1455"/>
      <c r="BD54" s="1455"/>
      <c r="BE54" s="1455"/>
      <c r="BF54" s="1858"/>
      <c r="BG54" s="1455"/>
      <c r="BH54" s="1455"/>
      <c r="BI54" s="1455"/>
      <c r="BJ54" s="1455"/>
      <c r="BK54" s="1455"/>
      <c r="BL54" s="1455"/>
      <c r="BM54" s="1455"/>
      <c r="BN54" s="1455"/>
      <c r="BO54" s="1455"/>
      <c r="BP54" s="1858"/>
      <c r="BQ54" s="1273"/>
    </row>
    <row r="55" spans="1:80">
      <c r="A55" s="1273"/>
      <c r="B55" s="1273" t="s">
        <v>140</v>
      </c>
      <c r="C55" s="1273"/>
      <c r="D55" s="1273"/>
      <c r="E55" s="1273"/>
      <c r="F55" s="1273"/>
      <c r="G55" s="1273"/>
      <c r="H55" s="1273"/>
      <c r="I55" s="1273"/>
      <c r="J55" s="1273"/>
      <c r="K55" s="1273"/>
      <c r="L55" s="1273"/>
      <c r="M55" s="1273"/>
      <c r="N55" s="1303">
        <v>-66.992999999999995</v>
      </c>
      <c r="O55" s="1273"/>
      <c r="P55" s="1303">
        <v>-83.853999999999999</v>
      </c>
      <c r="Q55" s="1273"/>
      <c r="R55" s="1303">
        <v>-79.503</v>
      </c>
      <c r="S55" s="1273"/>
      <c r="T55" s="1303">
        <v>-76.888000000000005</v>
      </c>
      <c r="U55" s="1273"/>
      <c r="V55" s="1294">
        <v>-75.795000000000002</v>
      </c>
      <c r="W55" s="1294"/>
      <c r="X55" s="1294">
        <v>-75.488</v>
      </c>
      <c r="Y55" s="1294"/>
      <c r="Z55" s="1297">
        <v>-76.373000000000005</v>
      </c>
      <c r="AA55" s="1297"/>
      <c r="AB55" s="1296">
        <v>-78</v>
      </c>
      <c r="AC55" s="1297"/>
      <c r="AD55" s="1296">
        <v>-79</v>
      </c>
      <c r="AE55" s="1297"/>
      <c r="AF55" s="1296">
        <v>-79</v>
      </c>
      <c r="AG55" s="1297"/>
      <c r="AH55" s="1296">
        <v>-179</v>
      </c>
      <c r="AI55" s="1297"/>
      <c r="AJ55" s="1296">
        <v>-265</v>
      </c>
      <c r="AK55" s="1297"/>
      <c r="AL55" s="1296">
        <v>-252</v>
      </c>
      <c r="AM55" s="1297"/>
      <c r="AN55" s="1296">
        <v>-243</v>
      </c>
      <c r="AO55" s="1297"/>
      <c r="AP55" s="1296">
        <v>-234</v>
      </c>
      <c r="AQ55" s="1297"/>
      <c r="AR55" s="1296">
        <v>-252</v>
      </c>
      <c r="AS55" s="1297"/>
      <c r="AT55" s="1296">
        <v>-236</v>
      </c>
      <c r="AU55" s="1297"/>
      <c r="AV55" s="1456">
        <v>-240</v>
      </c>
      <c r="AW55" s="1455"/>
      <c r="AX55" s="1456">
        <v>-321</v>
      </c>
      <c r="AY55" s="1455"/>
      <c r="AZ55" s="1456">
        <v>-383</v>
      </c>
      <c r="BA55" s="1455"/>
      <c r="BB55" s="1456">
        <v>-377</v>
      </c>
      <c r="BC55" s="1455"/>
      <c r="BD55" s="1455">
        <v>-367</v>
      </c>
      <c r="BE55" s="1455"/>
      <c r="BF55" s="2117">
        <v>-361</v>
      </c>
      <c r="BG55" s="1455"/>
      <c r="BH55" s="1455">
        <f>-'qtrP&amp;L'!DN161*'yrP&amp;L'!AD54</f>
        <v>-373.12666666666667</v>
      </c>
      <c r="BI55" s="1455"/>
      <c r="BJ55" s="1455">
        <f>+BH55</f>
        <v>-373.12666666666667</v>
      </c>
      <c r="BK55" s="1455"/>
      <c r="BL55" s="1455">
        <f>+BJ55</f>
        <v>-373.12666666666667</v>
      </c>
      <c r="BM55" s="1455"/>
      <c r="BN55" s="1455">
        <f>+BL55</f>
        <v>-373.12666666666667</v>
      </c>
      <c r="BO55" s="1455"/>
      <c r="BP55" s="1858">
        <f>+BN55</f>
        <v>-373.12666666666667</v>
      </c>
      <c r="BQ55" s="1273"/>
      <c r="BX55" s="1243">
        <f>AZ50+BB50</f>
        <v>-2194</v>
      </c>
    </row>
    <row r="56" spans="1:80">
      <c r="A56" s="1273"/>
      <c r="B56" s="1273" t="s">
        <v>143</v>
      </c>
      <c r="C56" s="1273"/>
      <c r="D56" s="1273"/>
      <c r="E56" s="1273"/>
      <c r="F56" s="1273"/>
      <c r="G56" s="1273"/>
      <c r="H56" s="1273"/>
      <c r="I56" s="1273"/>
      <c r="J56" s="1273"/>
      <c r="K56" s="1273"/>
      <c r="L56" s="1273"/>
      <c r="M56" s="1273"/>
      <c r="N56" s="1303">
        <v>-0.46500000000000002</v>
      </c>
      <c r="O56" s="1273"/>
      <c r="P56" s="1303">
        <v>2.1549999999999998</v>
      </c>
      <c r="Q56" s="1273"/>
      <c r="R56" s="1303">
        <v>-1.6339999999999999</v>
      </c>
      <c r="S56" s="1273"/>
      <c r="T56" s="1303">
        <v>2.589</v>
      </c>
      <c r="U56" s="1273"/>
      <c r="V56" s="1303">
        <v>-4.1760000000000002</v>
      </c>
      <c r="W56" s="1273"/>
      <c r="X56" s="1303">
        <v>-13.327999999999999</v>
      </c>
      <c r="Y56" s="1273"/>
      <c r="Z56" s="1297">
        <v>-11.542</v>
      </c>
      <c r="AA56" s="1297"/>
      <c r="AB56" s="1296">
        <v>27</v>
      </c>
      <c r="AC56" s="1297"/>
      <c r="AD56" s="1296">
        <v>28</v>
      </c>
      <c r="AE56" s="1297"/>
      <c r="AF56" s="1296">
        <v>0</v>
      </c>
      <c r="AG56" s="1297"/>
      <c r="AH56" s="1296">
        <v>-7</v>
      </c>
      <c r="AI56" s="1297"/>
      <c r="AJ56" s="1296">
        <v>-3</v>
      </c>
      <c r="AK56" s="1297"/>
      <c r="AL56" s="1296">
        <v>33</v>
      </c>
      <c r="AM56" s="1297"/>
      <c r="AN56" s="1296">
        <v>-18</v>
      </c>
      <c r="AO56" s="1297"/>
      <c r="AP56" s="1296">
        <f>13-41</f>
        <v>-28</v>
      </c>
      <c r="AQ56" s="1297"/>
      <c r="AR56" s="1296">
        <v>25</v>
      </c>
      <c r="AS56" s="1297"/>
      <c r="AT56" s="1296">
        <v>17</v>
      </c>
      <c r="AU56" s="1297"/>
      <c r="AV56" s="1456">
        <v>-36</v>
      </c>
      <c r="AW56" s="1455"/>
      <c r="AX56" s="1456">
        <v>-27</v>
      </c>
      <c r="AY56" s="1455"/>
      <c r="AZ56" s="1456">
        <v>-21</v>
      </c>
      <c r="BA56" s="1455"/>
      <c r="BB56" s="1456">
        <v>-19</v>
      </c>
      <c r="BC56" s="1455"/>
      <c r="BD56" s="1466">
        <v>0</v>
      </c>
      <c r="BE56" s="1455"/>
      <c r="BF56" s="2117">
        <v>19</v>
      </c>
      <c r="BG56" s="1455"/>
      <c r="BH56" s="1455">
        <v>0</v>
      </c>
      <c r="BI56" s="1455"/>
      <c r="BJ56" s="1455">
        <v>0</v>
      </c>
      <c r="BK56" s="1455"/>
      <c r="BL56" s="1455">
        <v>0</v>
      </c>
      <c r="BM56" s="1455"/>
      <c r="BN56" s="1455">
        <v>0</v>
      </c>
      <c r="BO56" s="1455"/>
      <c r="BP56" s="1858">
        <v>0</v>
      </c>
      <c r="BQ56" s="1273"/>
    </row>
    <row r="57" spans="1:80" ht="6" customHeight="1">
      <c r="A57" s="1273"/>
      <c r="B57" s="1273"/>
      <c r="C57" s="1273"/>
      <c r="D57" s="1273"/>
      <c r="E57" s="1273"/>
      <c r="F57" s="1273"/>
      <c r="G57" s="1273"/>
      <c r="H57" s="1273"/>
      <c r="I57" s="1273"/>
      <c r="J57" s="1273"/>
      <c r="K57" s="1273"/>
      <c r="L57" s="1273"/>
      <c r="M57" s="1273"/>
      <c r="N57" s="1273"/>
      <c r="O57" s="1273"/>
      <c r="P57" s="1273"/>
      <c r="Q57" s="1273"/>
      <c r="R57" s="1273"/>
      <c r="S57" s="1273"/>
      <c r="T57" s="1273"/>
      <c r="U57" s="1273"/>
      <c r="V57" s="1273"/>
      <c r="W57" s="1273"/>
      <c r="X57" s="1273"/>
      <c r="Y57" s="1273"/>
      <c r="Z57" s="1297"/>
      <c r="AA57" s="1297"/>
      <c r="AB57" s="1297"/>
      <c r="AC57" s="1297"/>
      <c r="AD57" s="1297"/>
      <c r="AE57" s="1297"/>
      <c r="AF57" s="1297"/>
      <c r="AG57" s="1297"/>
      <c r="AH57" s="1297"/>
      <c r="AI57" s="1297"/>
      <c r="AJ57" s="1322"/>
      <c r="AK57" s="1297"/>
      <c r="AL57" s="1297"/>
      <c r="AM57" s="1297"/>
      <c r="AN57" s="1297"/>
      <c r="AO57" s="1297"/>
      <c r="AP57" s="1297"/>
      <c r="AQ57" s="1297"/>
      <c r="AR57" s="1297"/>
      <c r="AS57" s="1297"/>
      <c r="AT57" s="1297"/>
      <c r="AU57" s="1297"/>
      <c r="AV57" s="1455"/>
      <c r="AW57" s="1455"/>
      <c r="AX57" s="1455"/>
      <c r="AY57" s="1455"/>
      <c r="AZ57" s="1455"/>
      <c r="BA57" s="1455"/>
      <c r="BB57" s="1455"/>
      <c r="BC57" s="1455"/>
      <c r="BD57" s="1455"/>
      <c r="BE57" s="1455"/>
      <c r="BF57" s="1858"/>
      <c r="BG57" s="1455"/>
      <c r="BH57" s="1455"/>
      <c r="BI57" s="1455"/>
      <c r="BJ57" s="1455"/>
      <c r="BK57" s="1455"/>
      <c r="BL57" s="1455"/>
      <c r="BM57" s="1455"/>
      <c r="BN57" s="1455"/>
      <c r="BO57" s="1455"/>
      <c r="BP57" s="1858"/>
      <c r="BQ57" s="1273"/>
    </row>
    <row r="58" spans="1:80">
      <c r="A58" s="1273" t="s">
        <v>637</v>
      </c>
      <c r="B58" s="1273"/>
      <c r="C58" s="1273"/>
      <c r="D58" s="1294">
        <f>bal!C9</f>
        <v>0</v>
      </c>
      <c r="E58" s="1294"/>
      <c r="F58" s="1294" t="e">
        <f>#REF!</f>
        <v>#REF!</v>
      </c>
      <c r="G58" s="1294"/>
      <c r="H58" s="1294">
        <f>+bal!G9</f>
        <v>192.58500000000001</v>
      </c>
      <c r="I58" s="1294"/>
      <c r="J58" s="1294">
        <f>H60</f>
        <v>360.52699999999993</v>
      </c>
      <c r="K58" s="1294"/>
      <c r="L58" s="1294">
        <f>J60</f>
        <v>707.5440000000001</v>
      </c>
      <c r="M58" s="1294"/>
      <c r="N58" s="1294">
        <f>bal!M9</f>
        <v>414.48700000000002</v>
      </c>
      <c r="O58" s="1294"/>
      <c r="P58" s="1294">
        <f>N60</f>
        <v>579.56600000000003</v>
      </c>
      <c r="Q58" s="1294"/>
      <c r="R58" s="1294">
        <f>P60</f>
        <v>485.64399999999995</v>
      </c>
      <c r="S58" s="1294"/>
      <c r="T58" s="1294">
        <f>R60</f>
        <v>913.16899999999976</v>
      </c>
      <c r="U58" s="1294"/>
      <c r="V58" s="1303">
        <f>T60</f>
        <v>565.25299999999947</v>
      </c>
      <c r="W58" s="1294"/>
      <c r="X58" s="1294">
        <f>V60</f>
        <v>450.35199999999872</v>
      </c>
      <c r="Y58" s="1294"/>
      <c r="Z58" s="1297">
        <f>X60</f>
        <v>408.79399999999839</v>
      </c>
      <c r="AA58" s="1297"/>
      <c r="AB58" s="1297">
        <f>Z60+0.251</f>
        <v>1035.9999999999982</v>
      </c>
      <c r="AC58" s="1297"/>
      <c r="AD58" s="1297">
        <f>+AB60</f>
        <v>3075.9999999999986</v>
      </c>
      <c r="AE58" s="1297"/>
      <c r="AF58" s="1297">
        <f>+AD60-0.047</f>
        <v>3611.9529999999991</v>
      </c>
      <c r="AG58" s="1297"/>
      <c r="AH58" s="1297">
        <f>+AF60</f>
        <v>3260.0000000000018</v>
      </c>
      <c r="AI58" s="1297"/>
      <c r="AJ58" s="1297">
        <f>+AH60</f>
        <v>2090.0000000000027</v>
      </c>
      <c r="AK58" s="1297"/>
      <c r="AL58" s="1297">
        <f>+AJ60</f>
        <v>2074.0000000000027</v>
      </c>
      <c r="AM58" s="1297"/>
      <c r="AN58" s="1297">
        <f>+AL60</f>
        <v>1762.0000000000027</v>
      </c>
      <c r="AO58" s="1297"/>
      <c r="AP58" s="1297">
        <v>1756</v>
      </c>
      <c r="AQ58" s="1297"/>
      <c r="AR58" s="1297">
        <f>+AP60</f>
        <v>2348</v>
      </c>
      <c r="AS58" s="1297"/>
      <c r="AT58" s="1297">
        <f>+AR60</f>
        <v>1561</v>
      </c>
      <c r="AU58" s="1297"/>
      <c r="AV58" s="1455">
        <f>+AT60</f>
        <v>1885</v>
      </c>
      <c r="AW58" s="1455"/>
      <c r="AX58" s="1455">
        <f>+AV60</f>
        <v>1460</v>
      </c>
      <c r="AY58" s="1455"/>
      <c r="AZ58" s="1455">
        <f>+AX60</f>
        <v>1510</v>
      </c>
      <c r="BA58" s="1455"/>
      <c r="BB58" s="1455">
        <f>+AZ60</f>
        <v>1515</v>
      </c>
      <c r="BC58" s="1455"/>
      <c r="BD58" s="1455">
        <f>+BB60</f>
        <v>1370</v>
      </c>
      <c r="BE58" s="1455"/>
      <c r="BF58" s="1858">
        <f>+BD60</f>
        <v>1783.17</v>
      </c>
      <c r="BG58" s="1455"/>
      <c r="BH58" s="1455">
        <f>+BF60</f>
        <v>1783.17</v>
      </c>
      <c r="BI58" s="1455"/>
      <c r="BJ58" s="1455">
        <f>+BH60</f>
        <v>1845.2434235572564</v>
      </c>
      <c r="BK58" s="1455"/>
      <c r="BL58" s="1455">
        <f>+BJ60</f>
        <v>2031.3044685239699</v>
      </c>
      <c r="BM58" s="1455"/>
      <c r="BN58" s="1455">
        <f>+BL60</f>
        <v>2141.4802094499942</v>
      </c>
      <c r="BO58" s="1455"/>
      <c r="BP58" s="1858">
        <f>+BN60</f>
        <v>2224.1197624254182</v>
      </c>
      <c r="BQ58" s="1273"/>
    </row>
    <row r="59" spans="1:80">
      <c r="A59" s="1273"/>
      <c r="B59" s="1273" t="s">
        <v>639</v>
      </c>
      <c r="C59" s="1273"/>
      <c r="D59" s="1294">
        <f>D53+D40+D55+D56</f>
        <v>-1.4960000000000093</v>
      </c>
      <c r="E59" s="1294"/>
      <c r="F59" s="1294">
        <f>F53+F40+F55+F56</f>
        <v>541.97300000000007</v>
      </c>
      <c r="G59" s="1294"/>
      <c r="H59" s="1294">
        <f>H53+H40+H55+H56</f>
        <v>167.94199999999989</v>
      </c>
      <c r="I59" s="1294"/>
      <c r="J59" s="1294">
        <f>J53+J40+J55+J56</f>
        <v>347.01700000000011</v>
      </c>
      <c r="K59" s="1294"/>
      <c r="L59" s="1294">
        <f>L53+L40+L55+L56</f>
        <v>134.64686499999979</v>
      </c>
      <c r="M59" s="1294"/>
      <c r="N59" s="1294">
        <f>N53+N40+N55+N56</f>
        <v>165.07900000000004</v>
      </c>
      <c r="O59" s="1294"/>
      <c r="P59" s="1294">
        <f>P53+P40+P55+P56</f>
        <v>-93.922000000000068</v>
      </c>
      <c r="Q59" s="1294"/>
      <c r="R59" s="1294">
        <f>R53+R40+R55+R56</f>
        <v>427.52499999999981</v>
      </c>
      <c r="S59" s="1294"/>
      <c r="T59" s="1294">
        <f>T53+T40+T55+T56</f>
        <v>-347.91600000000022</v>
      </c>
      <c r="U59" s="1294"/>
      <c r="V59" s="1303">
        <f>V53+V40+V55+V56</f>
        <v>-114.90100000000075</v>
      </c>
      <c r="W59" s="1294"/>
      <c r="X59" s="1294">
        <f>X53+X40+X55+X56</f>
        <v>-41.558000000000305</v>
      </c>
      <c r="Y59" s="1294"/>
      <c r="Z59" s="1297">
        <f>Z53+Z40+Z55+Z56</f>
        <v>626.95499999999981</v>
      </c>
      <c r="AA59" s="1297"/>
      <c r="AB59" s="1297">
        <f>AB53+AB40+AB55+AB56</f>
        <v>2040.0000000000005</v>
      </c>
      <c r="AC59" s="1297"/>
      <c r="AD59" s="1297">
        <f>AD53+AD40+AD55+AD56</f>
        <v>536.00000000000023</v>
      </c>
      <c r="AE59" s="1297"/>
      <c r="AF59" s="1297">
        <f>AF53+AF40+AF55+AF56+1</f>
        <v>-351.95299999999747</v>
      </c>
      <c r="AG59" s="1297"/>
      <c r="AH59" s="1297">
        <f>AH53+AH40+AH55+AH56-0.622</f>
        <v>-1169.9999999999993</v>
      </c>
      <c r="AI59" s="1297"/>
      <c r="AJ59" s="1297">
        <f>AJ53+AJ40+AJ55+AJ56+0.321</f>
        <v>-15.999999999999913</v>
      </c>
      <c r="AK59" s="1297"/>
      <c r="AL59" s="1297">
        <f>AL53+AL40+AL55+AL56</f>
        <v>-312</v>
      </c>
      <c r="AM59" s="1297"/>
      <c r="AN59" s="1297">
        <f>AN53+AN40+AN55+AN56</f>
        <v>-6</v>
      </c>
      <c r="AO59" s="1297"/>
      <c r="AP59" s="1297">
        <f>AP53+AP40+AP55+AP56</f>
        <v>592</v>
      </c>
      <c r="AQ59" s="1297"/>
      <c r="AR59" s="1297">
        <f>AR53+AR40+AR55+AR56</f>
        <v>-787</v>
      </c>
      <c r="AS59" s="1297"/>
      <c r="AT59" s="1297">
        <f>AT53+AT40+AT55+AT56</f>
        <v>324</v>
      </c>
      <c r="AU59" s="1297"/>
      <c r="AV59" s="1455">
        <f>AV53+AV40+AV55+AV56</f>
        <v>-425</v>
      </c>
      <c r="AW59" s="1455"/>
      <c r="AX59" s="1455">
        <f>AX53+AX40+AX55+AX56</f>
        <v>50</v>
      </c>
      <c r="AY59" s="1455"/>
      <c r="AZ59" s="1455">
        <f>AZ53+AZ40+AZ55+AZ56</f>
        <v>5</v>
      </c>
      <c r="BA59" s="1455"/>
      <c r="BB59" s="1455">
        <f>BB53+BB40+BB55+BB56</f>
        <v>-145</v>
      </c>
      <c r="BC59" s="1455"/>
      <c r="BD59" s="1455">
        <f>BD53+BD40+BD55+BD56</f>
        <v>413.17000000000007</v>
      </c>
      <c r="BE59" s="1455"/>
      <c r="BF59" s="1858">
        <f>BF53+BF40+BF55+BF56</f>
        <v>0</v>
      </c>
      <c r="BG59" s="1455"/>
      <c r="BH59" s="1455">
        <f>BH53+BH40+BH55+BH56</f>
        <v>62.073423557256206</v>
      </c>
      <c r="BI59" s="1455"/>
      <c r="BJ59" s="1455">
        <f>BJ53+BJ40+BJ55+BJ56</f>
        <v>186.06104496671355</v>
      </c>
      <c r="BK59" s="1455"/>
      <c r="BL59" s="1455">
        <f>BL53+BL40+BL55+BL56</f>
        <v>110.17574092602422</v>
      </c>
      <c r="BM59" s="1455"/>
      <c r="BN59" s="1455">
        <f>BN53+BN40+BN55+BN56</f>
        <v>82.639552975423953</v>
      </c>
      <c r="BO59" s="1455"/>
      <c r="BP59" s="1858">
        <f>BP53+BP40+BP55+BP56</f>
        <v>56.134188500928758</v>
      </c>
      <c r="BQ59" s="1273"/>
    </row>
    <row r="60" spans="1:80">
      <c r="A60" s="1273"/>
      <c r="B60" s="1273" t="s">
        <v>638</v>
      </c>
      <c r="C60" s="1273"/>
      <c r="D60" s="1294">
        <f>D58+D59</f>
        <v>-1.4960000000000093</v>
      </c>
      <c r="E60" s="1294"/>
      <c r="F60" s="1294" t="e">
        <f>F58+F59</f>
        <v>#REF!</v>
      </c>
      <c r="G60" s="1294"/>
      <c r="H60" s="1294">
        <f>H58+H59</f>
        <v>360.52699999999993</v>
      </c>
      <c r="I60" s="1294"/>
      <c r="J60" s="1294">
        <f>J58+J59</f>
        <v>707.5440000000001</v>
      </c>
      <c r="K60" s="1294"/>
      <c r="L60" s="1294">
        <f>L58+L59</f>
        <v>842.19086499999992</v>
      </c>
      <c r="M60" s="1294"/>
      <c r="N60" s="1294">
        <f>N58+N59</f>
        <v>579.56600000000003</v>
      </c>
      <c r="O60" s="1294"/>
      <c r="P60" s="1303">
        <f>P58+P59</f>
        <v>485.64399999999995</v>
      </c>
      <c r="Q60" s="1294"/>
      <c r="R60" s="1294">
        <f>R58+R59</f>
        <v>913.16899999999976</v>
      </c>
      <c r="S60" s="1294"/>
      <c r="T60" s="1294">
        <f>T58+T59</f>
        <v>565.25299999999947</v>
      </c>
      <c r="U60" s="1294"/>
      <c r="V60" s="1294">
        <f>V58+V59</f>
        <v>450.35199999999872</v>
      </c>
      <c r="W60" s="1294"/>
      <c r="X60" s="1294">
        <f>X58+X59</f>
        <v>408.79399999999839</v>
      </c>
      <c r="Y60" s="1294"/>
      <c r="Z60" s="1297">
        <f>Z58+Z59</f>
        <v>1035.7489999999982</v>
      </c>
      <c r="AA60" s="1297"/>
      <c r="AB60" s="1297">
        <f>AB58+AB59</f>
        <v>3075.9999999999986</v>
      </c>
      <c r="AC60" s="1297"/>
      <c r="AD60" s="1297">
        <f>AD58+AD59</f>
        <v>3611.9999999999991</v>
      </c>
      <c r="AE60" s="1297"/>
      <c r="AF60" s="1297">
        <f>AF58+AF59</f>
        <v>3260.0000000000018</v>
      </c>
      <c r="AG60" s="1297"/>
      <c r="AH60" s="1297">
        <f>AH58+AH59</f>
        <v>2090.0000000000027</v>
      </c>
      <c r="AI60" s="1297"/>
      <c r="AJ60" s="1297">
        <f>AJ58+AJ59</f>
        <v>2074.0000000000027</v>
      </c>
      <c r="AK60" s="1297"/>
      <c r="AL60" s="1297">
        <f>AL58+AL59</f>
        <v>1762.0000000000027</v>
      </c>
      <c r="AM60" s="1297"/>
      <c r="AN60" s="1297">
        <f>AN58+AN59</f>
        <v>1756.0000000000027</v>
      </c>
      <c r="AO60" s="1297"/>
      <c r="AP60" s="1297">
        <f>AP58+AP59</f>
        <v>2348</v>
      </c>
      <c r="AQ60" s="1297"/>
      <c r="AR60" s="1297">
        <f>AR58+AR59</f>
        <v>1561</v>
      </c>
      <c r="AS60" s="1297"/>
      <c r="AT60" s="1297">
        <f>AT58+AT59</f>
        <v>1885</v>
      </c>
      <c r="AU60" s="1297"/>
      <c r="AV60" s="1455">
        <f>AV58+AV59</f>
        <v>1460</v>
      </c>
      <c r="AW60" s="1455"/>
      <c r="AX60" s="1455">
        <f>AX58+AX59</f>
        <v>1510</v>
      </c>
      <c r="AY60" s="1455"/>
      <c r="AZ60" s="1455">
        <f>AZ58+AZ59</f>
        <v>1515</v>
      </c>
      <c r="BA60" s="1455"/>
      <c r="BB60" s="1455">
        <f>BB58+BB59</f>
        <v>1370</v>
      </c>
      <c r="BC60" s="1455"/>
      <c r="BD60" s="1455">
        <f>BD58+BD59</f>
        <v>1783.17</v>
      </c>
      <c r="BE60" s="1455"/>
      <c r="BF60" s="1858">
        <f>BF58+BF59</f>
        <v>1783.17</v>
      </c>
      <c r="BG60" s="1455"/>
      <c r="BH60" s="1455">
        <f>BH58+BH59</f>
        <v>1845.2434235572564</v>
      </c>
      <c r="BI60" s="1455"/>
      <c r="BJ60" s="1455">
        <f>BJ58+BJ59</f>
        <v>2031.3044685239699</v>
      </c>
      <c r="BK60" s="1455"/>
      <c r="BL60" s="1455">
        <f>BL58+BL59</f>
        <v>2141.4802094499942</v>
      </c>
      <c r="BM60" s="1455"/>
      <c r="BN60" s="1455">
        <f>BN58+BN59</f>
        <v>2224.1197624254182</v>
      </c>
      <c r="BO60" s="1455"/>
      <c r="BP60" s="1858">
        <f>BP58+BP59</f>
        <v>2280.253950926347</v>
      </c>
      <c r="BQ60" s="1273"/>
    </row>
    <row r="61" spans="1:80" hidden="1" outlineLevel="1">
      <c r="A61" s="1323" t="s">
        <v>369</v>
      </c>
      <c r="B61" s="1323"/>
      <c r="C61" s="1273"/>
      <c r="D61" s="1273"/>
      <c r="E61" s="1273"/>
      <c r="F61" s="1273"/>
      <c r="G61" s="1273"/>
      <c r="H61" s="1273"/>
      <c r="I61" s="1273"/>
      <c r="J61" s="1273"/>
      <c r="K61" s="1273"/>
      <c r="L61" s="1273"/>
      <c r="M61" s="1324"/>
      <c r="N61" s="1273"/>
      <c r="O61" s="1273"/>
      <c r="P61" s="1273"/>
      <c r="Q61" s="1273"/>
      <c r="R61" s="1273"/>
      <c r="S61" s="1273"/>
      <c r="T61" s="1273"/>
      <c r="U61" s="1273"/>
      <c r="V61" s="1273"/>
      <c r="W61" s="1324"/>
      <c r="X61" s="1325">
        <f>bal!Y9+bal!Y10</f>
        <v>408.79399999999839</v>
      </c>
      <c r="Y61" s="1326"/>
      <c r="Z61" s="1325">
        <f>bal!AA9+bal!AA10</f>
        <v>1035.7489999999982</v>
      </c>
      <c r="AA61" s="1327"/>
      <c r="AB61" s="1325">
        <f>bal!AC9+bal!AC10</f>
        <v>3388.9999999999986</v>
      </c>
      <c r="AC61" s="1327"/>
      <c r="AD61" s="1325">
        <f>bal!AE9+bal!AE10</f>
        <v>4684.9999999999991</v>
      </c>
      <c r="AE61" s="1326"/>
      <c r="AF61" s="1325">
        <f>bal!AG9+bal!AG10</f>
        <v>4077.0000000000018</v>
      </c>
      <c r="AG61" s="1326"/>
      <c r="AH61" s="1325">
        <f>bal!AI9+bal!AI10</f>
        <v>3042.0000000000027</v>
      </c>
      <c r="AI61" s="1326"/>
      <c r="AJ61" s="1325">
        <f>bal!AK9+bal!AK10</f>
        <v>2644.0000000000027</v>
      </c>
      <c r="AK61" s="1326"/>
      <c r="AL61" s="1325">
        <f>bal!AM9+bal!AM10</f>
        <v>1939.0000000000027</v>
      </c>
      <c r="AM61" s="1326"/>
      <c r="AN61" s="1325">
        <f>bal!AO9+bal!AO10</f>
        <v>1756.0000000000027</v>
      </c>
      <c r="AO61" s="1326"/>
      <c r="AP61" s="1325">
        <f>bal!AQ9+bal!AQ10</f>
        <v>2573</v>
      </c>
      <c r="AQ61" s="1326"/>
      <c r="AR61" s="1325">
        <f>bal!AS9+bal!AS10</f>
        <v>1661</v>
      </c>
      <c r="AS61" s="1326"/>
      <c r="AT61" s="1325">
        <f>bal!AU9+bal!AU10</f>
        <v>1885</v>
      </c>
      <c r="AU61" s="1326"/>
      <c r="AV61" s="1465">
        <f>bal!AW9+bal!AW10</f>
        <v>1510</v>
      </c>
      <c r="AW61" s="1465"/>
      <c r="AX61" s="1465">
        <f>bal!AY9+bal!AY10</f>
        <v>1510</v>
      </c>
      <c r="AY61" s="1465"/>
      <c r="AZ61" s="1465">
        <f>bal!BA9+bal!BA10</f>
        <v>1515</v>
      </c>
      <c r="BA61" s="1455"/>
      <c r="BB61" s="1465">
        <f>bal!BC9+bal!BC10</f>
        <v>1370</v>
      </c>
      <c r="BC61" s="1455"/>
      <c r="BD61" s="1465">
        <f>bal!BE9+bal!BE10</f>
        <v>1783.17</v>
      </c>
      <c r="BE61" s="1455"/>
      <c r="BF61" s="1866">
        <f>bal!BG9+bal!BG10</f>
        <v>1783.17</v>
      </c>
      <c r="BG61" s="1455"/>
      <c r="BH61" s="1465">
        <f>bal!BI9+bal!BI10</f>
        <v>1845.2434235572564</v>
      </c>
      <c r="BI61" s="1455"/>
      <c r="BJ61" s="1465">
        <f>bal!BK9+bal!BK10</f>
        <v>2031.3044685239699</v>
      </c>
      <c r="BK61" s="1455"/>
      <c r="BL61" s="1465">
        <f>bal!BM9+bal!BM10</f>
        <v>2141.4802094499942</v>
      </c>
      <c r="BM61" s="1455"/>
      <c r="BN61" s="1465">
        <f>bal!BO9+bal!BO10</f>
        <v>2224.1197624254182</v>
      </c>
      <c r="BO61" s="1465"/>
      <c r="BP61" s="1866">
        <f>bal!BQ9+bal!BQ10</f>
        <v>2280.253950926347</v>
      </c>
      <c r="BQ61" s="1273"/>
    </row>
    <row r="62" spans="1:80" hidden="1" outlineLevel="1">
      <c r="A62" s="1273" t="s">
        <v>649</v>
      </c>
      <c r="B62" s="1273"/>
      <c r="C62" s="1273"/>
      <c r="D62" s="1276">
        <f>-D53+D59</f>
        <v>-1.4960000000000093</v>
      </c>
      <c r="E62" s="1273"/>
      <c r="F62" s="1276">
        <f>-F53+F59</f>
        <v>461.97300000000007</v>
      </c>
      <c r="G62" s="1273"/>
      <c r="H62" s="1276">
        <f>-H53+H59</f>
        <v>80.4879999999999</v>
      </c>
      <c r="I62" s="1273"/>
      <c r="J62" s="1276">
        <f>-J53+J59</f>
        <v>339.4140000000001</v>
      </c>
      <c r="K62" s="1273"/>
      <c r="L62" s="1276">
        <f>-L53+L59</f>
        <v>260.2148649999998</v>
      </c>
      <c r="M62" s="1273"/>
      <c r="N62" s="1276">
        <f>-N53+N59</f>
        <v>198.51000000000005</v>
      </c>
      <c r="O62" s="1273"/>
      <c r="P62" s="1276">
        <f>-P53+P59</f>
        <v>317.32099999999997</v>
      </c>
      <c r="Q62" s="1273"/>
      <c r="R62" s="1276">
        <f>-R53+R59</f>
        <v>449.66199999999986</v>
      </c>
      <c r="S62" s="1273"/>
      <c r="T62" s="1276">
        <f>-T53+T59</f>
        <v>493.45499999999976</v>
      </c>
      <c r="U62" s="1273"/>
      <c r="V62" s="1276">
        <f>-V53+V59</f>
        <v>119.39599999999928</v>
      </c>
      <c r="W62" s="1273"/>
      <c r="X62" s="1276">
        <f>-X53+X59</f>
        <v>-672.52500000000032</v>
      </c>
      <c r="Y62" s="1273"/>
      <c r="Z62" s="1276">
        <f>-Z53+Z59</f>
        <v>279.29699999999974</v>
      </c>
      <c r="AA62" s="1273"/>
      <c r="AB62" s="1276">
        <f>-AB53+AB59</f>
        <v>583.00000000000045</v>
      </c>
      <c r="AC62" s="1273"/>
      <c r="AD62" s="1276">
        <f>-AD53+AD59</f>
        <v>1093.0000000000002</v>
      </c>
      <c r="AE62" s="1273"/>
      <c r="AF62" s="1276">
        <f>-AF53+AF59</f>
        <v>1365.0470000000025</v>
      </c>
      <c r="AG62" s="1273"/>
      <c r="AH62" s="1276">
        <f>-AH53+AH59</f>
        <v>691.00000000000068</v>
      </c>
      <c r="AI62" s="1273"/>
      <c r="AJ62" s="1276">
        <f>-AJ53+AJ59</f>
        <v>821.00000000000011</v>
      </c>
      <c r="AK62" s="1276"/>
      <c r="AL62" s="1276">
        <f>-AL53+AL59</f>
        <v>1191</v>
      </c>
      <c r="AM62" s="1276"/>
      <c r="AN62" s="1276">
        <f>-AN53+AN59</f>
        <v>727</v>
      </c>
      <c r="AO62" s="1276"/>
      <c r="AP62" s="1276">
        <f>-AP53+AP59</f>
        <v>1336</v>
      </c>
      <c r="AQ62" s="1276"/>
      <c r="AR62" s="1276">
        <f>-AR53+AR59</f>
        <v>971</v>
      </c>
      <c r="AS62" s="1276"/>
      <c r="AT62" s="1276">
        <f>-AT53+AT59</f>
        <v>609</v>
      </c>
      <c r="AU62" s="1276"/>
      <c r="AV62" s="1455">
        <f>-AV53+AV59</f>
        <v>1035</v>
      </c>
      <c r="AW62" s="1455"/>
      <c r="AX62" s="1455">
        <f>-AX53+AX59</f>
        <v>743</v>
      </c>
      <c r="AY62" s="1455"/>
      <c r="AZ62" s="1455">
        <f>-AZ53+AZ59</f>
        <v>1049</v>
      </c>
      <c r="BA62" s="1455"/>
      <c r="BB62" s="1455">
        <f>-BB53+BB59</f>
        <v>468</v>
      </c>
      <c r="BC62" s="1455"/>
      <c r="BD62" s="1455">
        <f>-BD53+BD59</f>
        <v>823.17000000000007</v>
      </c>
      <c r="BE62" s="1455"/>
      <c r="BF62" s="1858">
        <f>-BF53+BF59</f>
        <v>370</v>
      </c>
      <c r="BG62" s="1455"/>
      <c r="BH62" s="1455">
        <f>-BH53+BH59</f>
        <v>462.07342355725621</v>
      </c>
      <c r="BI62" s="1455"/>
      <c r="BJ62" s="1455">
        <f>-BJ53+BJ59</f>
        <v>561.06104496671355</v>
      </c>
      <c r="BK62" s="1455"/>
      <c r="BL62" s="1455">
        <f>-BL53+BL59</f>
        <v>485.17574092602422</v>
      </c>
      <c r="BM62" s="1455"/>
      <c r="BN62" s="1455">
        <f>-BN53+BN59</f>
        <v>457.63955297542395</v>
      </c>
      <c r="BO62" s="1455"/>
      <c r="BP62" s="1858">
        <f>-BP53+BP59</f>
        <v>431.13418850092876</v>
      </c>
      <c r="BQ62" s="1273"/>
    </row>
    <row r="63" spans="1:80" collapsed="1">
      <c r="A63" s="1273"/>
      <c r="B63" s="1273"/>
      <c r="C63" s="1273"/>
      <c r="D63" s="1273"/>
      <c r="E63" s="1273"/>
      <c r="F63" s="1309"/>
      <c r="G63" s="1273"/>
      <c r="H63" s="1273"/>
      <c r="I63" s="1273"/>
      <c r="J63" s="1273"/>
      <c r="K63" s="1273"/>
      <c r="L63" s="1273"/>
      <c r="M63" s="1273"/>
      <c r="N63" s="1273"/>
      <c r="O63" s="1273"/>
      <c r="P63" s="1309"/>
      <c r="Q63" s="1273"/>
      <c r="R63" s="1273"/>
      <c r="S63" s="1273"/>
      <c r="T63" s="1273"/>
      <c r="U63" s="1273"/>
      <c r="V63" s="1273"/>
      <c r="W63" s="1273"/>
      <c r="X63" s="1273"/>
      <c r="Y63" s="1273"/>
      <c r="Z63" s="1273"/>
      <c r="AA63" s="1273"/>
      <c r="AB63" s="1273"/>
      <c r="AC63" s="1273"/>
      <c r="AD63" s="1273"/>
      <c r="AE63" s="1273"/>
      <c r="AF63" s="1273"/>
      <c r="AG63" s="1273"/>
      <c r="AH63" s="1273"/>
      <c r="AI63" s="1273"/>
      <c r="AJ63" s="1273"/>
      <c r="AK63" s="1273"/>
      <c r="AL63" s="1273"/>
      <c r="AM63" s="1273"/>
      <c r="AN63" s="1273"/>
      <c r="AO63" s="1273"/>
      <c r="AP63" s="1297"/>
      <c r="AQ63" s="1273"/>
      <c r="AR63" s="1273"/>
      <c r="AS63" s="1273"/>
      <c r="AT63" s="1294"/>
      <c r="AU63" s="1273"/>
      <c r="AV63" s="1455"/>
      <c r="AW63" s="1455"/>
      <c r="AX63" s="1455"/>
      <c r="AY63" s="1455"/>
      <c r="AZ63" s="1455"/>
      <c r="BA63" s="1455"/>
      <c r="BB63" s="1455"/>
      <c r="BC63" s="1455"/>
      <c r="BD63" s="1455"/>
      <c r="BE63" s="1455"/>
      <c r="BF63" s="1858"/>
      <c r="BG63" s="1455"/>
      <c r="BH63" s="1455"/>
      <c r="BI63" s="1455"/>
      <c r="BJ63" s="1455"/>
      <c r="BK63" s="1455"/>
      <c r="BL63" s="1455"/>
      <c r="BM63" s="1455"/>
      <c r="BN63" s="1455"/>
      <c r="BO63" s="1455"/>
      <c r="BP63" s="1858"/>
      <c r="BQ63" s="1273"/>
    </row>
    <row r="64" spans="1:80">
      <c r="A64" s="1273"/>
      <c r="B64" s="1273"/>
      <c r="C64" s="1273"/>
      <c r="D64" s="1273"/>
      <c r="E64" s="1273"/>
      <c r="F64" s="1309"/>
      <c r="G64" s="1273"/>
      <c r="H64" s="1273"/>
      <c r="I64" s="1273"/>
      <c r="J64" s="1273"/>
      <c r="K64" s="1273"/>
      <c r="L64" s="1273"/>
      <c r="M64" s="1273"/>
      <c r="N64" s="1273"/>
      <c r="O64" s="1273"/>
      <c r="P64" s="1309"/>
      <c r="Q64" s="1273"/>
      <c r="R64" s="1273"/>
      <c r="S64" s="1273"/>
      <c r="T64" s="1273"/>
      <c r="U64" s="1273"/>
      <c r="V64" s="1273"/>
      <c r="W64" s="1273"/>
      <c r="X64" s="1273"/>
      <c r="Y64" s="1273"/>
      <c r="Z64" s="1273"/>
      <c r="AA64" s="1273"/>
      <c r="AB64" s="1273"/>
      <c r="AC64" s="1273"/>
      <c r="AD64" s="1273"/>
      <c r="AE64" s="1273"/>
      <c r="AF64" s="1273"/>
      <c r="AG64" s="1273"/>
      <c r="AH64" s="1273"/>
      <c r="AI64" s="1273"/>
      <c r="AJ64" s="1273"/>
      <c r="AK64" s="1273"/>
      <c r="AL64" s="1273"/>
      <c r="AM64" s="1273"/>
      <c r="AN64" s="1273"/>
      <c r="AO64" s="1273"/>
      <c r="AP64" s="1297"/>
      <c r="AQ64" s="1273"/>
      <c r="AR64" s="1273"/>
      <c r="AS64" s="1273"/>
      <c r="AT64" s="1294"/>
      <c r="AU64" s="1273"/>
      <c r="AV64" s="1455"/>
      <c r="AW64" s="1455"/>
      <c r="AX64" s="1455"/>
      <c r="AY64" s="1455"/>
      <c r="AZ64" s="1455"/>
      <c r="BA64" s="1455"/>
      <c r="BB64" s="1455"/>
      <c r="BC64" s="1455"/>
      <c r="BD64" s="1455"/>
      <c r="BE64" s="1455"/>
      <c r="BF64" s="1858"/>
      <c r="BG64" s="1455"/>
      <c r="BH64" s="1455"/>
      <c r="BI64" s="1455"/>
      <c r="BJ64" s="1455"/>
      <c r="BK64" s="1455"/>
      <c r="BL64" s="1455"/>
      <c r="BM64" s="1455"/>
      <c r="BN64" s="1455"/>
      <c r="BO64" s="1455"/>
      <c r="BP64" s="1858"/>
      <c r="BQ64" s="1273"/>
    </row>
    <row r="65" spans="1:69">
      <c r="A65" s="1273"/>
      <c r="B65" s="1273"/>
      <c r="C65" s="1273"/>
      <c r="D65" s="1273"/>
      <c r="E65" s="1273"/>
      <c r="F65" s="1309"/>
      <c r="G65" s="1273"/>
      <c r="H65" s="1273"/>
      <c r="I65" s="1273"/>
      <c r="J65" s="1273"/>
      <c r="K65" s="1273"/>
      <c r="L65" s="1273"/>
      <c r="M65" s="1273"/>
      <c r="N65" s="1273"/>
      <c r="O65" s="1273"/>
      <c r="P65" s="1309"/>
      <c r="Q65" s="1273"/>
      <c r="R65" s="1273"/>
      <c r="S65" s="1273"/>
      <c r="T65" s="1273"/>
      <c r="U65" s="1273"/>
      <c r="V65" s="1273"/>
      <c r="W65" s="1273"/>
      <c r="X65" s="1273"/>
      <c r="Y65" s="1273"/>
      <c r="Z65" s="1273"/>
      <c r="AA65" s="1273"/>
      <c r="AB65" s="1273"/>
      <c r="AC65" s="1273"/>
      <c r="AD65" s="1273"/>
      <c r="AE65" s="1273"/>
      <c r="AF65" s="1273"/>
      <c r="AG65" s="1273"/>
      <c r="AH65" s="1273"/>
      <c r="AI65" s="1273"/>
      <c r="AJ65" s="1273"/>
      <c r="AK65" s="1273"/>
      <c r="AL65" s="1273"/>
      <c r="AM65" s="1273"/>
      <c r="AN65" s="1273"/>
      <c r="AO65" s="1273"/>
      <c r="AP65" s="1297"/>
      <c r="AQ65" s="1273"/>
      <c r="AR65" s="1273"/>
      <c r="AS65" s="1273"/>
      <c r="AT65" s="1294"/>
      <c r="AU65" s="1273"/>
      <c r="AV65" s="1455"/>
      <c r="AW65" s="1455"/>
      <c r="AX65" s="1455"/>
      <c r="AY65" s="1455"/>
      <c r="AZ65" s="1455"/>
      <c r="BA65" s="1455"/>
      <c r="BB65" s="1455"/>
      <c r="BC65" s="1455"/>
      <c r="BD65" s="1455"/>
      <c r="BE65" s="1455"/>
      <c r="BF65" s="1858"/>
      <c r="BG65" s="1455"/>
      <c r="BH65" s="1455"/>
      <c r="BI65" s="1455"/>
      <c r="BJ65" s="1455"/>
      <c r="BK65" s="1455"/>
      <c r="BL65" s="1455"/>
      <c r="BM65" s="1455"/>
      <c r="BN65" s="1455"/>
      <c r="BO65" s="1455"/>
      <c r="BP65" s="1858"/>
      <c r="BQ65" s="1273"/>
    </row>
    <row r="66" spans="1:69">
      <c r="A66" s="1273"/>
      <c r="B66" s="1273"/>
      <c r="C66" s="1273"/>
      <c r="D66" s="1273"/>
      <c r="E66" s="1273"/>
      <c r="F66" s="1309"/>
      <c r="G66" s="1273"/>
      <c r="H66" s="1273"/>
      <c r="I66" s="1273"/>
      <c r="J66" s="1273"/>
      <c r="K66" s="1273"/>
      <c r="L66" s="1273"/>
      <c r="M66" s="1273"/>
      <c r="N66" s="1273"/>
      <c r="O66" s="1273"/>
      <c r="P66" s="1309"/>
      <c r="Q66" s="1273"/>
      <c r="R66" s="1273"/>
      <c r="S66" s="1273"/>
      <c r="T66" s="1273"/>
      <c r="U66" s="1273"/>
      <c r="V66" s="1273"/>
      <c r="W66" s="1273"/>
      <c r="X66" s="1273"/>
      <c r="Y66" s="1273"/>
      <c r="Z66" s="1273"/>
      <c r="AA66" s="1273"/>
      <c r="AB66" s="1273"/>
      <c r="AC66" s="1273"/>
      <c r="AD66" s="1273"/>
      <c r="AE66" s="1273"/>
      <c r="AF66" s="1273"/>
      <c r="AG66" s="1273"/>
      <c r="AH66" s="1273"/>
      <c r="AI66" s="1273"/>
      <c r="AJ66" s="1273"/>
      <c r="AK66" s="1273"/>
      <c r="AL66" s="1273"/>
      <c r="AM66" s="1273"/>
      <c r="AN66" s="1273"/>
      <c r="AO66" s="1273"/>
      <c r="AP66" s="1297"/>
      <c r="AQ66" s="1273"/>
      <c r="AR66" s="1273"/>
      <c r="AS66" s="1273"/>
      <c r="AT66" s="1297"/>
      <c r="AU66" s="1273"/>
      <c r="AV66" s="1297"/>
      <c r="AW66" s="1273"/>
      <c r="AX66" s="1297"/>
      <c r="AY66" s="1273"/>
      <c r="AZ66" s="1297"/>
      <c r="BA66" s="1273"/>
      <c r="BB66" s="1273"/>
      <c r="BC66" s="1273"/>
      <c r="BD66" s="1273"/>
      <c r="BE66" s="1273"/>
      <c r="BF66" s="57"/>
      <c r="BG66" s="1273"/>
      <c r="BH66" s="1273"/>
      <c r="BI66" s="1273"/>
      <c r="BJ66" s="1273"/>
      <c r="BK66" s="1273"/>
      <c r="BL66" s="1273"/>
      <c r="BM66" s="1273"/>
      <c r="BN66" s="1273"/>
      <c r="BO66" s="1273"/>
      <c r="BP66" s="57"/>
      <c r="BQ66" s="1273"/>
    </row>
    <row r="67" spans="1:69">
      <c r="A67" s="1291" t="s">
        <v>323</v>
      </c>
      <c r="B67" s="1273"/>
      <c r="C67" s="1273"/>
      <c r="D67" s="1273"/>
      <c r="E67" s="1273"/>
      <c r="F67" s="1328"/>
      <c r="G67" s="1273"/>
      <c r="H67" s="1273"/>
      <c r="I67" s="1273"/>
      <c r="J67" s="1273"/>
      <c r="K67" s="1273"/>
      <c r="L67" s="1273"/>
      <c r="M67" s="1273"/>
      <c r="N67" s="1273"/>
      <c r="O67" s="1273"/>
      <c r="P67" s="1328"/>
      <c r="Q67" s="1273"/>
      <c r="R67" s="1273"/>
      <c r="S67" s="1273"/>
      <c r="T67" s="1273"/>
      <c r="U67" s="1273"/>
      <c r="V67" s="1273"/>
      <c r="W67" s="1273"/>
      <c r="X67" s="1273"/>
      <c r="Y67" s="1273"/>
      <c r="Z67" s="1273"/>
      <c r="AA67" s="1273"/>
      <c r="AB67" s="1273"/>
      <c r="AC67" s="1273"/>
      <c r="AD67" s="1329"/>
      <c r="AE67" s="1273"/>
      <c r="AF67" s="1273"/>
      <c r="AG67" s="1273"/>
      <c r="AH67" s="1273"/>
      <c r="AI67" s="1273"/>
      <c r="AJ67" s="1273"/>
      <c r="AK67" s="1273"/>
      <c r="AL67" s="1273"/>
      <c r="AM67" s="1273"/>
      <c r="AN67" s="1273"/>
      <c r="AO67" s="1273"/>
      <c r="AP67" s="1273"/>
      <c r="AQ67" s="1273"/>
      <c r="AR67" s="1273"/>
      <c r="AS67" s="1273"/>
      <c r="AT67" s="1297"/>
      <c r="AU67" s="1273"/>
      <c r="AV67" s="1297"/>
      <c r="AW67" s="1273"/>
      <c r="AX67" s="1273"/>
      <c r="AY67" s="1273"/>
      <c r="AZ67" s="1297"/>
      <c r="BA67" s="1273"/>
      <c r="BB67" s="1273"/>
      <c r="BC67" s="1273"/>
      <c r="BD67" s="1273"/>
      <c r="BE67" s="1273"/>
      <c r="BF67" s="57"/>
      <c r="BG67" s="1273"/>
      <c r="BH67" s="1273"/>
      <c r="BI67" s="1273"/>
      <c r="BJ67" s="1273"/>
      <c r="BK67" s="1273"/>
      <c r="BL67" s="1273"/>
      <c r="BM67" s="1273"/>
      <c r="BN67" s="1273"/>
      <c r="BO67" s="1273"/>
      <c r="BP67" s="57"/>
      <c r="BQ67" s="1273"/>
    </row>
    <row r="68" spans="1:69">
      <c r="A68" s="1291" t="s">
        <v>57</v>
      </c>
      <c r="B68" s="1273"/>
      <c r="C68" s="1273"/>
      <c r="D68" s="1273"/>
      <c r="E68" s="1273"/>
      <c r="F68" s="1273"/>
      <c r="G68" s="1273"/>
      <c r="H68" s="1273"/>
      <c r="I68" s="1273"/>
      <c r="J68" s="1273"/>
      <c r="K68" s="1273"/>
      <c r="L68" s="1273"/>
      <c r="M68" s="1273"/>
      <c r="N68" s="1273"/>
      <c r="O68" s="1273"/>
      <c r="P68" s="1273"/>
      <c r="Q68" s="1273"/>
      <c r="R68" s="1273"/>
      <c r="S68" s="1273"/>
      <c r="T68" s="1273"/>
      <c r="U68" s="1273"/>
      <c r="V68" s="1273"/>
      <c r="W68" s="1273"/>
      <c r="X68" s="1273"/>
      <c r="Y68" s="1273"/>
      <c r="Z68" s="1273"/>
      <c r="AA68" s="1273"/>
      <c r="AB68" s="1273"/>
      <c r="AC68" s="1273"/>
      <c r="AD68" s="1294"/>
      <c r="AE68" s="1273"/>
      <c r="AF68" s="1273"/>
      <c r="AG68" s="1273"/>
      <c r="AH68" s="1273"/>
      <c r="AI68" s="1273"/>
      <c r="AJ68" s="1273"/>
      <c r="AK68" s="1273"/>
      <c r="AL68" s="1273"/>
      <c r="AM68" s="1273"/>
      <c r="AN68" s="1273"/>
      <c r="AO68" s="1273"/>
      <c r="AP68" s="1273"/>
      <c r="AQ68" s="1273"/>
      <c r="AR68" s="1273"/>
      <c r="AS68" s="1273"/>
      <c r="AT68" s="1273"/>
      <c r="AU68" s="1273"/>
      <c r="AV68" s="1273"/>
      <c r="AW68" s="1273"/>
      <c r="AX68" s="1273"/>
      <c r="AY68" s="1273"/>
      <c r="AZ68" s="1297"/>
      <c r="BA68" s="1273"/>
      <c r="BB68" s="1273"/>
      <c r="BC68" s="1273"/>
      <c r="BD68" s="1273"/>
      <c r="BE68" s="1273"/>
      <c r="BF68" s="57"/>
      <c r="BG68" s="1273"/>
      <c r="BH68" s="1273"/>
      <c r="BI68" s="1273"/>
      <c r="BJ68" s="1273"/>
      <c r="BK68" s="1273"/>
      <c r="BL68" s="1273"/>
      <c r="BM68" s="1273"/>
      <c r="BN68" s="1273"/>
      <c r="BO68" s="1273"/>
      <c r="BP68" s="57"/>
      <c r="BQ68" s="1273"/>
    </row>
    <row r="69" spans="1:69">
      <c r="A69" s="1273"/>
      <c r="B69" s="1273"/>
      <c r="C69" s="1273"/>
      <c r="D69" s="1273"/>
      <c r="E69" s="1273"/>
      <c r="F69" s="1273"/>
      <c r="G69" s="1273"/>
      <c r="H69" s="1273"/>
      <c r="I69" s="1273"/>
      <c r="J69" s="1273"/>
      <c r="K69" s="1273"/>
      <c r="L69" s="1273"/>
      <c r="M69" s="1273"/>
      <c r="N69" s="1273"/>
      <c r="O69" s="1273"/>
      <c r="P69" s="1273"/>
      <c r="Q69" s="1273"/>
      <c r="R69" s="1273"/>
      <c r="S69" s="1273"/>
      <c r="T69" s="1273"/>
      <c r="U69" s="1273"/>
      <c r="V69" s="1273"/>
      <c r="W69" s="1273"/>
      <c r="X69" s="1273"/>
      <c r="Y69" s="1273"/>
      <c r="Z69" s="1273"/>
      <c r="AA69" s="1273"/>
      <c r="AB69" s="1273"/>
      <c r="AC69" s="1273"/>
      <c r="AD69" s="1294"/>
      <c r="AE69" s="1273"/>
      <c r="AF69" s="1273"/>
      <c r="AG69" s="1273"/>
      <c r="AH69" s="1273"/>
      <c r="AI69" s="1273"/>
      <c r="AJ69" s="1273"/>
      <c r="AK69" s="1273"/>
      <c r="AL69" s="1273"/>
      <c r="AM69" s="1273"/>
      <c r="AN69" s="1273"/>
      <c r="AO69" s="1273"/>
      <c r="AP69" s="1273"/>
      <c r="AQ69" s="1273"/>
      <c r="AR69" s="1273"/>
      <c r="AS69" s="1273"/>
      <c r="AT69" s="1273"/>
      <c r="AU69" s="1273"/>
      <c r="AV69" s="1273"/>
      <c r="AW69" s="1273"/>
      <c r="AX69" s="1273"/>
      <c r="AY69" s="1273"/>
      <c r="AZ69" s="1297"/>
      <c r="BA69" s="1273"/>
      <c r="BB69" s="1273"/>
      <c r="BC69" s="1273"/>
      <c r="BD69" s="1273"/>
      <c r="BE69" s="1273"/>
      <c r="BF69" s="57"/>
      <c r="BG69" s="1273"/>
      <c r="BH69" s="1273"/>
      <c r="BI69" s="1273"/>
      <c r="BJ69" s="1273"/>
      <c r="BK69" s="1273"/>
      <c r="BL69" s="1273"/>
      <c r="BM69" s="1273"/>
      <c r="BN69" s="1273"/>
      <c r="BO69" s="1273"/>
      <c r="BP69" s="57"/>
      <c r="BQ69" s="1273"/>
    </row>
    <row r="70" spans="1:69">
      <c r="A70" s="1330" t="s">
        <v>520</v>
      </c>
      <c r="B70" s="1273"/>
      <c r="C70" s="1273"/>
      <c r="D70" s="1273"/>
      <c r="E70" s="1273"/>
      <c r="F70" s="1273"/>
      <c r="G70" s="1273"/>
      <c r="H70" s="1273"/>
      <c r="I70" s="1273"/>
      <c r="J70" s="1273"/>
      <c r="K70" s="1273"/>
      <c r="L70" s="1273"/>
      <c r="M70" s="1273"/>
      <c r="N70" s="1273"/>
      <c r="O70" s="1273"/>
      <c r="P70" s="1273"/>
      <c r="Q70" s="1273"/>
      <c r="R70" s="1273"/>
      <c r="S70" s="1273"/>
      <c r="T70" s="1273"/>
      <c r="U70" s="1273"/>
      <c r="V70" s="1273"/>
      <c r="W70" s="1273"/>
      <c r="X70" s="1273"/>
      <c r="Y70" s="1273"/>
      <c r="Z70" s="1273"/>
      <c r="AA70" s="1273"/>
      <c r="AB70" s="1273"/>
      <c r="AC70" s="1273"/>
      <c r="AD70" s="1294"/>
      <c r="AE70" s="1273"/>
      <c r="AF70" s="1273"/>
      <c r="AG70" s="1273"/>
      <c r="AH70" s="1273"/>
      <c r="AI70" s="1273"/>
      <c r="AJ70" s="1273"/>
      <c r="AK70" s="1273"/>
      <c r="AL70" s="1273"/>
      <c r="AM70" s="1273"/>
      <c r="AN70" s="1273"/>
      <c r="AO70" s="1273"/>
      <c r="AP70" s="1273"/>
      <c r="AQ70" s="1273"/>
      <c r="AR70" s="1273"/>
      <c r="AS70" s="1273"/>
      <c r="AT70" s="1273"/>
      <c r="AU70" s="1273"/>
      <c r="AV70" s="1273"/>
      <c r="AW70" s="1273"/>
      <c r="AX70" s="1273"/>
      <c r="AY70" s="1273"/>
      <c r="AZ70" s="1273"/>
      <c r="BA70" s="1273"/>
      <c r="BB70" s="1273"/>
      <c r="BC70" s="1273"/>
      <c r="BD70" s="1273"/>
      <c r="BE70" s="1273"/>
      <c r="BF70" s="57"/>
      <c r="BG70" s="1273"/>
      <c r="BH70" s="1273"/>
      <c r="BI70" s="1273"/>
      <c r="BJ70" s="1273"/>
      <c r="BK70" s="1273"/>
      <c r="BL70" s="1273"/>
      <c r="BM70" s="1273"/>
      <c r="BN70" s="1273"/>
      <c r="BO70" s="1273"/>
      <c r="BP70" s="57"/>
      <c r="BQ70" s="1273"/>
    </row>
    <row r="71" spans="1:69">
      <c r="A71" s="1273"/>
      <c r="B71" s="1273"/>
      <c r="C71" s="1273"/>
      <c r="D71" s="1273"/>
      <c r="E71" s="1273"/>
      <c r="F71" s="1273"/>
      <c r="G71" s="1273"/>
      <c r="H71" s="1273"/>
      <c r="I71" s="1273"/>
      <c r="J71" s="1273"/>
      <c r="K71" s="1273"/>
      <c r="L71" s="1273"/>
      <c r="M71" s="1273"/>
      <c r="N71" s="1273"/>
      <c r="O71" s="1273"/>
      <c r="P71" s="1273"/>
      <c r="Q71" s="1273"/>
      <c r="R71" s="1273"/>
      <c r="S71" s="1273"/>
      <c r="T71" s="1273"/>
      <c r="U71" s="1273"/>
      <c r="V71" s="1273"/>
      <c r="W71" s="1273"/>
      <c r="X71" s="1273"/>
      <c r="Y71" s="1273"/>
      <c r="Z71" s="1273"/>
      <c r="AA71" s="1273"/>
      <c r="AB71" s="1273"/>
      <c r="AC71" s="1273"/>
      <c r="AD71" s="1294"/>
      <c r="AE71" s="1273"/>
      <c r="AF71" s="1273"/>
      <c r="AG71" s="1273"/>
      <c r="AH71" s="1273"/>
      <c r="AI71" s="1273"/>
      <c r="AJ71" s="1273"/>
      <c r="AK71" s="1273"/>
      <c r="AL71" s="1273"/>
      <c r="AM71" s="1273"/>
      <c r="AN71" s="1273"/>
      <c r="AO71" s="1273"/>
      <c r="AP71" s="1273"/>
      <c r="AQ71" s="1273"/>
      <c r="AR71" s="1273"/>
      <c r="AS71" s="1273"/>
      <c r="AT71" s="1273"/>
      <c r="AU71" s="1273"/>
      <c r="AV71" s="1273"/>
      <c r="AW71" s="1273"/>
      <c r="AX71" s="1273"/>
      <c r="AY71" s="1273"/>
      <c r="AZ71" s="1273"/>
      <c r="BA71" s="1273"/>
      <c r="BB71" s="1273"/>
      <c r="BC71" s="1273"/>
      <c r="BD71" s="1273"/>
      <c r="BE71" s="1273"/>
      <c r="BF71" s="57"/>
      <c r="BG71" s="1273"/>
      <c r="BH71" s="1273"/>
      <c r="BI71" s="1273"/>
      <c r="BJ71" s="1273"/>
      <c r="BK71" s="1273"/>
      <c r="BL71" s="1273"/>
      <c r="BM71" s="1273"/>
      <c r="BN71" s="1273"/>
      <c r="BO71" s="1273"/>
      <c r="BP71" s="57"/>
      <c r="BQ71" s="1273"/>
    </row>
    <row r="72" spans="1:69" hidden="1" outlineLevel="1">
      <c r="A72" s="1331"/>
      <c r="B72" s="1331"/>
      <c r="C72" s="1331"/>
      <c r="D72" s="1331"/>
      <c r="E72" s="1331"/>
      <c r="F72" s="1331"/>
      <c r="G72" s="1331"/>
      <c r="H72" s="1331"/>
      <c r="I72" s="1331"/>
      <c r="J72" s="1331"/>
      <c r="K72" s="1331"/>
      <c r="L72" s="1331"/>
      <c r="M72" s="1331"/>
      <c r="N72" s="1331"/>
      <c r="O72" s="1331"/>
      <c r="P72" s="1331"/>
      <c r="Q72" s="1331"/>
      <c r="R72" s="1331"/>
      <c r="S72" s="1331"/>
      <c r="T72" s="1331"/>
      <c r="U72" s="1331"/>
      <c r="V72" s="1331"/>
      <c r="W72" s="1331"/>
      <c r="X72" s="1331"/>
      <c r="Y72" s="1331"/>
      <c r="Z72" s="1331"/>
      <c r="AA72" s="1331"/>
      <c r="AB72" s="1331"/>
      <c r="AC72" s="1331"/>
      <c r="AD72" s="1331"/>
      <c r="AE72" s="1331"/>
      <c r="AF72" s="1332">
        <v>182</v>
      </c>
      <c r="AG72" s="1331"/>
      <c r="AH72" s="1331"/>
      <c r="AI72" s="1331"/>
      <c r="AJ72" s="1331"/>
      <c r="AK72" s="1331"/>
      <c r="AL72" s="1331"/>
      <c r="AM72" s="1331"/>
      <c r="AN72" s="1331"/>
      <c r="AO72" s="1331"/>
      <c r="AP72" s="1331"/>
      <c r="AQ72" s="1331"/>
      <c r="AR72" s="1331"/>
      <c r="AS72" s="1331"/>
      <c r="AT72" s="1331"/>
      <c r="AU72" s="1331"/>
      <c r="AV72" s="1331"/>
      <c r="AW72" s="1331"/>
      <c r="AX72" s="1331"/>
      <c r="AY72" s="1331"/>
      <c r="AZ72" s="1331"/>
      <c r="BA72" s="1331"/>
      <c r="BB72" s="1331"/>
      <c r="BC72" s="1331"/>
      <c r="BD72" s="1331"/>
      <c r="BE72" s="1331"/>
      <c r="BF72" s="1867"/>
      <c r="BG72" s="1331"/>
      <c r="BH72" s="1331"/>
      <c r="BI72" s="1331"/>
      <c r="BJ72" s="1331"/>
      <c r="BK72" s="1331"/>
      <c r="BL72" s="1331"/>
      <c r="BM72" s="1333"/>
      <c r="BN72" s="1331"/>
      <c r="BO72" s="1331"/>
      <c r="BP72" s="1867"/>
      <c r="BQ72" s="1273"/>
    </row>
    <row r="73" spans="1:69" hidden="1" outlineLevel="1">
      <c r="A73" s="1334" t="s">
        <v>389</v>
      </c>
      <c r="B73" s="1335"/>
      <c r="C73" s="1335"/>
      <c r="D73" s="1335"/>
      <c r="E73" s="1335"/>
      <c r="F73" s="1335"/>
      <c r="G73" s="1335"/>
      <c r="H73" s="1335"/>
      <c r="I73" s="1335"/>
      <c r="J73" s="1335"/>
      <c r="K73" s="1335"/>
      <c r="L73" s="1335"/>
      <c r="M73" s="1335"/>
      <c r="N73" s="1335"/>
      <c r="O73" s="1335"/>
      <c r="P73" s="1335"/>
      <c r="Q73" s="1335"/>
      <c r="R73" s="1335"/>
      <c r="S73" s="1335"/>
      <c r="T73" s="1335"/>
      <c r="U73" s="1335"/>
      <c r="V73" s="1335"/>
      <c r="W73" s="1335"/>
      <c r="X73" s="1332">
        <v>405.57900000000018</v>
      </c>
      <c r="Y73" s="1332"/>
      <c r="Z73" s="1332">
        <v>564.68899999999985</v>
      </c>
      <c r="AA73" s="1332">
        <v>591.23599999999988</v>
      </c>
      <c r="AB73" s="1332">
        <v>591.23599999999988</v>
      </c>
      <c r="AC73" s="1332"/>
      <c r="AD73" s="1332">
        <v>561.52300000000014</v>
      </c>
      <c r="AE73" s="1332"/>
      <c r="AF73" s="1332">
        <f>+AF75*0.8</f>
        <v>492</v>
      </c>
      <c r="AG73" s="1335"/>
      <c r="AH73" s="1332">
        <f>+AH75*0.8</f>
        <v>500</v>
      </c>
      <c r="AI73" s="1335"/>
      <c r="AJ73" s="1332">
        <f>+AJ75*0.8</f>
        <v>424</v>
      </c>
      <c r="AK73" s="1335"/>
      <c r="AL73" s="1332">
        <f>+AL75*0.8</f>
        <v>437.6</v>
      </c>
      <c r="AM73" s="1335"/>
      <c r="AN73" s="1332">
        <f>+AN75*0.8</f>
        <v>454.40000000000003</v>
      </c>
      <c r="AO73" s="1332"/>
      <c r="AP73" s="1332">
        <f>+AP75*0.8</f>
        <v>458.40000000000003</v>
      </c>
      <c r="AQ73" s="1332"/>
      <c r="AR73" s="1332">
        <f>+AR75*0.8</f>
        <v>449.6</v>
      </c>
      <c r="AS73" s="1332"/>
      <c r="AT73" s="1332">
        <f>+AT75*0.8</f>
        <v>404.8</v>
      </c>
      <c r="AU73" s="1332"/>
      <c r="AV73" s="1332">
        <f>+AV75*0.8</f>
        <v>386.40000000000003</v>
      </c>
      <c r="AW73" s="1332"/>
      <c r="AX73" s="1332">
        <f>+AX75*0.8</f>
        <v>376</v>
      </c>
      <c r="AY73" s="1332"/>
      <c r="AZ73" s="1332">
        <f>+AZ75*0.8</f>
        <v>400</v>
      </c>
      <c r="BA73" s="1332"/>
      <c r="BB73" s="1332">
        <f>+BB75*0.8</f>
        <v>421.6</v>
      </c>
      <c r="BC73" s="1332"/>
      <c r="BD73" s="1332">
        <f>+BD75*0.8</f>
        <v>424.8</v>
      </c>
      <c r="BE73" s="1332"/>
      <c r="BF73" s="1868">
        <f>+BF75*0.8</f>
        <v>399.20000000000005</v>
      </c>
      <c r="BG73" s="1332"/>
      <c r="BH73" s="1332">
        <f>+BH75*0.8</f>
        <v>440</v>
      </c>
      <c r="BI73" s="1332"/>
      <c r="BJ73" s="1332">
        <f>+BJ75*0.8</f>
        <v>452</v>
      </c>
      <c r="BK73" s="1332"/>
      <c r="BL73" s="1332">
        <f>+BL75*0.8</f>
        <v>464</v>
      </c>
      <c r="BM73" s="1332"/>
      <c r="BN73" s="1332">
        <f>+BN75*0.8</f>
        <v>476</v>
      </c>
      <c r="BO73" s="1332"/>
      <c r="BP73" s="1868">
        <f>+BP75*0.8</f>
        <v>488</v>
      </c>
      <c r="BQ73" s="1335"/>
    </row>
    <row r="74" spans="1:69" hidden="1" outlineLevel="1">
      <c r="A74" s="1334" t="s">
        <v>360</v>
      </c>
      <c r="B74" s="1335"/>
      <c r="C74" s="1335"/>
      <c r="D74" s="1335"/>
      <c r="E74" s="1335"/>
      <c r="F74" s="1335"/>
      <c r="G74" s="1335"/>
      <c r="H74" s="1335"/>
      <c r="I74" s="1335"/>
      <c r="J74" s="1335"/>
      <c r="K74" s="1335"/>
      <c r="L74" s="1335"/>
      <c r="M74" s="1335"/>
      <c r="N74" s="1335"/>
      <c r="O74" s="1335"/>
      <c r="P74" s="1335"/>
      <c r="Q74" s="1335"/>
      <c r="R74" s="1335"/>
      <c r="S74" s="1335"/>
      <c r="T74" s="1335"/>
      <c r="U74" s="1335"/>
      <c r="V74" s="1335"/>
      <c r="W74" s="1335"/>
      <c r="X74" s="1336">
        <f>+X75-X73</f>
        <v>184.78599999999983</v>
      </c>
      <c r="Y74" s="1335"/>
      <c r="Z74" s="1336">
        <f>+Z75-Z73</f>
        <v>245.79700000000014</v>
      </c>
      <c r="AA74" s="1335"/>
      <c r="AB74" s="1336">
        <f>+AB75-AB73</f>
        <v>114.76400000000012</v>
      </c>
      <c r="AC74" s="1335"/>
      <c r="AD74" s="1336">
        <f>+AD75-AD73</f>
        <v>113.47699999999986</v>
      </c>
      <c r="AE74" s="1335"/>
      <c r="AF74" s="1336">
        <f>+AF75-AF73</f>
        <v>123</v>
      </c>
      <c r="AG74" s="1335"/>
      <c r="AH74" s="1336">
        <f>+AH75-AH73</f>
        <v>125</v>
      </c>
      <c r="AI74" s="1335"/>
      <c r="AJ74" s="1336">
        <f>+AJ75-AJ73</f>
        <v>106</v>
      </c>
      <c r="AK74" s="1335"/>
      <c r="AL74" s="1336">
        <f>+AL75-AL73</f>
        <v>109.39999999999998</v>
      </c>
      <c r="AM74" s="1335"/>
      <c r="AN74" s="1336">
        <f>+AN75-AN73</f>
        <v>113.59999999999997</v>
      </c>
      <c r="AO74" s="1336"/>
      <c r="AP74" s="1336">
        <f>+AP75-AP73</f>
        <v>114.59999999999997</v>
      </c>
      <c r="AQ74" s="1336"/>
      <c r="AR74" s="1336">
        <f>+AR75-AR73</f>
        <v>112.39999999999998</v>
      </c>
      <c r="AS74" s="1336"/>
      <c r="AT74" s="1336">
        <f>+AT75-AT73</f>
        <v>101.19999999999999</v>
      </c>
      <c r="AU74" s="1336"/>
      <c r="AV74" s="1336">
        <f>+AV75-AV73</f>
        <v>96.599999999999966</v>
      </c>
      <c r="AW74" s="1336"/>
      <c r="AX74" s="1336">
        <f>+AX75-AX73</f>
        <v>94</v>
      </c>
      <c r="AY74" s="1336"/>
      <c r="AZ74" s="1336">
        <f>+AZ75-AZ73</f>
        <v>100</v>
      </c>
      <c r="BA74" s="1336"/>
      <c r="BB74" s="1336">
        <f>+BB75-BB73</f>
        <v>105.39999999999998</v>
      </c>
      <c r="BC74" s="1336"/>
      <c r="BD74" s="1336">
        <f>+BD75-BD73</f>
        <v>106.19999999999999</v>
      </c>
      <c r="BE74" s="1336"/>
      <c r="BF74" s="1869">
        <f>+BF75-BF73</f>
        <v>99.799999999999955</v>
      </c>
      <c r="BG74" s="1336"/>
      <c r="BH74" s="1336">
        <f>+BH75-BH73</f>
        <v>110</v>
      </c>
      <c r="BI74" s="1336"/>
      <c r="BJ74" s="1336">
        <f>+BJ75-BJ73</f>
        <v>113</v>
      </c>
      <c r="BK74" s="1336"/>
      <c r="BL74" s="1336">
        <f>+BL75-BL73</f>
        <v>116</v>
      </c>
      <c r="BM74" s="1336"/>
      <c r="BN74" s="1336">
        <f>+BN75-BN73</f>
        <v>119</v>
      </c>
      <c r="BO74" s="1336"/>
      <c r="BP74" s="1869">
        <f>+BP75-BP73</f>
        <v>122</v>
      </c>
      <c r="BQ74" s="1335"/>
    </row>
    <row r="75" spans="1:69" hidden="1" outlineLevel="1">
      <c r="A75" s="1334" t="s">
        <v>361</v>
      </c>
      <c r="B75" s="1335"/>
      <c r="C75" s="1335"/>
      <c r="D75" s="1335"/>
      <c r="E75" s="1335"/>
      <c r="F75" s="1335"/>
      <c r="G75" s="1335"/>
      <c r="H75" s="1335"/>
      <c r="I75" s="1335"/>
      <c r="J75" s="1335"/>
      <c r="K75" s="1335"/>
      <c r="L75" s="1335"/>
      <c r="M75" s="1335"/>
      <c r="N75" s="1335"/>
      <c r="O75" s="1335"/>
      <c r="P75" s="1335"/>
      <c r="Q75" s="1335"/>
      <c r="R75" s="1335"/>
      <c r="S75" s="1335"/>
      <c r="T75" s="1335"/>
      <c r="U75" s="1335"/>
      <c r="V75" s="1336">
        <f>+V11</f>
        <v>436.18400000000003</v>
      </c>
      <c r="W75" s="1335"/>
      <c r="X75" s="1336">
        <f>+X11</f>
        <v>590.36500000000001</v>
      </c>
      <c r="Y75" s="1335"/>
      <c r="Z75" s="1336">
        <f>+Z11</f>
        <v>810.48599999999999</v>
      </c>
      <c r="AA75" s="1335"/>
      <c r="AB75" s="1336">
        <f>+AB11</f>
        <v>706</v>
      </c>
      <c r="AC75" s="1335"/>
      <c r="AD75" s="1336">
        <f>+AD11</f>
        <v>675</v>
      </c>
      <c r="AE75" s="1335"/>
      <c r="AF75" s="1336">
        <f>+AF11</f>
        <v>615</v>
      </c>
      <c r="AG75" s="1335"/>
      <c r="AH75" s="1336">
        <f>+AH11</f>
        <v>625</v>
      </c>
      <c r="AI75" s="1335"/>
      <c r="AJ75" s="1336">
        <f>+AJ11</f>
        <v>530</v>
      </c>
      <c r="AK75" s="1335"/>
      <c r="AL75" s="1336">
        <f>+AL11</f>
        <v>547</v>
      </c>
      <c r="AM75" s="1335"/>
      <c r="AN75" s="1336">
        <f>+AN11</f>
        <v>568</v>
      </c>
      <c r="AO75" s="1336"/>
      <c r="AP75" s="1336">
        <f>+AP11</f>
        <v>573</v>
      </c>
      <c r="AQ75" s="1336"/>
      <c r="AR75" s="1336">
        <f>+AR11</f>
        <v>562</v>
      </c>
      <c r="AS75" s="1336"/>
      <c r="AT75" s="1336">
        <f>+AT11</f>
        <v>506</v>
      </c>
      <c r="AU75" s="1336"/>
      <c r="AV75" s="1336">
        <f>+AV11</f>
        <v>483</v>
      </c>
      <c r="AW75" s="1336"/>
      <c r="AX75" s="1336">
        <f>+AX11</f>
        <v>470</v>
      </c>
      <c r="AY75" s="1336"/>
      <c r="AZ75" s="1336">
        <f>+AZ11</f>
        <v>500</v>
      </c>
      <c r="BA75" s="1336"/>
      <c r="BB75" s="1336">
        <f>+BB11</f>
        <v>527</v>
      </c>
      <c r="BC75" s="1336"/>
      <c r="BD75" s="1336">
        <f>+BD11</f>
        <v>531</v>
      </c>
      <c r="BE75" s="1336"/>
      <c r="BF75" s="1869">
        <f>+BF11</f>
        <v>499</v>
      </c>
      <c r="BG75" s="1336"/>
      <c r="BH75" s="1336">
        <f>+BH11</f>
        <v>550</v>
      </c>
      <c r="BI75" s="1336"/>
      <c r="BJ75" s="1336">
        <f>+BJ11</f>
        <v>565</v>
      </c>
      <c r="BK75" s="1336"/>
      <c r="BL75" s="1336">
        <f>+BL11</f>
        <v>580</v>
      </c>
      <c r="BM75" s="1336"/>
      <c r="BN75" s="1336">
        <f>+BN11</f>
        <v>595</v>
      </c>
      <c r="BO75" s="1336"/>
      <c r="BP75" s="1869">
        <f>+BP11</f>
        <v>610</v>
      </c>
      <c r="BQ75" s="1335"/>
    </row>
    <row r="76" spans="1:69" hidden="1" outlineLevel="1">
      <c r="A76" s="1334" t="s">
        <v>362</v>
      </c>
      <c r="B76" s="1335"/>
      <c r="C76" s="1335"/>
      <c r="D76" s="1335"/>
      <c r="E76" s="1335"/>
      <c r="F76" s="1335"/>
      <c r="G76" s="1335"/>
      <c r="H76" s="1335"/>
      <c r="I76" s="1335"/>
      <c r="J76" s="1335"/>
      <c r="K76" s="1335"/>
      <c r="L76" s="1335"/>
      <c r="M76" s="1335"/>
      <c r="N76" s="1335"/>
      <c r="O76" s="1335"/>
      <c r="P76" s="1335"/>
      <c r="Q76" s="1335"/>
      <c r="R76" s="1335"/>
      <c r="S76" s="1335"/>
      <c r="T76" s="1335"/>
      <c r="U76" s="1335"/>
      <c r="V76" s="1337">
        <f>+V73/V75</f>
        <v>0</v>
      </c>
      <c r="W76" s="1335"/>
      <c r="X76" s="1337">
        <f>+X73/X75</f>
        <v>0.68699702726279532</v>
      </c>
      <c r="Y76" s="1335"/>
      <c r="Z76" s="1337">
        <f>+Z73/Z75</f>
        <v>0.69672887625449409</v>
      </c>
      <c r="AA76" s="1335"/>
      <c r="AB76" s="1337">
        <f>+AB73/AB75</f>
        <v>0.83744475920679873</v>
      </c>
      <c r="AC76" s="1335"/>
      <c r="AD76" s="1337">
        <f>+AD73/AD75</f>
        <v>0.83188592592592614</v>
      </c>
      <c r="AE76" s="1335"/>
      <c r="AF76" s="1337">
        <f>+AF73/AF75</f>
        <v>0.8</v>
      </c>
      <c r="AG76" s="1335"/>
      <c r="AH76" s="1337">
        <f>+AH73/AH75</f>
        <v>0.8</v>
      </c>
      <c r="AI76" s="1335"/>
      <c r="AJ76" s="1337">
        <f>+AJ73/AJ75</f>
        <v>0.8</v>
      </c>
      <c r="AK76" s="1335"/>
      <c r="AL76" s="1337">
        <f>+AL73/AL75</f>
        <v>0.8</v>
      </c>
      <c r="AM76" s="1335"/>
      <c r="AN76" s="1337">
        <f>+AN73/AN75</f>
        <v>0.8</v>
      </c>
      <c r="AO76" s="1337"/>
      <c r="AP76" s="1337">
        <f>+AP73/AP75</f>
        <v>0.8</v>
      </c>
      <c r="AQ76" s="1337"/>
      <c r="AR76" s="1337">
        <f>+AR73/AR75</f>
        <v>0.8</v>
      </c>
      <c r="AS76" s="1337"/>
      <c r="AT76" s="1337">
        <f>+AT73/AT75</f>
        <v>0.8</v>
      </c>
      <c r="AU76" s="1337"/>
      <c r="AV76" s="1337">
        <f>+AV73/AV75</f>
        <v>0.8</v>
      </c>
      <c r="AW76" s="1337"/>
      <c r="AX76" s="1337">
        <f>+AX73/AX75</f>
        <v>0.8</v>
      </c>
      <c r="AY76" s="1337"/>
      <c r="AZ76" s="1337">
        <f>+AZ73/AZ75</f>
        <v>0.8</v>
      </c>
      <c r="BA76" s="1337"/>
      <c r="BB76" s="1337">
        <f>+BB73/BB75</f>
        <v>0.8</v>
      </c>
      <c r="BC76" s="1337"/>
      <c r="BD76" s="1337">
        <f>+BD73/BD75</f>
        <v>0.8</v>
      </c>
      <c r="BE76" s="1337"/>
      <c r="BF76" s="1870">
        <f>+BF73/BF75</f>
        <v>0.8</v>
      </c>
      <c r="BG76" s="1337"/>
      <c r="BH76" s="1337">
        <f>+BH73/BH75</f>
        <v>0.8</v>
      </c>
      <c r="BI76" s="1337"/>
      <c r="BJ76" s="1337">
        <f>+BJ73/BJ75</f>
        <v>0.8</v>
      </c>
      <c r="BK76" s="1337"/>
      <c r="BL76" s="1337">
        <f>+BL73/BL75</f>
        <v>0.8</v>
      </c>
      <c r="BM76" s="1337"/>
      <c r="BN76" s="1337">
        <f>+BN73/BN75</f>
        <v>0.8</v>
      </c>
      <c r="BO76" s="1337"/>
      <c r="BP76" s="1870">
        <f>+BP73/BP75</f>
        <v>0.8</v>
      </c>
      <c r="BQ76" s="1335"/>
    </row>
    <row r="77" spans="1:69" hidden="1" outlineLevel="1">
      <c r="A77" s="1334"/>
      <c r="B77" s="1335"/>
      <c r="C77" s="1335"/>
      <c r="D77" s="1335"/>
      <c r="E77" s="1335"/>
      <c r="F77" s="1335"/>
      <c r="G77" s="1335"/>
      <c r="H77" s="1335"/>
      <c r="I77" s="1335"/>
      <c r="J77" s="1335"/>
      <c r="K77" s="1335"/>
      <c r="L77" s="1335"/>
      <c r="M77" s="1335"/>
      <c r="N77" s="1335"/>
      <c r="O77" s="1335"/>
      <c r="P77" s="1335"/>
      <c r="Q77" s="1335"/>
      <c r="R77" s="1335"/>
      <c r="S77" s="1335"/>
      <c r="T77" s="1335"/>
      <c r="U77" s="1335"/>
      <c r="V77" s="1335"/>
      <c r="W77" s="1335"/>
      <c r="X77" s="1335"/>
      <c r="Y77" s="1335"/>
      <c r="Z77" s="1335"/>
      <c r="AA77" s="1335"/>
      <c r="AB77" s="1335"/>
      <c r="AC77" s="1335"/>
      <c r="AD77" s="1336"/>
      <c r="AE77" s="1335"/>
      <c r="AF77" s="1335"/>
      <c r="AG77" s="1335"/>
      <c r="AH77" s="1335"/>
      <c r="AI77" s="1335"/>
      <c r="AJ77" s="1335"/>
      <c r="AK77" s="1335"/>
      <c r="AL77" s="1335"/>
      <c r="AM77" s="1335"/>
      <c r="AN77" s="1335"/>
      <c r="AO77" s="1335"/>
      <c r="AP77" s="1335"/>
      <c r="AQ77" s="1335"/>
      <c r="AR77" s="1335"/>
      <c r="AS77" s="1335"/>
      <c r="AT77" s="1335"/>
      <c r="AU77" s="1335"/>
      <c r="AV77" s="1335"/>
      <c r="AW77" s="1335"/>
      <c r="AX77" s="1335"/>
      <c r="AY77" s="1335"/>
      <c r="AZ77" s="1335"/>
      <c r="BA77" s="1335"/>
      <c r="BB77" s="1335"/>
      <c r="BC77" s="1335"/>
      <c r="BD77" s="1335"/>
      <c r="BE77" s="1335"/>
      <c r="BF77" s="1855"/>
      <c r="BG77" s="1335"/>
      <c r="BH77" s="1335"/>
      <c r="BI77" s="1335"/>
      <c r="BJ77" s="1335"/>
      <c r="BK77" s="1335"/>
      <c r="BL77" s="1335"/>
      <c r="BM77" s="1335"/>
      <c r="BN77" s="1335"/>
      <c r="BO77" s="1335"/>
      <c r="BP77" s="1855"/>
      <c r="BQ77" s="1335"/>
    </row>
    <row r="78" spans="1:69" hidden="1" outlineLevel="1">
      <c r="A78" s="1338" t="s">
        <v>363</v>
      </c>
      <c r="B78" s="1335"/>
      <c r="C78" s="1335"/>
      <c r="D78" s="1335"/>
      <c r="E78" s="1335"/>
      <c r="F78" s="1335"/>
      <c r="G78" s="1335"/>
      <c r="H78" s="1335"/>
      <c r="I78" s="1335"/>
      <c r="J78" s="1335"/>
      <c r="K78" s="1335"/>
      <c r="L78" s="1335"/>
      <c r="M78" s="1335"/>
      <c r="N78" s="1335"/>
      <c r="O78" s="1335"/>
      <c r="P78" s="1335"/>
      <c r="Q78" s="1335"/>
      <c r="R78" s="1335"/>
      <c r="S78" s="1335"/>
      <c r="T78" s="1335"/>
      <c r="U78" s="1335"/>
      <c r="V78" s="1336">
        <f>-V22*0.9</f>
        <v>-1150.7049</v>
      </c>
      <c r="W78" s="1335"/>
      <c r="X78" s="1336">
        <f>-X22*0.9</f>
        <v>-1687.4226000000001</v>
      </c>
      <c r="Y78" s="1335"/>
      <c r="Z78" s="1336">
        <f>-Z22*0.9</f>
        <v>-870.84269999999992</v>
      </c>
      <c r="AA78" s="1335"/>
      <c r="AB78" s="1336">
        <f>-AB22*0.9</f>
        <v>-269.10000000000002</v>
      </c>
      <c r="AC78" s="1335"/>
      <c r="AD78" s="1336">
        <f>-AD22*0.9</f>
        <v>-234.9</v>
      </c>
      <c r="AE78" s="1335"/>
      <c r="AF78" s="1336">
        <f>-AF22*0.9</f>
        <v>-397.8</v>
      </c>
      <c r="AG78" s="1335"/>
      <c r="AH78" s="1336">
        <f>-AH22*0.9</f>
        <v>-515.70000000000005</v>
      </c>
      <c r="AI78" s="1335"/>
      <c r="AJ78" s="1336">
        <f>-AJ22*0.9</f>
        <v>-495</v>
      </c>
      <c r="AK78" s="1335"/>
      <c r="AL78" s="1336">
        <f>-AL22*0.9</f>
        <v>-603.9</v>
      </c>
      <c r="AM78" s="1335"/>
      <c r="AN78" s="1336">
        <f>-AN22*0.9</f>
        <v>-387</v>
      </c>
      <c r="AO78" s="1336"/>
      <c r="AP78" s="1336">
        <f>-AP22*0.9</f>
        <v>-300.60000000000002</v>
      </c>
      <c r="AQ78" s="1336"/>
      <c r="AR78" s="1336">
        <f>-AR22*0.9</f>
        <v>-501.3</v>
      </c>
      <c r="AS78" s="1336"/>
      <c r="AT78" s="1336">
        <f>-AT22*0.9</f>
        <v>-493.2</v>
      </c>
      <c r="AU78" s="1336"/>
      <c r="AV78" s="1336">
        <f>-AV22*0.9</f>
        <v>-593.1</v>
      </c>
      <c r="AW78" s="1336"/>
      <c r="AX78" s="1336">
        <f>-AX22*0.9</f>
        <v>-603</v>
      </c>
      <c r="AY78" s="1336"/>
      <c r="AZ78" s="1336">
        <f>-AZ22*0.9</f>
        <v>-642.6</v>
      </c>
      <c r="BA78" s="1336"/>
      <c r="BB78" s="1336">
        <f>-BB22*0.9</f>
        <v>-657</v>
      </c>
      <c r="BC78" s="1336"/>
      <c r="BD78" s="1336">
        <f>-BD22*0.9</f>
        <v>-476.1</v>
      </c>
      <c r="BE78" s="1336"/>
      <c r="BF78" s="1869">
        <f>-BF22*0.9</f>
        <v>-601.20000000000005</v>
      </c>
      <c r="BG78" s="1336"/>
      <c r="BH78" s="1336">
        <f>-BH22*0.9</f>
        <v>-720</v>
      </c>
      <c r="BI78" s="1336"/>
      <c r="BJ78" s="1336">
        <f>-BJ22*0.9</f>
        <v>-585</v>
      </c>
      <c r="BK78" s="1336"/>
      <c r="BL78" s="1336">
        <f>-BL22*0.9</f>
        <v>-585</v>
      </c>
      <c r="BM78" s="1336"/>
      <c r="BN78" s="1336">
        <f>-BN22*0.9</f>
        <v>-585</v>
      </c>
      <c r="BO78" s="1336"/>
      <c r="BP78" s="1869">
        <f>-BP22*0.9</f>
        <v>-585</v>
      </c>
      <c r="BQ78" s="1335"/>
    </row>
    <row r="79" spans="1:69" hidden="1" outlineLevel="1">
      <c r="A79" s="1338" t="s">
        <v>364</v>
      </c>
      <c r="B79" s="1335"/>
      <c r="C79" s="1335"/>
      <c r="D79" s="1335"/>
      <c r="E79" s="1335"/>
      <c r="F79" s="1335"/>
      <c r="G79" s="1335"/>
      <c r="H79" s="1335"/>
      <c r="I79" s="1335"/>
      <c r="J79" s="1335"/>
      <c r="K79" s="1335"/>
      <c r="L79" s="1335"/>
      <c r="M79" s="1335"/>
      <c r="N79" s="1335"/>
      <c r="O79" s="1335"/>
      <c r="P79" s="1335"/>
      <c r="Q79" s="1335"/>
      <c r="R79" s="1335"/>
      <c r="S79" s="1335"/>
      <c r="T79" s="1335"/>
      <c r="U79" s="1335"/>
      <c r="V79" s="1336">
        <f>-V22*0.1</f>
        <v>-127.8561</v>
      </c>
      <c r="W79" s="1335"/>
      <c r="X79" s="1336">
        <f>-X22*0.1</f>
        <v>-187.4914</v>
      </c>
      <c r="Y79" s="1335"/>
      <c r="Z79" s="1336">
        <f>-Z22*0.1</f>
        <v>-96.760300000000001</v>
      </c>
      <c r="AA79" s="1335"/>
      <c r="AB79" s="1336">
        <f>-AB22*0.1</f>
        <v>-29.900000000000002</v>
      </c>
      <c r="AC79" s="1335"/>
      <c r="AD79" s="1336">
        <f>-AD22*0.1</f>
        <v>-26.1</v>
      </c>
      <c r="AE79" s="1335"/>
      <c r="AF79" s="1336">
        <f>-AF22*0.1</f>
        <v>-44.2</v>
      </c>
      <c r="AG79" s="1335"/>
      <c r="AH79" s="1336">
        <f>-AH22*0.1</f>
        <v>-57.300000000000004</v>
      </c>
      <c r="AI79" s="1335"/>
      <c r="AJ79" s="1336">
        <f>-AJ22*0.1</f>
        <v>-55</v>
      </c>
      <c r="AK79" s="1335"/>
      <c r="AL79" s="1336">
        <f>-AL22*0.1</f>
        <v>-67.100000000000009</v>
      </c>
      <c r="AM79" s="1335"/>
      <c r="AN79" s="1336">
        <f>-AN22*0.1</f>
        <v>-43</v>
      </c>
      <c r="AO79" s="1336"/>
      <c r="AP79" s="1336">
        <f>-AP22*0.1</f>
        <v>-33.4</v>
      </c>
      <c r="AQ79" s="1336"/>
      <c r="AR79" s="1336">
        <f>-AR22*0.1</f>
        <v>-55.7</v>
      </c>
      <c r="AS79" s="1336"/>
      <c r="AT79" s="1336">
        <f>-AT22*0.1</f>
        <v>-54.800000000000004</v>
      </c>
      <c r="AU79" s="1336"/>
      <c r="AV79" s="1336">
        <f>-AV22*0.1</f>
        <v>-65.900000000000006</v>
      </c>
      <c r="AW79" s="1336"/>
      <c r="AX79" s="1336">
        <f>-AX22*0.1</f>
        <v>-67</v>
      </c>
      <c r="AY79" s="1336"/>
      <c r="AZ79" s="1336">
        <f>-AZ22*0.1</f>
        <v>-71.400000000000006</v>
      </c>
      <c r="BA79" s="1336"/>
      <c r="BB79" s="1336">
        <f>-BB22*0.1</f>
        <v>-73</v>
      </c>
      <c r="BC79" s="1336"/>
      <c r="BD79" s="1336">
        <f>-BD22*0.1</f>
        <v>-52.900000000000006</v>
      </c>
      <c r="BE79" s="1336"/>
      <c r="BF79" s="1869">
        <f>-BF22*0.1</f>
        <v>-66.8</v>
      </c>
      <c r="BG79" s="1336"/>
      <c r="BH79" s="1336">
        <f>-BH22*0.1</f>
        <v>-80</v>
      </c>
      <c r="BI79" s="1336"/>
      <c r="BJ79" s="1336">
        <f>-BJ22*0.1</f>
        <v>-65</v>
      </c>
      <c r="BK79" s="1336"/>
      <c r="BL79" s="1336">
        <f>-BL22*0.1</f>
        <v>-65</v>
      </c>
      <c r="BM79" s="1336"/>
      <c r="BN79" s="1336">
        <f>-BN22*0.1</f>
        <v>-65</v>
      </c>
      <c r="BO79" s="1336"/>
      <c r="BP79" s="1869">
        <f>-BP22*0.1</f>
        <v>-65</v>
      </c>
      <c r="BQ79" s="1335"/>
    </row>
    <row r="80" spans="1:69" hidden="1" outlineLevel="1">
      <c r="A80" s="1338" t="s">
        <v>330</v>
      </c>
      <c r="B80" s="1335"/>
      <c r="C80" s="1335"/>
      <c r="D80" s="1335"/>
      <c r="E80" s="1335"/>
      <c r="F80" s="1335"/>
      <c r="G80" s="1335"/>
      <c r="H80" s="1335"/>
      <c r="I80" s="1335"/>
      <c r="J80" s="1335"/>
      <c r="K80" s="1335"/>
      <c r="L80" s="1335"/>
      <c r="M80" s="1335"/>
      <c r="N80" s="1335"/>
      <c r="O80" s="1335"/>
      <c r="P80" s="1335"/>
      <c r="Q80" s="1335"/>
      <c r="R80" s="1335"/>
      <c r="S80" s="1335"/>
      <c r="T80" s="1335"/>
      <c r="U80" s="1335"/>
      <c r="V80" s="1336"/>
      <c r="W80" s="1335"/>
      <c r="X80" s="1336"/>
      <c r="Y80" s="1335"/>
      <c r="Z80" s="1336"/>
      <c r="AA80" s="1335"/>
      <c r="AB80" s="1336"/>
      <c r="AC80" s="1335"/>
      <c r="AD80" s="1336"/>
      <c r="AE80" s="1335"/>
      <c r="AF80" s="1336">
        <f>AF17-AF36</f>
        <v>1885.0470000000025</v>
      </c>
      <c r="AG80" s="1336">
        <f t="shared" ref="AG80:AP80" si="0">AG17-AG36</f>
        <v>0</v>
      </c>
      <c r="AH80" s="1336">
        <f t="shared" si="0"/>
        <v>1450.6220000000008</v>
      </c>
      <c r="AI80" s="1336">
        <f t="shared" si="0"/>
        <v>0</v>
      </c>
      <c r="AJ80" s="1336">
        <f t="shared" si="0"/>
        <v>1638.6790000000001</v>
      </c>
      <c r="AK80" s="1336">
        <f t="shared" si="0"/>
        <v>0</v>
      </c>
      <c r="AL80" s="1336">
        <f t="shared" si="0"/>
        <v>2081</v>
      </c>
      <c r="AM80" s="1336">
        <f t="shared" si="0"/>
        <v>0</v>
      </c>
      <c r="AN80" s="1336">
        <f t="shared" si="0"/>
        <v>1418</v>
      </c>
      <c r="AO80" s="1336"/>
      <c r="AP80" s="1336">
        <f t="shared" si="0"/>
        <v>1932</v>
      </c>
      <c r="AQ80" s="1336"/>
      <c r="AR80" s="1336">
        <f>AR17-AR36</f>
        <v>1755</v>
      </c>
      <c r="AS80" s="1336"/>
      <c r="AT80" s="1336">
        <f>AT17-AT36</f>
        <v>1376</v>
      </c>
      <c r="AU80" s="1336"/>
      <c r="AV80" s="1336">
        <f>AV17-AV36</f>
        <v>1970</v>
      </c>
      <c r="AW80" s="1336"/>
      <c r="AX80" s="1336">
        <f>AX17-AX36</f>
        <v>1761</v>
      </c>
      <c r="AY80" s="1336"/>
      <c r="AZ80" s="1336">
        <f>AZ17-AZ36</f>
        <v>2167</v>
      </c>
      <c r="BA80" s="1336"/>
      <c r="BB80" s="1336">
        <f>BB17-BB36</f>
        <v>1594</v>
      </c>
      <c r="BC80" s="1336"/>
      <c r="BD80" s="1336">
        <f>BD17-BD36</f>
        <v>1719.17</v>
      </c>
      <c r="BE80" s="1336"/>
      <c r="BF80" s="1869">
        <f>BF17-BF36</f>
        <v>1380</v>
      </c>
      <c r="BG80" s="1336"/>
      <c r="BH80" s="1336">
        <f>BH17-BH36</f>
        <v>1635.2000902239229</v>
      </c>
      <c r="BI80" s="1336"/>
      <c r="BJ80" s="1336">
        <f>BJ17-BJ36</f>
        <v>1584.1877116333803</v>
      </c>
      <c r="BK80" s="1336"/>
      <c r="BL80" s="1336">
        <f>BL17-BL36</f>
        <v>1508.302407592691</v>
      </c>
      <c r="BM80" s="1336"/>
      <c r="BN80" s="1336">
        <f>BN17-BN36</f>
        <v>1480.7662196420906</v>
      </c>
      <c r="BO80" s="1336"/>
      <c r="BP80" s="1869">
        <f>BP17-BP36</f>
        <v>1454.2608551675953</v>
      </c>
      <c r="BQ80" s="1335"/>
    </row>
    <row r="81" spans="1:69" hidden="1" outlineLevel="1">
      <c r="A81" s="1338" t="s">
        <v>331</v>
      </c>
      <c r="B81" s="1335"/>
      <c r="C81" s="1335"/>
      <c r="D81" s="1335"/>
      <c r="E81" s="1335"/>
      <c r="F81" s="1335"/>
      <c r="G81" s="1335"/>
      <c r="H81" s="1335"/>
      <c r="I81" s="1335"/>
      <c r="J81" s="1335"/>
      <c r="K81" s="1335"/>
      <c r="L81" s="1335"/>
      <c r="M81" s="1335"/>
      <c r="N81" s="1335"/>
      <c r="O81" s="1335"/>
      <c r="P81" s="1335"/>
      <c r="Q81" s="1335"/>
      <c r="R81" s="1335"/>
      <c r="S81" s="1335"/>
      <c r="T81" s="1335"/>
      <c r="U81" s="1335"/>
      <c r="V81" s="1336"/>
      <c r="W81" s="1335"/>
      <c r="X81" s="1336"/>
      <c r="Y81" s="1335"/>
      <c r="Z81" s="1336"/>
      <c r="AA81" s="1335"/>
      <c r="AB81" s="1336"/>
      <c r="AC81" s="1335"/>
      <c r="AD81" s="1336"/>
      <c r="AE81" s="1335"/>
      <c r="AF81" s="1336">
        <f>AF53+AF55</f>
        <v>-1796</v>
      </c>
      <c r="AG81" s="1336"/>
      <c r="AH81" s="1336">
        <f>AH53+AH55</f>
        <v>-2040</v>
      </c>
      <c r="AI81" s="1336">
        <f t="shared" ref="AI81:AP81" si="1">AI53+AI55</f>
        <v>0</v>
      </c>
      <c r="AJ81" s="1336">
        <f t="shared" si="1"/>
        <v>-1102</v>
      </c>
      <c r="AK81" s="1336">
        <f t="shared" si="1"/>
        <v>0</v>
      </c>
      <c r="AL81" s="1336">
        <f t="shared" si="1"/>
        <v>-1755</v>
      </c>
      <c r="AM81" s="1336">
        <f t="shared" si="1"/>
        <v>0</v>
      </c>
      <c r="AN81" s="1336">
        <f t="shared" si="1"/>
        <v>-976</v>
      </c>
      <c r="AO81" s="1336"/>
      <c r="AP81" s="1336">
        <f t="shared" si="1"/>
        <v>-978</v>
      </c>
      <c r="AQ81" s="1336"/>
      <c r="AR81" s="1336">
        <f>AR53+AR55</f>
        <v>-2010</v>
      </c>
      <c r="AS81" s="1336"/>
      <c r="AT81" s="1336">
        <f>AT53+AT55</f>
        <v>-521</v>
      </c>
      <c r="AU81" s="1336"/>
      <c r="AV81" s="1336">
        <f>AV53+AV55</f>
        <v>-1700</v>
      </c>
      <c r="AW81" s="1336"/>
      <c r="AX81" s="1336">
        <f>AX53+AX55</f>
        <v>-1014</v>
      </c>
      <c r="AY81" s="1336"/>
      <c r="AZ81" s="1336">
        <f>AZ53+AZ55</f>
        <v>-1427</v>
      </c>
      <c r="BA81" s="1336"/>
      <c r="BB81" s="1336">
        <f>BB53+BB55</f>
        <v>-990</v>
      </c>
      <c r="BC81" s="1336"/>
      <c r="BD81" s="1336">
        <f>BD53+BD55</f>
        <v>-777</v>
      </c>
      <c r="BE81" s="1336"/>
      <c r="BF81" s="1869">
        <f>BF53+BF55</f>
        <v>-731</v>
      </c>
      <c r="BG81" s="1336"/>
      <c r="BH81" s="1336">
        <f>BH53+BH55</f>
        <v>-773.12666666666667</v>
      </c>
      <c r="BI81" s="1336"/>
      <c r="BJ81" s="1336">
        <f>BJ53+BJ55</f>
        <v>-748.12666666666667</v>
      </c>
      <c r="BK81" s="1336"/>
      <c r="BL81" s="1336">
        <f>BL53+BL55</f>
        <v>-748.12666666666667</v>
      </c>
      <c r="BM81" s="1336"/>
      <c r="BN81" s="1336">
        <f>BN53+BN55</f>
        <v>-748.12666666666667</v>
      </c>
      <c r="BO81" s="1336"/>
      <c r="BP81" s="1869">
        <f>BP53+BP55</f>
        <v>-748.12666666666667</v>
      </c>
      <c r="BQ81" s="1335"/>
    </row>
    <row r="82" spans="1:69" collapsed="1">
      <c r="A82" s="1273"/>
      <c r="B82" s="1273"/>
      <c r="C82" s="1273"/>
      <c r="D82" s="1273"/>
      <c r="E82" s="1273"/>
      <c r="F82" s="1273"/>
      <c r="G82" s="1273"/>
      <c r="H82" s="1273"/>
      <c r="I82" s="1273"/>
      <c r="J82" s="1273"/>
      <c r="K82" s="1273"/>
      <c r="L82" s="1273"/>
      <c r="M82" s="1273"/>
      <c r="N82" s="1273"/>
      <c r="O82" s="1273"/>
      <c r="P82" s="1273"/>
      <c r="Q82" s="1273"/>
      <c r="R82" s="1273"/>
      <c r="S82" s="1273"/>
      <c r="T82" s="1273"/>
      <c r="U82" s="1273"/>
      <c r="V82" s="1273"/>
      <c r="W82" s="1273"/>
      <c r="X82" s="1273"/>
      <c r="Y82" s="1273"/>
      <c r="Z82" s="1273"/>
      <c r="AA82" s="1273"/>
      <c r="AB82" s="1273"/>
      <c r="AC82" s="1273"/>
      <c r="AD82" s="1294"/>
      <c r="AE82" s="1273"/>
      <c r="AF82" s="1273"/>
      <c r="AG82" s="1273"/>
      <c r="AH82" s="1273"/>
      <c r="AI82" s="1273"/>
      <c r="AJ82" s="1273"/>
      <c r="AK82" s="1273"/>
      <c r="AL82" s="1273"/>
      <c r="AM82" s="1273"/>
      <c r="AN82" s="1273"/>
      <c r="AO82" s="1273"/>
      <c r="AP82" s="1273"/>
      <c r="AQ82" s="1273"/>
      <c r="AR82" s="1273"/>
      <c r="AS82" s="1273"/>
      <c r="AT82" s="1273"/>
      <c r="AU82" s="1273"/>
      <c r="AV82" s="1273"/>
      <c r="AW82" s="1273"/>
      <c r="AX82" s="1273"/>
      <c r="AY82" s="1273"/>
      <c r="AZ82" s="1273"/>
      <c r="BA82" s="1273"/>
      <c r="BB82" s="1273"/>
      <c r="BC82" s="1273"/>
      <c r="BD82" s="1273"/>
      <c r="BE82" s="1273"/>
      <c r="BF82" s="57"/>
      <c r="BG82" s="1273"/>
      <c r="BH82" s="1273"/>
      <c r="BI82" s="1273"/>
      <c r="BJ82" s="1273"/>
      <c r="BK82" s="1273"/>
      <c r="BL82" s="1273"/>
      <c r="BM82" s="1273"/>
      <c r="BN82" s="1273"/>
      <c r="BO82" s="1273"/>
      <c r="BP82" s="57"/>
      <c r="BQ82" s="1273"/>
    </row>
    <row r="83" spans="1:69">
      <c r="A83" s="1273"/>
      <c r="B83" s="1273"/>
      <c r="C83" s="1273"/>
      <c r="D83" s="1273"/>
      <c r="E83" s="1273"/>
      <c r="F83" s="1273"/>
      <c r="G83" s="1273"/>
      <c r="H83" s="1273"/>
      <c r="I83" s="1273"/>
      <c r="J83" s="1273"/>
      <c r="K83" s="1273"/>
      <c r="L83" s="1273"/>
      <c r="M83" s="1273"/>
      <c r="N83" s="1273"/>
      <c r="O83" s="1273"/>
      <c r="P83" s="1273"/>
      <c r="Q83" s="1273"/>
      <c r="R83" s="1273"/>
      <c r="S83" s="1273"/>
      <c r="T83" s="1273"/>
      <c r="U83" s="1273"/>
      <c r="V83" s="1273"/>
      <c r="W83" s="1273"/>
      <c r="X83" s="1273"/>
      <c r="Y83" s="1273"/>
      <c r="Z83" s="1273"/>
      <c r="AA83" s="1273"/>
      <c r="AB83" s="1294"/>
      <c r="AC83" s="1273"/>
      <c r="AD83" s="1294"/>
      <c r="AE83" s="1273"/>
      <c r="AF83" s="1273"/>
      <c r="AG83" s="1273"/>
      <c r="AH83" s="1273"/>
      <c r="AI83" s="1273"/>
      <c r="AJ83" s="1273"/>
      <c r="AK83" s="1273"/>
      <c r="AL83" s="1273"/>
      <c r="AM83" s="1273"/>
      <c r="AN83" s="1273"/>
      <c r="AO83" s="1273"/>
      <c r="AP83" s="1273"/>
      <c r="AQ83" s="1273"/>
      <c r="AR83" s="1273"/>
      <c r="AS83" s="1273"/>
      <c r="AT83" s="1273"/>
      <c r="AU83" s="1273"/>
      <c r="AV83" s="1273"/>
      <c r="AW83" s="1273"/>
      <c r="AX83" s="1273"/>
      <c r="AY83" s="1273"/>
      <c r="AZ83" s="1273"/>
      <c r="BA83" s="1273"/>
      <c r="BB83" s="1273"/>
      <c r="BC83" s="1273"/>
      <c r="BD83" s="1273"/>
      <c r="BE83" s="1273"/>
      <c r="BF83" s="57"/>
      <c r="BG83" s="1273"/>
      <c r="BH83" s="1273"/>
      <c r="BI83" s="1273"/>
      <c r="BJ83" s="1273"/>
      <c r="BK83" s="1273"/>
      <c r="BL83" s="1273"/>
      <c r="BM83" s="1273"/>
      <c r="BN83" s="1273"/>
      <c r="BO83" s="1273"/>
      <c r="BP83" s="57"/>
      <c r="BQ83" s="1273"/>
    </row>
    <row r="84" spans="1:69">
      <c r="A84" s="1265" t="s">
        <v>345</v>
      </c>
      <c r="B84" s="1273"/>
      <c r="C84" s="1267"/>
      <c r="D84" s="1315"/>
      <c r="E84" s="1315"/>
      <c r="F84" s="1315"/>
      <c r="G84" s="1315"/>
      <c r="H84" s="1315"/>
      <c r="I84" s="1315"/>
      <c r="J84" s="1315"/>
      <c r="K84" s="1315"/>
      <c r="L84" s="1315"/>
      <c r="M84" s="1315"/>
      <c r="N84" s="1315"/>
      <c r="O84" s="1315"/>
      <c r="P84" s="1315"/>
      <c r="Q84" s="1315"/>
      <c r="R84" s="1315"/>
      <c r="S84" s="1315"/>
      <c r="T84" s="1315"/>
      <c r="U84" s="1315"/>
      <c r="V84" s="1315"/>
      <c r="W84" s="1315"/>
      <c r="X84" s="1315"/>
      <c r="Y84" s="1315"/>
      <c r="Z84" s="1315"/>
      <c r="AA84" s="1315"/>
      <c r="AB84" s="1315"/>
      <c r="AC84" s="1315"/>
      <c r="AD84" s="1315"/>
      <c r="AE84" s="1315"/>
      <c r="AF84" s="1315"/>
      <c r="AG84" s="1315"/>
      <c r="AH84" s="1315"/>
      <c r="AI84" s="1315"/>
      <c r="AJ84" s="1315"/>
      <c r="AK84" s="1315"/>
      <c r="AL84" s="1315"/>
      <c r="AM84" s="1315"/>
      <c r="AN84" s="1315"/>
      <c r="AO84" s="1315"/>
      <c r="AP84" s="1315"/>
      <c r="AQ84" s="1315"/>
      <c r="AR84" s="1315"/>
      <c r="AS84" s="1315"/>
      <c r="AT84" s="1315"/>
      <c r="AU84" s="1315"/>
      <c r="AV84" s="1315"/>
      <c r="AW84" s="1315"/>
      <c r="AX84" s="1315"/>
      <c r="AY84" s="1315"/>
      <c r="AZ84" s="1315"/>
      <c r="BA84" s="1273"/>
      <c r="BB84" s="1273"/>
      <c r="BC84" s="1273"/>
      <c r="BD84" s="1273"/>
      <c r="BE84" s="1273"/>
      <c r="BF84" s="57"/>
      <c r="BG84" s="1273"/>
      <c r="BH84" s="1273"/>
      <c r="BI84" s="1273"/>
      <c r="BJ84" s="1273"/>
      <c r="BK84" s="1273"/>
      <c r="BL84" s="1273"/>
      <c r="BM84" s="1273"/>
      <c r="BN84" s="1273"/>
      <c r="BO84" s="1273"/>
      <c r="BP84" s="57"/>
      <c r="BQ84" s="1273"/>
    </row>
    <row r="85" spans="1:69">
      <c r="A85" s="1273" t="s">
        <v>343</v>
      </c>
      <c r="B85" s="1339"/>
      <c r="C85" s="1340"/>
      <c r="D85" s="1315"/>
      <c r="E85" s="1315"/>
      <c r="F85" s="1315"/>
      <c r="G85" s="1315"/>
      <c r="H85" s="1315"/>
      <c r="I85" s="1315"/>
      <c r="J85" s="1315"/>
      <c r="K85" s="1315"/>
      <c r="L85" s="1315"/>
      <c r="M85" s="1315"/>
      <c r="N85" s="1315"/>
      <c r="O85" s="1315"/>
      <c r="P85" s="1315"/>
      <c r="Q85" s="1315"/>
      <c r="R85" s="1315"/>
      <c r="S85" s="1315"/>
      <c r="T85" s="1315"/>
      <c r="U85" s="1315"/>
      <c r="V85" s="1341">
        <f>V40/'yrP&amp;L'!K54</f>
        <v>0.22150812396324368</v>
      </c>
      <c r="W85" s="1315"/>
      <c r="X85" s="1341">
        <f>X40/'yrP&amp;L'!L54</f>
        <v>-0.66462073079497896</v>
      </c>
      <c r="Y85" s="1315"/>
      <c r="Z85" s="1341">
        <f>Z40/'yrP&amp;L'!M54</f>
        <v>0.42174007202850711</v>
      </c>
      <c r="AA85" s="1315"/>
      <c r="AB85" s="1342">
        <f>AB40/'yrP&amp;L'!N55</f>
        <v>0.65557780048452996</v>
      </c>
      <c r="AC85" s="1315"/>
      <c r="AD85" s="1342">
        <f>AD40/'yrP&amp;L'!O55</f>
        <v>1.1576861658527109</v>
      </c>
      <c r="AE85" s="1315"/>
      <c r="AF85" s="1342">
        <f>AF40/'yrP&amp;L'!P55</f>
        <v>1.4559731294431992</v>
      </c>
      <c r="AG85" s="1315"/>
      <c r="AH85" s="1342">
        <f>AH40/'yrP&amp;L'!Q55</f>
        <v>0.97264342695271966</v>
      </c>
      <c r="AI85" s="1315"/>
      <c r="AJ85" s="1342">
        <f>AJ40/'yrP&amp;L'!R55</f>
        <v>1.3022476076555025</v>
      </c>
      <c r="AK85" s="1343">
        <f>((AD85/V85)^(1/5)-1)</f>
        <v>0.39200321052620057</v>
      </c>
      <c r="AL85" s="1342">
        <f>AL40/'yrP&amp;L'!S55</f>
        <v>1.7758186397984888</v>
      </c>
      <c r="AM85" s="1343"/>
      <c r="AN85" s="1342">
        <f>AN40/'yrP&amp;L'!T55</f>
        <v>1.3741307371349096</v>
      </c>
      <c r="AO85" s="1342"/>
      <c r="AP85" s="1342">
        <f>AP40/'yrP&amp;L'!U55</f>
        <v>2.2861230329041486</v>
      </c>
      <c r="AQ85" s="1342"/>
      <c r="AR85" s="1342">
        <f>AR40/'yrP&amp;L'!V55</f>
        <v>1.8689547581903276</v>
      </c>
      <c r="AS85" s="1342"/>
      <c r="AT85" s="1342">
        <f>AT40/'yrP&amp;L'!W55</f>
        <v>1.5534709193245779</v>
      </c>
      <c r="AU85" s="1342"/>
      <c r="AV85" s="1342">
        <f>AV40/'yrP&amp;L'!X55</f>
        <v>2.6864754098360657</v>
      </c>
      <c r="AW85" s="1342"/>
      <c r="AX85" s="1342">
        <f>AX40/'yrP&amp;L'!Y55</f>
        <v>2.3386923901393355</v>
      </c>
      <c r="AY85" s="1342"/>
      <c r="AZ85" s="1342">
        <f>AZ40/'yrP&amp;L'!Z55</f>
        <v>3.3060295790671219</v>
      </c>
      <c r="BA85" s="1342"/>
      <c r="BB85" s="1342">
        <f>BB40/'yrP&amp;L'!AA55</f>
        <v>2.0920096852300243</v>
      </c>
      <c r="BC85" s="1342"/>
      <c r="BD85" s="1342">
        <f>BD40/'yrP&amp;L'!AB55</f>
        <v>2.975425</v>
      </c>
      <c r="BE85" s="1342"/>
      <c r="BF85" s="1871">
        <f>BF40/'yrP&amp;L'!AC55</f>
        <v>1.8002528445006321</v>
      </c>
      <c r="BG85" s="1342"/>
      <c r="BH85" s="1342">
        <f>BH40/'yrP&amp;L'!AD55</f>
        <v>2.1712307371505792</v>
      </c>
      <c r="BI85" s="1342"/>
      <c r="BJ85" s="1342">
        <f>BJ40/'yrP&amp;L'!AE55</f>
        <v>2.5130432241459468</v>
      </c>
      <c r="BK85" s="1342"/>
      <c r="BL85" s="1342">
        <f>BL40/'yrP&amp;L'!AF55</f>
        <v>2.3774284152056686</v>
      </c>
      <c r="BM85" s="1342"/>
      <c r="BN85" s="1342">
        <f>BN40/'yrP&amp;L'!AG55</f>
        <v>2.3676228726188135</v>
      </c>
      <c r="BO85" s="1342"/>
      <c r="BP85" s="1871">
        <f>BP40/'yrP&amp;L'!AH55</f>
        <v>2.3566645379552953</v>
      </c>
      <c r="BQ85" s="1273"/>
    </row>
    <row r="86" spans="1:69">
      <c r="A86" s="1273" t="s">
        <v>342</v>
      </c>
      <c r="B86" s="1339"/>
      <c r="C86" s="1340"/>
      <c r="D86" s="1315"/>
      <c r="E86" s="1315"/>
      <c r="F86" s="1315"/>
      <c r="G86" s="1315"/>
      <c r="H86" s="1315"/>
      <c r="I86" s="1315"/>
      <c r="J86" s="1315"/>
      <c r="K86" s="1315"/>
      <c r="L86" s="1315"/>
      <c r="M86" s="1315"/>
      <c r="N86" s="1315"/>
      <c r="O86" s="1315"/>
      <c r="P86" s="1315"/>
      <c r="Q86" s="1315"/>
      <c r="R86" s="1315"/>
      <c r="S86" s="1315"/>
      <c r="T86" s="1315"/>
      <c r="U86" s="1315"/>
      <c r="V86" s="1315"/>
      <c r="W86" s="1315"/>
      <c r="X86" s="1315"/>
      <c r="Y86" s="1315"/>
      <c r="Z86" s="1315"/>
      <c r="AA86" s="1315"/>
      <c r="AB86" s="1315"/>
      <c r="AC86" s="1315"/>
      <c r="AD86" s="1315"/>
      <c r="AE86" s="1315"/>
      <c r="AF86" s="1344">
        <f>AF85/$AF$90</f>
        <v>7.9344584710801039E-2</v>
      </c>
      <c r="AG86" s="1315"/>
      <c r="AH86" s="1344">
        <f>AH85/$AF$90</f>
        <v>5.3005091387069186E-2</v>
      </c>
      <c r="AI86" s="1315"/>
      <c r="AJ86" s="1344">
        <f>AJ85/$AF$90</f>
        <v>7.0967172079318935E-2</v>
      </c>
      <c r="AK86" s="1315"/>
      <c r="AL86" s="1344">
        <f>AL85/$AF$90</f>
        <v>9.6774857754686028E-2</v>
      </c>
      <c r="AM86" s="1315"/>
      <c r="AN86" s="1344">
        <f>AN85/$AF$90</f>
        <v>7.4884508835689895E-2</v>
      </c>
      <c r="AO86" s="1344"/>
      <c r="AP86" s="1344">
        <f>AP85/$AF$90</f>
        <v>0.12458436146616612</v>
      </c>
      <c r="AQ86" s="1344"/>
      <c r="AR86" s="1344">
        <f>AR85/$AF$90</f>
        <v>0.10185039554170722</v>
      </c>
      <c r="AS86" s="1344"/>
      <c r="AT86" s="1344">
        <f>AT85/$AF$90</f>
        <v>8.4657815767006969E-2</v>
      </c>
      <c r="AU86" s="1344"/>
      <c r="AV86" s="1344">
        <f>AV85/$AF$90</f>
        <v>0.14640192969133872</v>
      </c>
      <c r="AW86" s="1344"/>
      <c r="AX86" s="1344">
        <f>AX85/$AF$90</f>
        <v>0.1274491765743507</v>
      </c>
      <c r="AY86" s="1344"/>
      <c r="AZ86" s="1344">
        <f>AZ85/$AF$90</f>
        <v>0.18016509967668237</v>
      </c>
      <c r="BA86" s="1344"/>
      <c r="BB86" s="1344">
        <f>BB85/$AF$90</f>
        <v>0.11400597739673156</v>
      </c>
      <c r="BC86" s="1344"/>
      <c r="BD86" s="1344">
        <f>BD85/$AF$90</f>
        <v>0.16214850136239781</v>
      </c>
      <c r="BE86" s="1344"/>
      <c r="BF86" s="1694">
        <f>BF85/$AF$90</f>
        <v>9.8106422043631167E-2</v>
      </c>
      <c r="BG86" s="1344"/>
      <c r="BH86" s="1344">
        <f>BH85/$AF$90</f>
        <v>0.11832320093463645</v>
      </c>
      <c r="BI86" s="1344"/>
      <c r="BJ86" s="1344">
        <f>BJ85/$AF$90</f>
        <v>0.13695058442212243</v>
      </c>
      <c r="BK86" s="1344"/>
      <c r="BL86" s="1344">
        <f>BL85/$AF$90</f>
        <v>0.1295601316188375</v>
      </c>
      <c r="BM86" s="1344"/>
      <c r="BN86" s="1344">
        <f>BN85/$AF$90</f>
        <v>0.12902576962500345</v>
      </c>
      <c r="BO86" s="1344"/>
      <c r="BP86" s="1694">
        <f>BP85/$AF$90</f>
        <v>0.12842858517467548</v>
      </c>
      <c r="BQ86" s="1273"/>
    </row>
    <row r="87" spans="1:69">
      <c r="A87" s="1273" t="s">
        <v>319</v>
      </c>
      <c r="B87" s="1339"/>
      <c r="C87" s="1340"/>
      <c r="D87" s="1315"/>
      <c r="E87" s="1315"/>
      <c r="F87" s="1315"/>
      <c r="G87" s="1315"/>
      <c r="H87" s="1315"/>
      <c r="I87" s="1315"/>
      <c r="J87" s="1315"/>
      <c r="K87" s="1315"/>
      <c r="L87" s="1315"/>
      <c r="M87" s="1315"/>
      <c r="N87" s="1315"/>
      <c r="O87" s="1315"/>
      <c r="P87" s="1315"/>
      <c r="Q87" s="1315"/>
      <c r="R87" s="1315"/>
      <c r="S87" s="1315"/>
      <c r="T87" s="1315"/>
      <c r="U87" s="1315"/>
      <c r="V87" s="1345">
        <f>V59/'yrP&amp;L'!K54</f>
        <v>-0.1276615736380691</v>
      </c>
      <c r="W87" s="1345"/>
      <c r="X87" s="1345">
        <f>X59/'yrP&amp;L'!L54</f>
        <v>-4.7318626799274857E-2</v>
      </c>
      <c r="Y87" s="1345"/>
      <c r="Z87" s="1345">
        <f>Z59/'yrP&amp;L'!M54</f>
        <v>0.7200528491951047</v>
      </c>
      <c r="AA87" s="1345"/>
      <c r="AB87" s="1345">
        <f>AB59/'yrP&amp;L'!N55</f>
        <v>2.1094301466694643</v>
      </c>
      <c r="AC87" s="1345"/>
      <c r="AD87" s="1345">
        <f>AD59/'yrP&amp;L'!O55</f>
        <v>0.54241239938553598</v>
      </c>
      <c r="AE87" s="1345"/>
      <c r="AF87" s="1345">
        <f>flow!AF59/'yrP&amp;L'!P55</f>
        <v>-0.35510562776327986</v>
      </c>
      <c r="AG87" s="1345"/>
      <c r="AH87" s="1345">
        <f>AH59/'yrP&amp;L'!Q55</f>
        <v>-1.2966776237772988</v>
      </c>
      <c r="AI87" s="1345"/>
      <c r="AJ87" s="1345">
        <f>AJ59/'yrP&amp;L'!R55</f>
        <v>-1.9138755980861139E-2</v>
      </c>
      <c r="AK87" s="1315"/>
      <c r="AL87" s="1345">
        <f>AL59/'yrP&amp;L'!S55</f>
        <v>-0.39294710327455917</v>
      </c>
      <c r="AM87" s="1315"/>
      <c r="AN87" s="1345">
        <f>AN59/'yrP&amp;L'!T55</f>
        <v>-8.3449235048678721E-3</v>
      </c>
      <c r="AO87" s="1345"/>
      <c r="AP87" s="1345">
        <f>AP59/'yrP&amp;L'!U55</f>
        <v>0.84692417739628045</v>
      </c>
      <c r="AQ87" s="1345"/>
      <c r="AR87" s="1345">
        <f>AR59/'yrP&amp;L'!V55</f>
        <v>-1.2277691107644306</v>
      </c>
      <c r="AS87" s="1345"/>
      <c r="AT87" s="1345">
        <f>AT59/'yrP&amp;L'!W55</f>
        <v>0.60787992495309573</v>
      </c>
      <c r="AU87" s="1345"/>
      <c r="AV87" s="1345">
        <f>AV59/'yrP&amp;L'!X55</f>
        <v>-0.87090163934426235</v>
      </c>
      <c r="AW87" s="1345"/>
      <c r="AX87" s="1345">
        <f>AX59/'yrP&amp;L'!Y55</f>
        <v>0.10718113612004287</v>
      </c>
      <c r="AY87" s="1345"/>
      <c r="AZ87" s="1345">
        <f>AZ59/'yrP&amp;L'!Z55</f>
        <v>1.1376564277588168E-2</v>
      </c>
      <c r="BA87" s="1345"/>
      <c r="BB87" s="1345">
        <f>BB59/'yrP&amp;L'!AA55</f>
        <v>-0.35108958837772397</v>
      </c>
      <c r="BC87" s="1345"/>
      <c r="BD87" s="1345">
        <f>BD59/'yrP&amp;L'!AB55</f>
        <v>1.0329250000000001</v>
      </c>
      <c r="BE87" s="1345"/>
      <c r="BF87" s="288">
        <f>BF59/'yrP&amp;L'!AC55</f>
        <v>0</v>
      </c>
      <c r="BG87" s="1345"/>
      <c r="BH87" s="1345">
        <f>BH59/'yrP&amp;L'!AD55</f>
        <v>0.16136938533082201</v>
      </c>
      <c r="BI87" s="1345"/>
      <c r="BJ87" s="1345">
        <f>BJ59/'yrP&amp;L'!AE55</f>
        <v>0.50051980186463241</v>
      </c>
      <c r="BK87" s="1345"/>
      <c r="BL87" s="1345">
        <f>BL59/'yrP&amp;L'!AF55</f>
        <v>0.30517791261768173</v>
      </c>
      <c r="BM87" s="1345"/>
      <c r="BN87" s="1345">
        <f>BN59/'yrP&amp;L'!AG55</f>
        <v>0.23551667265900808</v>
      </c>
      <c r="BO87" s="1345"/>
      <c r="BP87" s="288">
        <f>BP59/'yrP&amp;L'!AH55</f>
        <v>0.16448575180184499</v>
      </c>
      <c r="BQ87" s="1273"/>
    </row>
    <row r="88" spans="1:69">
      <c r="A88" s="1273" t="s">
        <v>342</v>
      </c>
      <c r="B88" s="1339"/>
      <c r="C88" s="1340"/>
      <c r="D88" s="1315"/>
      <c r="E88" s="1315"/>
      <c r="F88" s="1315"/>
      <c r="G88" s="1315"/>
      <c r="H88" s="1315"/>
      <c r="I88" s="1315"/>
      <c r="J88" s="1315"/>
      <c r="K88" s="1315"/>
      <c r="L88" s="1315"/>
      <c r="M88" s="1315"/>
      <c r="N88" s="1315"/>
      <c r="O88" s="1315"/>
      <c r="P88" s="1315"/>
      <c r="Q88" s="1315"/>
      <c r="R88" s="1315"/>
      <c r="S88" s="1315"/>
      <c r="T88" s="1315"/>
      <c r="U88" s="1315"/>
      <c r="V88" s="1342"/>
      <c r="W88" s="1315"/>
      <c r="X88" s="1315"/>
      <c r="Y88" s="1315"/>
      <c r="Z88" s="1315"/>
      <c r="AA88" s="1315"/>
      <c r="AB88" s="1315"/>
      <c r="AC88" s="1315"/>
      <c r="AD88" s="1315"/>
      <c r="AE88" s="1315"/>
      <c r="AF88" s="1344">
        <f>AF87/$AF$90</f>
        <v>-1.9351805327699173E-2</v>
      </c>
      <c r="AG88" s="1315"/>
      <c r="AH88" s="1344">
        <f>AH87/$AF$90</f>
        <v>-7.066363072355851E-2</v>
      </c>
      <c r="AI88" s="1315"/>
      <c r="AJ88" s="1344">
        <f>AJ87/$AF$90</f>
        <v>-1.0429839771586452E-3</v>
      </c>
      <c r="AK88" s="1315"/>
      <c r="AL88" s="1344">
        <f>AL87/$AF$90</f>
        <v>-2.141401107763265E-2</v>
      </c>
      <c r="AM88" s="1315"/>
      <c r="AN88" s="1344">
        <f>AN87/$AF$90</f>
        <v>-4.5476422369852159E-4</v>
      </c>
      <c r="AO88" s="1344"/>
      <c r="AP88" s="1344">
        <f>AP87/$AF$90</f>
        <v>4.6153906125137895E-2</v>
      </c>
      <c r="AQ88" s="1344"/>
      <c r="AR88" s="1344">
        <f>AR87/$AF$90</f>
        <v>-6.690839840678095E-2</v>
      </c>
      <c r="AS88" s="1344"/>
      <c r="AT88" s="1344">
        <f>AT87/$AF$90</f>
        <v>3.3126971387089685E-2</v>
      </c>
      <c r="AU88" s="1344"/>
      <c r="AV88" s="1344">
        <f>AV87/$AF$90</f>
        <v>-4.7460579800777239E-2</v>
      </c>
      <c r="AW88" s="1344"/>
      <c r="AX88" s="1344">
        <f>AX87/$AF$90</f>
        <v>5.8409338485036983E-3</v>
      </c>
      <c r="AY88" s="1344"/>
      <c r="AZ88" s="1344">
        <f>AZ87/$AF$90</f>
        <v>6.1997625490943693E-4</v>
      </c>
      <c r="BA88" s="1344"/>
      <c r="BB88" s="1344">
        <f>BB87/$AF$90</f>
        <v>-1.913294759551629E-2</v>
      </c>
      <c r="BC88" s="1344"/>
      <c r="BD88" s="1344">
        <f>BD87/$AF$90</f>
        <v>5.6290190735694821E-2</v>
      </c>
      <c r="BE88" s="1344"/>
      <c r="BF88" s="1694">
        <f>BF87/$AF$90</f>
        <v>0</v>
      </c>
      <c r="BG88" s="1344"/>
      <c r="BH88" s="1344">
        <f>BH87/$AF$90</f>
        <v>8.7939719526333518E-3</v>
      </c>
      <c r="BI88" s="1344"/>
      <c r="BJ88" s="1344">
        <f>BJ87/$AF$90</f>
        <v>2.7276283480361437E-2</v>
      </c>
      <c r="BK88" s="1344"/>
      <c r="BL88" s="1344">
        <f>BL87/$AF$90</f>
        <v>1.6630948916494918E-2</v>
      </c>
      <c r="BM88" s="1344"/>
      <c r="BN88" s="1344">
        <f>BN87/$AF$90</f>
        <v>1.2834696057711611E-2</v>
      </c>
      <c r="BO88" s="1344"/>
      <c r="BP88" s="1694">
        <f>BP87/$AF$90</f>
        <v>8.9638011881114435E-3</v>
      </c>
      <c r="BQ88" s="1273"/>
    </row>
    <row r="89" spans="1:69">
      <c r="A89" s="1273"/>
      <c r="B89" s="1273"/>
      <c r="C89" s="1315"/>
      <c r="D89" s="1315"/>
      <c r="E89" s="1315"/>
      <c r="F89" s="1315"/>
      <c r="G89" s="1315"/>
      <c r="H89" s="1315"/>
      <c r="I89" s="1315"/>
      <c r="J89" s="1315"/>
      <c r="K89" s="1315"/>
      <c r="L89" s="1315"/>
      <c r="M89" s="1315"/>
      <c r="N89" s="1315"/>
      <c r="O89" s="1315"/>
      <c r="P89" s="1315"/>
      <c r="Q89" s="1315"/>
      <c r="R89" s="1315"/>
      <c r="S89" s="1315"/>
      <c r="T89" s="1315"/>
      <c r="U89" s="1315"/>
      <c r="V89" s="1346"/>
      <c r="W89" s="1315"/>
      <c r="X89" s="1315"/>
      <c r="Y89" s="1315"/>
      <c r="Z89" s="1315"/>
      <c r="AA89" s="1315"/>
      <c r="AB89" s="1315"/>
      <c r="AC89" s="1315"/>
      <c r="AD89" s="1315"/>
      <c r="AE89" s="1315"/>
      <c r="AF89" s="1315"/>
      <c r="AG89" s="1315"/>
      <c r="AH89" s="1315"/>
      <c r="AI89" s="1315"/>
      <c r="AJ89" s="1315"/>
      <c r="AK89" s="1315"/>
      <c r="AL89" s="1315"/>
      <c r="AM89" s="1315"/>
      <c r="AN89" s="1315"/>
      <c r="AO89" s="1315"/>
      <c r="AP89" s="1315"/>
      <c r="AQ89" s="1315"/>
      <c r="AR89" s="1315"/>
      <c r="AS89" s="1315"/>
      <c r="AT89" s="1315"/>
      <c r="AU89" s="1315"/>
      <c r="AV89" s="1315"/>
      <c r="AW89" s="1315"/>
      <c r="AX89" s="1315"/>
      <c r="AY89" s="1315"/>
      <c r="AZ89" s="1315"/>
      <c r="BA89" s="1273"/>
      <c r="BB89" s="1273"/>
      <c r="BC89" s="1273"/>
      <c r="BD89" s="1273"/>
      <c r="BE89" s="1273"/>
      <c r="BF89" s="57"/>
      <c r="BG89" s="1273"/>
      <c r="BH89" s="1273"/>
      <c r="BI89" s="1273"/>
      <c r="BJ89" s="1273"/>
      <c r="BK89" s="1273"/>
      <c r="BL89" s="1273"/>
      <c r="BM89" s="1273"/>
      <c r="BN89" s="1273"/>
      <c r="BO89" s="1273"/>
      <c r="BP89" s="57"/>
      <c r="BQ89" s="1273"/>
    </row>
    <row r="90" spans="1:69">
      <c r="A90" s="1339" t="s">
        <v>344</v>
      </c>
      <c r="B90" s="1273"/>
      <c r="C90" s="1315"/>
      <c r="D90" s="1315"/>
      <c r="E90" s="1315"/>
      <c r="F90" s="1315"/>
      <c r="G90" s="1315"/>
      <c r="H90" s="1315"/>
      <c r="I90" s="1315"/>
      <c r="J90" s="1315"/>
      <c r="K90" s="1315"/>
      <c r="L90" s="1315"/>
      <c r="M90" s="1315"/>
      <c r="N90" s="1315"/>
      <c r="O90" s="1315"/>
      <c r="P90" s="1315"/>
      <c r="Q90" s="1315"/>
      <c r="R90" s="1315"/>
      <c r="S90" s="1315"/>
      <c r="T90" s="1315"/>
      <c r="U90" s="1315"/>
      <c r="V90" s="1315"/>
      <c r="W90" s="1315"/>
      <c r="X90" s="1315"/>
      <c r="Y90" s="1315"/>
      <c r="Z90" s="1315"/>
      <c r="AA90" s="1315"/>
      <c r="AB90" s="1315"/>
      <c r="AC90" s="1315"/>
      <c r="AD90" s="1315"/>
      <c r="AE90" s="1315"/>
      <c r="AF90" s="1347">
        <v>18.350000000000001</v>
      </c>
      <c r="AG90" s="1315"/>
      <c r="AH90" s="1315"/>
      <c r="AI90" s="1315"/>
      <c r="AJ90" s="1315"/>
      <c r="AK90" s="1315"/>
      <c r="AL90" s="1315"/>
      <c r="AM90" s="1315"/>
      <c r="AN90" s="1315"/>
      <c r="AO90" s="1315"/>
      <c r="AP90" s="1315"/>
      <c r="AQ90" s="1315"/>
      <c r="AR90" s="1315"/>
      <c r="AS90" s="1315"/>
      <c r="AT90" s="1315"/>
      <c r="AU90" s="1315"/>
      <c r="AV90" s="1315"/>
      <c r="AW90" s="1315"/>
      <c r="AX90" s="1315"/>
      <c r="AY90" s="1315"/>
      <c r="AZ90" s="1315"/>
      <c r="BA90" s="1273"/>
      <c r="BB90" s="1273"/>
      <c r="BC90" s="1273"/>
      <c r="BD90" s="1273"/>
      <c r="BE90" s="1273"/>
      <c r="BF90" s="57"/>
      <c r="BG90" s="1273"/>
      <c r="BH90" s="1273"/>
      <c r="BI90" s="1273"/>
      <c r="BJ90" s="1273"/>
      <c r="BK90" s="1273"/>
      <c r="BL90" s="1273"/>
      <c r="BM90" s="1273"/>
      <c r="BN90" s="1273"/>
      <c r="BO90" s="1273"/>
      <c r="BP90" s="57"/>
      <c r="BQ90" s="1273"/>
    </row>
    <row r="91" spans="1:69">
      <c r="A91" s="1273"/>
      <c r="B91" s="1273"/>
      <c r="C91" s="1315"/>
      <c r="D91" s="1315"/>
      <c r="E91" s="1315"/>
      <c r="F91" s="1315"/>
      <c r="G91" s="1315"/>
      <c r="H91" s="1315"/>
      <c r="I91" s="1315"/>
      <c r="J91" s="1315"/>
      <c r="K91" s="1315"/>
      <c r="L91" s="1315"/>
      <c r="M91" s="1315"/>
      <c r="N91" s="1315"/>
      <c r="O91" s="1315"/>
      <c r="P91" s="1315"/>
      <c r="Q91" s="1315"/>
      <c r="R91" s="1315"/>
      <c r="S91" s="1315"/>
      <c r="T91" s="1315"/>
      <c r="U91" s="1315"/>
      <c r="V91" s="1315"/>
      <c r="W91" s="1315"/>
      <c r="X91" s="1315"/>
      <c r="Y91" s="1315"/>
      <c r="Z91" s="1315"/>
      <c r="AA91" s="1315"/>
      <c r="AB91" s="1315"/>
      <c r="AC91" s="1315"/>
      <c r="AD91" s="1315"/>
      <c r="AE91" s="1315"/>
      <c r="AF91" s="1315"/>
      <c r="AG91" s="1315"/>
      <c r="AH91" s="1315"/>
      <c r="AI91" s="1315"/>
      <c r="AJ91" s="1315"/>
      <c r="AK91" s="1315"/>
      <c r="AL91" s="1348" t="str">
        <f>bal!AM60</f>
        <v>Yes</v>
      </c>
      <c r="AM91" s="1348">
        <f>bal!AN60</f>
        <v>0</v>
      </c>
      <c r="AN91" s="1348" t="str">
        <f>bal!AO60</f>
        <v>Yes</v>
      </c>
      <c r="AO91" s="1348"/>
      <c r="AP91" s="1348" t="str">
        <f>bal!AQ60</f>
        <v>Yes</v>
      </c>
      <c r="AQ91" s="1348"/>
      <c r="AR91" s="1348" t="str">
        <f>bal!AS60</f>
        <v>Yes</v>
      </c>
      <c r="AS91" s="1348"/>
      <c r="AT91" s="1348" t="str">
        <f>bal!AU60</f>
        <v>Yes</v>
      </c>
      <c r="AU91" s="1348"/>
      <c r="AV91" s="1348" t="str">
        <f>bal!AW60</f>
        <v>Yes</v>
      </c>
      <c r="AW91" s="1348"/>
      <c r="AX91" s="1348" t="str">
        <f>bal!AY60</f>
        <v>Yes</v>
      </c>
      <c r="AY91" s="1348"/>
      <c r="AZ91" s="1348" t="str">
        <f>bal!BA60</f>
        <v>Yes</v>
      </c>
      <c r="BA91" s="1273"/>
      <c r="BB91" s="1348" t="str">
        <f>bal!BC60</f>
        <v>Yes</v>
      </c>
      <c r="BC91" s="1273"/>
      <c r="BD91" s="1348" t="str">
        <f>bal!BE60</f>
        <v>Yes</v>
      </c>
      <c r="BE91" s="1273"/>
      <c r="BF91" s="1872" t="str">
        <f>bal!BG60</f>
        <v>Yes</v>
      </c>
      <c r="BG91" s="1273"/>
      <c r="BH91" s="1348" t="str">
        <f>bal!BI60</f>
        <v>Yes</v>
      </c>
      <c r="BI91" s="1273"/>
      <c r="BJ91" s="1348" t="str">
        <f>bal!BK60</f>
        <v>Yes</v>
      </c>
      <c r="BK91" s="1273"/>
      <c r="BL91" s="1348" t="str">
        <f>bal!BM60</f>
        <v>Yes</v>
      </c>
      <c r="BM91" s="1273"/>
      <c r="BN91" s="1348" t="str">
        <f>bal!BO60</f>
        <v>Yes</v>
      </c>
      <c r="BO91" s="1348"/>
      <c r="BP91" s="1872">
        <f>bal!BP60</f>
        <v>0</v>
      </c>
      <c r="BQ91" s="1273"/>
    </row>
    <row r="92" spans="1:69">
      <c r="A92" s="1273"/>
      <c r="B92" s="1273"/>
      <c r="C92" s="1315"/>
      <c r="D92" s="1315"/>
      <c r="E92" s="1315"/>
      <c r="F92" s="1315"/>
      <c r="G92" s="1315"/>
      <c r="H92" s="1315"/>
      <c r="I92" s="1315"/>
      <c r="J92" s="1315"/>
      <c r="K92" s="1315"/>
      <c r="L92" s="1315"/>
      <c r="M92" s="1315"/>
      <c r="N92" s="1315"/>
      <c r="O92" s="1315"/>
      <c r="P92" s="1315"/>
      <c r="Q92" s="1315"/>
      <c r="R92" s="1315"/>
      <c r="S92" s="1315"/>
      <c r="T92" s="1315"/>
      <c r="U92" s="1315"/>
      <c r="V92" s="1315"/>
      <c r="W92" s="1315"/>
      <c r="X92" s="1315"/>
      <c r="Y92" s="1315"/>
      <c r="Z92" s="1315"/>
      <c r="AA92" s="1315"/>
      <c r="AB92" s="1315"/>
      <c r="AC92" s="1315"/>
      <c r="AD92" s="1315"/>
      <c r="AE92" s="1315"/>
      <c r="AF92" s="1315"/>
      <c r="AG92" s="1315"/>
      <c r="AH92" s="1315"/>
      <c r="AI92" s="1315"/>
      <c r="AJ92" s="1315"/>
      <c r="AK92" s="1315"/>
      <c r="AL92" s="1348"/>
      <c r="AM92" s="1349"/>
      <c r="AN92" s="1348"/>
      <c r="AO92" s="1348"/>
      <c r="AP92" s="1349">
        <f>bal!AQ61</f>
        <v>0</v>
      </c>
      <c r="AQ92" s="1349"/>
      <c r="AR92" s="1349">
        <f>bal!AS61</f>
        <v>0</v>
      </c>
      <c r="AS92" s="1349"/>
      <c r="AT92" s="1349">
        <f>bal!AU61</f>
        <v>0</v>
      </c>
      <c r="AU92" s="1349"/>
      <c r="AV92" s="1349">
        <f>bal!AW61</f>
        <v>0</v>
      </c>
      <c r="AW92" s="1349"/>
      <c r="AX92" s="1349">
        <f>bal!AY61</f>
        <v>0</v>
      </c>
      <c r="AY92" s="1349"/>
      <c r="AZ92" s="1349">
        <f>bal!BA61</f>
        <v>0</v>
      </c>
      <c r="BA92" s="1273"/>
      <c r="BB92" s="1349">
        <f>bal!BC61</f>
        <v>0</v>
      </c>
      <c r="BC92" s="1273"/>
      <c r="BD92" s="1349">
        <f>bal!BE61</f>
        <v>0</v>
      </c>
      <c r="BE92" s="1273"/>
      <c r="BF92" s="1873">
        <f>bal!BG61</f>
        <v>0</v>
      </c>
      <c r="BG92" s="1273"/>
      <c r="BH92" s="1349">
        <f>bal!BI61</f>
        <v>0</v>
      </c>
      <c r="BI92" s="1273"/>
      <c r="BJ92" s="1349">
        <f>bal!BK61</f>
        <v>0</v>
      </c>
      <c r="BK92" s="1273"/>
      <c r="BL92" s="1349">
        <f>bal!BM61</f>
        <v>0</v>
      </c>
      <c r="BM92" s="1273"/>
      <c r="BN92" s="1349">
        <f>bal!BO61</f>
        <v>0</v>
      </c>
      <c r="BO92" s="1349"/>
      <c r="BP92" s="1873">
        <f>bal!BP61</f>
        <v>0</v>
      </c>
      <c r="BQ92" s="1273"/>
    </row>
    <row r="93" spans="1:69">
      <c r="A93" s="1273"/>
      <c r="B93" s="1273"/>
      <c r="C93" s="1315"/>
      <c r="D93" s="1315"/>
      <c r="E93" s="1315"/>
      <c r="F93" s="1315"/>
      <c r="G93" s="1315"/>
      <c r="H93" s="1315"/>
      <c r="I93" s="1315"/>
      <c r="J93" s="1315"/>
      <c r="K93" s="1315"/>
      <c r="L93" s="1315"/>
      <c r="M93" s="1315"/>
      <c r="N93" s="1315"/>
      <c r="O93" s="1315"/>
      <c r="P93" s="1315"/>
      <c r="Q93" s="1315"/>
      <c r="R93" s="1315"/>
      <c r="S93" s="1315"/>
      <c r="T93" s="1315"/>
      <c r="U93" s="1315"/>
      <c r="V93" s="1315"/>
      <c r="W93" s="1315"/>
      <c r="X93" s="1315"/>
      <c r="Y93" s="1315"/>
      <c r="Z93" s="1315"/>
      <c r="AA93" s="1315"/>
      <c r="AB93" s="1315"/>
      <c r="AC93" s="1315"/>
      <c r="AD93" s="1315"/>
      <c r="AE93" s="1315"/>
      <c r="AF93" s="1315"/>
      <c r="AG93" s="1315"/>
      <c r="AH93" s="1315"/>
      <c r="AI93" s="1315"/>
      <c r="AJ93" s="1315"/>
      <c r="AK93" s="1315"/>
      <c r="AL93" s="1315"/>
      <c r="AM93" s="1315"/>
      <c r="AN93" s="1315"/>
      <c r="AO93" s="1315"/>
      <c r="AP93" s="1315"/>
      <c r="AQ93" s="1315"/>
      <c r="AR93" s="1315"/>
      <c r="AS93" s="1315"/>
      <c r="AT93" s="1315"/>
      <c r="AU93" s="1315"/>
      <c r="AV93" s="1315"/>
      <c r="AW93" s="1315"/>
      <c r="AX93" s="1315"/>
      <c r="AY93" s="1315"/>
      <c r="AZ93" s="1315"/>
      <c r="BA93" s="1273"/>
      <c r="BB93" s="1273"/>
      <c r="BC93" s="1273"/>
      <c r="BD93" s="1273"/>
      <c r="BE93" s="1273"/>
      <c r="BF93" s="57"/>
      <c r="BG93" s="1273"/>
      <c r="BH93" s="1273"/>
      <c r="BI93" s="1273"/>
      <c r="BJ93" s="1273"/>
      <c r="BK93" s="1273"/>
      <c r="BL93" s="1273"/>
      <c r="BM93" s="1273"/>
      <c r="BN93" s="1273"/>
      <c r="BO93" s="1273"/>
      <c r="BP93" s="57"/>
      <c r="BQ93" s="1273"/>
    </row>
    <row r="94" spans="1:69" customFormat="1"/>
  </sheetData>
  <phoneticPr fontId="0" type="noConversion"/>
  <dataValidations disablePrompts="1" count="1">
    <dataValidation type="custom" allowBlank="1" showInputMessage="1" showErrorMessage="1" sqref="A72:A81 B72:AE72 AG72:BP72">
      <formula1>-1</formula1>
    </dataValidation>
  </dataValidations>
  <printOptions horizontalCentered="1"/>
  <pageMargins left="0" right="0" top="0" bottom="0" header="0" footer="0"/>
  <pageSetup paperSize="5" scale="83" orientation="landscape" r:id="rId1"/>
  <headerFooter alignWithMargins="0">
    <oddFooter>&amp;R&amp;8&amp;D/&amp;T
&amp;F/&amp;A</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M203"/>
  <sheetViews>
    <sheetView showGridLines="0" topLeftCell="A46" zoomScale="85" workbookViewId="0">
      <selection activeCell="AA71" sqref="AA70:AA71"/>
    </sheetView>
  </sheetViews>
  <sheetFormatPr defaultColWidth="6.7109375" defaultRowHeight="12.75" outlineLevelRow="1" outlineLevelCol="1"/>
  <cols>
    <col min="1" max="1" width="1" style="828" customWidth="1"/>
    <col min="2" max="2" width="1.140625" style="829" customWidth="1"/>
    <col min="3" max="4" width="13.42578125" style="832" customWidth="1"/>
    <col min="5" max="5" width="13.28515625" style="832" customWidth="1"/>
    <col min="6" max="6" width="12.42578125" style="832" customWidth="1"/>
    <col min="7" max="7" width="9.42578125" style="832" customWidth="1"/>
    <col min="8" max="8" width="9.5703125" style="831" customWidth="1"/>
    <col min="9" max="9" width="12" style="831" customWidth="1"/>
    <col min="10" max="19" width="9.5703125" style="831" customWidth="1"/>
    <col min="20" max="23" width="9.5703125" style="814" customWidth="1"/>
    <col min="24" max="26" width="6.7109375" style="814" customWidth="1"/>
    <col min="27" max="27" width="46.5703125" hidden="1" customWidth="1" outlineLevel="1"/>
    <col min="28" max="28" width="6.7109375" hidden="1" customWidth="1" outlineLevel="1"/>
    <col min="29" max="29" width="32.85546875" hidden="1" customWidth="1" outlineLevel="1"/>
    <col min="30" max="32" width="6.7109375" hidden="1" customWidth="1" outlineLevel="1"/>
    <col min="33" max="33" width="6.7109375" style="814" collapsed="1"/>
    <col min="34" max="35" width="6.7109375" style="814"/>
    <col min="36" max="36" width="6.7109375" style="815"/>
    <col min="37" max="16384" width="6.7109375" style="814"/>
  </cols>
  <sheetData>
    <row r="1" spans="1:36" s="806" customFormat="1" ht="45" customHeight="1" thickBot="1">
      <c r="A1" s="800"/>
      <c r="B1" s="801"/>
      <c r="C1" s="412"/>
      <c r="D1" s="802"/>
      <c r="E1" s="802"/>
      <c r="F1" s="412"/>
      <c r="G1" s="412" t="s">
        <v>399</v>
      </c>
      <c r="H1" s="803"/>
      <c r="I1" s="803"/>
      <c r="J1" s="803"/>
      <c r="K1" s="803"/>
      <c r="L1" s="803"/>
      <c r="M1" s="803"/>
      <c r="N1" s="804"/>
      <c r="O1" s="803"/>
      <c r="P1" s="803"/>
      <c r="Q1" s="803"/>
      <c r="R1" s="803"/>
      <c r="S1" s="803"/>
      <c r="T1" s="802"/>
      <c r="U1" s="802"/>
      <c r="V1" s="802"/>
      <c r="W1" s="805"/>
      <c r="AA1"/>
      <c r="AB1"/>
      <c r="AC1"/>
      <c r="AD1"/>
      <c r="AE1"/>
      <c r="AF1"/>
      <c r="AJ1" s="807"/>
    </row>
    <row r="2" spans="1:36" ht="32.25" customHeight="1" thickBot="1">
      <c r="A2" s="808"/>
      <c r="B2" s="809"/>
      <c r="C2" s="810"/>
      <c r="D2" s="810"/>
      <c r="E2" s="810"/>
      <c r="F2" s="810"/>
      <c r="G2" s="810"/>
      <c r="H2" s="811"/>
      <c r="I2" s="811"/>
      <c r="J2" s="811"/>
      <c r="K2" s="811"/>
      <c r="L2" s="811"/>
      <c r="M2" s="811"/>
      <c r="N2" s="812"/>
      <c r="O2" s="812"/>
      <c r="P2" s="812" t="s">
        <v>251</v>
      </c>
      <c r="Q2" s="812"/>
      <c r="R2" s="811"/>
      <c r="S2" s="811"/>
      <c r="T2" s="813"/>
      <c r="U2" s="813"/>
      <c r="V2" s="813"/>
      <c r="W2" s="813"/>
    </row>
    <row r="3" spans="1:36" s="821" customFormat="1" ht="15.75" customHeight="1" thickBot="1">
      <c r="A3" s="816"/>
      <c r="B3" s="817"/>
      <c r="C3" s="818"/>
      <c r="D3" s="818"/>
      <c r="E3" s="818"/>
      <c r="F3" s="818"/>
      <c r="G3" s="818"/>
      <c r="H3" s="819"/>
      <c r="I3" s="820" t="s">
        <v>743</v>
      </c>
      <c r="J3" s="433" t="s">
        <v>251</v>
      </c>
      <c r="L3" s="822"/>
      <c r="M3" s="823"/>
      <c r="N3" s="824"/>
      <c r="O3" s="825"/>
      <c r="P3" s="826"/>
      <c r="Q3" s="819"/>
      <c r="R3" s="819"/>
      <c r="S3" s="819"/>
      <c r="AA3"/>
      <c r="AB3"/>
      <c r="AC3"/>
      <c r="AD3"/>
      <c r="AE3"/>
      <c r="AF3"/>
      <c r="AJ3" s="827"/>
    </row>
    <row r="4" spans="1:36" ht="15.75" customHeight="1">
      <c r="C4" s="413" t="str">
        <f>_xll.ThomsonONEAddinShim.SpreadsheetFormulas.TF($F$4,"TextAv(TF.CompanyName(sdate=0D),-)")</f>
        <v>General Electric Co</v>
      </c>
      <c r="D4" s="434"/>
      <c r="E4" s="818"/>
      <c r="F4" s="435" t="s">
        <v>747</v>
      </c>
      <c r="G4" s="830"/>
      <c r="H4" s="436" t="str">
        <f>MONTH(I4)&amp;"/"&amp;YEAR(I4)</f>
        <v>12/2016</v>
      </c>
      <c r="I4" s="436">
        <f>_xll.ThomsonONEAddinShim.SpreadsheetFormulas.TF($F$4,"TF.FN.FiscalYearEndDate(period=FY0)")</f>
        <v>42735</v>
      </c>
      <c r="K4" s="819"/>
      <c r="AJ4" s="815" t="s">
        <v>680</v>
      </c>
    </row>
    <row r="5" spans="1:36" ht="15.75" customHeight="1">
      <c r="C5" s="414" t="s">
        <v>400</v>
      </c>
      <c r="D5" s="437"/>
      <c r="F5" s="438">
        <f>H8</f>
        <v>2008</v>
      </c>
      <c r="H5" s="833" t="str">
        <f t="shared" ref="H5:P5" si="0">"FY"&amp;H7</f>
        <v>FY-8</v>
      </c>
      <c r="I5" s="833" t="str">
        <f t="shared" si="0"/>
        <v>FY-7</v>
      </c>
      <c r="J5" s="833" t="str">
        <f t="shared" si="0"/>
        <v>FY-6</v>
      </c>
      <c r="K5" s="833" t="str">
        <f t="shared" si="0"/>
        <v>FY-5</v>
      </c>
      <c r="L5" s="833" t="str">
        <f t="shared" si="0"/>
        <v>FY-4</v>
      </c>
      <c r="M5" s="833" t="str">
        <f t="shared" si="0"/>
        <v>FY-3</v>
      </c>
      <c r="N5" s="833" t="str">
        <f t="shared" si="0"/>
        <v>FY-2</v>
      </c>
      <c r="O5" s="833" t="str">
        <f t="shared" si="0"/>
        <v>FY-1</v>
      </c>
      <c r="P5" s="833" t="str">
        <f t="shared" si="0"/>
        <v>FY0</v>
      </c>
      <c r="AJ5" s="415"/>
    </row>
    <row r="6" spans="1:36" customFormat="1" ht="13.5" customHeight="1"/>
    <row r="7" spans="1:36">
      <c r="C7" s="834"/>
      <c r="H7" s="835">
        <f t="shared" ref="H7:O7" si="1">I7-1</f>
        <v>-8</v>
      </c>
      <c r="I7" s="835">
        <f t="shared" si="1"/>
        <v>-7</v>
      </c>
      <c r="J7" s="835">
        <f t="shared" si="1"/>
        <v>-6</v>
      </c>
      <c r="K7" s="835">
        <f t="shared" si="1"/>
        <v>-5</v>
      </c>
      <c r="L7" s="835">
        <f t="shared" si="1"/>
        <v>-4</v>
      </c>
      <c r="M7" s="835">
        <f t="shared" si="1"/>
        <v>-3</v>
      </c>
      <c r="N7" s="835">
        <f t="shared" si="1"/>
        <v>-2</v>
      </c>
      <c r="O7" s="835">
        <f t="shared" si="1"/>
        <v>-1</v>
      </c>
      <c r="P7" s="835">
        <v>0</v>
      </c>
      <c r="Q7" s="835">
        <f t="shared" ref="Q7:W7" si="2">P7+1</f>
        <v>1</v>
      </c>
      <c r="R7" s="835">
        <f t="shared" si="2"/>
        <v>2</v>
      </c>
      <c r="S7" s="835">
        <f t="shared" si="2"/>
        <v>3</v>
      </c>
      <c r="T7" s="835">
        <f t="shared" si="2"/>
        <v>4</v>
      </c>
      <c r="U7" s="835">
        <f t="shared" si="2"/>
        <v>5</v>
      </c>
      <c r="V7" s="835">
        <f t="shared" si="2"/>
        <v>6</v>
      </c>
      <c r="W7" s="835">
        <f t="shared" si="2"/>
        <v>7</v>
      </c>
    </row>
    <row r="8" spans="1:36" s="829" customFormat="1" outlineLevel="1">
      <c r="A8" s="836"/>
      <c r="C8" s="439"/>
      <c r="D8" s="439"/>
      <c r="E8" s="439"/>
      <c r="F8" s="439"/>
      <c r="G8" s="439"/>
      <c r="H8" s="837">
        <f t="shared" ref="H8:W8" si="3">YEAR(H9)</f>
        <v>2008</v>
      </c>
      <c r="I8" s="837">
        <f t="shared" si="3"/>
        <v>2009</v>
      </c>
      <c r="J8" s="837">
        <f t="shared" si="3"/>
        <v>2010</v>
      </c>
      <c r="K8" s="837">
        <f t="shared" si="3"/>
        <v>2011</v>
      </c>
      <c r="L8" s="837">
        <f t="shared" si="3"/>
        <v>2012</v>
      </c>
      <c r="M8" s="837">
        <f t="shared" si="3"/>
        <v>2013</v>
      </c>
      <c r="N8" s="837">
        <f t="shared" si="3"/>
        <v>2014</v>
      </c>
      <c r="O8" s="837">
        <f t="shared" si="3"/>
        <v>2015</v>
      </c>
      <c r="P8" s="837">
        <f t="shared" si="3"/>
        <v>2016</v>
      </c>
      <c r="Q8" s="837">
        <f t="shared" si="3"/>
        <v>2017</v>
      </c>
      <c r="R8" s="837">
        <f t="shared" si="3"/>
        <v>2018</v>
      </c>
      <c r="S8" s="837">
        <f t="shared" si="3"/>
        <v>2019</v>
      </c>
      <c r="T8" s="837">
        <f t="shared" si="3"/>
        <v>2020</v>
      </c>
      <c r="U8" s="837">
        <f t="shared" si="3"/>
        <v>2021</v>
      </c>
      <c r="V8" s="837">
        <f t="shared" si="3"/>
        <v>2022</v>
      </c>
      <c r="W8" s="837">
        <f t="shared" si="3"/>
        <v>2023</v>
      </c>
      <c r="AA8"/>
      <c r="AB8"/>
      <c r="AC8"/>
      <c r="AD8"/>
      <c r="AE8"/>
      <c r="AF8"/>
      <c r="AJ8" s="815"/>
    </row>
    <row r="9" spans="1:36" ht="14.25" customHeight="1">
      <c r="C9" s="416" t="s">
        <v>4</v>
      </c>
      <c r="D9" s="417"/>
      <c r="E9" s="417"/>
      <c r="F9" s="417"/>
      <c r="G9" s="417"/>
      <c r="H9" s="440">
        <f>DATE(YEAR($I$4)+H7,MONTH($I$4),DAY($I$4))</f>
        <v>39813</v>
      </c>
      <c r="I9" s="440">
        <f t="shared" ref="I9:W9" si="4">DATE(YEAR($I$4)+I7,MONTH($I$4),DAY($I$4))</f>
        <v>40178</v>
      </c>
      <c r="J9" s="440">
        <f t="shared" si="4"/>
        <v>40543</v>
      </c>
      <c r="K9" s="440">
        <f t="shared" si="4"/>
        <v>40908</v>
      </c>
      <c r="L9" s="440">
        <f t="shared" si="4"/>
        <v>41274</v>
      </c>
      <c r="M9" s="440">
        <f t="shared" si="4"/>
        <v>41639</v>
      </c>
      <c r="N9" s="440">
        <f t="shared" si="4"/>
        <v>42004</v>
      </c>
      <c r="O9" s="440">
        <f t="shared" si="4"/>
        <v>42369</v>
      </c>
      <c r="P9" s="440">
        <f t="shared" si="4"/>
        <v>42735</v>
      </c>
      <c r="Q9" s="440">
        <f t="shared" si="4"/>
        <v>43100</v>
      </c>
      <c r="R9" s="440">
        <f t="shared" si="4"/>
        <v>43465</v>
      </c>
      <c r="S9" s="440">
        <f t="shared" si="4"/>
        <v>43830</v>
      </c>
      <c r="T9" s="440">
        <f t="shared" si="4"/>
        <v>44196</v>
      </c>
      <c r="U9" s="440">
        <f t="shared" si="4"/>
        <v>44561</v>
      </c>
      <c r="V9" s="440">
        <f t="shared" si="4"/>
        <v>44926</v>
      </c>
      <c r="W9" s="440">
        <f t="shared" si="4"/>
        <v>45291</v>
      </c>
    </row>
    <row r="10" spans="1:36">
      <c r="C10" s="418"/>
      <c r="D10" s="417"/>
      <c r="E10" s="417"/>
      <c r="F10" s="417"/>
      <c r="G10" s="838"/>
      <c r="N10" s="839"/>
      <c r="T10" s="831"/>
      <c r="U10" s="831"/>
      <c r="V10" s="831"/>
      <c r="W10" s="831"/>
    </row>
    <row r="11" spans="1:36">
      <c r="C11" s="840" t="s">
        <v>402</v>
      </c>
      <c r="D11" s="840"/>
      <c r="E11" s="840"/>
      <c r="F11" s="840"/>
      <c r="G11" s="840"/>
      <c r="H11" s="841"/>
      <c r="I11" s="842">
        <f t="shared" ref="I11:W11" si="5">IF(I8&gt;$F$5,I76,0)</f>
        <v>1829</v>
      </c>
      <c r="J11" s="842">
        <f t="shared" si="5"/>
        <v>1713</v>
      </c>
      <c r="K11" s="842">
        <f t="shared" si="5"/>
        <v>1583</v>
      </c>
      <c r="L11" s="842">
        <f t="shared" si="5"/>
        <v>1731</v>
      </c>
      <c r="M11" s="842">
        <f t="shared" si="5"/>
        <v>1513</v>
      </c>
      <c r="N11" s="842">
        <f t="shared" si="5"/>
        <v>1419</v>
      </c>
      <c r="O11" s="842">
        <f t="shared" si="5"/>
        <v>1196</v>
      </c>
      <c r="P11" s="842">
        <f t="shared" si="5"/>
        <v>1493</v>
      </c>
      <c r="Q11" s="842">
        <f t="shared" si="5"/>
        <v>1522.8600000000001</v>
      </c>
      <c r="R11" s="842">
        <f t="shared" si="5"/>
        <v>1553.3172000000002</v>
      </c>
      <c r="S11" s="842">
        <f t="shared" si="5"/>
        <v>1584.3835440000003</v>
      </c>
      <c r="T11" s="842">
        <f t="shared" si="5"/>
        <v>1616.0712148800003</v>
      </c>
      <c r="U11" s="842">
        <f t="shared" si="5"/>
        <v>1648.3926391776004</v>
      </c>
      <c r="V11" s="842">
        <f t="shared" si="5"/>
        <v>1681.3604919611523</v>
      </c>
      <c r="W11" s="842">
        <f t="shared" si="5"/>
        <v>1714.9877018003754</v>
      </c>
    </row>
    <row r="12" spans="1:36">
      <c r="C12" s="843" t="s">
        <v>403</v>
      </c>
      <c r="D12" s="843"/>
      <c r="E12" s="843"/>
      <c r="F12" s="843"/>
      <c r="G12" s="843"/>
      <c r="H12" s="841"/>
      <c r="I12" s="844">
        <f t="shared" ref="I12:W12" si="6">IF(I8&gt;$F$5,I23,0)</f>
        <v>-994.95400342180358</v>
      </c>
      <c r="J12" s="844">
        <f t="shared" si="6"/>
        <v>-947.77555405107296</v>
      </c>
      <c r="K12" s="844">
        <f t="shared" si="6"/>
        <v>-1059.1937211004915</v>
      </c>
      <c r="L12" s="844">
        <f t="shared" si="6"/>
        <v>-1186.4466412058116</v>
      </c>
      <c r="M12" s="844">
        <f t="shared" si="6"/>
        <v>-645.15987474372264</v>
      </c>
      <c r="N12" s="844">
        <f t="shared" si="6"/>
        <v>-541.72087423432447</v>
      </c>
      <c r="O12" s="844">
        <f t="shared" si="6"/>
        <v>-661.89506899510957</v>
      </c>
      <c r="P12" s="844">
        <f t="shared" si="6"/>
        <v>-792.37943093827732</v>
      </c>
      <c r="Q12" s="844">
        <f t="shared" si="6"/>
        <v>-933.06437745998915</v>
      </c>
      <c r="R12" s="844">
        <f t="shared" si="6"/>
        <v>-1076.5630229121352</v>
      </c>
      <c r="S12" s="844">
        <f t="shared" si="6"/>
        <v>-1289.6324833919034</v>
      </c>
      <c r="T12" s="844">
        <f t="shared" si="6"/>
        <v>-1464.873826580239</v>
      </c>
      <c r="U12" s="844">
        <f t="shared" si="6"/>
        <v>-1484.9291351012098</v>
      </c>
      <c r="V12" s="844">
        <f t="shared" si="6"/>
        <v>-1492.6114974765906</v>
      </c>
      <c r="W12" s="844">
        <f t="shared" si="6"/>
        <v>-1405.4854449112638</v>
      </c>
    </row>
    <row r="13" spans="1:36">
      <c r="C13" s="419" t="s">
        <v>404</v>
      </c>
      <c r="D13" s="840"/>
      <c r="E13" s="840"/>
      <c r="F13" s="840"/>
      <c r="G13" s="840"/>
      <c r="H13" s="841"/>
      <c r="I13" s="845">
        <f t="shared" ref="I13:W13" si="7">SUM(I11:I12)</f>
        <v>834.04599657819642</v>
      </c>
      <c r="J13" s="845">
        <f t="shared" si="7"/>
        <v>765.22444594892704</v>
      </c>
      <c r="K13" s="845">
        <f t="shared" si="7"/>
        <v>523.80627889950847</v>
      </c>
      <c r="L13" s="845">
        <f t="shared" si="7"/>
        <v>544.5533587941884</v>
      </c>
      <c r="M13" s="845">
        <f t="shared" si="7"/>
        <v>867.84012525627736</v>
      </c>
      <c r="N13" s="845">
        <f t="shared" si="7"/>
        <v>877.27912576567553</v>
      </c>
      <c r="O13" s="845">
        <f t="shared" si="7"/>
        <v>534.10493100489043</v>
      </c>
      <c r="P13" s="845">
        <f t="shared" si="7"/>
        <v>700.62056906172268</v>
      </c>
      <c r="Q13" s="845">
        <f t="shared" si="7"/>
        <v>589.79562254001098</v>
      </c>
      <c r="R13" s="845">
        <f t="shared" si="7"/>
        <v>476.75417708786495</v>
      </c>
      <c r="S13" s="845">
        <f t="shared" si="7"/>
        <v>294.75106060809685</v>
      </c>
      <c r="T13" s="845">
        <f t="shared" si="7"/>
        <v>151.19738829976131</v>
      </c>
      <c r="U13" s="845">
        <f t="shared" si="7"/>
        <v>163.46350407639056</v>
      </c>
      <c r="V13" s="845">
        <f t="shared" si="7"/>
        <v>188.74899448456176</v>
      </c>
      <c r="W13" s="845">
        <f t="shared" si="7"/>
        <v>309.50225688911155</v>
      </c>
    </row>
    <row r="14" spans="1:36">
      <c r="C14" s="840"/>
      <c r="D14" s="840"/>
      <c r="E14" s="840"/>
      <c r="F14" s="840"/>
      <c r="G14" s="840"/>
      <c r="H14" s="841"/>
      <c r="I14" s="841"/>
      <c r="J14" s="841"/>
      <c r="K14" s="841"/>
      <c r="L14" s="841"/>
      <c r="M14" s="841"/>
      <c r="N14" s="841"/>
      <c r="O14" s="841"/>
      <c r="P14" s="841"/>
      <c r="Q14" s="841"/>
      <c r="R14" s="841"/>
      <c r="S14" s="841"/>
      <c r="T14" s="841"/>
      <c r="U14" s="841"/>
      <c r="V14" s="841"/>
      <c r="W14" s="841"/>
    </row>
    <row r="15" spans="1:36">
      <c r="C15" s="840" t="s">
        <v>405</v>
      </c>
      <c r="D15" s="840"/>
      <c r="E15" s="840"/>
      <c r="F15" s="840"/>
      <c r="G15" s="840"/>
      <c r="H15" s="841"/>
      <c r="I15" s="844">
        <f t="shared" ref="I15:W15" si="8">IF(OR(I8&gt;$F$5,I8=$F$5),-I30,0)</f>
        <v>-200.97568482387842</v>
      </c>
      <c r="J15" s="844">
        <f t="shared" si="8"/>
        <v>-102.19411785757225</v>
      </c>
      <c r="K15" s="844">
        <f t="shared" si="8"/>
        <v>-39.065321770567628</v>
      </c>
      <c r="L15" s="844">
        <f t="shared" si="8"/>
        <v>-21.099953231697508</v>
      </c>
      <c r="M15" s="844">
        <f t="shared" si="8"/>
        <v>-67.569824600368932</v>
      </c>
      <c r="N15" s="844">
        <f t="shared" si="8"/>
        <v>-44.935951061851185</v>
      </c>
      <c r="O15" s="844">
        <f t="shared" si="8"/>
        <v>-46.385766743570144</v>
      </c>
      <c r="P15" s="844">
        <f t="shared" si="8"/>
        <v>-81.011519733976996</v>
      </c>
      <c r="Q15" s="844">
        <f t="shared" si="8"/>
        <v>-98.341505253649174</v>
      </c>
      <c r="R15" s="844">
        <f t="shared" si="8"/>
        <v>-120.30961795981493</v>
      </c>
      <c r="S15" s="844">
        <f t="shared" si="8"/>
        <v>-128.73401779058716</v>
      </c>
      <c r="T15" s="844">
        <f t="shared" si="8"/>
        <v>-132.50505396543085</v>
      </c>
      <c r="U15" s="844">
        <f t="shared" si="8"/>
        <v>-134.7153828405564</v>
      </c>
      <c r="V15" s="844">
        <f t="shared" si="8"/>
        <v>-136.41081041313066</v>
      </c>
      <c r="W15" s="844">
        <f t="shared" si="8"/>
        <v>-137.93361797569668</v>
      </c>
    </row>
    <row r="16" spans="1:36">
      <c r="C16" s="419" t="s">
        <v>406</v>
      </c>
      <c r="D16" s="419"/>
      <c r="E16" s="419"/>
      <c r="F16" s="419"/>
      <c r="G16" s="419"/>
      <c r="H16" s="841"/>
      <c r="I16" s="845">
        <f t="shared" ref="I16:W16" si="9">I13+I15</f>
        <v>633.07031175431803</v>
      </c>
      <c r="J16" s="845">
        <f t="shared" si="9"/>
        <v>663.03032809135482</v>
      </c>
      <c r="K16" s="845">
        <f t="shared" si="9"/>
        <v>484.74095712894086</v>
      </c>
      <c r="L16" s="845">
        <f t="shared" si="9"/>
        <v>523.45340556249084</v>
      </c>
      <c r="M16" s="845">
        <f t="shared" si="9"/>
        <v>800.27030065590839</v>
      </c>
      <c r="N16" s="845">
        <f t="shared" si="9"/>
        <v>832.34317470382439</v>
      </c>
      <c r="O16" s="845">
        <f t="shared" si="9"/>
        <v>487.71916426132032</v>
      </c>
      <c r="P16" s="845">
        <f t="shared" si="9"/>
        <v>619.60904932774565</v>
      </c>
      <c r="Q16" s="845">
        <f t="shared" si="9"/>
        <v>491.45411728636179</v>
      </c>
      <c r="R16" s="845">
        <f t="shared" si="9"/>
        <v>356.44455912805</v>
      </c>
      <c r="S16" s="845">
        <f t="shared" si="9"/>
        <v>166.01704281750969</v>
      </c>
      <c r="T16" s="845">
        <f t="shared" si="9"/>
        <v>18.692334334330468</v>
      </c>
      <c r="U16" s="845">
        <f t="shared" si="9"/>
        <v>28.748121235834162</v>
      </c>
      <c r="V16" s="845">
        <f t="shared" si="9"/>
        <v>52.338184071431101</v>
      </c>
      <c r="W16" s="845">
        <f t="shared" si="9"/>
        <v>171.56863891341487</v>
      </c>
    </row>
    <row r="17" spans="1:36">
      <c r="C17" s="840"/>
      <c r="D17" s="840"/>
      <c r="E17" s="840"/>
      <c r="F17" s="840"/>
      <c r="G17" s="840"/>
      <c r="H17" s="841"/>
      <c r="I17" s="842"/>
      <c r="J17" s="842"/>
      <c r="K17" s="842"/>
      <c r="L17" s="842"/>
      <c r="M17" s="842"/>
      <c r="N17" s="842"/>
      <c r="O17" s="842"/>
      <c r="P17" s="842"/>
      <c r="Q17" s="842"/>
      <c r="R17" s="842"/>
      <c r="S17" s="842"/>
      <c r="T17" s="842"/>
      <c r="U17" s="842"/>
      <c r="V17" s="842"/>
      <c r="W17" s="842"/>
    </row>
    <row r="18" spans="1:36">
      <c r="C18" s="840"/>
      <c r="D18" s="840"/>
      <c r="E18" s="840"/>
      <c r="F18" s="840"/>
      <c r="G18" s="840"/>
      <c r="H18" s="846"/>
      <c r="I18" s="847"/>
      <c r="J18" s="847"/>
      <c r="K18" s="847"/>
      <c r="L18" s="847"/>
      <c r="M18" s="847"/>
      <c r="N18" s="847"/>
      <c r="O18" s="847"/>
      <c r="P18" s="847"/>
      <c r="Q18" s="847"/>
      <c r="R18" s="847"/>
      <c r="S18" s="847"/>
      <c r="T18" s="847"/>
      <c r="U18" s="847"/>
      <c r="V18" s="847"/>
      <c r="W18" s="847"/>
    </row>
    <row r="19" spans="1:36" s="832" customFormat="1" ht="14.25" customHeight="1">
      <c r="A19" s="848"/>
      <c r="C19" s="416" t="s">
        <v>533</v>
      </c>
      <c r="D19" s="849"/>
      <c r="E19" s="849"/>
      <c r="F19" s="849"/>
      <c r="G19" s="849"/>
      <c r="H19" s="850"/>
      <c r="I19" s="850"/>
      <c r="J19" s="850"/>
      <c r="K19" s="850"/>
      <c r="L19" s="850"/>
      <c r="M19" s="850"/>
      <c r="N19" s="850"/>
      <c r="O19" s="850"/>
      <c r="P19" s="441"/>
      <c r="Q19" s="441"/>
      <c r="R19" s="441"/>
      <c r="S19" s="441"/>
      <c r="T19" s="441"/>
      <c r="U19" s="441"/>
      <c r="V19" s="441"/>
      <c r="W19" s="441"/>
      <c r="AA19"/>
      <c r="AB19"/>
      <c r="AC19"/>
      <c r="AD19"/>
      <c r="AE19"/>
      <c r="AF19"/>
      <c r="AJ19" s="815"/>
    </row>
    <row r="20" spans="1:36" s="832" customFormat="1">
      <c r="A20" s="848"/>
      <c r="B20" s="851"/>
      <c r="C20" s="418"/>
      <c r="D20" s="849"/>
      <c r="E20" s="849"/>
      <c r="F20" s="849"/>
      <c r="G20" s="849"/>
      <c r="H20" s="850"/>
      <c r="I20" s="850"/>
      <c r="J20" s="850"/>
      <c r="K20" s="850"/>
      <c r="L20" s="850"/>
      <c r="M20" s="850"/>
      <c r="N20" s="850"/>
      <c r="O20" s="850"/>
      <c r="P20" s="441"/>
      <c r="Q20" s="441"/>
      <c r="R20" s="441"/>
      <c r="S20" s="441"/>
      <c r="T20" s="441"/>
      <c r="U20" s="441"/>
      <c r="V20" s="441"/>
      <c r="W20" s="441"/>
      <c r="AA20"/>
      <c r="AB20"/>
      <c r="AC20"/>
      <c r="AD20"/>
      <c r="AE20"/>
      <c r="AF20"/>
      <c r="AJ20" s="815"/>
    </row>
    <row r="21" spans="1:36">
      <c r="C21" s="852" t="s">
        <v>407</v>
      </c>
      <c r="D21" s="852"/>
      <c r="E21" s="852"/>
      <c r="F21" s="852"/>
      <c r="G21" s="852"/>
      <c r="H21" s="853"/>
      <c r="I21" s="853">
        <f t="shared" ref="I21:W21" si="10">H24</f>
        <v>5416.6063547978702</v>
      </c>
      <c r="J21" s="853">
        <f t="shared" si="10"/>
        <v>3754.6439301902756</v>
      </c>
      <c r="K21" s="853">
        <f t="shared" si="10"/>
        <v>2547.4148515399734</v>
      </c>
      <c r="L21" s="853">
        <f t="shared" si="10"/>
        <v>2810.4871506595837</v>
      </c>
      <c r="M21" s="853">
        <f t="shared" si="10"/>
        <v>3100.4923732383695</v>
      </c>
      <c r="N21" s="853">
        <f t="shared" si="10"/>
        <v>4910.9340214370868</v>
      </c>
      <c r="O21" s="853">
        <f t="shared" si="10"/>
        <v>5458.5644283838883</v>
      </c>
      <c r="P21" s="853">
        <f t="shared" si="10"/>
        <v>5998.4113069966297</v>
      </c>
      <c r="Q21" s="853">
        <f t="shared" si="10"/>
        <v>6510.8754954900296</v>
      </c>
      <c r="R21" s="853">
        <f t="shared" si="10"/>
        <v>6984.6605832471578</v>
      </c>
      <c r="S21" s="853">
        <f t="shared" si="10"/>
        <v>7343.084014856483</v>
      </c>
      <c r="T21" s="853">
        <f t="shared" si="10"/>
        <v>7517.1377150764683</v>
      </c>
      <c r="U21" s="853">
        <f t="shared" si="10"/>
        <v>7545.2237957803572</v>
      </c>
      <c r="V21" s="853">
        <f t="shared" si="10"/>
        <v>7583.113766108957</v>
      </c>
      <c r="W21" s="853">
        <f t="shared" si="10"/>
        <v>7643.7777561707726</v>
      </c>
    </row>
    <row r="22" spans="1:36">
      <c r="B22" s="854"/>
      <c r="C22" s="855" t="s">
        <v>408</v>
      </c>
      <c r="D22" s="855"/>
      <c r="E22" s="855"/>
      <c r="F22" s="855"/>
      <c r="G22" s="855"/>
      <c r="H22" s="853"/>
      <c r="I22" s="853">
        <f t="shared" ref="I22:W22" si="11">IF((I8&gt;$F$5),I143,0)</f>
        <v>-667.00842118579135</v>
      </c>
      <c r="J22" s="853">
        <f t="shared" si="11"/>
        <v>-259.45352459922947</v>
      </c>
      <c r="K22" s="853">
        <f t="shared" si="11"/>
        <v>1322.2660202201018</v>
      </c>
      <c r="L22" s="853">
        <f t="shared" si="11"/>
        <v>1476.4518637845977</v>
      </c>
      <c r="M22" s="853">
        <f t="shared" si="11"/>
        <v>2455.6015229424402</v>
      </c>
      <c r="N22" s="853">
        <f t="shared" si="11"/>
        <v>1089.3512811811265</v>
      </c>
      <c r="O22" s="853">
        <f t="shared" si="11"/>
        <v>1201.7419476078512</v>
      </c>
      <c r="P22" s="853">
        <f t="shared" si="11"/>
        <v>1304.8436194316776</v>
      </c>
      <c r="Q22" s="853">
        <f t="shared" si="11"/>
        <v>1406.8494652171178</v>
      </c>
      <c r="R22" s="853">
        <f t="shared" si="11"/>
        <v>1434.98645452146</v>
      </c>
      <c r="S22" s="853">
        <f t="shared" si="11"/>
        <v>1463.6861836118892</v>
      </c>
      <c r="T22" s="853">
        <f t="shared" si="11"/>
        <v>1492.959907284127</v>
      </c>
      <c r="U22" s="853">
        <f t="shared" si="11"/>
        <v>1522.81910542981</v>
      </c>
      <c r="V22" s="853">
        <f t="shared" si="11"/>
        <v>1553.275487538406</v>
      </c>
      <c r="W22" s="853">
        <f t="shared" si="11"/>
        <v>1584.3409972891741</v>
      </c>
    </row>
    <row r="23" spans="1:36">
      <c r="C23" s="855" t="s">
        <v>409</v>
      </c>
      <c r="D23" s="818"/>
      <c r="E23" s="818"/>
      <c r="F23" s="818"/>
      <c r="G23" s="818"/>
      <c r="H23" s="856"/>
      <c r="I23" s="856">
        <f t="shared" ref="I23:W23" si="12">IF(I8&gt;$F$5,-I171,0)</f>
        <v>-994.95400342180358</v>
      </c>
      <c r="J23" s="856">
        <f t="shared" si="12"/>
        <v>-947.77555405107296</v>
      </c>
      <c r="K23" s="856">
        <f t="shared" si="12"/>
        <v>-1059.1937211004915</v>
      </c>
      <c r="L23" s="856">
        <f t="shared" si="12"/>
        <v>-1186.4466412058116</v>
      </c>
      <c r="M23" s="856">
        <f t="shared" si="12"/>
        <v>-645.15987474372264</v>
      </c>
      <c r="N23" s="856">
        <f t="shared" si="12"/>
        <v>-541.72087423432447</v>
      </c>
      <c r="O23" s="856">
        <f t="shared" si="12"/>
        <v>-661.89506899510957</v>
      </c>
      <c r="P23" s="856">
        <f t="shared" si="12"/>
        <v>-792.37943093827732</v>
      </c>
      <c r="Q23" s="856">
        <f t="shared" si="12"/>
        <v>-933.06437745998915</v>
      </c>
      <c r="R23" s="856">
        <f t="shared" si="12"/>
        <v>-1076.5630229121352</v>
      </c>
      <c r="S23" s="856">
        <f t="shared" si="12"/>
        <v>-1289.6324833919034</v>
      </c>
      <c r="T23" s="856">
        <f t="shared" si="12"/>
        <v>-1464.873826580239</v>
      </c>
      <c r="U23" s="856">
        <f t="shared" si="12"/>
        <v>-1484.9291351012098</v>
      </c>
      <c r="V23" s="856">
        <f t="shared" si="12"/>
        <v>-1492.6114974765906</v>
      </c>
      <c r="W23" s="856">
        <f t="shared" si="12"/>
        <v>-1405.4854449112638</v>
      </c>
    </row>
    <row r="24" spans="1:36">
      <c r="C24" s="849" t="s">
        <v>410</v>
      </c>
      <c r="D24" s="849"/>
      <c r="E24" s="849"/>
      <c r="F24" s="849"/>
      <c r="G24" s="849"/>
      <c r="H24" s="857">
        <f t="shared" ref="H24:W24" si="13">IF(H8=$F$5,H33*H35,IF(H8&gt;$F$5,SUM(H21:H23),0))</f>
        <v>5416.6063547978702</v>
      </c>
      <c r="I24" s="857">
        <f t="shared" si="13"/>
        <v>3754.6439301902756</v>
      </c>
      <c r="J24" s="857">
        <f t="shared" si="13"/>
        <v>2547.4148515399734</v>
      </c>
      <c r="K24" s="857">
        <f t="shared" si="13"/>
        <v>2810.4871506595837</v>
      </c>
      <c r="L24" s="857">
        <f t="shared" si="13"/>
        <v>3100.4923732383695</v>
      </c>
      <c r="M24" s="857">
        <f t="shared" si="13"/>
        <v>4910.9340214370868</v>
      </c>
      <c r="N24" s="857">
        <f t="shared" si="13"/>
        <v>5458.5644283838883</v>
      </c>
      <c r="O24" s="857">
        <f t="shared" si="13"/>
        <v>5998.4113069966297</v>
      </c>
      <c r="P24" s="857">
        <f t="shared" si="13"/>
        <v>6510.8754954900296</v>
      </c>
      <c r="Q24" s="857">
        <f t="shared" si="13"/>
        <v>6984.6605832471578</v>
      </c>
      <c r="R24" s="857">
        <f t="shared" si="13"/>
        <v>7343.084014856483</v>
      </c>
      <c r="S24" s="857">
        <f t="shared" si="13"/>
        <v>7517.1377150764683</v>
      </c>
      <c r="T24" s="857">
        <f t="shared" si="13"/>
        <v>7545.2237957803572</v>
      </c>
      <c r="U24" s="857">
        <f t="shared" si="13"/>
        <v>7583.113766108957</v>
      </c>
      <c r="V24" s="857">
        <f t="shared" si="13"/>
        <v>7643.7777561707726</v>
      </c>
      <c r="W24" s="857">
        <f t="shared" si="13"/>
        <v>7822.6333085486831</v>
      </c>
    </row>
    <row r="25" spans="1:36">
      <c r="C25" s="818"/>
      <c r="D25" s="818"/>
      <c r="E25" s="818"/>
      <c r="F25" s="818"/>
      <c r="G25" s="818"/>
      <c r="I25" s="853"/>
      <c r="J25" s="853"/>
      <c r="K25" s="853"/>
      <c r="L25" s="853"/>
      <c r="M25" s="853"/>
      <c r="N25" s="853"/>
      <c r="O25" s="853"/>
      <c r="P25" s="853"/>
      <c r="Q25" s="853"/>
      <c r="R25" s="853"/>
      <c r="S25" s="853"/>
      <c r="T25" s="853"/>
      <c r="U25" s="853"/>
      <c r="V25" s="853"/>
      <c r="W25" s="853"/>
    </row>
    <row r="26" spans="1:36">
      <c r="C26" s="818"/>
      <c r="D26" s="818"/>
      <c r="E26" s="818"/>
      <c r="F26" s="818"/>
      <c r="G26" s="818"/>
      <c r="H26" s="853"/>
      <c r="I26" s="853"/>
      <c r="J26" s="853"/>
      <c r="K26" s="853"/>
      <c r="L26" s="853"/>
      <c r="M26" s="853"/>
      <c r="N26" s="853"/>
      <c r="O26" s="853"/>
      <c r="P26" s="853"/>
      <c r="Q26" s="853"/>
      <c r="R26" s="853"/>
      <c r="S26" s="853"/>
      <c r="T26" s="853"/>
      <c r="U26" s="853"/>
      <c r="V26" s="853"/>
      <c r="W26" s="853"/>
    </row>
    <row r="27" spans="1:36" s="832" customFormat="1" ht="14.25" customHeight="1">
      <c r="A27" s="848"/>
      <c r="B27" s="851"/>
      <c r="C27" s="416" t="s">
        <v>411</v>
      </c>
      <c r="D27" s="849"/>
      <c r="E27" s="849"/>
      <c r="F27" s="849"/>
      <c r="G27" s="849"/>
      <c r="H27" s="858"/>
      <c r="I27" s="858"/>
      <c r="J27" s="858"/>
      <c r="K27" s="858"/>
      <c r="L27" s="858"/>
      <c r="M27" s="858"/>
      <c r="N27" s="858"/>
      <c r="O27" s="858"/>
      <c r="P27" s="442"/>
      <c r="Q27" s="442"/>
      <c r="R27" s="442"/>
      <c r="S27" s="442"/>
      <c r="T27" s="442"/>
      <c r="U27" s="442"/>
      <c r="V27" s="442"/>
      <c r="W27" s="442"/>
      <c r="AA27"/>
      <c r="AB27"/>
      <c r="AC27"/>
      <c r="AD27"/>
      <c r="AE27"/>
      <c r="AF27"/>
      <c r="AJ27" s="815"/>
    </row>
    <row r="28" spans="1:36" s="832" customFormat="1">
      <c r="A28" s="848"/>
      <c r="B28" s="851"/>
      <c r="C28" s="418"/>
      <c r="D28" s="849"/>
      <c r="E28" s="849"/>
      <c r="F28" s="849"/>
      <c r="G28" s="849"/>
      <c r="H28" s="858"/>
      <c r="I28" s="858"/>
      <c r="J28" s="858"/>
      <c r="K28" s="858"/>
      <c r="L28" s="858"/>
      <c r="M28" s="858"/>
      <c r="N28" s="858"/>
      <c r="O28" s="858"/>
      <c r="P28" s="442"/>
      <c r="Q28" s="442"/>
      <c r="R28" s="442"/>
      <c r="S28" s="442"/>
      <c r="T28" s="442"/>
      <c r="U28" s="442"/>
      <c r="V28" s="442"/>
      <c r="W28" s="442"/>
      <c r="AA28"/>
      <c r="AB28"/>
      <c r="AC28"/>
      <c r="AD28"/>
      <c r="AE28"/>
      <c r="AF28"/>
      <c r="AJ28" s="815"/>
    </row>
    <row r="29" spans="1:36">
      <c r="C29" s="852" t="s">
        <v>412</v>
      </c>
      <c r="D29" s="859"/>
      <c r="E29" s="859"/>
      <c r="F29" s="859"/>
      <c r="G29" s="859"/>
      <c r="H29" s="853"/>
      <c r="I29" s="853">
        <f t="shared" ref="I29:W29" si="14">H33</f>
        <v>6086.0745559526631</v>
      </c>
      <c r="J29" s="853">
        <f t="shared" si="14"/>
        <v>3791.0418195907505</v>
      </c>
      <c r="K29" s="853">
        <f t="shared" si="14"/>
        <v>1920.7824128490931</v>
      </c>
      <c r="L29" s="853">
        <f t="shared" si="14"/>
        <v>1699.1137548397626</v>
      </c>
      <c r="M29" s="853">
        <f t="shared" si="14"/>
        <v>1465.6655718560578</v>
      </c>
      <c r="N29" s="853">
        <f t="shared" si="14"/>
        <v>2475.8369193988669</v>
      </c>
      <c r="O29" s="853">
        <f t="shared" si="14"/>
        <v>2191.1241516418445</v>
      </c>
      <c r="P29" s="853">
        <f t="shared" si="14"/>
        <v>2243.2518659932657</v>
      </c>
      <c r="Q29" s="853">
        <f t="shared" si="14"/>
        <v>2136.1070051589204</v>
      </c>
      <c r="R29" s="853">
        <f t="shared" si="14"/>
        <v>2118.4379756296876</v>
      </c>
      <c r="S29" s="853">
        <f t="shared" si="14"/>
        <v>2120.4168481109627</v>
      </c>
      <c r="T29" s="853">
        <f t="shared" si="14"/>
        <v>2128.4535055134388</v>
      </c>
      <c r="U29" s="853">
        <f t="shared" si="14"/>
        <v>2137.8472518829963</v>
      </c>
      <c r="V29" s="853">
        <f t="shared" si="14"/>
        <v>2146.9891009757621</v>
      </c>
      <c r="W29" s="853">
        <f t="shared" si="14"/>
        <v>2155.3149069661463</v>
      </c>
    </row>
    <row r="30" spans="1:36">
      <c r="C30" s="855" t="s">
        <v>537</v>
      </c>
      <c r="D30" s="860"/>
      <c r="E30" s="860"/>
      <c r="F30" s="860"/>
      <c r="G30" s="860"/>
      <c r="H30" s="853">
        <f t="shared" ref="H30:W30" si="15">IF(H8=$F$5,0,IF(H8&gt;$F$5,H29*G44+H45*H32,0))</f>
        <v>0</v>
      </c>
      <c r="I30" s="853">
        <f t="shared" si="15"/>
        <v>200.97568482387842</v>
      </c>
      <c r="J30" s="853">
        <f t="shared" si="15"/>
        <v>102.19411785757225</v>
      </c>
      <c r="K30" s="853">
        <f t="shared" si="15"/>
        <v>39.065321770567628</v>
      </c>
      <c r="L30" s="853">
        <f t="shared" si="15"/>
        <v>21.099953231697508</v>
      </c>
      <c r="M30" s="853">
        <f t="shared" si="15"/>
        <v>67.569824600368932</v>
      </c>
      <c r="N30" s="853">
        <f t="shared" si="15"/>
        <v>44.935951061851185</v>
      </c>
      <c r="O30" s="853">
        <f t="shared" si="15"/>
        <v>46.385766743570144</v>
      </c>
      <c r="P30" s="853">
        <f t="shared" si="15"/>
        <v>81.011519733976996</v>
      </c>
      <c r="Q30" s="853">
        <f t="shared" si="15"/>
        <v>98.341505253649174</v>
      </c>
      <c r="R30" s="853">
        <f t="shared" si="15"/>
        <v>120.30961795981493</v>
      </c>
      <c r="S30" s="853">
        <f t="shared" si="15"/>
        <v>128.73401779058716</v>
      </c>
      <c r="T30" s="853">
        <f t="shared" si="15"/>
        <v>132.50505396543085</v>
      </c>
      <c r="U30" s="853">
        <f t="shared" si="15"/>
        <v>134.7153828405564</v>
      </c>
      <c r="V30" s="853">
        <f t="shared" si="15"/>
        <v>136.41081041313066</v>
      </c>
      <c r="W30" s="853">
        <f t="shared" si="15"/>
        <v>137.93361797569668</v>
      </c>
    </row>
    <row r="31" spans="1:36">
      <c r="C31" s="855" t="s">
        <v>413</v>
      </c>
      <c r="D31" s="860"/>
      <c r="E31" s="860"/>
      <c r="F31" s="860"/>
      <c r="G31" s="860"/>
      <c r="H31" s="853"/>
      <c r="I31" s="853">
        <f t="shared" ref="I31:W31" si="16">-I11</f>
        <v>-1829</v>
      </c>
      <c r="J31" s="853">
        <f t="shared" si="16"/>
        <v>-1713</v>
      </c>
      <c r="K31" s="853">
        <f t="shared" si="16"/>
        <v>-1583</v>
      </c>
      <c r="L31" s="853">
        <f t="shared" si="16"/>
        <v>-1731</v>
      </c>
      <c r="M31" s="853">
        <f t="shared" si="16"/>
        <v>-1513</v>
      </c>
      <c r="N31" s="853">
        <f t="shared" si="16"/>
        <v>-1419</v>
      </c>
      <c r="O31" s="853">
        <f t="shared" si="16"/>
        <v>-1196</v>
      </c>
      <c r="P31" s="853">
        <f t="shared" si="16"/>
        <v>-1493</v>
      </c>
      <c r="Q31" s="853">
        <f t="shared" si="16"/>
        <v>-1522.8600000000001</v>
      </c>
      <c r="R31" s="853">
        <f t="shared" si="16"/>
        <v>-1553.3172000000002</v>
      </c>
      <c r="S31" s="853">
        <f t="shared" si="16"/>
        <v>-1584.3835440000003</v>
      </c>
      <c r="T31" s="853">
        <f t="shared" si="16"/>
        <v>-1616.0712148800003</v>
      </c>
      <c r="U31" s="853">
        <f t="shared" si="16"/>
        <v>-1648.3926391776004</v>
      </c>
      <c r="V31" s="853">
        <f t="shared" si="16"/>
        <v>-1681.3604919611523</v>
      </c>
      <c r="W31" s="853">
        <f t="shared" si="16"/>
        <v>-1714.9877018003754</v>
      </c>
    </row>
    <row r="32" spans="1:36">
      <c r="C32" s="855" t="s">
        <v>414</v>
      </c>
      <c r="D32" s="860"/>
      <c r="E32" s="860"/>
      <c r="F32" s="860"/>
      <c r="G32" s="860"/>
      <c r="H32" s="856"/>
      <c r="I32" s="856">
        <f t="shared" ref="I32:W32" si="17">IF(I8&gt;$F$5,I22,0)</f>
        <v>-667.00842118579135</v>
      </c>
      <c r="J32" s="856">
        <f t="shared" si="17"/>
        <v>-259.45352459922947</v>
      </c>
      <c r="K32" s="856">
        <f t="shared" si="17"/>
        <v>1322.2660202201018</v>
      </c>
      <c r="L32" s="856">
        <f t="shared" si="17"/>
        <v>1476.4518637845977</v>
      </c>
      <c r="M32" s="856">
        <f t="shared" si="17"/>
        <v>2455.6015229424402</v>
      </c>
      <c r="N32" s="856">
        <f t="shared" si="17"/>
        <v>1089.3512811811265</v>
      </c>
      <c r="O32" s="856">
        <f t="shared" si="17"/>
        <v>1201.7419476078512</v>
      </c>
      <c r="P32" s="856">
        <f t="shared" si="17"/>
        <v>1304.8436194316776</v>
      </c>
      <c r="Q32" s="856">
        <f t="shared" si="17"/>
        <v>1406.8494652171178</v>
      </c>
      <c r="R32" s="856">
        <f t="shared" si="17"/>
        <v>1434.98645452146</v>
      </c>
      <c r="S32" s="856">
        <f t="shared" si="17"/>
        <v>1463.6861836118892</v>
      </c>
      <c r="T32" s="856">
        <f t="shared" si="17"/>
        <v>1492.959907284127</v>
      </c>
      <c r="U32" s="856">
        <f t="shared" si="17"/>
        <v>1522.81910542981</v>
      </c>
      <c r="V32" s="856">
        <f t="shared" si="17"/>
        <v>1553.275487538406</v>
      </c>
      <c r="W32" s="856">
        <f t="shared" si="17"/>
        <v>1584.3409972891741</v>
      </c>
    </row>
    <row r="33" spans="1:36" s="863" customFormat="1">
      <c r="A33" s="861"/>
      <c r="B33" s="862"/>
      <c r="C33" s="849" t="s">
        <v>415</v>
      </c>
      <c r="D33" s="420"/>
      <c r="E33" s="420"/>
      <c r="F33" s="420"/>
      <c r="G33" s="420"/>
      <c r="H33" s="857">
        <f t="shared" ref="H33:W33" si="18">IF(H8=$F$5,NPV(H44,H77:H95),IF(H8&lt;$F$5,0,SUM(H29:H32)))</f>
        <v>6086.0745559526631</v>
      </c>
      <c r="I33" s="857">
        <f t="shared" si="18"/>
        <v>3791.0418195907505</v>
      </c>
      <c r="J33" s="857">
        <f t="shared" si="18"/>
        <v>1920.7824128490931</v>
      </c>
      <c r="K33" s="857">
        <f t="shared" si="18"/>
        <v>1699.1137548397626</v>
      </c>
      <c r="L33" s="857">
        <f t="shared" si="18"/>
        <v>1465.6655718560578</v>
      </c>
      <c r="M33" s="857">
        <f t="shared" si="18"/>
        <v>2475.8369193988669</v>
      </c>
      <c r="N33" s="857">
        <f t="shared" si="18"/>
        <v>2191.1241516418445</v>
      </c>
      <c r="O33" s="857">
        <f t="shared" si="18"/>
        <v>2243.2518659932657</v>
      </c>
      <c r="P33" s="857">
        <f t="shared" si="18"/>
        <v>2136.1070051589204</v>
      </c>
      <c r="Q33" s="857">
        <f t="shared" si="18"/>
        <v>2118.4379756296876</v>
      </c>
      <c r="R33" s="857">
        <f t="shared" si="18"/>
        <v>2120.4168481109627</v>
      </c>
      <c r="S33" s="857">
        <f t="shared" si="18"/>
        <v>2128.4535055134388</v>
      </c>
      <c r="T33" s="857">
        <f t="shared" si="18"/>
        <v>2137.8472518829963</v>
      </c>
      <c r="U33" s="857">
        <f t="shared" si="18"/>
        <v>2146.9891009757621</v>
      </c>
      <c r="V33" s="857">
        <f t="shared" si="18"/>
        <v>2155.3149069661463</v>
      </c>
      <c r="W33" s="857">
        <f t="shared" si="18"/>
        <v>2162.6018204306415</v>
      </c>
      <c r="AA33"/>
      <c r="AB33"/>
      <c r="AC33"/>
      <c r="AD33"/>
      <c r="AE33"/>
      <c r="AF33"/>
      <c r="AJ33" s="864"/>
    </row>
    <row r="34" spans="1:36">
      <c r="C34" s="859"/>
      <c r="D34" s="859"/>
      <c r="E34" s="859"/>
      <c r="F34" s="859"/>
      <c r="G34" s="859"/>
      <c r="H34" s="865"/>
      <c r="I34" s="865"/>
      <c r="J34" s="865"/>
      <c r="K34" s="865"/>
      <c r="L34" s="865"/>
      <c r="M34" s="865"/>
      <c r="N34" s="865"/>
      <c r="O34" s="865"/>
      <c r="P34" s="865"/>
      <c r="Q34" s="865"/>
      <c r="R34" s="865"/>
      <c r="S34" s="865"/>
      <c r="T34" s="865"/>
      <c r="U34" s="865"/>
      <c r="V34" s="865"/>
      <c r="W34" s="865"/>
    </row>
    <row r="35" spans="1:36" s="873" customFormat="1">
      <c r="A35" s="866"/>
      <c r="B35" s="867"/>
      <c r="C35" s="868" t="s">
        <v>420</v>
      </c>
      <c r="D35" s="869"/>
      <c r="E35" s="869"/>
      <c r="F35" s="869"/>
      <c r="G35" s="870">
        <v>0.89</v>
      </c>
      <c r="H35" s="871">
        <f t="shared" ref="H35:W35" si="19">IF(ISERROR(IF($F$5=H8,$G$35,IF(H8&gt;$F$5,H24/H33,""))),0,IF($F$5=H8,$G$35,IF(H8&gt;$F$5,H24/H33,"")))</f>
        <v>0.89</v>
      </c>
      <c r="I35" s="871">
        <f t="shared" si="19"/>
        <v>0.99039897444222758</v>
      </c>
      <c r="J35" s="871">
        <f t="shared" si="19"/>
        <v>1.3262381176019815</v>
      </c>
      <c r="K35" s="871">
        <f t="shared" si="19"/>
        <v>1.6540900470343323</v>
      </c>
      <c r="L35" s="871">
        <f t="shared" si="19"/>
        <v>2.1154159808175308</v>
      </c>
      <c r="M35" s="871">
        <f t="shared" si="19"/>
        <v>1.9835450319682046</v>
      </c>
      <c r="N35" s="871">
        <f t="shared" si="19"/>
        <v>2.4912164033670563</v>
      </c>
      <c r="O35" s="871">
        <f t="shared" si="19"/>
        <v>2.6739803041869563</v>
      </c>
      <c r="P35" s="871">
        <f t="shared" si="19"/>
        <v>3.0480099918990895</v>
      </c>
      <c r="Q35" s="871">
        <f t="shared" si="19"/>
        <v>3.2970805204580169</v>
      </c>
      <c r="R35" s="871">
        <f t="shared" si="19"/>
        <v>3.4630379500135979</v>
      </c>
      <c r="S35" s="871">
        <f t="shared" si="19"/>
        <v>3.5317368669808635</v>
      </c>
      <c r="T35" s="871">
        <f t="shared" si="19"/>
        <v>3.5293558925384372</v>
      </c>
      <c r="U35" s="871">
        <f t="shared" si="19"/>
        <v>3.53197590181645</v>
      </c>
      <c r="V35" s="871">
        <f t="shared" si="19"/>
        <v>3.5464783969458407</v>
      </c>
      <c r="W35" s="871">
        <f t="shared" si="19"/>
        <v>3.617232370123018</v>
      </c>
      <c r="X35" s="872"/>
      <c r="AA35"/>
      <c r="AB35"/>
      <c r="AC35"/>
      <c r="AD35"/>
      <c r="AE35"/>
      <c r="AF35"/>
      <c r="AJ35" s="874"/>
    </row>
    <row r="36" spans="1:36">
      <c r="H36" s="875"/>
      <c r="I36" s="875"/>
      <c r="J36" s="875"/>
      <c r="K36" s="875"/>
      <c r="L36" s="875"/>
      <c r="M36" s="875"/>
      <c r="N36" s="875"/>
      <c r="O36" s="875"/>
      <c r="P36" s="875"/>
      <c r="Q36" s="875"/>
      <c r="R36" s="875"/>
      <c r="S36" s="875"/>
      <c r="T36" s="875"/>
      <c r="U36" s="875"/>
      <c r="V36" s="875"/>
      <c r="W36" s="875"/>
    </row>
    <row r="37" spans="1:36">
      <c r="C37" s="421" t="s">
        <v>421</v>
      </c>
      <c r="D37" s="421"/>
      <c r="E37" s="421"/>
      <c r="F37" s="421"/>
      <c r="G37" s="421"/>
      <c r="H37" s="857">
        <f t="shared" ref="H37:W37" si="20">(H24-H33)*(1-$G$56)</f>
        <v>-669.46820115479295</v>
      </c>
      <c r="I37" s="857">
        <f t="shared" si="20"/>
        <v>-36.397889400474924</v>
      </c>
      <c r="J37" s="857">
        <f t="shared" si="20"/>
        <v>626.63243869088024</v>
      </c>
      <c r="K37" s="857">
        <f t="shared" si="20"/>
        <v>1111.3733958198211</v>
      </c>
      <c r="L37" s="857">
        <f t="shared" si="20"/>
        <v>1634.8268013823117</v>
      </c>
      <c r="M37" s="857">
        <f t="shared" si="20"/>
        <v>2435.0971020382199</v>
      </c>
      <c r="N37" s="857">
        <f t="shared" si="20"/>
        <v>3267.4402767420438</v>
      </c>
      <c r="O37" s="857">
        <f t="shared" si="20"/>
        <v>3755.159441003364</v>
      </c>
      <c r="P37" s="857">
        <f t="shared" si="20"/>
        <v>4374.7684903311092</v>
      </c>
      <c r="Q37" s="857">
        <f t="shared" si="20"/>
        <v>4866.2226076174702</v>
      </c>
      <c r="R37" s="857">
        <f t="shared" si="20"/>
        <v>5222.6671667455203</v>
      </c>
      <c r="S37" s="857">
        <f t="shared" si="20"/>
        <v>5388.6842095630291</v>
      </c>
      <c r="T37" s="857">
        <f t="shared" si="20"/>
        <v>5407.3765438973605</v>
      </c>
      <c r="U37" s="857">
        <f t="shared" si="20"/>
        <v>5436.1246651331949</v>
      </c>
      <c r="V37" s="857">
        <f t="shared" si="20"/>
        <v>5488.4628492046268</v>
      </c>
      <c r="W37" s="857">
        <f t="shared" si="20"/>
        <v>5660.031488118042</v>
      </c>
    </row>
    <row r="38" spans="1:36">
      <c r="C38" s="876" t="s">
        <v>422</v>
      </c>
      <c r="D38" s="840"/>
      <c r="E38" s="840"/>
      <c r="F38" s="840"/>
      <c r="G38" s="840"/>
      <c r="H38" s="841"/>
      <c r="I38" s="845">
        <f t="shared" ref="I38:W38" si="21">I11+I15</f>
        <v>1628.0243151761215</v>
      </c>
      <c r="J38" s="845">
        <f t="shared" si="21"/>
        <v>1610.8058821424277</v>
      </c>
      <c r="K38" s="845">
        <f t="shared" si="21"/>
        <v>1543.9346782294324</v>
      </c>
      <c r="L38" s="845">
        <f t="shared" si="21"/>
        <v>1709.9000467683024</v>
      </c>
      <c r="M38" s="845">
        <f t="shared" si="21"/>
        <v>1445.430175399631</v>
      </c>
      <c r="N38" s="845">
        <f t="shared" si="21"/>
        <v>1374.0640489381487</v>
      </c>
      <c r="O38" s="845">
        <f t="shared" si="21"/>
        <v>1149.6142332564298</v>
      </c>
      <c r="P38" s="845">
        <f t="shared" si="21"/>
        <v>1411.9884802660231</v>
      </c>
      <c r="Q38" s="845">
        <f t="shared" si="21"/>
        <v>1424.5184947463511</v>
      </c>
      <c r="R38" s="845">
        <f t="shared" si="21"/>
        <v>1433.0075820401853</v>
      </c>
      <c r="S38" s="845">
        <f t="shared" si="21"/>
        <v>1455.6495262094131</v>
      </c>
      <c r="T38" s="845">
        <f t="shared" si="21"/>
        <v>1483.5661609145695</v>
      </c>
      <c r="U38" s="845">
        <f t="shared" si="21"/>
        <v>1513.6772563370439</v>
      </c>
      <c r="V38" s="845">
        <f t="shared" si="21"/>
        <v>1544.9496815480215</v>
      </c>
      <c r="W38" s="845">
        <f t="shared" si="21"/>
        <v>1577.0540838246786</v>
      </c>
    </row>
    <row r="39" spans="1:36">
      <c r="C39" s="877" t="s">
        <v>423</v>
      </c>
      <c r="D39" s="876"/>
      <c r="E39" s="876"/>
      <c r="F39" s="876"/>
      <c r="G39" s="876"/>
      <c r="H39" s="853"/>
      <c r="I39" s="853">
        <f t="shared" ref="I39:W39" si="22">I37-H37</f>
        <v>633.07031175431803</v>
      </c>
      <c r="J39" s="853">
        <f t="shared" si="22"/>
        <v>663.03032809135516</v>
      </c>
      <c r="K39" s="853">
        <f t="shared" si="22"/>
        <v>484.74095712894086</v>
      </c>
      <c r="L39" s="853">
        <f t="shared" si="22"/>
        <v>523.45340556249062</v>
      </c>
      <c r="M39" s="853">
        <f t="shared" si="22"/>
        <v>800.27030065590816</v>
      </c>
      <c r="N39" s="853">
        <f t="shared" si="22"/>
        <v>832.34317470382393</v>
      </c>
      <c r="O39" s="853">
        <f t="shared" si="22"/>
        <v>487.7191642613202</v>
      </c>
      <c r="P39" s="853">
        <f t="shared" si="22"/>
        <v>619.6090493277452</v>
      </c>
      <c r="Q39" s="853">
        <f t="shared" si="22"/>
        <v>491.454117286361</v>
      </c>
      <c r="R39" s="853">
        <f t="shared" si="22"/>
        <v>356.44455912805006</v>
      </c>
      <c r="S39" s="853">
        <f t="shared" si="22"/>
        <v>166.01704281750881</v>
      </c>
      <c r="T39" s="853">
        <f t="shared" si="22"/>
        <v>18.692334334331463</v>
      </c>
      <c r="U39" s="853">
        <f t="shared" si="22"/>
        <v>28.748121235834333</v>
      </c>
      <c r="V39" s="853">
        <f t="shared" si="22"/>
        <v>52.338184071431897</v>
      </c>
      <c r="W39" s="853">
        <f t="shared" si="22"/>
        <v>171.56863891341527</v>
      </c>
    </row>
    <row r="40" spans="1:36">
      <c r="Q40" s="875"/>
      <c r="R40" s="875"/>
      <c r="S40" s="875"/>
      <c r="T40" s="875"/>
      <c r="U40" s="875"/>
      <c r="V40" s="875"/>
      <c r="W40" s="875"/>
    </row>
    <row r="41" spans="1:36">
      <c r="Q41" s="878"/>
      <c r="R41" s="875"/>
      <c r="S41" s="875"/>
      <c r="T41" s="875"/>
      <c r="U41" s="875"/>
      <c r="V41" s="875"/>
      <c r="W41" s="875"/>
    </row>
    <row r="42" spans="1:36" s="832" customFormat="1" ht="14.25" customHeight="1">
      <c r="A42" s="848"/>
      <c r="B42" s="851"/>
      <c r="C42" s="879" t="s">
        <v>334</v>
      </c>
      <c r="D42" s="880"/>
      <c r="Q42" s="442"/>
      <c r="R42" s="442"/>
      <c r="S42" s="442"/>
      <c r="T42" s="442"/>
      <c r="U42" s="442"/>
      <c r="V42" s="442"/>
      <c r="W42" s="442"/>
      <c r="AA42"/>
      <c r="AB42"/>
      <c r="AC42"/>
      <c r="AD42"/>
      <c r="AE42"/>
      <c r="AF42"/>
      <c r="AJ42" s="815"/>
    </row>
    <row r="43" spans="1:36" s="884" customFormat="1">
      <c r="A43" s="881"/>
      <c r="B43" s="882"/>
      <c r="C43" s="883"/>
      <c r="D43" s="883"/>
      <c r="Q43" s="883"/>
      <c r="R43" s="883"/>
      <c r="S43" s="883"/>
      <c r="T43" s="883"/>
      <c r="U43" s="883"/>
      <c r="V43" s="883"/>
      <c r="W43" s="883"/>
      <c r="AA43"/>
      <c r="AB43"/>
      <c r="AC43"/>
      <c r="AD43"/>
      <c r="AE43"/>
      <c r="AF43"/>
      <c r="AJ43" s="885"/>
    </row>
    <row r="44" spans="1:36" s="873" customFormat="1" ht="14.25" customHeight="1">
      <c r="A44" s="886"/>
      <c r="B44" s="886"/>
      <c r="C44" s="887" t="s">
        <v>424</v>
      </c>
      <c r="D44" s="888"/>
      <c r="E44" s="888"/>
      <c r="F44" s="888"/>
      <c r="G44" s="886"/>
      <c r="H44" s="889">
        <v>3.3199868956414108E-2</v>
      </c>
      <c r="I44" s="889">
        <v>2.7103583262934893E-2</v>
      </c>
      <c r="J44" s="889">
        <v>1.9333210896070947E-2</v>
      </c>
      <c r="K44" s="889">
        <v>1.0716231219053431E-2</v>
      </c>
      <c r="L44" s="889">
        <v>1.8544082133945205E-3</v>
      </c>
      <c r="M44" s="889">
        <v>6.7189979614844884E-3</v>
      </c>
      <c r="N44" s="889">
        <v>1.1590707429893814E-2</v>
      </c>
      <c r="O44" s="889">
        <v>1.4654685501179173E-2</v>
      </c>
      <c r="P44" s="889">
        <v>2.1740956043967131E-2</v>
      </c>
      <c r="Q44" s="890">
        <f t="shared" ref="Q44:W44" si="23">(P44*(Q29+Q30+Q31)+Q45*Q32)/Q33</f>
        <v>3.1802258102706572E-2</v>
      </c>
      <c r="R44" s="890">
        <f t="shared" si="23"/>
        <v>3.5246249358572568E-2</v>
      </c>
      <c r="S44" s="890">
        <f t="shared" si="23"/>
        <v>3.6377506678232349E-2</v>
      </c>
      <c r="T44" s="890">
        <f t="shared" si="23"/>
        <v>3.6736308438307379E-2</v>
      </c>
      <c r="U44" s="890">
        <f t="shared" si="23"/>
        <v>3.6846236545753655E-2</v>
      </c>
      <c r="V44" s="890">
        <f t="shared" si="23"/>
        <v>3.6878707950575101E-2</v>
      </c>
      <c r="W44" s="890">
        <f t="shared" si="23"/>
        <v>3.6887928347428781E-2</v>
      </c>
      <c r="AA44"/>
      <c r="AB44"/>
      <c r="AC44"/>
      <c r="AD44"/>
      <c r="AE44"/>
      <c r="AF44"/>
      <c r="AJ44" s="415" t="s">
        <v>681</v>
      </c>
    </row>
    <row r="45" spans="1:36" s="873" customFormat="1" ht="15" customHeight="1">
      <c r="A45" s="886"/>
      <c r="B45" s="886"/>
      <c r="C45" s="887" t="s">
        <v>425</v>
      </c>
      <c r="D45" s="888"/>
      <c r="E45" s="888"/>
      <c r="F45" s="888"/>
      <c r="G45" s="886"/>
      <c r="H45" s="891"/>
      <c r="I45" s="889">
        <v>1.62095838429454E-3</v>
      </c>
      <c r="J45" s="889">
        <v>2.1456627110145411E-3</v>
      </c>
      <c r="K45" s="889">
        <v>1.4599409407577138E-3</v>
      </c>
      <c r="L45" s="889">
        <v>1.9586533352654203E-3</v>
      </c>
      <c r="M45" s="889">
        <v>2.6409774436090227E-2</v>
      </c>
      <c r="N45" s="889">
        <v>2.5979505726341168E-2</v>
      </c>
      <c r="O45" s="889">
        <v>1.7465553067441346E-2</v>
      </c>
      <c r="P45" s="889">
        <v>3.6891293654697489E-2</v>
      </c>
      <c r="Q45" s="892">
        <f t="shared" ref="Q45:W45" si="24">P45</f>
        <v>3.6891293654697489E-2</v>
      </c>
      <c r="R45" s="892">
        <f t="shared" si="24"/>
        <v>3.6891293654697489E-2</v>
      </c>
      <c r="S45" s="892">
        <f t="shared" si="24"/>
        <v>3.6891293654697489E-2</v>
      </c>
      <c r="T45" s="892">
        <f t="shared" si="24"/>
        <v>3.6891293654697489E-2</v>
      </c>
      <c r="U45" s="892">
        <f t="shared" si="24"/>
        <v>3.6891293654697489E-2</v>
      </c>
      <c r="V45" s="892">
        <f t="shared" si="24"/>
        <v>3.6891293654697489E-2</v>
      </c>
      <c r="W45" s="892">
        <f t="shared" si="24"/>
        <v>3.6891293654697489E-2</v>
      </c>
      <c r="AA45"/>
      <c r="AB45"/>
      <c r="AC45"/>
      <c r="AD45"/>
      <c r="AE45"/>
      <c r="AF45"/>
      <c r="AJ45" s="415" t="s">
        <v>682</v>
      </c>
    </row>
    <row r="46" spans="1:36">
      <c r="C46" s="893"/>
      <c r="I46" s="894"/>
      <c r="J46" s="894"/>
      <c r="K46" s="894"/>
      <c r="L46" s="894"/>
      <c r="M46" s="894"/>
      <c r="N46" s="894"/>
      <c r="O46" s="894"/>
      <c r="P46" s="894"/>
      <c r="Q46" s="895"/>
      <c r="R46" s="819"/>
      <c r="T46" s="831"/>
      <c r="U46" s="831"/>
      <c r="V46" s="831"/>
      <c r="W46" s="831"/>
    </row>
    <row r="47" spans="1:36">
      <c r="C47" s="818" t="s">
        <v>426</v>
      </c>
      <c r="D47" s="880"/>
      <c r="E47" s="880"/>
      <c r="F47" s="880"/>
      <c r="G47" s="880"/>
      <c r="H47" s="896">
        <v>10</v>
      </c>
      <c r="I47" s="896">
        <v>10</v>
      </c>
      <c r="J47" s="896">
        <v>10</v>
      </c>
      <c r="K47" s="896">
        <v>10</v>
      </c>
      <c r="L47" s="896">
        <v>10</v>
      </c>
      <c r="M47" s="896">
        <v>10</v>
      </c>
      <c r="N47" s="896">
        <v>10</v>
      </c>
      <c r="O47" s="896">
        <v>10</v>
      </c>
      <c r="P47" s="896">
        <v>10</v>
      </c>
      <c r="Q47" s="897">
        <f t="shared" ref="Q47:W47" si="25">P47*(1+Q48)</f>
        <v>10.1</v>
      </c>
      <c r="R47" s="897">
        <f t="shared" si="25"/>
        <v>10.201000000000001</v>
      </c>
      <c r="S47" s="897">
        <f t="shared" si="25"/>
        <v>10.30301</v>
      </c>
      <c r="T47" s="897">
        <f t="shared" si="25"/>
        <v>10.4060401</v>
      </c>
      <c r="U47" s="897">
        <f t="shared" si="25"/>
        <v>10.510100501</v>
      </c>
      <c r="V47" s="897">
        <f t="shared" si="25"/>
        <v>10.615201506010001</v>
      </c>
      <c r="W47" s="897">
        <f t="shared" si="25"/>
        <v>10.721353521070101</v>
      </c>
    </row>
    <row r="48" spans="1:36">
      <c r="B48" s="851"/>
      <c r="C48" s="832" t="s">
        <v>427</v>
      </c>
      <c r="H48" s="898"/>
      <c r="I48" s="898">
        <f t="shared" ref="I48:P48" si="26">I47/H47-1</f>
        <v>0</v>
      </c>
      <c r="J48" s="898">
        <f t="shared" si="26"/>
        <v>0</v>
      </c>
      <c r="K48" s="898">
        <f t="shared" si="26"/>
        <v>0</v>
      </c>
      <c r="L48" s="898">
        <f t="shared" si="26"/>
        <v>0</v>
      </c>
      <c r="M48" s="898">
        <f t="shared" si="26"/>
        <v>0</v>
      </c>
      <c r="N48" s="898">
        <f t="shared" si="26"/>
        <v>0</v>
      </c>
      <c r="O48" s="898">
        <f t="shared" si="26"/>
        <v>0</v>
      </c>
      <c r="P48" s="898">
        <f t="shared" si="26"/>
        <v>0</v>
      </c>
      <c r="Q48" s="899">
        <v>0.01</v>
      </c>
      <c r="R48" s="899">
        <v>0.01</v>
      </c>
      <c r="S48" s="899">
        <v>0.01</v>
      </c>
      <c r="T48" s="899">
        <v>0.01</v>
      </c>
      <c r="U48" s="899">
        <v>0.01</v>
      </c>
      <c r="V48" s="899">
        <v>0.01</v>
      </c>
      <c r="W48" s="899">
        <v>0.01</v>
      </c>
    </row>
    <row r="49" spans="1:36">
      <c r="B49" s="851"/>
      <c r="C49" s="832" t="s">
        <v>428</v>
      </c>
      <c r="H49" s="900"/>
      <c r="I49" s="901"/>
      <c r="J49" s="900"/>
      <c r="K49" s="900"/>
      <c r="L49" s="900"/>
      <c r="M49" s="900"/>
      <c r="N49" s="443"/>
      <c r="O49" s="443"/>
      <c r="P49" s="443"/>
      <c r="Q49" s="443"/>
      <c r="R49" s="443"/>
      <c r="S49" s="443"/>
      <c r="T49" s="443"/>
      <c r="U49" s="443"/>
      <c r="V49" s="443"/>
      <c r="W49" s="443"/>
    </row>
    <row r="50" spans="1:36">
      <c r="B50" s="851"/>
      <c r="H50" s="900"/>
      <c r="I50" s="901"/>
      <c r="J50" s="900"/>
      <c r="K50" s="900"/>
      <c r="L50" s="900"/>
      <c r="M50" s="900"/>
      <c r="N50" s="443"/>
      <c r="O50" s="443"/>
      <c r="P50" s="443"/>
      <c r="Q50" s="443"/>
      <c r="R50" s="443"/>
      <c r="S50" s="443"/>
      <c r="T50" s="443"/>
      <c r="U50" s="443"/>
      <c r="V50" s="443"/>
      <c r="W50" s="443"/>
    </row>
    <row r="51" spans="1:36">
      <c r="B51" s="851"/>
      <c r="C51" s="832" t="s">
        <v>455</v>
      </c>
      <c r="H51" s="902"/>
      <c r="I51" s="902">
        <f t="shared" ref="I51:W51" si="27">IF(ISERROR(I54/I47),0,I54/I47)</f>
        <v>-66.700842118579132</v>
      </c>
      <c r="J51" s="902">
        <f t="shared" si="27"/>
        <v>-25.945352459922947</v>
      </c>
      <c r="K51" s="902">
        <f t="shared" si="27"/>
        <v>132.22660202201018</v>
      </c>
      <c r="L51" s="902">
        <f t="shared" si="27"/>
        <v>147.64518637845975</v>
      </c>
      <c r="M51" s="902">
        <f t="shared" si="27"/>
        <v>245.56015229424401</v>
      </c>
      <c r="N51" s="902">
        <f t="shared" si="27"/>
        <v>108.93512811811266</v>
      </c>
      <c r="O51" s="902">
        <f t="shared" si="27"/>
        <v>120.17419476078513</v>
      </c>
      <c r="P51" s="902">
        <f t="shared" si="27"/>
        <v>130.48436194316776</v>
      </c>
      <c r="Q51" s="902">
        <f t="shared" si="27"/>
        <v>139.29202625912058</v>
      </c>
      <c r="R51" s="902">
        <f t="shared" si="27"/>
        <v>140.67115523198314</v>
      </c>
      <c r="S51" s="902">
        <f t="shared" si="27"/>
        <v>142.06393894715129</v>
      </c>
      <c r="T51" s="902">
        <f t="shared" si="27"/>
        <v>143.47051260009337</v>
      </c>
      <c r="U51" s="902">
        <f t="shared" si="27"/>
        <v>144.89101272484683</v>
      </c>
      <c r="V51" s="902">
        <f t="shared" si="27"/>
        <v>146.32557720727101</v>
      </c>
      <c r="W51" s="902">
        <f t="shared" si="27"/>
        <v>147.77434529843211</v>
      </c>
    </row>
    <row r="52" spans="1:36">
      <c r="B52" s="851"/>
      <c r="C52" s="832" t="s">
        <v>456</v>
      </c>
      <c r="H52" s="898"/>
      <c r="I52" s="903"/>
      <c r="J52" s="903">
        <f t="shared" ref="J52:W52" si="28">IF(ISERROR(J51/I51-1),0,J51/I51-1)</f>
        <v>-0.61101911706305101</v>
      </c>
      <c r="K52" s="903">
        <f t="shared" si="28"/>
        <v>-6.0963501932092417</v>
      </c>
      <c r="L52" s="903">
        <f t="shared" si="28"/>
        <v>0.11660727962957873</v>
      </c>
      <c r="M52" s="903">
        <f t="shared" si="28"/>
        <v>0.66317750220991467</v>
      </c>
      <c r="N52" s="903">
        <f t="shared" si="28"/>
        <v>-0.55638108585475843</v>
      </c>
      <c r="O52" s="903">
        <f t="shared" si="28"/>
        <v>0.10317210652643238</v>
      </c>
      <c r="P52" s="903">
        <f t="shared" si="28"/>
        <v>8.5793520005736035E-2</v>
      </c>
      <c r="Q52" s="903">
        <f t="shared" si="28"/>
        <v>6.7499769204443005E-2</v>
      </c>
      <c r="R52" s="903">
        <f t="shared" si="28"/>
        <v>9.9009900990096877E-3</v>
      </c>
      <c r="S52" s="903">
        <f t="shared" si="28"/>
        <v>9.9009900990099098E-3</v>
      </c>
      <c r="T52" s="903">
        <f t="shared" si="28"/>
        <v>9.9009900990099098E-3</v>
      </c>
      <c r="U52" s="903">
        <f t="shared" si="28"/>
        <v>9.9009900990103539E-3</v>
      </c>
      <c r="V52" s="903">
        <f t="shared" si="28"/>
        <v>9.9009900990094657E-3</v>
      </c>
      <c r="W52" s="903">
        <f t="shared" si="28"/>
        <v>9.9009900990099098E-3</v>
      </c>
    </row>
    <row r="53" spans="1:36">
      <c r="B53" s="851"/>
      <c r="H53" s="898"/>
      <c r="I53" s="898"/>
      <c r="J53" s="898"/>
      <c r="K53" s="898"/>
      <c r="L53" s="898"/>
      <c r="M53" s="898"/>
      <c r="N53" s="898"/>
      <c r="O53" s="898"/>
      <c r="P53" s="898"/>
      <c r="Q53" s="898"/>
      <c r="R53" s="898"/>
      <c r="S53" s="898"/>
      <c r="T53" s="898"/>
      <c r="U53" s="898"/>
      <c r="V53" s="898"/>
      <c r="W53" s="898"/>
    </row>
    <row r="54" spans="1:36">
      <c r="B54" s="851"/>
      <c r="C54" s="832" t="s">
        <v>457</v>
      </c>
      <c r="H54" s="904"/>
      <c r="I54" s="904">
        <f t="shared" ref="I54:W54" si="29">IF(ISERROR(I143),0,I143)</f>
        <v>-667.00842118579135</v>
      </c>
      <c r="J54" s="904">
        <f t="shared" si="29"/>
        <v>-259.45352459922947</v>
      </c>
      <c r="K54" s="904">
        <f t="shared" si="29"/>
        <v>1322.2660202201018</v>
      </c>
      <c r="L54" s="904">
        <f t="shared" si="29"/>
        <v>1476.4518637845977</v>
      </c>
      <c r="M54" s="904">
        <f t="shared" si="29"/>
        <v>2455.6015229424402</v>
      </c>
      <c r="N54" s="904">
        <f t="shared" si="29"/>
        <v>1089.3512811811265</v>
      </c>
      <c r="O54" s="904">
        <f t="shared" si="29"/>
        <v>1201.7419476078512</v>
      </c>
      <c r="P54" s="904">
        <f t="shared" si="29"/>
        <v>1304.8436194316776</v>
      </c>
      <c r="Q54" s="904">
        <f t="shared" si="29"/>
        <v>1406.8494652171178</v>
      </c>
      <c r="R54" s="904">
        <f t="shared" si="29"/>
        <v>1434.98645452146</v>
      </c>
      <c r="S54" s="904">
        <f t="shared" si="29"/>
        <v>1463.6861836118892</v>
      </c>
      <c r="T54" s="904">
        <f t="shared" si="29"/>
        <v>1492.959907284127</v>
      </c>
      <c r="U54" s="904">
        <f t="shared" si="29"/>
        <v>1522.81910542981</v>
      </c>
      <c r="V54" s="904">
        <f t="shared" si="29"/>
        <v>1553.275487538406</v>
      </c>
      <c r="W54" s="904">
        <f t="shared" si="29"/>
        <v>1584.3409972891741</v>
      </c>
    </row>
    <row r="55" spans="1:36">
      <c r="B55" s="851"/>
      <c r="H55" s="814"/>
      <c r="I55" s="905"/>
      <c r="J55" s="903">
        <f t="shared" ref="J55:W55" si="30">IF(ISERROR(J54/I54-1),0,J54/I54-1)</f>
        <v>-0.61101911706305101</v>
      </c>
      <c r="K55" s="903">
        <f t="shared" si="30"/>
        <v>-6.0963501932092417</v>
      </c>
      <c r="L55" s="903">
        <f t="shared" si="30"/>
        <v>0.11660727962957895</v>
      </c>
      <c r="M55" s="903">
        <f t="shared" si="30"/>
        <v>0.66317750220991467</v>
      </c>
      <c r="N55" s="903">
        <f t="shared" si="30"/>
        <v>-0.55638108585475854</v>
      </c>
      <c r="O55" s="903">
        <f t="shared" si="30"/>
        <v>0.10317210652643238</v>
      </c>
      <c r="P55" s="903">
        <f t="shared" si="30"/>
        <v>8.5793520005736035E-2</v>
      </c>
      <c r="Q55" s="903">
        <f t="shared" si="30"/>
        <v>7.8174766896487391E-2</v>
      </c>
      <c r="R55" s="903">
        <f t="shared" si="30"/>
        <v>2.0000000000000018E-2</v>
      </c>
      <c r="S55" s="903">
        <f t="shared" si="30"/>
        <v>2.0000000000000018E-2</v>
      </c>
      <c r="T55" s="903">
        <f t="shared" si="30"/>
        <v>2.0000000000000018E-2</v>
      </c>
      <c r="U55" s="903">
        <f t="shared" si="30"/>
        <v>2.000000000000024E-2</v>
      </c>
      <c r="V55" s="903">
        <f t="shared" si="30"/>
        <v>1.9999999999999796E-2</v>
      </c>
      <c r="W55" s="903">
        <f t="shared" si="30"/>
        <v>2.0000000000000018E-2</v>
      </c>
    </row>
    <row r="56" spans="1:36" ht="12" customHeight="1">
      <c r="B56" s="851"/>
      <c r="C56" s="818" t="s">
        <v>458</v>
      </c>
      <c r="D56" s="849"/>
      <c r="E56" s="849"/>
      <c r="F56" s="849"/>
      <c r="G56" s="906">
        <f>_xll.ThomsonONEAddinShim.SpreadsheetFormulas.TF(SedolTicker,"ZAV(TF.FN.TaxRate(period=FY0))")/100</f>
        <v>0</v>
      </c>
      <c r="I56" s="907"/>
      <c r="J56" s="905"/>
      <c r="K56" s="905"/>
      <c r="L56" s="905"/>
      <c r="M56" s="905"/>
      <c r="N56" s="905"/>
      <c r="O56" s="905"/>
      <c r="P56" s="905"/>
      <c r="Q56" s="905"/>
      <c r="R56" s="905"/>
      <c r="S56" s="905"/>
      <c r="T56" s="905"/>
      <c r="U56" s="905"/>
      <c r="V56" s="905"/>
      <c r="W56" s="905"/>
    </row>
    <row r="57" spans="1:36">
      <c r="B57" s="851"/>
      <c r="D57" s="880"/>
      <c r="E57" s="880"/>
      <c r="F57" s="880"/>
      <c r="G57" s="880"/>
      <c r="H57" s="905"/>
      <c r="I57" s="905"/>
      <c r="J57" s="908"/>
      <c r="K57" s="908"/>
      <c r="L57" s="908"/>
      <c r="M57" s="908"/>
      <c r="N57" s="908"/>
      <c r="O57" s="908"/>
      <c r="P57" s="908"/>
      <c r="Q57" s="908"/>
      <c r="R57" s="908"/>
      <c r="S57" s="908"/>
      <c r="T57" s="908"/>
      <c r="U57" s="908"/>
      <c r="V57" s="908"/>
      <c r="W57" s="908"/>
    </row>
    <row r="58" spans="1:36">
      <c r="B58" s="851"/>
      <c r="C58" s="832" t="s">
        <v>459</v>
      </c>
      <c r="D58" s="880"/>
      <c r="E58" s="880"/>
      <c r="F58" s="880"/>
      <c r="G58" s="880"/>
      <c r="H58" s="905"/>
      <c r="I58" s="905"/>
      <c r="J58" s="909">
        <v>0.8</v>
      </c>
      <c r="K58" s="909">
        <v>0.8</v>
      </c>
      <c r="L58" s="909">
        <v>0.8</v>
      </c>
      <c r="M58" s="909">
        <v>0.8</v>
      </c>
      <c r="N58" s="909">
        <v>0.8</v>
      </c>
      <c r="O58" s="909">
        <v>0.8</v>
      </c>
      <c r="P58" s="909">
        <v>0.8</v>
      </c>
      <c r="Q58" s="909">
        <v>0.8</v>
      </c>
      <c r="R58" s="909">
        <v>0.8</v>
      </c>
      <c r="S58" s="909">
        <v>0.8</v>
      </c>
      <c r="T58" s="909">
        <v>0.8</v>
      </c>
      <c r="U58" s="909">
        <v>0.8</v>
      </c>
      <c r="V58" s="909">
        <v>0.8</v>
      </c>
      <c r="W58" s="909">
        <v>0.8</v>
      </c>
    </row>
    <row r="59" spans="1:36" s="863" customFormat="1">
      <c r="A59" s="861"/>
      <c r="B59" s="910"/>
      <c r="C59" s="818" t="s">
        <v>460</v>
      </c>
      <c r="D59" s="849"/>
      <c r="E59" s="849"/>
      <c r="F59" s="849"/>
      <c r="G59" s="849"/>
      <c r="H59" s="911"/>
      <c r="I59" s="912"/>
      <c r="J59" s="841">
        <f t="shared" ref="J59:W59" si="31">J54*J58</f>
        <v>-207.56281967938358</v>
      </c>
      <c r="K59" s="841">
        <f t="shared" si="31"/>
        <v>1057.8128161760815</v>
      </c>
      <c r="L59" s="841">
        <f t="shared" si="31"/>
        <v>1181.1614910276783</v>
      </c>
      <c r="M59" s="841">
        <f t="shared" si="31"/>
        <v>1964.4812183539523</v>
      </c>
      <c r="N59" s="841">
        <f t="shared" si="31"/>
        <v>871.48102494490126</v>
      </c>
      <c r="O59" s="841">
        <f t="shared" si="31"/>
        <v>961.39355808628102</v>
      </c>
      <c r="P59" s="841">
        <f t="shared" si="31"/>
        <v>1043.874895545342</v>
      </c>
      <c r="Q59" s="841">
        <f t="shared" si="31"/>
        <v>1125.4795721736944</v>
      </c>
      <c r="R59" s="841">
        <f t="shared" si="31"/>
        <v>1147.9891636171681</v>
      </c>
      <c r="S59" s="841">
        <f t="shared" si="31"/>
        <v>1170.9489468895115</v>
      </c>
      <c r="T59" s="841">
        <f t="shared" si="31"/>
        <v>1194.3679258273016</v>
      </c>
      <c r="U59" s="841">
        <f t="shared" si="31"/>
        <v>1218.255284343848</v>
      </c>
      <c r="V59" s="841">
        <f t="shared" si="31"/>
        <v>1242.6203900307248</v>
      </c>
      <c r="W59" s="841">
        <f t="shared" si="31"/>
        <v>1267.4727978313394</v>
      </c>
      <c r="X59" s="913"/>
      <c r="Y59" s="913"/>
      <c r="Z59" s="913"/>
      <c r="AA59"/>
      <c r="AB59"/>
      <c r="AC59"/>
      <c r="AD59"/>
      <c r="AE59"/>
      <c r="AF59"/>
      <c r="AJ59" s="864"/>
    </row>
    <row r="60" spans="1:36" s="863" customFormat="1">
      <c r="A60" s="861"/>
      <c r="B60" s="910"/>
      <c r="C60" s="818" t="s">
        <v>461</v>
      </c>
      <c r="D60" s="849"/>
      <c r="E60" s="849"/>
      <c r="F60" s="849"/>
      <c r="G60" s="849"/>
      <c r="H60" s="911"/>
      <c r="I60" s="912"/>
      <c r="J60" s="904">
        <f t="shared" ref="J60:W60" si="32">J54-J59</f>
        <v>-51.890704919845888</v>
      </c>
      <c r="K60" s="904">
        <f t="shared" si="32"/>
        <v>264.45320404402037</v>
      </c>
      <c r="L60" s="904">
        <f t="shared" si="32"/>
        <v>295.2903727569194</v>
      </c>
      <c r="M60" s="904">
        <f t="shared" si="32"/>
        <v>491.1203045884879</v>
      </c>
      <c r="N60" s="904">
        <f t="shared" si="32"/>
        <v>217.87025623622526</v>
      </c>
      <c r="O60" s="904">
        <f t="shared" si="32"/>
        <v>240.3483895215702</v>
      </c>
      <c r="P60" s="904">
        <f t="shared" si="32"/>
        <v>260.96872388633551</v>
      </c>
      <c r="Q60" s="904">
        <f t="shared" si="32"/>
        <v>281.36989304342342</v>
      </c>
      <c r="R60" s="904">
        <f t="shared" si="32"/>
        <v>286.99729090429196</v>
      </c>
      <c r="S60" s="904">
        <f t="shared" si="32"/>
        <v>292.7372367223777</v>
      </c>
      <c r="T60" s="904">
        <f t="shared" si="32"/>
        <v>298.59198145682535</v>
      </c>
      <c r="U60" s="904">
        <f t="shared" si="32"/>
        <v>304.56382108596199</v>
      </c>
      <c r="V60" s="904">
        <f t="shared" si="32"/>
        <v>310.65509750768115</v>
      </c>
      <c r="W60" s="904">
        <f t="shared" si="32"/>
        <v>316.86819945783463</v>
      </c>
      <c r="X60" s="849"/>
      <c r="Y60" s="849"/>
      <c r="Z60" s="849"/>
      <c r="AA60"/>
      <c r="AB60"/>
      <c r="AC60"/>
      <c r="AD60"/>
      <c r="AE60"/>
      <c r="AF60"/>
      <c r="AJ60" s="864"/>
    </row>
    <row r="61" spans="1:36">
      <c r="B61" s="851"/>
      <c r="D61" s="880"/>
      <c r="E61" s="880"/>
      <c r="F61" s="880"/>
      <c r="G61" s="880"/>
      <c r="H61" s="911"/>
      <c r="I61" s="905"/>
      <c r="J61" s="905"/>
      <c r="K61" s="905"/>
      <c r="L61" s="905"/>
      <c r="M61" s="905"/>
      <c r="N61" s="905"/>
      <c r="O61" s="905"/>
      <c r="P61" s="905"/>
      <c r="Q61" s="905"/>
      <c r="R61" s="905"/>
      <c r="S61" s="905"/>
      <c r="T61" s="905"/>
      <c r="U61" s="905"/>
      <c r="V61" s="905"/>
      <c r="W61" s="905"/>
    </row>
    <row r="62" spans="1:36">
      <c r="B62" s="851"/>
      <c r="H62" s="914"/>
      <c r="I62" s="914"/>
      <c r="J62" s="914"/>
      <c r="K62" s="914"/>
      <c r="L62" s="914"/>
      <c r="M62" s="914"/>
      <c r="N62" s="444"/>
      <c r="O62" s="444"/>
      <c r="P62" s="444"/>
      <c r="Q62" s="445"/>
      <c r="R62" s="445"/>
      <c r="S62" s="445"/>
      <c r="T62" s="445"/>
      <c r="U62" s="445"/>
      <c r="V62" s="445"/>
      <c r="W62" s="445"/>
    </row>
    <row r="63" spans="1:36">
      <c r="B63" s="851"/>
      <c r="C63" s="832" t="s">
        <v>200</v>
      </c>
      <c r="H63" s="904">
        <f t="shared" ref="H63:P63" si="33">IF(ISERROR(H76),0,H76)</f>
        <v>1904</v>
      </c>
      <c r="I63" s="904">
        <f t="shared" si="33"/>
        <v>1829</v>
      </c>
      <c r="J63" s="904">
        <f t="shared" si="33"/>
        <v>1713</v>
      </c>
      <c r="K63" s="904">
        <f t="shared" si="33"/>
        <v>1583</v>
      </c>
      <c r="L63" s="904">
        <f t="shared" si="33"/>
        <v>1731</v>
      </c>
      <c r="M63" s="904">
        <f t="shared" si="33"/>
        <v>1513</v>
      </c>
      <c r="N63" s="904">
        <f t="shared" si="33"/>
        <v>1419</v>
      </c>
      <c r="O63" s="904">
        <f t="shared" si="33"/>
        <v>1196</v>
      </c>
      <c r="P63" s="904">
        <f t="shared" si="33"/>
        <v>1493</v>
      </c>
      <c r="Q63" s="904">
        <f t="shared" ref="Q63:W63" si="34">P63*(1+Q64)</f>
        <v>1522.8600000000001</v>
      </c>
      <c r="R63" s="904">
        <f t="shared" si="34"/>
        <v>1553.3172000000002</v>
      </c>
      <c r="S63" s="904">
        <f t="shared" si="34"/>
        <v>1584.3835440000003</v>
      </c>
      <c r="T63" s="904">
        <f t="shared" si="34"/>
        <v>1616.0712148800003</v>
      </c>
      <c r="U63" s="904">
        <f t="shared" si="34"/>
        <v>1648.3926391776004</v>
      </c>
      <c r="V63" s="904">
        <f t="shared" si="34"/>
        <v>1681.3604919611523</v>
      </c>
      <c r="W63" s="904">
        <f t="shared" si="34"/>
        <v>1714.9877018003754</v>
      </c>
    </row>
    <row r="64" spans="1:36">
      <c r="B64" s="851"/>
      <c r="C64" s="877" t="s">
        <v>201</v>
      </c>
      <c r="D64" s="877"/>
      <c r="E64" s="877"/>
      <c r="F64" s="877"/>
      <c r="G64" s="877"/>
      <c r="H64" s="905"/>
      <c r="I64" s="903">
        <f t="shared" ref="I64:P64" si="35">IF(ISERROR(I63/H63-1),0,I63/H63-1)</f>
        <v>-3.9390756302520979E-2</v>
      </c>
      <c r="J64" s="903">
        <f t="shared" si="35"/>
        <v>-6.3422635319846932E-2</v>
      </c>
      <c r="K64" s="903">
        <f t="shared" si="35"/>
        <v>-7.589025102159952E-2</v>
      </c>
      <c r="L64" s="903">
        <f t="shared" si="35"/>
        <v>9.3493367024636731E-2</v>
      </c>
      <c r="M64" s="903">
        <f t="shared" si="35"/>
        <v>-0.12593876372039281</v>
      </c>
      <c r="N64" s="903">
        <f t="shared" si="35"/>
        <v>-6.2128222075346962E-2</v>
      </c>
      <c r="O64" s="903">
        <f t="shared" si="35"/>
        <v>-0.15715292459478503</v>
      </c>
      <c r="P64" s="903">
        <f t="shared" si="35"/>
        <v>0.2483277591973243</v>
      </c>
      <c r="Q64" s="899">
        <v>0.02</v>
      </c>
      <c r="R64" s="899">
        <v>0.02</v>
      </c>
      <c r="S64" s="899">
        <v>0.02</v>
      </c>
      <c r="T64" s="899">
        <v>0.02</v>
      </c>
      <c r="U64" s="899">
        <v>0.02</v>
      </c>
      <c r="V64" s="899">
        <v>0.02</v>
      </c>
      <c r="W64" s="899">
        <v>0.02</v>
      </c>
      <c r="X64" s="915"/>
      <c r="Y64" s="915"/>
      <c r="Z64" s="915"/>
    </row>
    <row r="65" spans="1:36">
      <c r="B65" s="851"/>
      <c r="H65" s="446"/>
      <c r="I65" s="446"/>
      <c r="J65" s="446"/>
      <c r="K65" s="446"/>
      <c r="L65" s="446"/>
      <c r="M65" s="446"/>
      <c r="N65" s="446"/>
      <c r="O65" s="446"/>
      <c r="P65" s="446"/>
      <c r="Q65" s="446"/>
      <c r="R65" s="446"/>
      <c r="S65" s="446"/>
      <c r="T65" s="446"/>
      <c r="U65" s="446"/>
      <c r="V65" s="446"/>
      <c r="W65" s="446"/>
    </row>
    <row r="66" spans="1:36">
      <c r="B66" s="851"/>
      <c r="C66" s="880" t="s">
        <v>202</v>
      </c>
      <c r="H66" s="916">
        <f t="shared" ref="H66:W66" si="36">IF(ISERROR(H$68+SUM(H77:H81)),0,H$68+SUM(H77:H81))</f>
        <v>0</v>
      </c>
      <c r="I66" s="916">
        <f t="shared" si="36"/>
        <v>5600</v>
      </c>
      <c r="J66" s="916">
        <f t="shared" si="36"/>
        <v>3628</v>
      </c>
      <c r="K66" s="916">
        <f t="shared" si="36"/>
        <v>3374</v>
      </c>
      <c r="L66" s="916">
        <f t="shared" si="36"/>
        <v>3128</v>
      </c>
      <c r="M66" s="916">
        <f t="shared" si="36"/>
        <v>4300</v>
      </c>
      <c r="N66" s="916">
        <f t="shared" si="36"/>
        <v>4100</v>
      </c>
      <c r="O66" s="916">
        <f t="shared" si="36"/>
        <v>4200</v>
      </c>
      <c r="P66" s="916">
        <f t="shared" si="36"/>
        <v>4200</v>
      </c>
      <c r="Q66" s="916">
        <f t="shared" si="36"/>
        <v>4284</v>
      </c>
      <c r="R66" s="916">
        <f t="shared" si="36"/>
        <v>4369.68</v>
      </c>
      <c r="S66" s="916">
        <f t="shared" si="36"/>
        <v>4457.0735999999997</v>
      </c>
      <c r="T66" s="916">
        <f t="shared" si="36"/>
        <v>4546.215072</v>
      </c>
      <c r="U66" s="916">
        <f t="shared" si="36"/>
        <v>4637.1393734400008</v>
      </c>
      <c r="V66" s="916">
        <f t="shared" si="36"/>
        <v>4729.8821609088</v>
      </c>
      <c r="W66" s="916">
        <f t="shared" si="36"/>
        <v>4824.4798041269769</v>
      </c>
    </row>
    <row r="67" spans="1:36">
      <c r="C67" s="917" t="s">
        <v>203</v>
      </c>
      <c r="D67" s="917"/>
      <c r="E67" s="917"/>
      <c r="F67" s="917"/>
      <c r="G67" s="917"/>
      <c r="H67" s="918"/>
      <c r="I67" s="903">
        <f t="shared" ref="I67:W67" si="37">IF(ISERROR(I66/H66-1),0,I66/H66-1)</f>
        <v>0</v>
      </c>
      <c r="J67" s="903">
        <f t="shared" si="37"/>
        <v>-0.35214285714285709</v>
      </c>
      <c r="K67" s="903">
        <f t="shared" si="37"/>
        <v>-7.0011025358324153E-2</v>
      </c>
      <c r="L67" s="903">
        <f t="shared" si="37"/>
        <v>-7.291049199762889E-2</v>
      </c>
      <c r="M67" s="903">
        <f t="shared" si="37"/>
        <v>0.3746803069053708</v>
      </c>
      <c r="N67" s="903">
        <f t="shared" si="37"/>
        <v>-4.6511627906976716E-2</v>
      </c>
      <c r="O67" s="903">
        <f t="shared" si="37"/>
        <v>2.4390243902439046E-2</v>
      </c>
      <c r="P67" s="903">
        <f t="shared" si="37"/>
        <v>0</v>
      </c>
      <c r="Q67" s="903">
        <f t="shared" si="37"/>
        <v>2.0000000000000018E-2</v>
      </c>
      <c r="R67" s="903">
        <f t="shared" si="37"/>
        <v>2.0000000000000018E-2</v>
      </c>
      <c r="S67" s="903">
        <f t="shared" si="37"/>
        <v>1.9999999999999796E-2</v>
      </c>
      <c r="T67" s="903">
        <f t="shared" si="37"/>
        <v>2.0000000000000018E-2</v>
      </c>
      <c r="U67" s="903">
        <f t="shared" si="37"/>
        <v>2.000000000000024E-2</v>
      </c>
      <c r="V67" s="903">
        <f t="shared" si="37"/>
        <v>1.9999999999999796E-2</v>
      </c>
      <c r="W67" s="903">
        <f t="shared" si="37"/>
        <v>2.000000000000024E-2</v>
      </c>
    </row>
    <row r="68" spans="1:36" s="821" customFormat="1" ht="12.75" customHeight="1">
      <c r="A68" s="816"/>
      <c r="B68" s="817"/>
      <c r="C68" s="818" t="s">
        <v>204</v>
      </c>
      <c r="D68" s="818"/>
      <c r="E68" s="818"/>
      <c r="F68" s="818"/>
      <c r="G68" s="818"/>
      <c r="H68" s="919" t="str">
        <f>_xll.ThomsonONEAddinShim.SpreadsheetFormulas.TF(SedolTicker,"ZAV(TF.FN.LeaseCommitmentsOver5Yrs(period=FY0,sdate=FY-8,edate=FY0,,curn=#1,scale=6))","dataDir=across",$J$3)</f>
        <v xml:space="preserve">                                                                           -                                                                 </v>
      </c>
      <c r="I68" s="919">
        <v>0</v>
      </c>
      <c r="J68" s="919">
        <v>0</v>
      </c>
      <c r="K68" s="919">
        <v>0</v>
      </c>
      <c r="L68" s="919">
        <v>0</v>
      </c>
      <c r="M68" s="919">
        <v>0</v>
      </c>
      <c r="N68" s="919">
        <v>0</v>
      </c>
      <c r="O68" s="919">
        <v>0</v>
      </c>
      <c r="P68" s="919">
        <v>0</v>
      </c>
      <c r="Q68" s="841">
        <f t="shared" ref="Q68:W68" si="38">SUM(Q82:Q95)</f>
        <v>0</v>
      </c>
      <c r="R68" s="841">
        <f t="shared" si="38"/>
        <v>0</v>
      </c>
      <c r="S68" s="841">
        <f t="shared" si="38"/>
        <v>0</v>
      </c>
      <c r="T68" s="841">
        <f t="shared" si="38"/>
        <v>0</v>
      </c>
      <c r="U68" s="841">
        <f t="shared" si="38"/>
        <v>0</v>
      </c>
      <c r="V68" s="841">
        <f t="shared" si="38"/>
        <v>0</v>
      </c>
      <c r="W68" s="841">
        <f t="shared" si="38"/>
        <v>0</v>
      </c>
      <c r="AA68"/>
      <c r="AB68"/>
      <c r="AC68"/>
      <c r="AD68"/>
      <c r="AE68"/>
      <c r="AF68"/>
      <c r="AJ68" s="827"/>
    </row>
    <row r="69" spans="1:36">
      <c r="H69" s="920"/>
      <c r="I69" s="920"/>
      <c r="J69" s="920"/>
      <c r="K69" s="920"/>
      <c r="L69" s="920"/>
      <c r="M69" s="920"/>
      <c r="N69" s="921"/>
      <c r="O69" s="921"/>
      <c r="P69" s="921"/>
      <c r="Q69" s="921"/>
      <c r="R69" s="921"/>
      <c r="S69" s="921"/>
      <c r="T69" s="921"/>
      <c r="U69" s="921"/>
      <c r="V69" s="921"/>
      <c r="W69" s="921"/>
    </row>
    <row r="70" spans="1:36">
      <c r="C70" s="818" t="s">
        <v>205</v>
      </c>
      <c r="H70" s="913">
        <v>10</v>
      </c>
      <c r="I70" s="913">
        <v>10</v>
      </c>
      <c r="J70" s="913">
        <v>10</v>
      </c>
      <c r="K70" s="913">
        <v>10</v>
      </c>
      <c r="L70" s="913">
        <v>10</v>
      </c>
      <c r="M70" s="913">
        <v>10</v>
      </c>
      <c r="N70" s="913">
        <v>10</v>
      </c>
      <c r="O70" s="913">
        <v>10</v>
      </c>
      <c r="P70" s="913">
        <v>10</v>
      </c>
      <c r="Q70" s="818"/>
      <c r="R70" s="818"/>
      <c r="S70" s="818"/>
      <c r="T70" s="818"/>
      <c r="U70" s="818"/>
      <c r="V70" s="818"/>
      <c r="W70" s="818"/>
    </row>
    <row r="71" spans="1:36">
      <c r="C71" s="832" t="s">
        <v>206</v>
      </c>
      <c r="H71" s="913">
        <v>5</v>
      </c>
      <c r="I71" s="913">
        <v>5</v>
      </c>
      <c r="J71" s="913">
        <v>5</v>
      </c>
      <c r="K71" s="913">
        <v>5</v>
      </c>
      <c r="L71" s="913">
        <v>5</v>
      </c>
      <c r="M71" s="913">
        <v>5</v>
      </c>
      <c r="N71" s="913">
        <v>5</v>
      </c>
      <c r="O71" s="913">
        <v>5</v>
      </c>
      <c r="P71" s="913">
        <v>5</v>
      </c>
      <c r="Q71" s="818"/>
      <c r="R71" s="818"/>
      <c r="S71" s="818"/>
      <c r="T71" s="818"/>
      <c r="U71" s="818"/>
      <c r="V71" s="818"/>
      <c r="W71" s="818"/>
    </row>
    <row r="72" spans="1:36">
      <c r="C72" s="832" t="s">
        <v>207</v>
      </c>
      <c r="H72" s="799">
        <f t="shared" ref="H72:P72" si="39">1-H71/H70</f>
        <v>0.5</v>
      </c>
      <c r="I72" s="799">
        <f t="shared" si="39"/>
        <v>0.5</v>
      </c>
      <c r="J72" s="799">
        <f t="shared" si="39"/>
        <v>0.5</v>
      </c>
      <c r="K72" s="799">
        <f t="shared" si="39"/>
        <v>0.5</v>
      </c>
      <c r="L72" s="799">
        <f t="shared" si="39"/>
        <v>0.5</v>
      </c>
      <c r="M72" s="799">
        <f t="shared" si="39"/>
        <v>0.5</v>
      </c>
      <c r="N72" s="799">
        <f t="shared" si="39"/>
        <v>0.5</v>
      </c>
      <c r="O72" s="799">
        <f t="shared" si="39"/>
        <v>0.5</v>
      </c>
      <c r="P72" s="799">
        <f t="shared" si="39"/>
        <v>0.5</v>
      </c>
      <c r="Q72" s="447"/>
      <c r="R72" s="447"/>
      <c r="S72" s="447"/>
      <c r="T72" s="447"/>
      <c r="U72" s="447"/>
      <c r="V72" s="447"/>
      <c r="W72" s="447"/>
    </row>
    <row r="73" spans="1:36">
      <c r="H73" s="922"/>
      <c r="I73" s="922"/>
      <c r="J73" s="922"/>
      <c r="K73" s="915"/>
      <c r="L73" s="915"/>
      <c r="M73" s="915"/>
      <c r="N73" s="915"/>
      <c r="O73" s="447"/>
      <c r="P73" s="447"/>
      <c r="Q73" s="447"/>
      <c r="R73" s="447"/>
      <c r="S73" s="447"/>
      <c r="T73" s="447"/>
      <c r="U73" s="447"/>
      <c r="V73" s="447"/>
      <c r="W73" s="447"/>
    </row>
    <row r="74" spans="1:36" outlineLevel="1">
      <c r="B74" s="851"/>
      <c r="C74" s="880" t="s">
        <v>208</v>
      </c>
      <c r="D74" s="880"/>
      <c r="E74" s="880"/>
      <c r="F74" s="880"/>
      <c r="G74" s="880"/>
      <c r="H74" s="448">
        <f t="shared" ref="H74:W74" si="40">H9</f>
        <v>39813</v>
      </c>
      <c r="I74" s="448">
        <f t="shared" si="40"/>
        <v>40178</v>
      </c>
      <c r="J74" s="448">
        <f t="shared" si="40"/>
        <v>40543</v>
      </c>
      <c r="K74" s="448">
        <f t="shared" si="40"/>
        <v>40908</v>
      </c>
      <c r="L74" s="448">
        <f t="shared" si="40"/>
        <v>41274</v>
      </c>
      <c r="M74" s="448">
        <f t="shared" si="40"/>
        <v>41639</v>
      </c>
      <c r="N74" s="448">
        <f t="shared" si="40"/>
        <v>42004</v>
      </c>
      <c r="O74" s="448">
        <f t="shared" si="40"/>
        <v>42369</v>
      </c>
      <c r="P74" s="448">
        <f t="shared" si="40"/>
        <v>42735</v>
      </c>
      <c r="Q74" s="448">
        <f t="shared" si="40"/>
        <v>43100</v>
      </c>
      <c r="R74" s="448">
        <f t="shared" si="40"/>
        <v>43465</v>
      </c>
      <c r="S74" s="448">
        <f t="shared" si="40"/>
        <v>43830</v>
      </c>
      <c r="T74" s="448">
        <f t="shared" si="40"/>
        <v>44196</v>
      </c>
      <c r="U74" s="448">
        <f t="shared" si="40"/>
        <v>44561</v>
      </c>
      <c r="V74" s="448">
        <f t="shared" si="40"/>
        <v>44926</v>
      </c>
      <c r="W74" s="448">
        <f t="shared" si="40"/>
        <v>45291</v>
      </c>
    </row>
    <row r="75" spans="1:36" outlineLevel="1">
      <c r="B75" s="851"/>
      <c r="C75" s="923"/>
      <c r="D75" s="923"/>
      <c r="E75" s="923"/>
      <c r="F75" s="923"/>
      <c r="G75" s="923"/>
      <c r="H75" s="924"/>
      <c r="I75" s="924"/>
      <c r="J75" s="924"/>
      <c r="K75" s="924"/>
      <c r="L75" s="924"/>
      <c r="M75" s="924"/>
      <c r="N75" s="924"/>
      <c r="O75" s="924"/>
      <c r="P75" s="924"/>
      <c r="Q75" s="924"/>
      <c r="R75" s="924"/>
      <c r="S75" s="924"/>
      <c r="T75" s="924"/>
      <c r="U75" s="924"/>
      <c r="V75" s="924"/>
      <c r="W75" s="924"/>
    </row>
    <row r="76" spans="1:36" s="930" customFormat="1" ht="12" customHeight="1" outlineLevel="1">
      <c r="A76" s="925"/>
      <c r="B76" s="829"/>
      <c r="C76" s="843" t="s">
        <v>209</v>
      </c>
      <c r="D76" s="926"/>
      <c r="E76" s="926"/>
      <c r="F76" s="926"/>
      <c r="G76" s="926"/>
      <c r="H76" s="927">
        <f>_xll.ThomsonONEAddinShim.SpreadsheetFormulas.TF(SedolTicker,"ZAV(TF.FN.RentalAndOperLeaseExpense(period=FY0,sdate=FY-8,edate=FY0,curn=#1,Scale=6)@TF.RF.RentalExpenseSupplemental(period=FY0,sdate=FY-8,edate=FY0,curn=#1,Scale=6))","dataDir=across",$J$3)</f>
        <v>1904</v>
      </c>
      <c r="I76" s="928">
        <v>1829</v>
      </c>
      <c r="J76" s="928">
        <v>1713</v>
      </c>
      <c r="K76" s="928">
        <v>1583</v>
      </c>
      <c r="L76" s="928">
        <v>1731</v>
      </c>
      <c r="M76" s="928">
        <v>1513</v>
      </c>
      <c r="N76" s="928">
        <v>1419</v>
      </c>
      <c r="O76" s="928">
        <v>1196</v>
      </c>
      <c r="P76" s="929">
        <v>1493</v>
      </c>
      <c r="Q76" s="841">
        <f t="shared" ref="Q76:W91" si="41">P76*(1+Q$64)</f>
        <v>1522.8600000000001</v>
      </c>
      <c r="R76" s="841">
        <f t="shared" si="41"/>
        <v>1553.3172000000002</v>
      </c>
      <c r="S76" s="841">
        <f t="shared" si="41"/>
        <v>1584.3835440000003</v>
      </c>
      <c r="T76" s="841">
        <f t="shared" si="41"/>
        <v>1616.0712148800003</v>
      </c>
      <c r="U76" s="841">
        <f t="shared" si="41"/>
        <v>1648.3926391776004</v>
      </c>
      <c r="V76" s="841">
        <f t="shared" si="41"/>
        <v>1681.3604919611523</v>
      </c>
      <c r="W76" s="841">
        <f t="shared" si="41"/>
        <v>1714.9877018003754</v>
      </c>
      <c r="AA76"/>
      <c r="AB76"/>
      <c r="AC76"/>
      <c r="AD76"/>
      <c r="AE76"/>
      <c r="AF76"/>
      <c r="AJ76" s="931"/>
    </row>
    <row r="77" spans="1:36" s="930" customFormat="1" ht="12" customHeight="1" outlineLevel="1">
      <c r="A77" s="925"/>
      <c r="B77" s="829"/>
      <c r="C77" s="843" t="s">
        <v>210</v>
      </c>
      <c r="D77" s="926"/>
      <c r="E77" s="926"/>
      <c r="F77" s="926"/>
      <c r="G77" s="926"/>
      <c r="H77" s="932">
        <f>_xll.ThomsonONEAddinShim.SpreadsheetFormulas.TF(SedolTicker,"ZAV(TF.FN.LeaseCommitmentsYr1(period=FY0,sdate=FY-8,edate=FY0,curn=#1,Scale=6))","dataDir=across",$J$3)</f>
        <v>1300</v>
      </c>
      <c r="I77" s="913">
        <v>1200</v>
      </c>
      <c r="J77" s="913">
        <v>1130</v>
      </c>
      <c r="K77" s="913">
        <v>1024</v>
      </c>
      <c r="L77" s="913">
        <v>885</v>
      </c>
      <c r="M77" s="913">
        <v>900</v>
      </c>
      <c r="N77" s="913">
        <v>800</v>
      </c>
      <c r="O77" s="913">
        <v>800</v>
      </c>
      <c r="P77" s="933">
        <v>800</v>
      </c>
      <c r="Q77" s="841">
        <f t="shared" si="41"/>
        <v>816</v>
      </c>
      <c r="R77" s="841">
        <f t="shared" si="41"/>
        <v>832.32</v>
      </c>
      <c r="S77" s="841">
        <f t="shared" si="41"/>
        <v>848.96640000000002</v>
      </c>
      <c r="T77" s="841">
        <f t="shared" si="41"/>
        <v>865.94572800000003</v>
      </c>
      <c r="U77" s="841">
        <f t="shared" si="41"/>
        <v>883.26464256000008</v>
      </c>
      <c r="V77" s="841">
        <f t="shared" si="41"/>
        <v>900.92993541120006</v>
      </c>
      <c r="W77" s="841">
        <f t="shared" si="41"/>
        <v>918.94853411942404</v>
      </c>
      <c r="AA77"/>
      <c r="AB77"/>
      <c r="AC77"/>
      <c r="AD77"/>
      <c r="AE77"/>
      <c r="AF77"/>
      <c r="AJ77" s="931"/>
    </row>
    <row r="78" spans="1:36" s="930" customFormat="1" ht="12" customHeight="1" outlineLevel="1">
      <c r="A78" s="925"/>
      <c r="B78" s="829"/>
      <c r="C78" s="843" t="s">
        <v>211</v>
      </c>
      <c r="D78" s="926"/>
      <c r="E78" s="926"/>
      <c r="F78" s="926"/>
      <c r="G78" s="926"/>
      <c r="H78" s="932">
        <f>_xll.ThomsonONEAddinShim.SpreadsheetFormulas.TF(SedolTicker,"ZAV(TF.FN.LeaseCommitmentsYr2(period=FY0,sdate=FY-8,edate=FY0,curn=#1,Scale=6))","dataDir=across",$J$3)</f>
        <v>2200</v>
      </c>
      <c r="I78" s="913">
        <v>1800</v>
      </c>
      <c r="J78" s="913">
        <v>936</v>
      </c>
      <c r="K78" s="913">
        <v>782</v>
      </c>
      <c r="L78" s="913">
        <v>744</v>
      </c>
      <c r="M78" s="913">
        <v>1400</v>
      </c>
      <c r="N78" s="913">
        <v>1300</v>
      </c>
      <c r="O78" s="913">
        <v>1300</v>
      </c>
      <c r="P78" s="933">
        <v>1300</v>
      </c>
      <c r="Q78" s="841">
        <f t="shared" si="41"/>
        <v>1326</v>
      </c>
      <c r="R78" s="841">
        <f t="shared" si="41"/>
        <v>1352.52</v>
      </c>
      <c r="S78" s="841">
        <f t="shared" si="41"/>
        <v>1379.5704000000001</v>
      </c>
      <c r="T78" s="841">
        <f t="shared" si="41"/>
        <v>1407.1618080000001</v>
      </c>
      <c r="U78" s="841">
        <f t="shared" si="41"/>
        <v>1435.3050441600001</v>
      </c>
      <c r="V78" s="841">
        <f t="shared" si="41"/>
        <v>1464.0111450432</v>
      </c>
      <c r="W78" s="841">
        <f t="shared" si="41"/>
        <v>1493.2913679440639</v>
      </c>
      <c r="AA78"/>
      <c r="AB78"/>
      <c r="AC78"/>
      <c r="AD78"/>
      <c r="AE78"/>
      <c r="AF78"/>
      <c r="AJ78" s="931"/>
    </row>
    <row r="79" spans="1:36" s="930" customFormat="1" ht="12" customHeight="1" outlineLevel="1">
      <c r="A79" s="925"/>
      <c r="B79" s="829"/>
      <c r="C79" s="843" t="s">
        <v>212</v>
      </c>
      <c r="D79" s="926"/>
      <c r="E79" s="926"/>
      <c r="F79" s="926"/>
      <c r="G79" s="926"/>
      <c r="H79" s="932">
        <f>_xll.ThomsonONEAddinShim.SpreadsheetFormulas.TF(SedolTicker,"ZAV(TF.FN.LeaseCommitmentsYr3(period=FY0,sdate=FY-8,edate=FY0,curn=#1,Scale=6))","dataDir=across",$J$3)</f>
        <v>1600</v>
      </c>
      <c r="I79" s="913">
        <v>1100</v>
      </c>
      <c r="J79" s="913">
        <v>661</v>
      </c>
      <c r="K79" s="913">
        <v>634</v>
      </c>
      <c r="L79" s="913">
        <v>594</v>
      </c>
      <c r="M79" s="913">
        <v>1000</v>
      </c>
      <c r="N79" s="913">
        <v>900</v>
      </c>
      <c r="O79" s="913">
        <v>1000</v>
      </c>
      <c r="P79" s="933">
        <v>1000</v>
      </c>
      <c r="Q79" s="841">
        <f t="shared" si="41"/>
        <v>1020</v>
      </c>
      <c r="R79" s="841">
        <f t="shared" si="41"/>
        <v>1040.4000000000001</v>
      </c>
      <c r="S79" s="841">
        <f t="shared" si="41"/>
        <v>1061.2080000000001</v>
      </c>
      <c r="T79" s="841">
        <f t="shared" si="41"/>
        <v>1082.4321600000001</v>
      </c>
      <c r="U79" s="841">
        <f t="shared" si="41"/>
        <v>1104.0808032</v>
      </c>
      <c r="V79" s="841">
        <f t="shared" si="41"/>
        <v>1126.1624192639999</v>
      </c>
      <c r="W79" s="841">
        <f t="shared" si="41"/>
        <v>1148.68566764928</v>
      </c>
      <c r="AA79"/>
      <c r="AB79"/>
      <c r="AC79"/>
      <c r="AD79"/>
      <c r="AE79"/>
      <c r="AF79"/>
      <c r="AJ79" s="931"/>
    </row>
    <row r="80" spans="1:36" s="930" customFormat="1" ht="12" customHeight="1" outlineLevel="1">
      <c r="A80" s="925"/>
      <c r="B80" s="829"/>
      <c r="C80" s="843" t="s">
        <v>213</v>
      </c>
      <c r="D80" s="926"/>
      <c r="E80" s="926"/>
      <c r="F80" s="926"/>
      <c r="G80" s="926"/>
      <c r="H80" s="932">
        <f>_xll.ThomsonONEAddinShim.SpreadsheetFormulas.TF(SedolTicker,"ZAV(TF.FN.LeaseCommitmentsYr4(period=FY0,sdate=FY-8,edate=FY0,curn=#1,Scale=6))","dataDir=across",$J$3)</f>
        <v>1500</v>
      </c>
      <c r="I80" s="913">
        <v>1500</v>
      </c>
      <c r="J80" s="913">
        <v>509</v>
      </c>
      <c r="K80" s="913">
        <v>504</v>
      </c>
      <c r="L80" s="913">
        <v>495</v>
      </c>
      <c r="M80" s="913">
        <v>0</v>
      </c>
      <c r="N80" s="913">
        <v>0</v>
      </c>
      <c r="O80" s="913">
        <v>0</v>
      </c>
      <c r="P80" s="933">
        <v>0</v>
      </c>
      <c r="Q80" s="841">
        <f t="shared" si="41"/>
        <v>0</v>
      </c>
      <c r="R80" s="841">
        <f t="shared" si="41"/>
        <v>0</v>
      </c>
      <c r="S80" s="841">
        <f t="shared" si="41"/>
        <v>0</v>
      </c>
      <c r="T80" s="841">
        <f t="shared" si="41"/>
        <v>0</v>
      </c>
      <c r="U80" s="841">
        <f t="shared" si="41"/>
        <v>0</v>
      </c>
      <c r="V80" s="841">
        <f t="shared" si="41"/>
        <v>0</v>
      </c>
      <c r="W80" s="841">
        <f t="shared" si="41"/>
        <v>0</v>
      </c>
      <c r="AA80"/>
      <c r="AB80"/>
      <c r="AC80"/>
      <c r="AD80"/>
      <c r="AE80"/>
      <c r="AF80"/>
      <c r="AJ80" s="931"/>
    </row>
    <row r="81" spans="1:36" s="930" customFormat="1" ht="12" customHeight="1" outlineLevel="1">
      <c r="A81" s="925"/>
      <c r="B81" s="829"/>
      <c r="C81" s="843" t="s">
        <v>214</v>
      </c>
      <c r="D81" s="926"/>
      <c r="E81" s="926"/>
      <c r="F81" s="926"/>
      <c r="G81" s="926"/>
      <c r="H81" s="934" t="str">
        <f>_xll.ThomsonONEAddinShim.SpreadsheetFormulas.TF(SedolTicker,"ZAV(TF.FN.LeaseCommitmentsYr5(period=FY0,sdate=FY-8,edate=FY0,curn=#1,Scale=6))","dataDir=across",$J$3)</f>
        <v>Manual Calculation</v>
      </c>
      <c r="I81" s="935">
        <v>0</v>
      </c>
      <c r="J81" s="935">
        <v>392</v>
      </c>
      <c r="K81" s="935">
        <v>430</v>
      </c>
      <c r="L81" s="935">
        <v>410</v>
      </c>
      <c r="M81" s="935">
        <v>1000</v>
      </c>
      <c r="N81" s="935">
        <v>1100</v>
      </c>
      <c r="O81" s="935">
        <v>1100</v>
      </c>
      <c r="P81" s="936">
        <v>1100</v>
      </c>
      <c r="Q81" s="841">
        <f t="shared" si="41"/>
        <v>1122</v>
      </c>
      <c r="R81" s="841">
        <f t="shared" si="41"/>
        <v>1144.44</v>
      </c>
      <c r="S81" s="841">
        <f t="shared" si="41"/>
        <v>1167.3288</v>
      </c>
      <c r="T81" s="841">
        <f t="shared" si="41"/>
        <v>1190.6753759999999</v>
      </c>
      <c r="U81" s="841">
        <f t="shared" si="41"/>
        <v>1214.4888835199999</v>
      </c>
      <c r="V81" s="841">
        <f t="shared" si="41"/>
        <v>1238.7786611904</v>
      </c>
      <c r="W81" s="841">
        <f t="shared" si="41"/>
        <v>1263.5542344142082</v>
      </c>
      <c r="AA81"/>
      <c r="AB81"/>
      <c r="AC81"/>
      <c r="AD81"/>
      <c r="AE81"/>
      <c r="AF81"/>
      <c r="AJ81" s="931"/>
    </row>
    <row r="82" spans="1:36" s="930" customFormat="1" outlineLevel="1">
      <c r="A82" s="925"/>
      <c r="B82" s="829"/>
      <c r="C82" s="926" t="s">
        <v>215</v>
      </c>
      <c r="D82" s="926"/>
      <c r="E82" s="926"/>
      <c r="F82" s="926"/>
      <c r="G82" s="926"/>
      <c r="H82" s="842" t="str">
        <f t="shared" ref="H82:P82" si="42">IF(ISERROR(H68/H71),"NA",H68/H71)</f>
        <v>NA</v>
      </c>
      <c r="I82" s="842">
        <f t="shared" si="42"/>
        <v>0</v>
      </c>
      <c r="J82" s="842">
        <f t="shared" si="42"/>
        <v>0</v>
      </c>
      <c r="K82" s="842">
        <f t="shared" si="42"/>
        <v>0</v>
      </c>
      <c r="L82" s="842">
        <f t="shared" si="42"/>
        <v>0</v>
      </c>
      <c r="M82" s="842">
        <f t="shared" si="42"/>
        <v>0</v>
      </c>
      <c r="N82" s="842">
        <f t="shared" si="42"/>
        <v>0</v>
      </c>
      <c r="O82" s="842">
        <f t="shared" si="42"/>
        <v>0</v>
      </c>
      <c r="P82" s="842">
        <f t="shared" si="42"/>
        <v>0</v>
      </c>
      <c r="Q82" s="841">
        <f t="shared" si="41"/>
        <v>0</v>
      </c>
      <c r="R82" s="841">
        <f t="shared" si="41"/>
        <v>0</v>
      </c>
      <c r="S82" s="841">
        <f t="shared" si="41"/>
        <v>0</v>
      </c>
      <c r="T82" s="841">
        <f t="shared" si="41"/>
        <v>0</v>
      </c>
      <c r="U82" s="841">
        <f t="shared" si="41"/>
        <v>0</v>
      </c>
      <c r="V82" s="841">
        <f t="shared" si="41"/>
        <v>0</v>
      </c>
      <c r="W82" s="841">
        <f t="shared" si="41"/>
        <v>0</v>
      </c>
      <c r="AA82"/>
      <c r="AB82"/>
      <c r="AC82"/>
      <c r="AD82"/>
      <c r="AE82"/>
      <c r="AF82"/>
      <c r="AJ82" s="931"/>
    </row>
    <row r="83" spans="1:36" s="930" customFormat="1" outlineLevel="1">
      <c r="A83" s="925"/>
      <c r="B83" s="829"/>
      <c r="C83" s="926" t="s">
        <v>216</v>
      </c>
      <c r="D83" s="926"/>
      <c r="E83" s="926"/>
      <c r="F83" s="926"/>
      <c r="G83" s="926"/>
      <c r="H83" s="842" t="str">
        <f>IF(ISERROR(IF(ROUND(SUM(H$82:H82),3)&gt;=ROUND(H$68,3),0,H$68/H$71)),"NA",IF(ROUND(SUM(H$82:H82),3)&gt;=ROUND(H$68,3),0,H$68/H$71))</f>
        <v>NA</v>
      </c>
      <c r="I83" s="842">
        <f>IF(ISERROR(IF(ROUND(SUM(I$82:I82),3)&gt;=ROUND(I$68,3),0,I$68/I$71)),"NA",IF(ROUND(SUM(I$82:I82),3)&gt;=ROUND(I$68,3),0,I$68/I$71))</f>
        <v>0</v>
      </c>
      <c r="J83" s="842">
        <f>IF(ISERROR(IF(ROUND(SUM(J$82:J82),3)&gt;=ROUND(J$68,3),0,J$68/J$71)),"NA",IF(ROUND(SUM(J$82:J82),3)&gt;=ROUND(J$68,3),0,J$68/J$71))</f>
        <v>0</v>
      </c>
      <c r="K83" s="842">
        <f>IF(ISERROR(IF(ROUND(SUM(K$82:K82),3)&gt;=ROUND(K$68,3),0,K$68/K$71)),"NA",IF(ROUND(SUM(K$82:K82),3)&gt;=ROUND(K$68,3),0,K$68/K$71))</f>
        <v>0</v>
      </c>
      <c r="L83" s="842">
        <f>IF(ISERROR(IF(ROUND(SUM(L$82:L82),3)&gt;=ROUND(L$68,3),0,L$68/L$71)),"NA",IF(ROUND(SUM(L$82:L82),3)&gt;=ROUND(L$68,3),0,L$68/L$71))</f>
        <v>0</v>
      </c>
      <c r="M83" s="842">
        <f>IF(ISERROR(IF(ROUND(SUM(M$82:M82),3)&gt;=ROUND(M$68,3),0,M$68/M$71)),"NA",IF(ROUND(SUM(M$82:M82),3)&gt;=ROUND(M$68,3),0,M$68/M$71))</f>
        <v>0</v>
      </c>
      <c r="N83" s="842">
        <f>IF(ISERROR(IF(ROUND(SUM(N$82:N82),3)&gt;=ROUND(N$68,3),0,N$68/N$71)),"NA",IF(ROUND(SUM(N$82:N82),3)&gt;=ROUND(N$68,3),0,N$68/N$71))</f>
        <v>0</v>
      </c>
      <c r="O83" s="842">
        <f>IF(ISERROR(IF(ROUND(SUM(O$82:O82),3)&gt;=ROUND(O$68,3),0,O$68/O$71)),"NA",IF(ROUND(SUM(O$82:O82),3)&gt;=ROUND(O$68,3),0,O$68/O$71))</f>
        <v>0</v>
      </c>
      <c r="P83" s="842">
        <f>IF(ISERROR(IF(ROUND(SUM(P$82:P82),3)&gt;=ROUND(P$68,3),0,P$68/P$71)),"NA",IF(ROUND(SUM(P$82:P82),3)&gt;=ROUND(P$68,3),0,P$68/P$71))</f>
        <v>0</v>
      </c>
      <c r="Q83" s="841">
        <f t="shared" si="41"/>
        <v>0</v>
      </c>
      <c r="R83" s="841">
        <f t="shared" si="41"/>
        <v>0</v>
      </c>
      <c r="S83" s="841">
        <f t="shared" si="41"/>
        <v>0</v>
      </c>
      <c r="T83" s="841">
        <f t="shared" si="41"/>
        <v>0</v>
      </c>
      <c r="U83" s="841">
        <f t="shared" si="41"/>
        <v>0</v>
      </c>
      <c r="V83" s="841">
        <f t="shared" si="41"/>
        <v>0</v>
      </c>
      <c r="W83" s="841">
        <f t="shared" si="41"/>
        <v>0</v>
      </c>
      <c r="AA83"/>
      <c r="AB83"/>
      <c r="AC83"/>
      <c r="AD83"/>
      <c r="AE83"/>
      <c r="AF83"/>
      <c r="AJ83" s="931"/>
    </row>
    <row r="84" spans="1:36" s="930" customFormat="1" outlineLevel="1">
      <c r="A84" s="925"/>
      <c r="B84" s="829"/>
      <c r="C84" s="926" t="s">
        <v>217</v>
      </c>
      <c r="D84" s="926"/>
      <c r="E84" s="926"/>
      <c r="F84" s="926"/>
      <c r="G84" s="926"/>
      <c r="H84" s="842" t="str">
        <f>IF(ISERROR(IF(ROUND(SUM(H$82:H83),3)&gt;=ROUND(H$68,3),0,H$68/H$71)),"NA",IF(ROUND(SUM(H$82:H83),3)&gt;=ROUND(H$68,3),0,H$68/H$71))</f>
        <v>NA</v>
      </c>
      <c r="I84" s="842">
        <f>IF(ISERROR(IF(ROUND(SUM(I$82:I83),3)&gt;=ROUND(I$68,3),0,I$68/I$71)),"NA",IF(ROUND(SUM(I$82:I83),3)&gt;=ROUND(I$68,3),0,I$68/I$71))</f>
        <v>0</v>
      </c>
      <c r="J84" s="842">
        <f>IF(ISERROR(IF(ROUND(SUM(J$82:J83),3)&gt;=ROUND(J$68,3),0,J$68/J$71)),"NA",IF(ROUND(SUM(J$82:J83),3)&gt;=ROUND(J$68,3),0,J$68/J$71))</f>
        <v>0</v>
      </c>
      <c r="K84" s="842">
        <f>IF(ISERROR(IF(ROUND(SUM(K$82:K83),3)&gt;=ROUND(K$68,3),0,K$68/K$71)),"NA",IF(ROUND(SUM(K$82:K83),3)&gt;=ROUND(K$68,3),0,K$68/K$71))</f>
        <v>0</v>
      </c>
      <c r="L84" s="842">
        <f>IF(ISERROR(IF(ROUND(SUM(L$82:L83),3)&gt;=ROUND(L$68,3),0,L$68/L$71)),"NA",IF(ROUND(SUM(L$82:L83),3)&gt;=ROUND(L$68,3),0,L$68/L$71))</f>
        <v>0</v>
      </c>
      <c r="M84" s="842">
        <f>IF(ISERROR(IF(ROUND(SUM(M$82:M83),3)&gt;=ROUND(M$68,3),0,M$68/M$71)),"NA",IF(ROUND(SUM(M$82:M83),3)&gt;=ROUND(M$68,3),0,M$68/M$71))</f>
        <v>0</v>
      </c>
      <c r="N84" s="842">
        <f>IF(ISERROR(IF(ROUND(SUM(N$82:N83),3)&gt;=ROUND(N$68,3),0,N$68/N$71)),"NA",IF(ROUND(SUM(N$82:N83),3)&gt;=ROUND(N$68,3),0,N$68/N$71))</f>
        <v>0</v>
      </c>
      <c r="O84" s="842">
        <f>IF(ISERROR(IF(ROUND(SUM(O$82:O83),3)&gt;=ROUND(O$68,3),0,O$68/O$71)),"NA",IF(ROUND(SUM(O$82:O83),3)&gt;=ROUND(O$68,3),0,O$68/O$71))</f>
        <v>0</v>
      </c>
      <c r="P84" s="842">
        <f>IF(ISERROR(IF(ROUND(SUM(P$82:P83),3)&gt;=ROUND(P$68,3),0,P$68/P$71)),"NA",IF(ROUND(SUM(P$82:P83),3)&gt;=ROUND(P$68,3),0,P$68/P$71))</f>
        <v>0</v>
      </c>
      <c r="Q84" s="841">
        <f t="shared" si="41"/>
        <v>0</v>
      </c>
      <c r="R84" s="841">
        <f t="shared" si="41"/>
        <v>0</v>
      </c>
      <c r="S84" s="841">
        <f t="shared" si="41"/>
        <v>0</v>
      </c>
      <c r="T84" s="841">
        <f t="shared" si="41"/>
        <v>0</v>
      </c>
      <c r="U84" s="841">
        <f t="shared" si="41"/>
        <v>0</v>
      </c>
      <c r="V84" s="841">
        <f t="shared" si="41"/>
        <v>0</v>
      </c>
      <c r="W84" s="841">
        <f t="shared" si="41"/>
        <v>0</v>
      </c>
      <c r="AA84"/>
      <c r="AB84"/>
      <c r="AC84"/>
      <c r="AD84"/>
      <c r="AE84"/>
      <c r="AF84"/>
      <c r="AJ84" s="931"/>
    </row>
    <row r="85" spans="1:36" s="930" customFormat="1" outlineLevel="1">
      <c r="A85" s="925"/>
      <c r="B85" s="829"/>
      <c r="C85" s="926" t="s">
        <v>218</v>
      </c>
      <c r="D85" s="926"/>
      <c r="E85" s="926"/>
      <c r="F85" s="926"/>
      <c r="G85" s="926"/>
      <c r="H85" s="842" t="str">
        <f>IF(ISERROR(IF(ROUND(SUM(H$82:H84),3)&gt;=ROUND(H$68,3),0,H$68/H$71)),"NA",IF(ROUND(SUM(H$82:H84),3)&gt;=ROUND(H$68,3),0,H$68/H$71))</f>
        <v>NA</v>
      </c>
      <c r="I85" s="842">
        <f>IF(ISERROR(IF(ROUND(SUM(I$82:I84),3)&gt;=ROUND(I$68,3),0,I$68/I$71)),"NA",IF(ROUND(SUM(I$82:I84),3)&gt;=ROUND(I$68,3),0,I$68/I$71))</f>
        <v>0</v>
      </c>
      <c r="J85" s="842">
        <f>IF(ISERROR(IF(ROUND(SUM(J$82:J84),3)&gt;=ROUND(J$68,3),0,J$68/J$71)),"NA",IF(ROUND(SUM(J$82:J84),3)&gt;=ROUND(J$68,3),0,J$68/J$71))</f>
        <v>0</v>
      </c>
      <c r="K85" s="842">
        <f>IF(ISERROR(IF(ROUND(SUM(K$82:K84),3)&gt;=ROUND(K$68,3),0,K$68/K$71)),"NA",IF(ROUND(SUM(K$82:K84),3)&gt;=ROUND(K$68,3),0,K$68/K$71))</f>
        <v>0</v>
      </c>
      <c r="L85" s="842">
        <f>IF(ISERROR(IF(ROUND(SUM(L$82:L84),3)&gt;=ROUND(L$68,3),0,L$68/L$71)),"NA",IF(ROUND(SUM(L$82:L84),3)&gt;=ROUND(L$68,3),0,L$68/L$71))</f>
        <v>0</v>
      </c>
      <c r="M85" s="842">
        <f>IF(ISERROR(IF(ROUND(SUM(M$82:M84),3)&gt;=ROUND(M$68,3),0,M$68/M$71)),"NA",IF(ROUND(SUM(M$82:M84),3)&gt;=ROUND(M$68,3),0,M$68/M$71))</f>
        <v>0</v>
      </c>
      <c r="N85" s="842">
        <f>IF(ISERROR(IF(ROUND(SUM(N$82:N84),3)&gt;=ROUND(N$68,3),0,N$68/N$71)),"NA",IF(ROUND(SUM(N$82:N84),3)&gt;=ROUND(N$68,3),0,N$68/N$71))</f>
        <v>0</v>
      </c>
      <c r="O85" s="842">
        <f>IF(ISERROR(IF(ROUND(SUM(O$82:O84),3)&gt;=ROUND(O$68,3),0,O$68/O$71)),"NA",IF(ROUND(SUM(O$82:O84),3)&gt;=ROUND(O$68,3),0,O$68/O$71))</f>
        <v>0</v>
      </c>
      <c r="P85" s="842">
        <f>IF(ISERROR(IF(ROUND(SUM(P$82:P84),3)&gt;=ROUND(P$68,3),0,P$68/P$71)),"NA",IF(ROUND(SUM(P$82:P84),3)&gt;=ROUND(P$68,3),0,P$68/P$71))</f>
        <v>0</v>
      </c>
      <c r="Q85" s="841">
        <f t="shared" si="41"/>
        <v>0</v>
      </c>
      <c r="R85" s="841">
        <f t="shared" si="41"/>
        <v>0</v>
      </c>
      <c r="S85" s="841">
        <f t="shared" si="41"/>
        <v>0</v>
      </c>
      <c r="T85" s="841">
        <f t="shared" si="41"/>
        <v>0</v>
      </c>
      <c r="U85" s="841">
        <f t="shared" si="41"/>
        <v>0</v>
      </c>
      <c r="V85" s="841">
        <f t="shared" si="41"/>
        <v>0</v>
      </c>
      <c r="W85" s="841">
        <f t="shared" si="41"/>
        <v>0</v>
      </c>
      <c r="AA85"/>
      <c r="AB85"/>
      <c r="AC85"/>
      <c r="AD85"/>
      <c r="AE85"/>
      <c r="AF85"/>
      <c r="AJ85" s="931"/>
    </row>
    <row r="86" spans="1:36" s="930" customFormat="1" outlineLevel="1">
      <c r="A86" s="925"/>
      <c r="B86" s="829"/>
      <c r="C86" s="926" t="s">
        <v>219</v>
      </c>
      <c r="D86" s="926"/>
      <c r="E86" s="926"/>
      <c r="F86" s="926"/>
      <c r="G86" s="926"/>
      <c r="H86" s="842" t="str">
        <f>IF(ISERROR(IF(ROUND(SUM(H$82:H85),3)&gt;=ROUND(H$68,3),0,H$68/H$71)),"NA",IF(ROUND(SUM(H$82:H85),3)&gt;=ROUND(H$68,3),0,H$68/H$71))</f>
        <v>NA</v>
      </c>
      <c r="I86" s="842">
        <f>IF(ISERROR(IF(ROUND(SUM(I$82:I85),3)&gt;=ROUND(I$68,3),0,I$68/I$71)),"NA",IF(ROUND(SUM(I$82:I85),3)&gt;=ROUND(I$68,3),0,I$68/I$71))</f>
        <v>0</v>
      </c>
      <c r="J86" s="842">
        <f>IF(ISERROR(IF(ROUND(SUM(J$82:J85),3)&gt;=ROUND(J$68,3),0,J$68/J$71)),"NA",IF(ROUND(SUM(J$82:J85),3)&gt;=ROUND(J$68,3),0,J$68/J$71))</f>
        <v>0</v>
      </c>
      <c r="K86" s="842">
        <f>IF(ISERROR(IF(ROUND(SUM(K$82:K85),3)&gt;=ROUND(K$68,3),0,K$68/K$71)),"NA",IF(ROUND(SUM(K$82:K85),3)&gt;=ROUND(K$68,3),0,K$68/K$71))</f>
        <v>0</v>
      </c>
      <c r="L86" s="842">
        <f>IF(ISERROR(IF(ROUND(SUM(L$82:L85),3)&gt;=ROUND(L$68,3),0,L$68/L$71)),"NA",IF(ROUND(SUM(L$82:L85),3)&gt;=ROUND(L$68,3),0,L$68/L$71))</f>
        <v>0</v>
      </c>
      <c r="M86" s="842">
        <f>IF(ISERROR(IF(ROUND(SUM(M$82:M85),3)&gt;=ROUND(M$68,3),0,M$68/M$71)),"NA",IF(ROUND(SUM(M$82:M85),3)&gt;=ROUND(M$68,3),0,M$68/M$71))</f>
        <v>0</v>
      </c>
      <c r="N86" s="842">
        <f>IF(ISERROR(IF(ROUND(SUM(N$82:N85),3)&gt;=ROUND(N$68,3),0,N$68/N$71)),"NA",IF(ROUND(SUM(N$82:N85),3)&gt;=ROUND(N$68,3),0,N$68/N$71))</f>
        <v>0</v>
      </c>
      <c r="O86" s="842">
        <f>IF(ISERROR(IF(ROUND(SUM(O$82:O85),3)&gt;=ROUND(O$68,3),0,O$68/O$71)),"NA",IF(ROUND(SUM(O$82:O85),3)&gt;=ROUND(O$68,3),0,O$68/O$71))</f>
        <v>0</v>
      </c>
      <c r="P86" s="842">
        <f>IF(ISERROR(IF(ROUND(SUM(P$82:P85),3)&gt;=ROUND(P$68,3),0,P$68/P$71)),"NA",IF(ROUND(SUM(P$82:P85),3)&gt;=ROUND(P$68,3),0,P$68/P$71))</f>
        <v>0</v>
      </c>
      <c r="Q86" s="841">
        <f t="shared" si="41"/>
        <v>0</v>
      </c>
      <c r="R86" s="841">
        <f t="shared" si="41"/>
        <v>0</v>
      </c>
      <c r="S86" s="841">
        <f t="shared" si="41"/>
        <v>0</v>
      </c>
      <c r="T86" s="841">
        <f t="shared" si="41"/>
        <v>0</v>
      </c>
      <c r="U86" s="841">
        <f t="shared" si="41"/>
        <v>0</v>
      </c>
      <c r="V86" s="841">
        <f t="shared" si="41"/>
        <v>0</v>
      </c>
      <c r="W86" s="841">
        <f t="shared" si="41"/>
        <v>0</v>
      </c>
      <c r="AA86"/>
      <c r="AB86"/>
      <c r="AC86"/>
      <c r="AD86"/>
      <c r="AE86"/>
      <c r="AF86"/>
      <c r="AJ86" s="931"/>
    </row>
    <row r="87" spans="1:36" s="930" customFormat="1" outlineLevel="1">
      <c r="A87" s="925"/>
      <c r="B87" s="829"/>
      <c r="C87" s="926" t="s">
        <v>220</v>
      </c>
      <c r="D87" s="926"/>
      <c r="E87" s="926"/>
      <c r="F87" s="926"/>
      <c r="G87" s="926"/>
      <c r="H87" s="842" t="str">
        <f>IF(ISERROR(IF(ROUND(SUM(H$82:H86),3)&gt;=ROUND(H$68,3),0,H$68/H$71)),"NA",IF(ROUND(SUM(H$82:H86),3)&gt;=ROUND(H$68,3),0,H$68/H$71))</f>
        <v>NA</v>
      </c>
      <c r="I87" s="842">
        <f>IF(ISERROR(IF(ROUND(SUM(I$82:I86),3)&gt;=ROUND(I$68,3),0,I$68/I$71)),"NA",IF(ROUND(SUM(I$82:I86),3)&gt;=ROUND(I$68,3),0,I$68/I$71))</f>
        <v>0</v>
      </c>
      <c r="J87" s="842">
        <f>IF(ISERROR(IF(ROUND(SUM(J$82:J86),3)&gt;=ROUND(J$68,3),0,J$68/J$71)),"NA",IF(ROUND(SUM(J$82:J86),3)&gt;=ROUND(J$68,3),0,J$68/J$71))</f>
        <v>0</v>
      </c>
      <c r="K87" s="842">
        <f>IF(ISERROR(IF(ROUND(SUM(K$82:K86),3)&gt;=ROUND(K$68,3),0,K$68/K$71)),"NA",IF(ROUND(SUM(K$82:K86),3)&gt;=ROUND(K$68,3),0,K$68/K$71))</f>
        <v>0</v>
      </c>
      <c r="L87" s="842">
        <f>IF(ISERROR(IF(ROUND(SUM(L$82:L86),3)&gt;=ROUND(L$68,3),0,L$68/L$71)),"NA",IF(ROUND(SUM(L$82:L86),3)&gt;=ROUND(L$68,3),0,L$68/L$71))</f>
        <v>0</v>
      </c>
      <c r="M87" s="842">
        <f>IF(ISERROR(IF(ROUND(SUM(M$82:M86),3)&gt;=ROUND(M$68,3),0,M$68/M$71)),"NA",IF(ROUND(SUM(M$82:M86),3)&gt;=ROUND(M$68,3),0,M$68/M$71))</f>
        <v>0</v>
      </c>
      <c r="N87" s="842">
        <f>IF(ISERROR(IF(ROUND(SUM(N$82:N86),3)&gt;=ROUND(N$68,3),0,N$68/N$71)),"NA",IF(ROUND(SUM(N$82:N86),3)&gt;=ROUND(N$68,3),0,N$68/N$71))</f>
        <v>0</v>
      </c>
      <c r="O87" s="842">
        <f>IF(ISERROR(IF(ROUND(SUM(O$82:O86),3)&gt;=ROUND(O$68,3),0,O$68/O$71)),"NA",IF(ROUND(SUM(O$82:O86),3)&gt;=ROUND(O$68,3),0,O$68/O$71))</f>
        <v>0</v>
      </c>
      <c r="P87" s="842">
        <f>IF(ISERROR(IF(ROUND(SUM(P$82:P86),3)&gt;=ROUND(P$68,3),0,P$68/P$71)),"NA",IF(ROUND(SUM(P$82:P86),3)&gt;=ROUND(P$68,3),0,P$68/P$71))</f>
        <v>0</v>
      </c>
      <c r="Q87" s="841">
        <f t="shared" si="41"/>
        <v>0</v>
      </c>
      <c r="R87" s="841">
        <f t="shared" si="41"/>
        <v>0</v>
      </c>
      <c r="S87" s="841">
        <f t="shared" si="41"/>
        <v>0</v>
      </c>
      <c r="T87" s="841">
        <f t="shared" si="41"/>
        <v>0</v>
      </c>
      <c r="U87" s="841">
        <f t="shared" si="41"/>
        <v>0</v>
      </c>
      <c r="V87" s="841">
        <f t="shared" si="41"/>
        <v>0</v>
      </c>
      <c r="W87" s="841">
        <f t="shared" si="41"/>
        <v>0</v>
      </c>
      <c r="AA87"/>
      <c r="AB87"/>
      <c r="AC87"/>
      <c r="AD87"/>
      <c r="AE87"/>
      <c r="AF87"/>
      <c r="AJ87" s="931"/>
    </row>
    <row r="88" spans="1:36" s="930" customFormat="1" outlineLevel="1">
      <c r="A88" s="925"/>
      <c r="B88" s="829"/>
      <c r="C88" s="926" t="s">
        <v>221</v>
      </c>
      <c r="D88" s="926"/>
      <c r="E88" s="926"/>
      <c r="F88" s="926"/>
      <c r="G88" s="926"/>
      <c r="H88" s="842" t="str">
        <f>IF(ISERROR(IF(ROUND(SUM(H$82:H87),3)&gt;=ROUND(H$68,3),0,H$68/H$71)),"NA",IF(ROUND(SUM(H$82:H87),3)&gt;=ROUND(H$68,3),0,H$68/H$71))</f>
        <v>NA</v>
      </c>
      <c r="I88" s="842">
        <f>IF(ISERROR(IF(ROUND(SUM(I$82:I87),3)&gt;=ROUND(I$68,3),0,I$68/I$71)),"NA",IF(ROUND(SUM(I$82:I87),3)&gt;=ROUND(I$68,3),0,I$68/I$71))</f>
        <v>0</v>
      </c>
      <c r="J88" s="842">
        <f>IF(ISERROR(IF(ROUND(SUM(J$82:J87),3)&gt;=ROUND(J$68,3),0,J$68/J$71)),"NA",IF(ROUND(SUM(J$82:J87),3)&gt;=ROUND(J$68,3),0,J$68/J$71))</f>
        <v>0</v>
      </c>
      <c r="K88" s="842">
        <f>IF(ISERROR(IF(ROUND(SUM(K$82:K87),3)&gt;=ROUND(K$68,3),0,K$68/K$71)),"NA",IF(ROUND(SUM(K$82:K87),3)&gt;=ROUND(K$68,3),0,K$68/K$71))</f>
        <v>0</v>
      </c>
      <c r="L88" s="842">
        <f>IF(ISERROR(IF(ROUND(SUM(L$82:L87),3)&gt;=ROUND(L$68,3),0,L$68/L$71)),"NA",IF(ROUND(SUM(L$82:L87),3)&gt;=ROUND(L$68,3),0,L$68/L$71))</f>
        <v>0</v>
      </c>
      <c r="M88" s="842">
        <f>IF(ISERROR(IF(ROUND(SUM(M$82:M87),3)&gt;=ROUND(M$68,3),0,M$68/M$71)),"NA",IF(ROUND(SUM(M$82:M87),3)&gt;=ROUND(M$68,3),0,M$68/M$71))</f>
        <v>0</v>
      </c>
      <c r="N88" s="842">
        <f>IF(ISERROR(IF(ROUND(SUM(N$82:N87),3)&gt;=ROUND(N$68,3),0,N$68/N$71)),"NA",IF(ROUND(SUM(N$82:N87),3)&gt;=ROUND(N$68,3),0,N$68/N$71))</f>
        <v>0</v>
      </c>
      <c r="O88" s="842">
        <f>IF(ISERROR(IF(ROUND(SUM(O$82:O87),3)&gt;=ROUND(O$68,3),0,O$68/O$71)),"NA",IF(ROUND(SUM(O$82:O87),3)&gt;=ROUND(O$68,3),0,O$68/O$71))</f>
        <v>0</v>
      </c>
      <c r="P88" s="842">
        <f>IF(ISERROR(IF(ROUND(SUM(P$82:P87),3)&gt;=ROUND(P$68,3),0,P$68/P$71)),"NA",IF(ROUND(SUM(P$82:P87),3)&gt;=ROUND(P$68,3),0,P$68/P$71))</f>
        <v>0</v>
      </c>
      <c r="Q88" s="841">
        <f t="shared" si="41"/>
        <v>0</v>
      </c>
      <c r="R88" s="841">
        <f t="shared" si="41"/>
        <v>0</v>
      </c>
      <c r="S88" s="841">
        <f t="shared" si="41"/>
        <v>0</v>
      </c>
      <c r="T88" s="841">
        <f t="shared" si="41"/>
        <v>0</v>
      </c>
      <c r="U88" s="841">
        <f t="shared" si="41"/>
        <v>0</v>
      </c>
      <c r="V88" s="841">
        <f t="shared" si="41"/>
        <v>0</v>
      </c>
      <c r="W88" s="841">
        <f t="shared" si="41"/>
        <v>0</v>
      </c>
      <c r="AA88"/>
      <c r="AB88"/>
      <c r="AC88"/>
      <c r="AD88"/>
      <c r="AE88"/>
      <c r="AF88"/>
      <c r="AJ88" s="931"/>
    </row>
    <row r="89" spans="1:36" s="930" customFormat="1" outlineLevel="1">
      <c r="A89" s="925"/>
      <c r="B89" s="829"/>
      <c r="C89" s="926" t="s">
        <v>222</v>
      </c>
      <c r="D89" s="926"/>
      <c r="E89" s="926"/>
      <c r="F89" s="926"/>
      <c r="G89" s="926"/>
      <c r="H89" s="842" t="str">
        <f>IF(ISERROR(IF(ROUND(SUM(H$82:H88),3)&gt;=ROUND(H$68,3),0,H$68/H$71)),"NA",IF(ROUND(SUM(H$82:H88),3)&gt;=ROUND(H$68,3),0,H$68/H$71))</f>
        <v>NA</v>
      </c>
      <c r="I89" s="842">
        <f>IF(ISERROR(IF(ROUND(SUM(I$82:I88),3)&gt;=ROUND(I$68,3),0,I$68/I$71)),"NA",IF(ROUND(SUM(I$82:I88),3)&gt;=ROUND(I$68,3),0,I$68/I$71))</f>
        <v>0</v>
      </c>
      <c r="J89" s="842">
        <f>IF(ISERROR(IF(ROUND(SUM(J$82:J88),3)&gt;=ROUND(J$68,3),0,J$68/J$71)),"NA",IF(ROUND(SUM(J$82:J88),3)&gt;=ROUND(J$68,3),0,J$68/J$71))</f>
        <v>0</v>
      </c>
      <c r="K89" s="842">
        <f>IF(ISERROR(IF(ROUND(SUM(K$82:K88),3)&gt;=ROUND(K$68,3),0,K$68/K$71)),"NA",IF(ROUND(SUM(K$82:K88),3)&gt;=ROUND(K$68,3),0,K$68/K$71))</f>
        <v>0</v>
      </c>
      <c r="L89" s="842">
        <f>IF(ISERROR(IF(ROUND(SUM(L$82:L88),3)&gt;=ROUND(L$68,3),0,L$68/L$71)),"NA",IF(ROUND(SUM(L$82:L88),3)&gt;=ROUND(L$68,3),0,L$68/L$71))</f>
        <v>0</v>
      </c>
      <c r="M89" s="842">
        <f>IF(ISERROR(IF(ROUND(SUM(M$82:M88),3)&gt;=ROUND(M$68,3),0,M$68/M$71)),"NA",IF(ROUND(SUM(M$82:M88),3)&gt;=ROUND(M$68,3),0,M$68/M$71))</f>
        <v>0</v>
      </c>
      <c r="N89" s="842">
        <f>IF(ISERROR(IF(ROUND(SUM(N$82:N88),3)&gt;=ROUND(N$68,3),0,N$68/N$71)),"NA",IF(ROUND(SUM(N$82:N88),3)&gt;=ROUND(N$68,3),0,N$68/N$71))</f>
        <v>0</v>
      </c>
      <c r="O89" s="842">
        <f>IF(ISERROR(IF(ROUND(SUM(O$82:O88),3)&gt;=ROUND(O$68,3),0,O$68/O$71)),"NA",IF(ROUND(SUM(O$82:O88),3)&gt;=ROUND(O$68,3),0,O$68/O$71))</f>
        <v>0</v>
      </c>
      <c r="P89" s="842">
        <f>IF(ISERROR(IF(ROUND(SUM(P$82:P88),3)&gt;=ROUND(P$68,3),0,P$68/P$71)),"NA",IF(ROUND(SUM(P$82:P88),3)&gt;=ROUND(P$68,3),0,P$68/P$71))</f>
        <v>0</v>
      </c>
      <c r="Q89" s="841">
        <f t="shared" si="41"/>
        <v>0</v>
      </c>
      <c r="R89" s="841">
        <f t="shared" si="41"/>
        <v>0</v>
      </c>
      <c r="S89" s="841">
        <f t="shared" si="41"/>
        <v>0</v>
      </c>
      <c r="T89" s="841">
        <f t="shared" si="41"/>
        <v>0</v>
      </c>
      <c r="U89" s="841">
        <f t="shared" si="41"/>
        <v>0</v>
      </c>
      <c r="V89" s="841">
        <f t="shared" si="41"/>
        <v>0</v>
      </c>
      <c r="W89" s="841">
        <f t="shared" si="41"/>
        <v>0</v>
      </c>
      <c r="AA89"/>
      <c r="AB89"/>
      <c r="AC89"/>
      <c r="AD89"/>
      <c r="AE89"/>
      <c r="AF89"/>
      <c r="AJ89" s="931"/>
    </row>
    <row r="90" spans="1:36" s="930" customFormat="1" outlineLevel="1">
      <c r="A90" s="925"/>
      <c r="B90" s="829"/>
      <c r="C90" s="926" t="s">
        <v>223</v>
      </c>
      <c r="D90" s="926"/>
      <c r="E90" s="926"/>
      <c r="F90" s="926"/>
      <c r="G90" s="926"/>
      <c r="H90" s="842" t="str">
        <f>IF(ISERROR(IF(ROUND(SUM(H$82:H89),3)&gt;=ROUND(H$68,3),0,H$68/H$71)),"NA",IF(ROUND(SUM(H$82:H89),3)&gt;=ROUND(H$68,3),0,H$68/H$71))</f>
        <v>NA</v>
      </c>
      <c r="I90" s="842">
        <f>IF(ISERROR(IF(ROUND(SUM(I$82:I89),3)&gt;=ROUND(I$68,3),0,I$68/I$71)),"NA",IF(ROUND(SUM(I$82:I89),3)&gt;=ROUND(I$68,3),0,I$68/I$71))</f>
        <v>0</v>
      </c>
      <c r="J90" s="842">
        <f>IF(ISERROR(IF(ROUND(SUM(J$82:J89),3)&gt;=ROUND(J$68,3),0,J$68/J$71)),"NA",IF(ROUND(SUM(J$82:J89),3)&gt;=ROUND(J$68,3),0,J$68/J$71))</f>
        <v>0</v>
      </c>
      <c r="K90" s="842">
        <f>IF(ISERROR(IF(ROUND(SUM(K$82:K89),3)&gt;=ROUND(K$68,3),0,K$68/K$71)),"NA",IF(ROUND(SUM(K$82:K89),3)&gt;=ROUND(K$68,3),0,K$68/K$71))</f>
        <v>0</v>
      </c>
      <c r="L90" s="842">
        <f>IF(ISERROR(IF(ROUND(SUM(L$82:L89),3)&gt;=ROUND(L$68,3),0,L$68/L$71)),"NA",IF(ROUND(SUM(L$82:L89),3)&gt;=ROUND(L$68,3),0,L$68/L$71))</f>
        <v>0</v>
      </c>
      <c r="M90" s="842">
        <f>IF(ISERROR(IF(ROUND(SUM(M$82:M89),3)&gt;=ROUND(M$68,3),0,M$68/M$71)),"NA",IF(ROUND(SUM(M$82:M89),3)&gt;=ROUND(M$68,3),0,M$68/M$71))</f>
        <v>0</v>
      </c>
      <c r="N90" s="842">
        <f>IF(ISERROR(IF(ROUND(SUM(N$82:N89),3)&gt;=ROUND(N$68,3),0,N$68/N$71)),"NA",IF(ROUND(SUM(N$82:N89),3)&gt;=ROUND(N$68,3),0,N$68/N$71))</f>
        <v>0</v>
      </c>
      <c r="O90" s="842">
        <f>IF(ISERROR(IF(ROUND(SUM(O$82:O89),3)&gt;=ROUND(O$68,3),0,O$68/O$71)),"NA",IF(ROUND(SUM(O$82:O89),3)&gt;=ROUND(O$68,3),0,O$68/O$71))</f>
        <v>0</v>
      </c>
      <c r="P90" s="842">
        <f>IF(ISERROR(IF(ROUND(SUM(P$82:P89),3)&gt;=ROUND(P$68,3),0,P$68/P$71)),"NA",IF(ROUND(SUM(P$82:P89),3)&gt;=ROUND(P$68,3),0,P$68/P$71))</f>
        <v>0</v>
      </c>
      <c r="Q90" s="841">
        <f t="shared" si="41"/>
        <v>0</v>
      </c>
      <c r="R90" s="841">
        <f t="shared" si="41"/>
        <v>0</v>
      </c>
      <c r="S90" s="841">
        <f t="shared" si="41"/>
        <v>0</v>
      </c>
      <c r="T90" s="841">
        <f t="shared" si="41"/>
        <v>0</v>
      </c>
      <c r="U90" s="841">
        <f t="shared" si="41"/>
        <v>0</v>
      </c>
      <c r="V90" s="841">
        <f t="shared" si="41"/>
        <v>0</v>
      </c>
      <c r="W90" s="841">
        <f t="shared" si="41"/>
        <v>0</v>
      </c>
      <c r="AA90"/>
      <c r="AB90"/>
      <c r="AC90"/>
      <c r="AD90"/>
      <c r="AE90"/>
      <c r="AF90"/>
      <c r="AJ90" s="931"/>
    </row>
    <row r="91" spans="1:36" s="930" customFormat="1" outlineLevel="1">
      <c r="A91" s="925"/>
      <c r="B91" s="829"/>
      <c r="C91" s="926" t="s">
        <v>224</v>
      </c>
      <c r="D91" s="926"/>
      <c r="E91" s="926"/>
      <c r="F91" s="926"/>
      <c r="G91" s="926"/>
      <c r="H91" s="842" t="str">
        <f>IF(ISERROR(IF(ROUND(SUM(H$82:H90),3)&gt;=ROUND(H$68,3),0,H$68/H$71)),"NA",IF(ROUND(SUM(H$82:H90),3)&gt;=ROUND(H$68,3),0,H$68/H$71))</f>
        <v>NA</v>
      </c>
      <c r="I91" s="842">
        <f>IF(ISERROR(IF(ROUND(SUM(I$82:I90),3)&gt;=ROUND(I$68,3),0,I$68/I$71)),"NA",IF(ROUND(SUM(I$82:I90),3)&gt;=ROUND(I$68,3),0,I$68/I$71))</f>
        <v>0</v>
      </c>
      <c r="J91" s="842">
        <f>IF(ISERROR(IF(ROUND(SUM(J$82:J90),3)&gt;=ROUND(J$68,3),0,J$68/J$71)),"NA",IF(ROUND(SUM(J$82:J90),3)&gt;=ROUND(J$68,3),0,J$68/J$71))</f>
        <v>0</v>
      </c>
      <c r="K91" s="842">
        <f>IF(ISERROR(IF(ROUND(SUM(K$82:K90),3)&gt;=ROUND(K$68,3),0,K$68/K$71)),"NA",IF(ROUND(SUM(K$82:K90),3)&gt;=ROUND(K$68,3),0,K$68/K$71))</f>
        <v>0</v>
      </c>
      <c r="L91" s="842">
        <f>IF(ISERROR(IF(ROUND(SUM(L$82:L90),3)&gt;=ROUND(L$68,3),0,L$68/L$71)),"NA",IF(ROUND(SUM(L$82:L90),3)&gt;=ROUND(L$68,3),0,L$68/L$71))</f>
        <v>0</v>
      </c>
      <c r="M91" s="842">
        <f>IF(ISERROR(IF(ROUND(SUM(M$82:M90),3)&gt;=ROUND(M$68,3),0,M$68/M$71)),"NA",IF(ROUND(SUM(M$82:M90),3)&gt;=ROUND(M$68,3),0,M$68/M$71))</f>
        <v>0</v>
      </c>
      <c r="N91" s="842">
        <f>IF(ISERROR(IF(ROUND(SUM(N$82:N90),3)&gt;=ROUND(N$68,3),0,N$68/N$71)),"NA",IF(ROUND(SUM(N$82:N90),3)&gt;=ROUND(N$68,3),0,N$68/N$71))</f>
        <v>0</v>
      </c>
      <c r="O91" s="842">
        <f>IF(ISERROR(IF(ROUND(SUM(O$82:O90),3)&gt;=ROUND(O$68,3),0,O$68/O$71)),"NA",IF(ROUND(SUM(O$82:O90),3)&gt;=ROUND(O$68,3),0,O$68/O$71))</f>
        <v>0</v>
      </c>
      <c r="P91" s="842">
        <f>IF(ISERROR(IF(ROUND(SUM(P$82:P90),3)&gt;=ROUND(P$68,3),0,P$68/P$71)),"NA",IF(ROUND(SUM(P$82:P90),3)&gt;=ROUND(P$68,3),0,P$68/P$71))</f>
        <v>0</v>
      </c>
      <c r="Q91" s="841">
        <f t="shared" si="41"/>
        <v>0</v>
      </c>
      <c r="R91" s="841">
        <f t="shared" si="41"/>
        <v>0</v>
      </c>
      <c r="S91" s="841">
        <f t="shared" si="41"/>
        <v>0</v>
      </c>
      <c r="T91" s="841">
        <f t="shared" si="41"/>
        <v>0</v>
      </c>
      <c r="U91" s="841">
        <f t="shared" si="41"/>
        <v>0</v>
      </c>
      <c r="V91" s="841">
        <f t="shared" si="41"/>
        <v>0</v>
      </c>
      <c r="W91" s="841">
        <f t="shared" si="41"/>
        <v>0</v>
      </c>
      <c r="AA91"/>
      <c r="AB91"/>
      <c r="AC91"/>
      <c r="AD91"/>
      <c r="AE91"/>
      <c r="AF91"/>
      <c r="AJ91" s="931"/>
    </row>
    <row r="92" spans="1:36" s="930" customFormat="1" outlineLevel="1">
      <c r="A92" s="925"/>
      <c r="B92" s="829"/>
      <c r="C92" s="926" t="s">
        <v>225</v>
      </c>
      <c r="D92" s="926"/>
      <c r="E92" s="926"/>
      <c r="F92" s="926"/>
      <c r="G92" s="926"/>
      <c r="H92" s="842" t="str">
        <f>IF(ISERROR(IF(ROUND(SUM(H$82:H91),3)&gt;=ROUND(H$68,3),0,H$68/H$71)),"NA",IF(ROUND(SUM(H$82:H91),3)&gt;=ROUND(H$68,3),0,H$68/H$71))</f>
        <v>NA</v>
      </c>
      <c r="I92" s="842">
        <f>IF(ISERROR(IF(ROUND(SUM(I$82:I91),3)&gt;=ROUND(I$68,3),0,I$68/I$71)),"NA",IF(ROUND(SUM(I$82:I91),3)&gt;=ROUND(I$68,3),0,I$68/I$71))</f>
        <v>0</v>
      </c>
      <c r="J92" s="842">
        <f>IF(ISERROR(IF(ROUND(SUM(J$82:J91),3)&gt;=ROUND(J$68,3),0,J$68/J$71)),"NA",IF(ROUND(SUM(J$82:J91),3)&gt;=ROUND(J$68,3),0,J$68/J$71))</f>
        <v>0</v>
      </c>
      <c r="K92" s="842">
        <f>IF(ISERROR(IF(ROUND(SUM(K$82:K91),3)&gt;=ROUND(K$68,3),0,K$68/K$71)),"NA",IF(ROUND(SUM(K$82:K91),3)&gt;=ROUND(K$68,3),0,K$68/K$71))</f>
        <v>0</v>
      </c>
      <c r="L92" s="842">
        <f>IF(ISERROR(IF(ROUND(SUM(L$82:L91),3)&gt;=ROUND(L$68,3),0,L$68/L$71)),"NA",IF(ROUND(SUM(L$82:L91),3)&gt;=ROUND(L$68,3),0,L$68/L$71))</f>
        <v>0</v>
      </c>
      <c r="M92" s="842">
        <f>IF(ISERROR(IF(ROUND(SUM(M$82:M91),3)&gt;=ROUND(M$68,3),0,M$68/M$71)),"NA",IF(ROUND(SUM(M$82:M91),3)&gt;=ROUND(M$68,3),0,M$68/M$71))</f>
        <v>0</v>
      </c>
      <c r="N92" s="842">
        <f>IF(ISERROR(IF(ROUND(SUM(N$82:N91),3)&gt;=ROUND(N$68,3),0,N$68/N$71)),"NA",IF(ROUND(SUM(N$82:N91),3)&gt;=ROUND(N$68,3),0,N$68/N$71))</f>
        <v>0</v>
      </c>
      <c r="O92" s="842">
        <f>IF(ISERROR(IF(ROUND(SUM(O$82:O91),3)&gt;=ROUND(O$68,3),0,O$68/O$71)),"NA",IF(ROUND(SUM(O$82:O91),3)&gt;=ROUND(O$68,3),0,O$68/O$71))</f>
        <v>0</v>
      </c>
      <c r="P92" s="842">
        <f>IF(ISERROR(IF(ROUND(SUM(P$82:P91),3)&gt;=ROUND(P$68,3),0,P$68/P$71)),"NA",IF(ROUND(SUM(P$82:P91),3)&gt;=ROUND(P$68,3),0,P$68/P$71))</f>
        <v>0</v>
      </c>
      <c r="Q92" s="841">
        <f t="shared" ref="Q92:W106" si="43">P92*(1+Q$64)</f>
        <v>0</v>
      </c>
      <c r="R92" s="841">
        <f t="shared" si="43"/>
        <v>0</v>
      </c>
      <c r="S92" s="841">
        <f t="shared" si="43"/>
        <v>0</v>
      </c>
      <c r="T92" s="841">
        <f t="shared" si="43"/>
        <v>0</v>
      </c>
      <c r="U92" s="841">
        <f t="shared" si="43"/>
        <v>0</v>
      </c>
      <c r="V92" s="841">
        <f t="shared" si="43"/>
        <v>0</v>
      </c>
      <c r="W92" s="841">
        <f t="shared" si="43"/>
        <v>0</v>
      </c>
      <c r="AA92"/>
      <c r="AB92"/>
      <c r="AC92"/>
      <c r="AD92"/>
      <c r="AE92"/>
      <c r="AF92"/>
      <c r="AJ92" s="931"/>
    </row>
    <row r="93" spans="1:36" s="930" customFormat="1" outlineLevel="1">
      <c r="A93" s="925"/>
      <c r="B93" s="829"/>
      <c r="C93" s="926" t="s">
        <v>226</v>
      </c>
      <c r="D93" s="926"/>
      <c r="E93" s="926"/>
      <c r="F93" s="926"/>
      <c r="G93" s="926"/>
      <c r="H93" s="842" t="str">
        <f>IF(ISERROR(IF(ROUND(SUM(H$82:H92),3)&gt;=ROUND(H$68,3),0,H$68/H$71)),"NA",IF(ROUND(SUM(H$82:H92),3)&gt;=ROUND(H$68,3),0,H$68/H$71))</f>
        <v>NA</v>
      </c>
      <c r="I93" s="842">
        <f>IF(ISERROR(IF(ROUND(SUM(I$82:I92),3)&gt;=ROUND(I$68,3),0,I$68/I$71)),"NA",IF(ROUND(SUM(I$82:I92),3)&gt;=ROUND(I$68,3),0,I$68/I$71))</f>
        <v>0</v>
      </c>
      <c r="J93" s="842">
        <f>IF(ISERROR(IF(ROUND(SUM(J$82:J92),3)&gt;=ROUND(J$68,3),0,J$68/J$71)),"NA",IF(ROUND(SUM(J$82:J92),3)&gt;=ROUND(J$68,3),0,J$68/J$71))</f>
        <v>0</v>
      </c>
      <c r="K93" s="842">
        <f>IF(ISERROR(IF(ROUND(SUM(K$82:K92),3)&gt;=ROUND(K$68,3),0,K$68/K$71)),"NA",IF(ROUND(SUM(K$82:K92),3)&gt;=ROUND(K$68,3),0,K$68/K$71))</f>
        <v>0</v>
      </c>
      <c r="L93" s="842">
        <f>IF(ISERROR(IF(ROUND(SUM(L$82:L92),3)&gt;=ROUND(L$68,3),0,L$68/L$71)),"NA",IF(ROUND(SUM(L$82:L92),3)&gt;=ROUND(L$68,3),0,L$68/L$71))</f>
        <v>0</v>
      </c>
      <c r="M93" s="842">
        <f>IF(ISERROR(IF(ROUND(SUM(M$82:M92),3)&gt;=ROUND(M$68,3),0,M$68/M$71)),"NA",IF(ROUND(SUM(M$82:M92),3)&gt;=ROUND(M$68,3),0,M$68/M$71))</f>
        <v>0</v>
      </c>
      <c r="N93" s="842">
        <f>IF(ISERROR(IF(ROUND(SUM(N$82:N92),3)&gt;=ROUND(N$68,3),0,N$68/N$71)),"NA",IF(ROUND(SUM(N$82:N92),3)&gt;=ROUND(N$68,3),0,N$68/N$71))</f>
        <v>0</v>
      </c>
      <c r="O93" s="842">
        <f>IF(ISERROR(IF(ROUND(SUM(O$82:O92),3)&gt;=ROUND(O$68,3),0,O$68/O$71)),"NA",IF(ROUND(SUM(O$82:O92),3)&gt;=ROUND(O$68,3),0,O$68/O$71))</f>
        <v>0</v>
      </c>
      <c r="P93" s="842">
        <f>IF(ISERROR(IF(ROUND(SUM(P$82:P92),3)&gt;=ROUND(P$68,3),0,P$68/P$71)),"NA",IF(ROUND(SUM(P$82:P92),3)&gt;=ROUND(P$68,3),0,P$68/P$71))</f>
        <v>0</v>
      </c>
      <c r="Q93" s="841">
        <f t="shared" si="43"/>
        <v>0</v>
      </c>
      <c r="R93" s="841">
        <f t="shared" si="43"/>
        <v>0</v>
      </c>
      <c r="S93" s="841">
        <f t="shared" si="43"/>
        <v>0</v>
      </c>
      <c r="T93" s="841">
        <f t="shared" si="43"/>
        <v>0</v>
      </c>
      <c r="U93" s="841">
        <f t="shared" si="43"/>
        <v>0</v>
      </c>
      <c r="V93" s="841">
        <f t="shared" si="43"/>
        <v>0</v>
      </c>
      <c r="W93" s="841">
        <f t="shared" si="43"/>
        <v>0</v>
      </c>
      <c r="AA93"/>
      <c r="AB93"/>
      <c r="AC93"/>
      <c r="AD93"/>
      <c r="AE93"/>
      <c r="AF93"/>
      <c r="AJ93" s="931"/>
    </row>
    <row r="94" spans="1:36" s="930" customFormat="1" outlineLevel="1">
      <c r="A94" s="925"/>
      <c r="B94" s="829"/>
      <c r="C94" s="926" t="s">
        <v>227</v>
      </c>
      <c r="D94" s="926"/>
      <c r="E94" s="926"/>
      <c r="F94" s="926"/>
      <c r="G94" s="926"/>
      <c r="H94" s="842" t="str">
        <f>IF(ISERROR(IF(ROUND(SUM(H$82:H93),3)&gt;=ROUND(H$68,3),0,H$68/H$71)),"NA",IF(ROUND(SUM(H$82:H93),3)&gt;=ROUND(H$68,3),0,H$68/H$71))</f>
        <v>NA</v>
      </c>
      <c r="I94" s="842">
        <f>IF(ISERROR(IF(ROUND(SUM(I$82:I93),3)&gt;=ROUND(I$68,3),0,I$68/I$71)),"NA",IF(ROUND(SUM(I$82:I93),3)&gt;=ROUND(I$68,3),0,I$68/I$71))</f>
        <v>0</v>
      </c>
      <c r="J94" s="842">
        <f>IF(ISERROR(IF(ROUND(SUM(J$82:J93),3)&gt;=ROUND(J$68,3),0,J$68/J$71)),"NA",IF(ROUND(SUM(J$82:J93),3)&gt;=ROUND(J$68,3),0,J$68/J$71))</f>
        <v>0</v>
      </c>
      <c r="K94" s="842">
        <f>IF(ISERROR(IF(ROUND(SUM(K$82:K93),3)&gt;=ROUND(K$68,3),0,K$68/K$71)),"NA",IF(ROUND(SUM(K$82:K93),3)&gt;=ROUND(K$68,3),0,K$68/K$71))</f>
        <v>0</v>
      </c>
      <c r="L94" s="842">
        <f>IF(ISERROR(IF(ROUND(SUM(L$82:L93),3)&gt;=ROUND(L$68,3),0,L$68/L$71)),"NA",IF(ROUND(SUM(L$82:L93),3)&gt;=ROUND(L$68,3),0,L$68/L$71))</f>
        <v>0</v>
      </c>
      <c r="M94" s="842">
        <f>IF(ISERROR(IF(ROUND(SUM(M$82:M93),3)&gt;=ROUND(M$68,3),0,M$68/M$71)),"NA",IF(ROUND(SUM(M$82:M93),3)&gt;=ROUND(M$68,3),0,M$68/M$71))</f>
        <v>0</v>
      </c>
      <c r="N94" s="842">
        <f>IF(ISERROR(IF(ROUND(SUM(N$82:N93),3)&gt;=ROUND(N$68,3),0,N$68/N$71)),"NA",IF(ROUND(SUM(N$82:N93),3)&gt;=ROUND(N$68,3),0,N$68/N$71))</f>
        <v>0</v>
      </c>
      <c r="O94" s="842">
        <f>IF(ISERROR(IF(ROUND(SUM(O$82:O93),3)&gt;=ROUND(O$68,3),0,O$68/O$71)),"NA",IF(ROUND(SUM(O$82:O93),3)&gt;=ROUND(O$68,3),0,O$68/O$71))</f>
        <v>0</v>
      </c>
      <c r="P94" s="842">
        <f>IF(ISERROR(IF(ROUND(SUM(P$82:P93),3)&gt;=ROUND(P$68,3),0,P$68/P$71)),"NA",IF(ROUND(SUM(P$82:P93),3)&gt;=ROUND(P$68,3),0,P$68/P$71))</f>
        <v>0</v>
      </c>
      <c r="Q94" s="841">
        <f t="shared" si="43"/>
        <v>0</v>
      </c>
      <c r="R94" s="841">
        <f t="shared" si="43"/>
        <v>0</v>
      </c>
      <c r="S94" s="841">
        <f t="shared" si="43"/>
        <v>0</v>
      </c>
      <c r="T94" s="841">
        <f t="shared" si="43"/>
        <v>0</v>
      </c>
      <c r="U94" s="841">
        <f t="shared" si="43"/>
        <v>0</v>
      </c>
      <c r="V94" s="841">
        <f t="shared" si="43"/>
        <v>0</v>
      </c>
      <c r="W94" s="841">
        <f t="shared" si="43"/>
        <v>0</v>
      </c>
      <c r="AA94"/>
      <c r="AB94"/>
      <c r="AC94"/>
      <c r="AD94"/>
      <c r="AE94"/>
      <c r="AF94"/>
      <c r="AJ94" s="931"/>
    </row>
    <row r="95" spans="1:36" s="930" customFormat="1" outlineLevel="1">
      <c r="A95" s="925"/>
      <c r="B95" s="829"/>
      <c r="C95" s="926" t="s">
        <v>228</v>
      </c>
      <c r="D95" s="926"/>
      <c r="E95" s="926"/>
      <c r="F95" s="926"/>
      <c r="G95" s="926"/>
      <c r="H95" s="842" t="str">
        <f>IF(ISERROR(IF(ROUND(SUM(H$82:H94),3)&gt;=ROUND(H$68,3),0,H$68/H$71)),"NA",IF(ROUND(SUM(H$82:H94),3)&gt;=ROUND(H$68,3),0,H$68/H$71))</f>
        <v>NA</v>
      </c>
      <c r="I95" s="842">
        <f>IF(ISERROR(IF(ROUND(SUM(I$82:I94),3)&gt;=ROUND(I$68,3),0,I$68/I$71)),"NA",IF(ROUND(SUM(I$82:I94),3)&gt;=ROUND(I$68,3),0,I$68/I$71))</f>
        <v>0</v>
      </c>
      <c r="J95" s="842">
        <f>IF(ISERROR(IF(ROUND(SUM(J$82:J94),3)&gt;=ROUND(J$68,3),0,J$68/J$71)),"NA",IF(ROUND(SUM(J$82:J94),3)&gt;=ROUND(J$68,3),0,J$68/J$71))</f>
        <v>0</v>
      </c>
      <c r="K95" s="842">
        <f>IF(ISERROR(IF(ROUND(SUM(K$82:K94),3)&gt;=ROUND(K$68,3),0,K$68/K$71)),"NA",IF(ROUND(SUM(K$82:K94),3)&gt;=ROUND(K$68,3),0,K$68/K$71))</f>
        <v>0</v>
      </c>
      <c r="L95" s="842">
        <f>IF(ISERROR(IF(ROUND(SUM(L$82:L94),3)&gt;=ROUND(L$68,3),0,L$68/L$71)),"NA",IF(ROUND(SUM(L$82:L94),3)&gt;=ROUND(L$68,3),0,L$68/L$71))</f>
        <v>0</v>
      </c>
      <c r="M95" s="842">
        <f>IF(ISERROR(IF(ROUND(SUM(M$82:M94),3)&gt;=ROUND(M$68,3),0,M$68/M$71)),"NA",IF(ROUND(SUM(M$82:M94),3)&gt;=ROUND(M$68,3),0,M$68/M$71))</f>
        <v>0</v>
      </c>
      <c r="N95" s="842">
        <f>IF(ISERROR(IF(ROUND(SUM(N$82:N94),3)&gt;=ROUND(N$68,3),0,N$68/N$71)),"NA",IF(ROUND(SUM(N$82:N94),3)&gt;=ROUND(N$68,3),0,N$68/N$71))</f>
        <v>0</v>
      </c>
      <c r="O95" s="842">
        <f>IF(ISERROR(IF(ROUND(SUM(O$82:O94),3)&gt;=ROUND(O$68,3),0,O$68/O$71)),"NA",IF(ROUND(SUM(O$82:O94),3)&gt;=ROUND(O$68,3),0,O$68/O$71))</f>
        <v>0</v>
      </c>
      <c r="P95" s="842">
        <f>IF(ISERROR(IF(ROUND(SUM(P$82:P94),3)&gt;=ROUND(P$68,3),0,P$68/P$71)),"NA",IF(ROUND(SUM(P$82:P94),3)&gt;=ROUND(P$68,3),0,P$68/P$71))</f>
        <v>0</v>
      </c>
      <c r="Q95" s="841">
        <f t="shared" si="43"/>
        <v>0</v>
      </c>
      <c r="R95" s="841">
        <f t="shared" si="43"/>
        <v>0</v>
      </c>
      <c r="S95" s="841">
        <f t="shared" si="43"/>
        <v>0</v>
      </c>
      <c r="T95" s="841">
        <f t="shared" si="43"/>
        <v>0</v>
      </c>
      <c r="U95" s="841">
        <f t="shared" si="43"/>
        <v>0</v>
      </c>
      <c r="V95" s="841">
        <f t="shared" si="43"/>
        <v>0</v>
      </c>
      <c r="W95" s="841">
        <f t="shared" si="43"/>
        <v>0</v>
      </c>
      <c r="AA95"/>
      <c r="AB95"/>
      <c r="AC95"/>
      <c r="AD95"/>
      <c r="AE95"/>
      <c r="AF95"/>
      <c r="AJ95" s="931"/>
    </row>
    <row r="96" spans="1:36" s="930" customFormat="1" outlineLevel="1">
      <c r="A96" s="925"/>
      <c r="B96" s="829"/>
      <c r="C96" s="926" t="s">
        <v>229</v>
      </c>
      <c r="D96" s="926"/>
      <c r="E96" s="926"/>
      <c r="F96" s="926"/>
      <c r="G96" s="926"/>
      <c r="H96" s="842" t="str">
        <f>IF(ISERROR(IF(ROUND(SUM(H$82:H95),3)&gt;=ROUND(H$68,3),0,H$68/H$71)),"NA",IF(ROUND(SUM(H$82:H95),3)&gt;=ROUND(H$68,3),0,H$68/H$71))</f>
        <v>NA</v>
      </c>
      <c r="I96" s="842">
        <f>IF(ISERROR(IF(ROUND(SUM(I$82:I95),3)&gt;=ROUND(I$68,3),0,I$68/I$71)),"NA",IF(ROUND(SUM(I$82:I95),3)&gt;=ROUND(I$68,3),0,I$68/I$71))</f>
        <v>0</v>
      </c>
      <c r="J96" s="842">
        <f>IF(ISERROR(IF(ROUND(SUM(J$82:J95),3)&gt;=ROUND(J$68,3),0,J$68/J$71)),"NA",IF(ROUND(SUM(J$82:J95),3)&gt;=ROUND(J$68,3),0,J$68/J$71))</f>
        <v>0</v>
      </c>
      <c r="K96" s="842">
        <f>IF(ISERROR(IF(ROUND(SUM(K$82:K95),3)&gt;=ROUND(K$68,3),0,K$68/K$71)),"NA",IF(ROUND(SUM(K$82:K95),3)&gt;=ROUND(K$68,3),0,K$68/K$71))</f>
        <v>0</v>
      </c>
      <c r="L96" s="842">
        <f>IF(ISERROR(IF(ROUND(SUM(L$82:L95),3)&gt;=ROUND(L$68,3),0,L$68/L$71)),"NA",IF(ROUND(SUM(L$82:L95),3)&gt;=ROUND(L$68,3),0,L$68/L$71))</f>
        <v>0</v>
      </c>
      <c r="M96" s="842">
        <f>IF(ISERROR(IF(ROUND(SUM(M$82:M95),3)&gt;=ROUND(M$68,3),0,M$68/M$71)),"NA",IF(ROUND(SUM(M$82:M95),3)&gt;=ROUND(M$68,3),0,M$68/M$71))</f>
        <v>0</v>
      </c>
      <c r="N96" s="842">
        <f>IF(ISERROR(IF(ROUND(SUM(N$82:N95),3)&gt;=ROUND(N$68,3),0,N$68/N$71)),"NA",IF(ROUND(SUM(N$82:N95),3)&gt;=ROUND(N$68,3),0,N$68/N$71))</f>
        <v>0</v>
      </c>
      <c r="O96" s="842">
        <f>IF(ISERROR(IF(ROUND(SUM(O$82:O95),3)&gt;=ROUND(O$68,3),0,O$68/O$71)),"NA",IF(ROUND(SUM(O$82:O95),3)&gt;=ROUND(O$68,3),0,O$68/O$71))</f>
        <v>0</v>
      </c>
      <c r="P96" s="842">
        <f>IF(ISERROR(IF(ROUND(SUM(P$82:P95),3)&gt;=ROUND(P$68,3),0,P$68/P$71)),"NA",IF(ROUND(SUM(P$82:P95),3)&gt;=ROUND(P$68,3),0,P$68/P$71))</f>
        <v>0</v>
      </c>
      <c r="Q96" s="841">
        <f t="shared" si="43"/>
        <v>0</v>
      </c>
      <c r="R96" s="841">
        <f t="shared" si="43"/>
        <v>0</v>
      </c>
      <c r="S96" s="841">
        <f t="shared" si="43"/>
        <v>0</v>
      </c>
      <c r="T96" s="841">
        <f t="shared" si="43"/>
        <v>0</v>
      </c>
      <c r="U96" s="841">
        <f t="shared" si="43"/>
        <v>0</v>
      </c>
      <c r="V96" s="841">
        <f t="shared" si="43"/>
        <v>0</v>
      </c>
      <c r="W96" s="841">
        <f t="shared" si="43"/>
        <v>0</v>
      </c>
      <c r="AA96"/>
      <c r="AB96"/>
      <c r="AC96"/>
      <c r="AD96"/>
      <c r="AE96"/>
      <c r="AF96"/>
      <c r="AJ96" s="931"/>
    </row>
    <row r="97" spans="1:36" s="930" customFormat="1" outlineLevel="1">
      <c r="A97" s="925"/>
      <c r="B97" s="829"/>
      <c r="C97" s="926" t="s">
        <v>230</v>
      </c>
      <c r="D97" s="926"/>
      <c r="E97" s="926"/>
      <c r="F97" s="926"/>
      <c r="G97" s="926"/>
      <c r="H97" s="842" t="str">
        <f>IF(ISERROR(IF(ROUND(SUM(H$82:H96),3)&gt;=ROUND(H$68,3),0,H$68/H$71)),"NA",IF(ROUND(SUM(H$82:H96),3)&gt;=ROUND(H$68,3),0,H$68/H$71))</f>
        <v>NA</v>
      </c>
      <c r="I97" s="842">
        <f>IF(ISERROR(IF(ROUND(SUM(I$82:I96),3)&gt;=ROUND(I$68,3),0,I$68/I$71)),"NA",IF(ROUND(SUM(I$82:I96),3)&gt;=ROUND(I$68,3),0,I$68/I$71))</f>
        <v>0</v>
      </c>
      <c r="J97" s="842">
        <f>IF(ISERROR(IF(ROUND(SUM(J$82:J96),3)&gt;=ROUND(J$68,3),0,J$68/J$71)),"NA",IF(ROUND(SUM(J$82:J96),3)&gt;=ROUND(J$68,3),0,J$68/J$71))</f>
        <v>0</v>
      </c>
      <c r="K97" s="842">
        <f>IF(ISERROR(IF(ROUND(SUM(K$82:K96),3)&gt;=ROUND(K$68,3),0,K$68/K$71)),"NA",IF(ROUND(SUM(K$82:K96),3)&gt;=ROUND(K$68,3),0,K$68/K$71))</f>
        <v>0</v>
      </c>
      <c r="L97" s="842">
        <f>IF(ISERROR(IF(ROUND(SUM(L$82:L96),3)&gt;=ROUND(L$68,3),0,L$68/L$71)),"NA",IF(ROUND(SUM(L$82:L96),3)&gt;=ROUND(L$68,3),0,L$68/L$71))</f>
        <v>0</v>
      </c>
      <c r="M97" s="842">
        <f>IF(ISERROR(IF(ROUND(SUM(M$82:M96),3)&gt;=ROUND(M$68,3),0,M$68/M$71)),"NA",IF(ROUND(SUM(M$82:M96),3)&gt;=ROUND(M$68,3),0,M$68/M$71))</f>
        <v>0</v>
      </c>
      <c r="N97" s="842">
        <f>IF(ISERROR(IF(ROUND(SUM(N$82:N96),3)&gt;=ROUND(N$68,3),0,N$68/N$71)),"NA",IF(ROUND(SUM(N$82:N96),3)&gt;=ROUND(N$68,3),0,N$68/N$71))</f>
        <v>0</v>
      </c>
      <c r="O97" s="842">
        <f>IF(ISERROR(IF(ROUND(SUM(O$82:O96),3)&gt;=ROUND(O$68,3),0,O$68/O$71)),"NA",IF(ROUND(SUM(O$82:O96),3)&gt;=ROUND(O$68,3),0,O$68/O$71))</f>
        <v>0</v>
      </c>
      <c r="P97" s="842">
        <f>IF(ISERROR(IF(ROUND(SUM(P$82:P96),3)&gt;=ROUND(P$68,3),0,P$68/P$71)),"NA",IF(ROUND(SUM(P$82:P96),3)&gt;=ROUND(P$68,3),0,P$68/P$71))</f>
        <v>0</v>
      </c>
      <c r="Q97" s="841">
        <f t="shared" si="43"/>
        <v>0</v>
      </c>
      <c r="R97" s="841">
        <f t="shared" si="43"/>
        <v>0</v>
      </c>
      <c r="S97" s="841">
        <f t="shared" si="43"/>
        <v>0</v>
      </c>
      <c r="T97" s="841">
        <f t="shared" si="43"/>
        <v>0</v>
      </c>
      <c r="U97" s="841">
        <f t="shared" si="43"/>
        <v>0</v>
      </c>
      <c r="V97" s="841">
        <f t="shared" si="43"/>
        <v>0</v>
      </c>
      <c r="W97" s="841">
        <f t="shared" si="43"/>
        <v>0</v>
      </c>
      <c r="AA97"/>
      <c r="AB97"/>
      <c r="AC97"/>
      <c r="AD97"/>
      <c r="AE97"/>
      <c r="AF97"/>
      <c r="AJ97" s="931"/>
    </row>
    <row r="98" spans="1:36" s="930" customFormat="1" outlineLevel="1">
      <c r="A98" s="925"/>
      <c r="B98" s="829"/>
      <c r="C98" s="926" t="s">
        <v>231</v>
      </c>
      <c r="D98" s="926"/>
      <c r="E98" s="926"/>
      <c r="F98" s="926"/>
      <c r="G98" s="926"/>
      <c r="H98" s="842" t="str">
        <f>IF(ISERROR(IF(ROUND(SUM(H$82:H97),3)&gt;=ROUND(H$68,3),0,H$68/H$71)),"NA",IF(ROUND(SUM(H$82:H97),3)&gt;=ROUND(H$68,3),0,H$68/H$71))</f>
        <v>NA</v>
      </c>
      <c r="I98" s="842">
        <f>IF(ISERROR(IF(ROUND(SUM(I$82:I97),3)&gt;=ROUND(I$68,3),0,I$68/I$71)),"NA",IF(ROUND(SUM(I$82:I97),3)&gt;=ROUND(I$68,3),0,I$68/I$71))</f>
        <v>0</v>
      </c>
      <c r="J98" s="842">
        <f>IF(ISERROR(IF(ROUND(SUM(J$82:J97),3)&gt;=ROUND(J$68,3),0,J$68/J$71)),"NA",IF(ROUND(SUM(J$82:J97),3)&gt;=ROUND(J$68,3),0,J$68/J$71))</f>
        <v>0</v>
      </c>
      <c r="K98" s="842">
        <f>IF(ISERROR(IF(ROUND(SUM(K$82:K97),3)&gt;=ROUND(K$68,3),0,K$68/K$71)),"NA",IF(ROUND(SUM(K$82:K97),3)&gt;=ROUND(K$68,3),0,K$68/K$71))</f>
        <v>0</v>
      </c>
      <c r="L98" s="842">
        <f>IF(ISERROR(IF(ROUND(SUM(L$82:L97),3)&gt;=ROUND(L$68,3),0,L$68/L$71)),"NA",IF(ROUND(SUM(L$82:L97),3)&gt;=ROUND(L$68,3),0,L$68/L$71))</f>
        <v>0</v>
      </c>
      <c r="M98" s="842">
        <f>IF(ISERROR(IF(ROUND(SUM(M$82:M97),3)&gt;=ROUND(M$68,3),0,M$68/M$71)),"NA",IF(ROUND(SUM(M$82:M97),3)&gt;=ROUND(M$68,3),0,M$68/M$71))</f>
        <v>0</v>
      </c>
      <c r="N98" s="842">
        <f>IF(ISERROR(IF(ROUND(SUM(N$82:N97),3)&gt;=ROUND(N$68,3),0,N$68/N$71)),"NA",IF(ROUND(SUM(N$82:N97),3)&gt;=ROUND(N$68,3),0,N$68/N$71))</f>
        <v>0</v>
      </c>
      <c r="O98" s="842">
        <f>IF(ISERROR(IF(ROUND(SUM(O$82:O97),3)&gt;=ROUND(O$68,3),0,O$68/O$71)),"NA",IF(ROUND(SUM(O$82:O97),3)&gt;=ROUND(O$68,3),0,O$68/O$71))</f>
        <v>0</v>
      </c>
      <c r="P98" s="842">
        <f>IF(ISERROR(IF(ROUND(SUM(P$82:P97),3)&gt;=ROUND(P$68,3),0,P$68/P$71)),"NA",IF(ROUND(SUM(P$82:P97),3)&gt;=ROUND(P$68,3),0,P$68/P$71))</f>
        <v>0</v>
      </c>
      <c r="Q98" s="841">
        <f t="shared" si="43"/>
        <v>0</v>
      </c>
      <c r="R98" s="841">
        <f t="shared" si="43"/>
        <v>0</v>
      </c>
      <c r="S98" s="841">
        <f t="shared" si="43"/>
        <v>0</v>
      </c>
      <c r="T98" s="841">
        <f t="shared" si="43"/>
        <v>0</v>
      </c>
      <c r="U98" s="841">
        <f t="shared" si="43"/>
        <v>0</v>
      </c>
      <c r="V98" s="841">
        <f t="shared" si="43"/>
        <v>0</v>
      </c>
      <c r="W98" s="841">
        <f t="shared" si="43"/>
        <v>0</v>
      </c>
      <c r="AA98"/>
      <c r="AB98"/>
      <c r="AC98"/>
      <c r="AD98"/>
      <c r="AE98"/>
      <c r="AF98"/>
      <c r="AJ98" s="931"/>
    </row>
    <row r="99" spans="1:36" s="930" customFormat="1" outlineLevel="1">
      <c r="A99" s="925"/>
      <c r="B99" s="829"/>
      <c r="C99" s="926" t="s">
        <v>232</v>
      </c>
      <c r="D99" s="926"/>
      <c r="E99" s="926"/>
      <c r="F99" s="926"/>
      <c r="G99" s="926"/>
      <c r="H99" s="842" t="str">
        <f>IF(ISERROR(IF(ROUND(SUM(H$82:H98),3)&gt;=ROUND(H$68,3),0,H$68/H$71)),"NA",IF(ROUND(SUM(H$82:H98),3)&gt;=ROUND(H$68,3),0,H$68/H$71))</f>
        <v>NA</v>
      </c>
      <c r="I99" s="842">
        <f>IF(ISERROR(IF(ROUND(SUM(I$82:I98),3)&gt;=ROUND(I$68,3),0,I$68/I$71)),"NA",IF(ROUND(SUM(I$82:I98),3)&gt;=ROUND(I$68,3),0,I$68/I$71))</f>
        <v>0</v>
      </c>
      <c r="J99" s="842">
        <f>IF(ISERROR(IF(ROUND(SUM(J$82:J98),3)&gt;=ROUND(J$68,3),0,J$68/J$71)),"NA",IF(ROUND(SUM(J$82:J98),3)&gt;=ROUND(J$68,3),0,J$68/J$71))</f>
        <v>0</v>
      </c>
      <c r="K99" s="842">
        <f>IF(ISERROR(IF(ROUND(SUM(K$82:K98),3)&gt;=ROUND(K$68,3),0,K$68/K$71)),"NA",IF(ROUND(SUM(K$82:K98),3)&gt;=ROUND(K$68,3),0,K$68/K$71))</f>
        <v>0</v>
      </c>
      <c r="L99" s="842">
        <f>IF(ISERROR(IF(ROUND(SUM(L$82:L98),3)&gt;=ROUND(L$68,3),0,L$68/L$71)),"NA",IF(ROUND(SUM(L$82:L98),3)&gt;=ROUND(L$68,3),0,L$68/L$71))</f>
        <v>0</v>
      </c>
      <c r="M99" s="842">
        <f>IF(ISERROR(IF(ROUND(SUM(M$82:M98),3)&gt;=ROUND(M$68,3),0,M$68/M$71)),"NA",IF(ROUND(SUM(M$82:M98),3)&gt;=ROUND(M$68,3),0,M$68/M$71))</f>
        <v>0</v>
      </c>
      <c r="N99" s="842">
        <f>IF(ISERROR(IF(ROUND(SUM(N$82:N98),3)&gt;=ROUND(N$68,3),0,N$68/N$71)),"NA",IF(ROUND(SUM(N$82:N98),3)&gt;=ROUND(N$68,3),0,N$68/N$71))</f>
        <v>0</v>
      </c>
      <c r="O99" s="842">
        <f>IF(ISERROR(IF(ROUND(SUM(O$82:O98),3)&gt;=ROUND(O$68,3),0,O$68/O$71)),"NA",IF(ROUND(SUM(O$82:O98),3)&gt;=ROUND(O$68,3),0,O$68/O$71))</f>
        <v>0</v>
      </c>
      <c r="P99" s="842">
        <f>IF(ISERROR(IF(ROUND(SUM(P$82:P98),3)&gt;=ROUND(P$68,3),0,P$68/P$71)),"NA",IF(ROUND(SUM(P$82:P98),3)&gt;=ROUND(P$68,3),0,P$68/P$71))</f>
        <v>0</v>
      </c>
      <c r="Q99" s="841">
        <f t="shared" si="43"/>
        <v>0</v>
      </c>
      <c r="R99" s="841">
        <f t="shared" si="43"/>
        <v>0</v>
      </c>
      <c r="S99" s="841">
        <f t="shared" si="43"/>
        <v>0</v>
      </c>
      <c r="T99" s="841">
        <f t="shared" si="43"/>
        <v>0</v>
      </c>
      <c r="U99" s="841">
        <f t="shared" si="43"/>
        <v>0</v>
      </c>
      <c r="V99" s="841">
        <f t="shared" si="43"/>
        <v>0</v>
      </c>
      <c r="W99" s="841">
        <f t="shared" si="43"/>
        <v>0</v>
      </c>
      <c r="AA99"/>
      <c r="AB99"/>
      <c r="AC99"/>
      <c r="AD99"/>
      <c r="AE99"/>
      <c r="AF99"/>
      <c r="AJ99" s="931"/>
    </row>
    <row r="100" spans="1:36" s="930" customFormat="1" outlineLevel="1">
      <c r="A100" s="925"/>
      <c r="B100" s="829"/>
      <c r="C100" s="926" t="s">
        <v>233</v>
      </c>
      <c r="D100" s="926"/>
      <c r="E100" s="926"/>
      <c r="F100" s="926"/>
      <c r="G100" s="926"/>
      <c r="H100" s="842" t="str">
        <f>IF(ISERROR(IF(ROUND(SUM(H$82:H99),3)&gt;=ROUND(H$68,3),0,H$68/H$71)),"NA",IF(ROUND(SUM(H$82:H99),3)&gt;=ROUND(H$68,3),0,H$68/H$71))</f>
        <v>NA</v>
      </c>
      <c r="I100" s="842">
        <f>IF(ISERROR(IF(ROUND(SUM(I$82:I99),3)&gt;=ROUND(I$68,3),0,I$68/I$71)),"NA",IF(ROUND(SUM(I$82:I99),3)&gt;=ROUND(I$68,3),0,I$68/I$71))</f>
        <v>0</v>
      </c>
      <c r="J100" s="842">
        <f>IF(ISERROR(IF(ROUND(SUM(J$82:J99),3)&gt;=ROUND(J$68,3),0,J$68/J$71)),"NA",IF(ROUND(SUM(J$82:J99),3)&gt;=ROUND(J$68,3),0,J$68/J$71))</f>
        <v>0</v>
      </c>
      <c r="K100" s="842">
        <f>IF(ISERROR(IF(ROUND(SUM(K$82:K99),3)&gt;=ROUND(K$68,3),0,K$68/K$71)),"NA",IF(ROUND(SUM(K$82:K99),3)&gt;=ROUND(K$68,3),0,K$68/K$71))</f>
        <v>0</v>
      </c>
      <c r="L100" s="842">
        <f>IF(ISERROR(IF(ROUND(SUM(L$82:L99),3)&gt;=ROUND(L$68,3),0,L$68/L$71)),"NA",IF(ROUND(SUM(L$82:L99),3)&gt;=ROUND(L$68,3),0,L$68/L$71))</f>
        <v>0</v>
      </c>
      <c r="M100" s="842">
        <f>IF(ISERROR(IF(ROUND(SUM(M$82:M99),3)&gt;=ROUND(M$68,3),0,M$68/M$71)),"NA",IF(ROUND(SUM(M$82:M99),3)&gt;=ROUND(M$68,3),0,M$68/M$71))</f>
        <v>0</v>
      </c>
      <c r="N100" s="842">
        <f>IF(ISERROR(IF(ROUND(SUM(N$82:N99),3)&gt;=ROUND(N$68,3),0,N$68/N$71)),"NA",IF(ROUND(SUM(N$82:N99),3)&gt;=ROUND(N$68,3),0,N$68/N$71))</f>
        <v>0</v>
      </c>
      <c r="O100" s="842">
        <f>IF(ISERROR(IF(ROUND(SUM(O$82:O99),3)&gt;=ROUND(O$68,3),0,O$68/O$71)),"NA",IF(ROUND(SUM(O$82:O99),3)&gt;=ROUND(O$68,3),0,O$68/O$71))</f>
        <v>0</v>
      </c>
      <c r="P100" s="842">
        <f>IF(ISERROR(IF(ROUND(SUM(P$82:P99),3)&gt;=ROUND(P$68,3),0,P$68/P$71)),"NA",IF(ROUND(SUM(P$82:P99),3)&gt;=ROUND(P$68,3),0,P$68/P$71))</f>
        <v>0</v>
      </c>
      <c r="Q100" s="841">
        <f t="shared" si="43"/>
        <v>0</v>
      </c>
      <c r="R100" s="841">
        <f t="shared" si="43"/>
        <v>0</v>
      </c>
      <c r="S100" s="841">
        <f t="shared" si="43"/>
        <v>0</v>
      </c>
      <c r="T100" s="841">
        <f t="shared" si="43"/>
        <v>0</v>
      </c>
      <c r="U100" s="841">
        <f t="shared" si="43"/>
        <v>0</v>
      </c>
      <c r="V100" s="841">
        <f t="shared" si="43"/>
        <v>0</v>
      </c>
      <c r="W100" s="841">
        <f t="shared" si="43"/>
        <v>0</v>
      </c>
      <c r="AA100"/>
      <c r="AB100"/>
      <c r="AC100"/>
      <c r="AD100"/>
      <c r="AE100"/>
      <c r="AF100"/>
      <c r="AJ100" s="931"/>
    </row>
    <row r="101" spans="1:36" s="930" customFormat="1" outlineLevel="1">
      <c r="A101" s="925"/>
      <c r="B101" s="829"/>
      <c r="C101" s="926" t="s">
        <v>234</v>
      </c>
      <c r="D101" s="926"/>
      <c r="E101" s="926"/>
      <c r="F101" s="926"/>
      <c r="G101" s="926"/>
      <c r="H101" s="842" t="str">
        <f>IF(ISERROR(IF(ROUND(SUM(H$82:H100),3)&gt;=ROUND(H$68,3),0,H$68/H$71)),"NA",IF(ROUND(SUM(H$82:H100),3)&gt;=ROUND(H$68,3),0,H$68/H$71))</f>
        <v>NA</v>
      </c>
      <c r="I101" s="842">
        <f>IF(ISERROR(IF(ROUND(SUM(I$82:I100),3)&gt;=ROUND(I$68,3),0,I$68/I$71)),"NA",IF(ROUND(SUM(I$82:I100),3)&gt;=ROUND(I$68,3),0,I$68/I$71))</f>
        <v>0</v>
      </c>
      <c r="J101" s="842">
        <f>IF(ISERROR(IF(ROUND(SUM(J$82:J100),3)&gt;=ROUND(J$68,3),0,J$68/J$71)),"NA",IF(ROUND(SUM(J$82:J100),3)&gt;=ROUND(J$68,3),0,J$68/J$71))</f>
        <v>0</v>
      </c>
      <c r="K101" s="842">
        <f>IF(ISERROR(IF(ROUND(SUM(K$82:K100),3)&gt;=ROUND(K$68,3),0,K$68/K$71)),"NA",IF(ROUND(SUM(K$82:K100),3)&gt;=ROUND(K$68,3),0,K$68/K$71))</f>
        <v>0</v>
      </c>
      <c r="L101" s="842">
        <f>IF(ISERROR(IF(ROUND(SUM(L$82:L100),3)&gt;=ROUND(L$68,3),0,L$68/L$71)),"NA",IF(ROUND(SUM(L$82:L100),3)&gt;=ROUND(L$68,3),0,L$68/L$71))</f>
        <v>0</v>
      </c>
      <c r="M101" s="842">
        <f>IF(ISERROR(IF(ROUND(SUM(M$82:M100),3)&gt;=ROUND(M$68,3),0,M$68/M$71)),"NA",IF(ROUND(SUM(M$82:M100),3)&gt;=ROUND(M$68,3),0,M$68/M$71))</f>
        <v>0</v>
      </c>
      <c r="N101" s="842">
        <f>IF(ISERROR(IF(ROUND(SUM(N$82:N100),3)&gt;=ROUND(N$68,3),0,N$68/N$71)),"NA",IF(ROUND(SUM(N$82:N100),3)&gt;=ROUND(N$68,3),0,N$68/N$71))</f>
        <v>0</v>
      </c>
      <c r="O101" s="842">
        <f>IF(ISERROR(IF(ROUND(SUM(O$82:O100),3)&gt;=ROUND(O$68,3),0,O$68/O$71)),"NA",IF(ROUND(SUM(O$82:O100),3)&gt;=ROUND(O$68,3),0,O$68/O$71))</f>
        <v>0</v>
      </c>
      <c r="P101" s="842">
        <f>IF(ISERROR(IF(ROUND(SUM(P$82:P100),3)&gt;=ROUND(P$68,3),0,P$68/P$71)),"NA",IF(ROUND(SUM(P$82:P100),3)&gt;=ROUND(P$68,3),0,P$68/P$71))</f>
        <v>0</v>
      </c>
      <c r="Q101" s="841">
        <f t="shared" si="43"/>
        <v>0</v>
      </c>
      <c r="R101" s="841">
        <f t="shared" si="43"/>
        <v>0</v>
      </c>
      <c r="S101" s="841">
        <f t="shared" si="43"/>
        <v>0</v>
      </c>
      <c r="T101" s="841">
        <f t="shared" si="43"/>
        <v>0</v>
      </c>
      <c r="U101" s="841">
        <f t="shared" si="43"/>
        <v>0</v>
      </c>
      <c r="V101" s="841">
        <f t="shared" si="43"/>
        <v>0</v>
      </c>
      <c r="W101" s="841">
        <f t="shared" si="43"/>
        <v>0</v>
      </c>
      <c r="AA101"/>
      <c r="AB101"/>
      <c r="AC101"/>
      <c r="AD101"/>
      <c r="AE101"/>
      <c r="AF101"/>
      <c r="AJ101" s="931"/>
    </row>
    <row r="102" spans="1:36" s="930" customFormat="1" outlineLevel="1">
      <c r="A102" s="925"/>
      <c r="B102" s="829"/>
      <c r="C102" s="926" t="s">
        <v>235</v>
      </c>
      <c r="D102" s="926"/>
      <c r="E102" s="926"/>
      <c r="F102" s="926"/>
      <c r="G102" s="926"/>
      <c r="H102" s="842" t="str">
        <f>IF(ISERROR(IF(ROUND(SUM(H$82:H101),3)&gt;=ROUND(H$68,3),0,H$68/H$71)),"NA",IF(ROUND(SUM(H$82:H101),3)&gt;=ROUND(H$68,3),0,H$68/H$71))</f>
        <v>NA</v>
      </c>
      <c r="I102" s="842">
        <f>IF(ISERROR(IF(ROUND(SUM(I$82:I101),3)&gt;=ROUND(I$68,3),0,I$68/I$71)),"NA",IF(ROUND(SUM(I$82:I101),3)&gt;=ROUND(I$68,3),0,I$68/I$71))</f>
        <v>0</v>
      </c>
      <c r="J102" s="842">
        <f>IF(ISERROR(IF(ROUND(SUM(J$82:J101),3)&gt;=ROUND(J$68,3),0,J$68/J$71)),"NA",IF(ROUND(SUM(J$82:J101),3)&gt;=ROUND(J$68,3),0,J$68/J$71))</f>
        <v>0</v>
      </c>
      <c r="K102" s="842">
        <f>IF(ISERROR(IF(ROUND(SUM(K$82:K101),3)&gt;=ROUND(K$68,3),0,K$68/K$71)),"NA",IF(ROUND(SUM(K$82:K101),3)&gt;=ROUND(K$68,3),0,K$68/K$71))</f>
        <v>0</v>
      </c>
      <c r="L102" s="842">
        <f>IF(ISERROR(IF(ROUND(SUM(L$82:L101),3)&gt;=ROUND(L$68,3),0,L$68/L$71)),"NA",IF(ROUND(SUM(L$82:L101),3)&gt;=ROUND(L$68,3),0,L$68/L$71))</f>
        <v>0</v>
      </c>
      <c r="M102" s="842">
        <f>IF(ISERROR(IF(ROUND(SUM(M$82:M101),3)&gt;=ROUND(M$68,3),0,M$68/M$71)),"NA",IF(ROUND(SUM(M$82:M101),3)&gt;=ROUND(M$68,3),0,M$68/M$71))</f>
        <v>0</v>
      </c>
      <c r="N102" s="842">
        <f>IF(ISERROR(IF(ROUND(SUM(N$82:N101),3)&gt;=ROUND(N$68,3),0,N$68/N$71)),"NA",IF(ROUND(SUM(N$82:N101),3)&gt;=ROUND(N$68,3),0,N$68/N$71))</f>
        <v>0</v>
      </c>
      <c r="O102" s="842">
        <f>IF(ISERROR(IF(ROUND(SUM(O$82:O101),3)&gt;=ROUND(O$68,3),0,O$68/O$71)),"NA",IF(ROUND(SUM(O$82:O101),3)&gt;=ROUND(O$68,3),0,O$68/O$71))</f>
        <v>0</v>
      </c>
      <c r="P102" s="842">
        <f>IF(ISERROR(IF(ROUND(SUM(P$82:P101),3)&gt;=ROUND(P$68,3),0,P$68/P$71)),"NA",IF(ROUND(SUM(P$82:P101),3)&gt;=ROUND(P$68,3),0,P$68/P$71))</f>
        <v>0</v>
      </c>
      <c r="Q102" s="841">
        <f t="shared" si="43"/>
        <v>0</v>
      </c>
      <c r="R102" s="841">
        <f t="shared" si="43"/>
        <v>0</v>
      </c>
      <c r="S102" s="841">
        <f t="shared" si="43"/>
        <v>0</v>
      </c>
      <c r="T102" s="841">
        <f t="shared" si="43"/>
        <v>0</v>
      </c>
      <c r="U102" s="841">
        <f t="shared" si="43"/>
        <v>0</v>
      </c>
      <c r="V102" s="841">
        <f t="shared" si="43"/>
        <v>0</v>
      </c>
      <c r="W102" s="841">
        <f t="shared" si="43"/>
        <v>0</v>
      </c>
      <c r="AA102"/>
      <c r="AB102"/>
      <c r="AC102"/>
      <c r="AD102"/>
      <c r="AE102"/>
      <c r="AF102"/>
      <c r="AJ102" s="931"/>
    </row>
    <row r="103" spans="1:36" s="930" customFormat="1" outlineLevel="1">
      <c r="A103" s="925"/>
      <c r="B103" s="829"/>
      <c r="C103" s="926" t="s">
        <v>236</v>
      </c>
      <c r="D103" s="926"/>
      <c r="E103" s="926"/>
      <c r="F103" s="926"/>
      <c r="G103" s="926"/>
      <c r="H103" s="842" t="str">
        <f>IF(ISERROR(IF(ROUND(SUM(H$82:H102),3)&gt;=ROUND(H$68,3),0,H$68/H$71)),"NA",IF(ROUND(SUM(H$82:H102),3)&gt;=ROUND(H$68,3),0,H$68/H$71))</f>
        <v>NA</v>
      </c>
      <c r="I103" s="842">
        <f>IF(ISERROR(IF(ROUND(SUM(I$82:I102),3)&gt;=ROUND(I$68,3),0,I$68/I$71)),"NA",IF(ROUND(SUM(I$82:I102),3)&gt;=ROUND(I$68,3),0,I$68/I$71))</f>
        <v>0</v>
      </c>
      <c r="J103" s="842">
        <f>IF(ISERROR(IF(ROUND(SUM(J$82:J102),3)&gt;=ROUND(J$68,3),0,J$68/J$71)),"NA",IF(ROUND(SUM(J$82:J102),3)&gt;=ROUND(J$68,3),0,J$68/J$71))</f>
        <v>0</v>
      </c>
      <c r="K103" s="842">
        <f>IF(ISERROR(IF(ROUND(SUM(K$82:K102),3)&gt;=ROUND(K$68,3),0,K$68/K$71)),"NA",IF(ROUND(SUM(K$82:K102),3)&gt;=ROUND(K$68,3),0,K$68/K$71))</f>
        <v>0</v>
      </c>
      <c r="L103" s="842">
        <f>IF(ISERROR(IF(ROUND(SUM(L$82:L102),3)&gt;=ROUND(L$68,3),0,L$68/L$71)),"NA",IF(ROUND(SUM(L$82:L102),3)&gt;=ROUND(L$68,3),0,L$68/L$71))</f>
        <v>0</v>
      </c>
      <c r="M103" s="842">
        <f>IF(ISERROR(IF(ROUND(SUM(M$82:M102),3)&gt;=ROUND(M$68,3),0,M$68/M$71)),"NA",IF(ROUND(SUM(M$82:M102),3)&gt;=ROUND(M$68,3),0,M$68/M$71))</f>
        <v>0</v>
      </c>
      <c r="N103" s="842">
        <f>IF(ISERROR(IF(ROUND(SUM(N$82:N102),3)&gt;=ROUND(N$68,3),0,N$68/N$71)),"NA",IF(ROUND(SUM(N$82:N102),3)&gt;=ROUND(N$68,3),0,N$68/N$71))</f>
        <v>0</v>
      </c>
      <c r="O103" s="842">
        <f>IF(ISERROR(IF(ROUND(SUM(O$82:O102),3)&gt;=ROUND(O$68,3),0,O$68/O$71)),"NA",IF(ROUND(SUM(O$82:O102),3)&gt;=ROUND(O$68,3),0,O$68/O$71))</f>
        <v>0</v>
      </c>
      <c r="P103" s="842">
        <f>IF(ISERROR(IF(ROUND(SUM(P$82:P102),3)&gt;=ROUND(P$68,3),0,P$68/P$71)),"NA",IF(ROUND(SUM(P$82:P102),3)&gt;=ROUND(P$68,3),0,P$68/P$71))</f>
        <v>0</v>
      </c>
      <c r="Q103" s="841">
        <f t="shared" si="43"/>
        <v>0</v>
      </c>
      <c r="R103" s="841">
        <f t="shared" si="43"/>
        <v>0</v>
      </c>
      <c r="S103" s="841">
        <f t="shared" si="43"/>
        <v>0</v>
      </c>
      <c r="T103" s="841">
        <f t="shared" si="43"/>
        <v>0</v>
      </c>
      <c r="U103" s="841">
        <f t="shared" si="43"/>
        <v>0</v>
      </c>
      <c r="V103" s="841">
        <f t="shared" si="43"/>
        <v>0</v>
      </c>
      <c r="W103" s="841">
        <f t="shared" si="43"/>
        <v>0</v>
      </c>
      <c r="AA103"/>
      <c r="AB103"/>
      <c r="AC103"/>
      <c r="AD103"/>
      <c r="AE103"/>
      <c r="AF103"/>
      <c r="AJ103" s="931"/>
    </row>
    <row r="104" spans="1:36" s="930" customFormat="1" outlineLevel="1">
      <c r="A104" s="925"/>
      <c r="B104" s="829"/>
      <c r="C104" s="926" t="s">
        <v>237</v>
      </c>
      <c r="D104" s="926"/>
      <c r="E104" s="926"/>
      <c r="F104" s="926"/>
      <c r="G104" s="926"/>
      <c r="H104" s="842" t="str">
        <f>IF(ISERROR(IF(ROUND(SUM(H$82:H103),3)&gt;=ROUND(H$68,3),0,H$68/H$71)),"NA",IF(ROUND(SUM(H$82:H103),3)&gt;=ROUND(H$68,3),0,H$68/H$71))</f>
        <v>NA</v>
      </c>
      <c r="I104" s="842">
        <f>IF(ISERROR(IF(ROUND(SUM(I$82:I103),3)&gt;=ROUND(I$68,3),0,I$68/I$71)),"NA",IF(ROUND(SUM(I$82:I103),3)&gt;=ROUND(I$68,3),0,I$68/I$71))</f>
        <v>0</v>
      </c>
      <c r="J104" s="842">
        <f>IF(ISERROR(IF(ROUND(SUM(J$82:J103),3)&gt;=ROUND(J$68,3),0,J$68/J$71)),"NA",IF(ROUND(SUM(J$82:J103),3)&gt;=ROUND(J$68,3),0,J$68/J$71))</f>
        <v>0</v>
      </c>
      <c r="K104" s="842">
        <f>IF(ISERROR(IF(ROUND(SUM(K$82:K103),3)&gt;=ROUND(K$68,3),0,K$68/K$71)),"NA",IF(ROUND(SUM(K$82:K103),3)&gt;=ROUND(K$68,3),0,K$68/K$71))</f>
        <v>0</v>
      </c>
      <c r="L104" s="842">
        <f>IF(ISERROR(IF(ROUND(SUM(L$82:L103),3)&gt;=ROUND(L$68,3),0,L$68/L$71)),"NA",IF(ROUND(SUM(L$82:L103),3)&gt;=ROUND(L$68,3),0,L$68/L$71))</f>
        <v>0</v>
      </c>
      <c r="M104" s="842">
        <f>IF(ISERROR(IF(ROUND(SUM(M$82:M103),3)&gt;=ROUND(M$68,3),0,M$68/M$71)),"NA",IF(ROUND(SUM(M$82:M103),3)&gt;=ROUND(M$68,3),0,M$68/M$71))</f>
        <v>0</v>
      </c>
      <c r="N104" s="842">
        <f>IF(ISERROR(IF(ROUND(SUM(N$82:N103),3)&gt;=ROUND(N$68,3),0,N$68/N$71)),"NA",IF(ROUND(SUM(N$82:N103),3)&gt;=ROUND(N$68,3),0,N$68/N$71))</f>
        <v>0</v>
      </c>
      <c r="O104" s="842">
        <f>IF(ISERROR(IF(ROUND(SUM(O$82:O103),3)&gt;=ROUND(O$68,3),0,O$68/O$71)),"NA",IF(ROUND(SUM(O$82:O103),3)&gt;=ROUND(O$68,3),0,O$68/O$71))</f>
        <v>0</v>
      </c>
      <c r="P104" s="842">
        <f>IF(ISERROR(IF(ROUND(SUM(P$82:P103),3)&gt;=ROUND(P$68,3),0,P$68/P$71)),"NA",IF(ROUND(SUM(P$82:P103),3)&gt;=ROUND(P$68,3),0,P$68/P$71))</f>
        <v>0</v>
      </c>
      <c r="Q104" s="841">
        <f t="shared" si="43"/>
        <v>0</v>
      </c>
      <c r="R104" s="841">
        <f t="shared" si="43"/>
        <v>0</v>
      </c>
      <c r="S104" s="841">
        <f t="shared" si="43"/>
        <v>0</v>
      </c>
      <c r="T104" s="841">
        <f t="shared" si="43"/>
        <v>0</v>
      </c>
      <c r="U104" s="841">
        <f t="shared" si="43"/>
        <v>0</v>
      </c>
      <c r="V104" s="841">
        <f t="shared" si="43"/>
        <v>0</v>
      </c>
      <c r="W104" s="841">
        <f t="shared" si="43"/>
        <v>0</v>
      </c>
      <c r="AA104"/>
      <c r="AB104"/>
      <c r="AC104"/>
      <c r="AD104"/>
      <c r="AE104"/>
      <c r="AF104"/>
      <c r="AJ104" s="931"/>
    </row>
    <row r="105" spans="1:36" s="930" customFormat="1" outlineLevel="1">
      <c r="A105" s="925"/>
      <c r="B105" s="829"/>
      <c r="C105" s="926" t="s">
        <v>238</v>
      </c>
      <c r="D105" s="926"/>
      <c r="E105" s="926"/>
      <c r="F105" s="926"/>
      <c r="G105" s="926"/>
      <c r="H105" s="842" t="str">
        <f>IF(ISERROR(IF(ROUND(SUM(H$82:H104),3)&gt;=ROUND(H$68,3),0,H$68/H$71)),"NA",IF(ROUND(SUM(H$82:H104),3)&gt;=ROUND(H$68,3),0,H$68/H$71))</f>
        <v>NA</v>
      </c>
      <c r="I105" s="842">
        <f>IF(ISERROR(IF(ROUND(SUM(I$82:I104),3)&gt;=ROUND(I$68,3),0,I$68/I$71)),"NA",IF(ROUND(SUM(I$82:I104),3)&gt;=ROUND(I$68,3),0,I$68/I$71))</f>
        <v>0</v>
      </c>
      <c r="J105" s="842">
        <f>IF(ISERROR(IF(ROUND(SUM(J$82:J104),3)&gt;=ROUND(J$68,3),0,J$68/J$71)),"NA",IF(ROUND(SUM(J$82:J104),3)&gt;=ROUND(J$68,3),0,J$68/J$71))</f>
        <v>0</v>
      </c>
      <c r="K105" s="842">
        <f>IF(ISERROR(IF(ROUND(SUM(K$82:K104),3)&gt;=ROUND(K$68,3),0,K$68/K$71)),"NA",IF(ROUND(SUM(K$82:K104),3)&gt;=ROUND(K$68,3),0,K$68/K$71))</f>
        <v>0</v>
      </c>
      <c r="L105" s="842">
        <f>IF(ISERROR(IF(ROUND(SUM(L$82:L104),3)&gt;=ROUND(L$68,3),0,L$68/L$71)),"NA",IF(ROUND(SUM(L$82:L104),3)&gt;=ROUND(L$68,3),0,L$68/L$71))</f>
        <v>0</v>
      </c>
      <c r="M105" s="842">
        <f>IF(ISERROR(IF(ROUND(SUM(M$82:M104),3)&gt;=ROUND(M$68,3),0,M$68/M$71)),"NA",IF(ROUND(SUM(M$82:M104),3)&gt;=ROUND(M$68,3),0,M$68/M$71))</f>
        <v>0</v>
      </c>
      <c r="N105" s="842">
        <f>IF(ISERROR(IF(ROUND(SUM(N$82:N104),3)&gt;=ROUND(N$68,3),0,N$68/N$71)),"NA",IF(ROUND(SUM(N$82:N104),3)&gt;=ROUND(N$68,3),0,N$68/N$71))</f>
        <v>0</v>
      </c>
      <c r="O105" s="842">
        <f>IF(ISERROR(IF(ROUND(SUM(O$82:O104),3)&gt;=ROUND(O$68,3),0,O$68/O$71)),"NA",IF(ROUND(SUM(O$82:O104),3)&gt;=ROUND(O$68,3),0,O$68/O$71))</f>
        <v>0</v>
      </c>
      <c r="P105" s="842">
        <f>IF(ISERROR(IF(ROUND(SUM(P$82:P104),3)&gt;=ROUND(P$68,3),0,P$68/P$71)),"NA",IF(ROUND(SUM(P$82:P104),3)&gt;=ROUND(P$68,3),0,P$68/P$71))</f>
        <v>0</v>
      </c>
      <c r="Q105" s="841">
        <f t="shared" si="43"/>
        <v>0</v>
      </c>
      <c r="R105" s="841">
        <f t="shared" si="43"/>
        <v>0</v>
      </c>
      <c r="S105" s="841">
        <f t="shared" si="43"/>
        <v>0</v>
      </c>
      <c r="T105" s="841">
        <f t="shared" si="43"/>
        <v>0</v>
      </c>
      <c r="U105" s="841">
        <f t="shared" si="43"/>
        <v>0</v>
      </c>
      <c r="V105" s="841">
        <f t="shared" si="43"/>
        <v>0</v>
      </c>
      <c r="W105" s="841">
        <f t="shared" si="43"/>
        <v>0</v>
      </c>
      <c r="AA105"/>
      <c r="AB105"/>
      <c r="AC105"/>
      <c r="AD105"/>
      <c r="AE105"/>
      <c r="AF105"/>
      <c r="AJ105" s="931"/>
    </row>
    <row r="106" spans="1:36" s="930" customFormat="1" outlineLevel="1">
      <c r="A106" s="925"/>
      <c r="B106" s="829"/>
      <c r="C106" s="926" t="s">
        <v>239</v>
      </c>
      <c r="D106" s="926"/>
      <c r="E106" s="926"/>
      <c r="F106" s="926"/>
      <c r="G106" s="926"/>
      <c r="H106" s="842" t="str">
        <f>IF(ISERROR(IF(ROUND(SUM(H$82:H105),3)&gt;=ROUND(H$68,3),0,H$68/H$71)),"NA",IF(ROUND(SUM(H$82:H105),3)&gt;=ROUND(H$68,3),0,H$68/H$71))</f>
        <v>NA</v>
      </c>
      <c r="I106" s="842">
        <f>IF(ISERROR(IF(ROUND(SUM(I$82:I105),3)&gt;=ROUND(I$68,3),0,I$68/I$71)),"NA",IF(ROUND(SUM(I$82:I105),3)&gt;=ROUND(I$68,3),0,I$68/I$71))</f>
        <v>0</v>
      </c>
      <c r="J106" s="842">
        <f>IF(ISERROR(IF(ROUND(SUM(J$82:J105),3)&gt;=ROUND(J$68,3),0,J$68/J$71)),"NA",IF(ROUND(SUM(J$82:J105),3)&gt;=ROUND(J$68,3),0,J$68/J$71))</f>
        <v>0</v>
      </c>
      <c r="K106" s="842">
        <f>IF(ISERROR(IF(ROUND(SUM(K$82:K105),3)&gt;=ROUND(K$68,3),0,K$68/K$71)),"NA",IF(ROUND(SUM(K$82:K105),3)&gt;=ROUND(K$68,3),0,K$68/K$71))</f>
        <v>0</v>
      </c>
      <c r="L106" s="842">
        <f>IF(ISERROR(IF(ROUND(SUM(L$82:L105),3)&gt;=ROUND(L$68,3),0,L$68/L$71)),"NA",IF(ROUND(SUM(L$82:L105),3)&gt;=ROUND(L$68,3),0,L$68/L$71))</f>
        <v>0</v>
      </c>
      <c r="M106" s="842">
        <f>IF(ISERROR(IF(ROUND(SUM(M$82:M105),3)&gt;=ROUND(M$68,3),0,M$68/M$71)),"NA",IF(ROUND(SUM(M$82:M105),3)&gt;=ROUND(M$68,3),0,M$68/M$71))</f>
        <v>0</v>
      </c>
      <c r="N106" s="842">
        <f>IF(ISERROR(IF(ROUND(SUM(N$82:N105),3)&gt;=ROUND(N$68,3),0,N$68/N$71)),"NA",IF(ROUND(SUM(N$82:N105),3)&gt;=ROUND(N$68,3),0,N$68/N$71))</f>
        <v>0</v>
      </c>
      <c r="O106" s="842">
        <f>IF(ISERROR(IF(ROUND(SUM(O$82:O105),3)&gt;=ROUND(O$68,3),0,O$68/O$71)),"NA",IF(ROUND(SUM(O$82:O105),3)&gt;=ROUND(O$68,3),0,O$68/O$71))</f>
        <v>0</v>
      </c>
      <c r="P106" s="842">
        <f>IF(ISERROR(IF(ROUND(SUM(P$82:P105),3)&gt;=ROUND(P$68,3),0,P$68/P$71)),"NA",IF(ROUND(SUM(P$82:P105),3)&gt;=ROUND(P$68,3),0,P$68/P$71))</f>
        <v>0</v>
      </c>
      <c r="Q106" s="841">
        <f t="shared" si="43"/>
        <v>0</v>
      </c>
      <c r="R106" s="841">
        <f t="shared" si="43"/>
        <v>0</v>
      </c>
      <c r="S106" s="841">
        <f t="shared" si="43"/>
        <v>0</v>
      </c>
      <c r="T106" s="841">
        <f t="shared" si="43"/>
        <v>0</v>
      </c>
      <c r="U106" s="841">
        <f t="shared" si="43"/>
        <v>0</v>
      </c>
      <c r="V106" s="841">
        <f t="shared" si="43"/>
        <v>0</v>
      </c>
      <c r="W106" s="841">
        <f t="shared" si="43"/>
        <v>0</v>
      </c>
      <c r="AA106"/>
      <c r="AB106"/>
      <c r="AC106"/>
      <c r="AD106"/>
      <c r="AE106"/>
      <c r="AF106"/>
      <c r="AJ106" s="931"/>
    </row>
    <row r="107" spans="1:36" s="930" customFormat="1" ht="11.25" customHeight="1">
      <c r="A107" s="925"/>
      <c r="B107" s="937"/>
      <c r="C107" s="938" t="s">
        <v>240</v>
      </c>
      <c r="D107" s="938"/>
      <c r="E107" s="938"/>
      <c r="F107" s="938"/>
      <c r="G107" s="938"/>
      <c r="H107" s="939"/>
      <c r="I107" s="939"/>
      <c r="J107" s="939"/>
      <c r="K107" s="939"/>
      <c r="L107" s="939"/>
      <c r="M107" s="939"/>
      <c r="N107" s="939"/>
      <c r="O107" s="939"/>
      <c r="P107" s="939"/>
      <c r="AA107"/>
      <c r="AB107"/>
      <c r="AC107"/>
      <c r="AD107"/>
      <c r="AE107"/>
      <c r="AF107"/>
      <c r="AJ107" s="931"/>
    </row>
    <row r="108" spans="1:36" s="942" customFormat="1" ht="11.25" customHeight="1">
      <c r="A108" s="940"/>
      <c r="B108" s="941"/>
      <c r="C108" s="938"/>
      <c r="D108" s="938"/>
      <c r="E108" s="938"/>
      <c r="F108" s="938"/>
      <c r="G108" s="938"/>
      <c r="AA108"/>
      <c r="AB108"/>
      <c r="AC108"/>
      <c r="AD108"/>
      <c r="AE108"/>
      <c r="AF108"/>
      <c r="AJ108" s="931"/>
    </row>
    <row r="109" spans="1:36" s="930" customFormat="1" outlineLevel="1">
      <c r="A109" s="925"/>
      <c r="B109" s="937"/>
      <c r="C109" s="943"/>
      <c r="D109" s="943"/>
      <c r="E109" s="943"/>
      <c r="F109" s="943"/>
      <c r="G109" s="943"/>
      <c r="H109" s="944"/>
      <c r="I109" s="841"/>
      <c r="J109" s="841"/>
      <c r="K109" s="841"/>
      <c r="L109" s="841"/>
      <c r="M109" s="841"/>
      <c r="N109" s="841"/>
      <c r="O109" s="841"/>
      <c r="P109" s="841"/>
      <c r="Q109" s="841"/>
      <c r="R109" s="841"/>
      <c r="S109" s="841"/>
      <c r="T109" s="841"/>
      <c r="U109" s="841"/>
      <c r="V109" s="841"/>
      <c r="W109" s="841"/>
      <c r="AA109"/>
      <c r="AB109"/>
      <c r="AC109"/>
      <c r="AD109"/>
      <c r="AE109"/>
      <c r="AF109"/>
      <c r="AJ109" s="931"/>
    </row>
    <row r="110" spans="1:36" s="930" customFormat="1" ht="12.75" customHeight="1" outlineLevel="1">
      <c r="A110" s="925"/>
      <c r="B110" s="945" t="s">
        <v>643</v>
      </c>
      <c r="C110" s="849" t="s">
        <v>241</v>
      </c>
      <c r="D110" s="849"/>
      <c r="E110" s="849"/>
      <c r="F110" s="849"/>
      <c r="G110" s="849"/>
      <c r="H110" s="448">
        <f t="shared" ref="H110:W110" si="44">H74</f>
        <v>39813</v>
      </c>
      <c r="I110" s="448">
        <f t="shared" si="44"/>
        <v>40178</v>
      </c>
      <c r="J110" s="448">
        <f t="shared" si="44"/>
        <v>40543</v>
      </c>
      <c r="K110" s="448">
        <f t="shared" si="44"/>
        <v>40908</v>
      </c>
      <c r="L110" s="448">
        <f t="shared" si="44"/>
        <v>41274</v>
      </c>
      <c r="M110" s="448">
        <f t="shared" si="44"/>
        <v>41639</v>
      </c>
      <c r="N110" s="448">
        <f t="shared" si="44"/>
        <v>42004</v>
      </c>
      <c r="O110" s="448">
        <f t="shared" si="44"/>
        <v>42369</v>
      </c>
      <c r="P110" s="448">
        <f t="shared" si="44"/>
        <v>42735</v>
      </c>
      <c r="Q110" s="448">
        <f t="shared" si="44"/>
        <v>43100</v>
      </c>
      <c r="R110" s="448">
        <f t="shared" si="44"/>
        <v>43465</v>
      </c>
      <c r="S110" s="448">
        <f t="shared" si="44"/>
        <v>43830</v>
      </c>
      <c r="T110" s="448">
        <f t="shared" si="44"/>
        <v>44196</v>
      </c>
      <c r="U110" s="448">
        <f t="shared" si="44"/>
        <v>44561</v>
      </c>
      <c r="V110" s="448">
        <f t="shared" si="44"/>
        <v>44926</v>
      </c>
      <c r="W110" s="448">
        <f t="shared" si="44"/>
        <v>45291</v>
      </c>
      <c r="AA110"/>
      <c r="AB110"/>
      <c r="AC110"/>
      <c r="AD110"/>
      <c r="AE110"/>
      <c r="AF110"/>
      <c r="AJ110" s="931"/>
    </row>
    <row r="111" spans="1:36" s="930" customFormat="1" ht="12.75" customHeight="1" outlineLevel="1">
      <c r="A111" s="925"/>
      <c r="B111" s="945"/>
      <c r="C111" s="849"/>
      <c r="D111" s="849"/>
      <c r="E111" s="849"/>
      <c r="F111" s="849"/>
      <c r="G111" s="849"/>
      <c r="H111" s="946"/>
      <c r="I111" s="946"/>
      <c r="J111" s="946"/>
      <c r="K111" s="946"/>
      <c r="L111" s="946"/>
      <c r="M111" s="946"/>
      <c r="N111" s="946"/>
      <c r="O111" s="946"/>
      <c r="P111" s="947"/>
      <c r="Q111" s="947"/>
      <c r="R111" s="947"/>
      <c r="S111" s="947"/>
      <c r="T111" s="947"/>
      <c r="U111" s="947"/>
      <c r="V111" s="947"/>
      <c r="W111" s="947"/>
      <c r="AA111"/>
      <c r="AB111"/>
      <c r="AC111"/>
      <c r="AD111"/>
      <c r="AE111"/>
      <c r="AF111"/>
      <c r="AJ111" s="931"/>
    </row>
    <row r="112" spans="1:36" s="930" customFormat="1" ht="11.25" customHeight="1" outlineLevel="1">
      <c r="A112" s="925"/>
      <c r="B112" s="948">
        <v>1</v>
      </c>
      <c r="C112" s="832" t="s">
        <v>242</v>
      </c>
      <c r="D112" s="832"/>
      <c r="E112" s="832"/>
      <c r="F112" s="832"/>
      <c r="G112" s="832"/>
      <c r="H112" s="949">
        <f t="shared" ref="H112:H141" si="45">IF(ISERROR(H76/(POWER((1+$H$44),B112))),"NA",H76/(POWER((1+$H$44),B112)))</f>
        <v>1842.8186619140201</v>
      </c>
      <c r="I112" s="949">
        <f t="shared" ref="I112:W127" si="46">IF(ISERROR((I76-H77)/(POWER((1+I$45),$B112))),"NA",(I76-H77)/(POWER((1+I$45),$B112)))</f>
        <v>528.14390071602031</v>
      </c>
      <c r="J112" s="949">
        <f t="shared" si="46"/>
        <v>511.9016317570314</v>
      </c>
      <c r="K112" s="949">
        <f t="shared" si="46"/>
        <v>452.33961088294564</v>
      </c>
      <c r="L112" s="949">
        <f t="shared" si="46"/>
        <v>705.61793907021706</v>
      </c>
      <c r="M112" s="949">
        <f t="shared" si="46"/>
        <v>611.84140646460946</v>
      </c>
      <c r="N112" s="949">
        <f t="shared" si="46"/>
        <v>505.8580576934375</v>
      </c>
      <c r="O112" s="949">
        <f t="shared" si="46"/>
        <v>389.20236543256391</v>
      </c>
      <c r="P112" s="949">
        <f t="shared" si="46"/>
        <v>668.34392789373817</v>
      </c>
      <c r="Q112" s="949">
        <f t="shared" si="46"/>
        <v>697.14154648956367</v>
      </c>
      <c r="R112" s="949">
        <f t="shared" si="46"/>
        <v>711.08437741935506</v>
      </c>
      <c r="S112" s="949">
        <f t="shared" si="46"/>
        <v>725.30606496774215</v>
      </c>
      <c r="T112" s="949">
        <f t="shared" si="46"/>
        <v>739.8121862670971</v>
      </c>
      <c r="U112" s="949">
        <f t="shared" si="46"/>
        <v>754.60842999243903</v>
      </c>
      <c r="V112" s="949">
        <f t="shared" si="46"/>
        <v>769.70059859228775</v>
      </c>
      <c r="W112" s="949">
        <f t="shared" si="46"/>
        <v>785.09461056413352</v>
      </c>
      <c r="AA112"/>
      <c r="AB112"/>
      <c r="AC112"/>
      <c r="AD112"/>
      <c r="AE112"/>
      <c r="AF112"/>
      <c r="AJ112" s="931"/>
    </row>
    <row r="113" spans="1:36" s="951" customFormat="1" ht="11.25" customHeight="1" outlineLevel="1">
      <c r="A113" s="950"/>
      <c r="B113" s="829">
        <v>2</v>
      </c>
      <c r="C113" s="832" t="str">
        <f t="shared" ref="C113:C141" si="47">"PV of Increase in forecast year "&amp;B112&amp;" lease commitments"</f>
        <v>PV of Increase in forecast year 1 lease commitments</v>
      </c>
      <c r="D113" s="832"/>
      <c r="E113" s="832"/>
      <c r="F113" s="832"/>
      <c r="G113" s="832"/>
      <c r="H113" s="949">
        <f t="shared" si="45"/>
        <v>1217.7963483853523</v>
      </c>
      <c r="I113" s="949">
        <f t="shared" si="46"/>
        <v>-996.76594874780164</v>
      </c>
      <c r="J113" s="949">
        <f t="shared" si="46"/>
        <v>-667.13403933971199</v>
      </c>
      <c r="K113" s="949">
        <f t="shared" si="46"/>
        <v>87.743611997956478</v>
      </c>
      <c r="L113" s="949">
        <f t="shared" si="46"/>
        <v>102.59769974849036</v>
      </c>
      <c r="M113" s="949">
        <f t="shared" si="46"/>
        <v>148.07544281633196</v>
      </c>
      <c r="N113" s="949">
        <f t="shared" si="46"/>
        <v>-569.99871815157462</v>
      </c>
      <c r="O113" s="949">
        <f t="shared" si="46"/>
        <v>-482.981587523923</v>
      </c>
      <c r="P113" s="949">
        <f t="shared" si="46"/>
        <v>-465.05417601330799</v>
      </c>
      <c r="Q113" s="949">
        <f t="shared" si="46"/>
        <v>-450.17244238088216</v>
      </c>
      <c r="R113" s="949">
        <f t="shared" si="46"/>
        <v>-459.17589122849978</v>
      </c>
      <c r="S113" s="949">
        <f t="shared" si="46"/>
        <v>-468.35940905306978</v>
      </c>
      <c r="T113" s="949">
        <f t="shared" si="46"/>
        <v>-477.72659723413125</v>
      </c>
      <c r="U113" s="949">
        <f t="shared" si="46"/>
        <v>-487.28112917881379</v>
      </c>
      <c r="V113" s="949">
        <f t="shared" si="46"/>
        <v>-497.02675176239012</v>
      </c>
      <c r="W113" s="949">
        <f t="shared" si="46"/>
        <v>-506.96728679763788</v>
      </c>
      <c r="AA113"/>
      <c r="AB113"/>
      <c r="AC113"/>
      <c r="AD113"/>
      <c r="AE113"/>
      <c r="AF113"/>
      <c r="AJ113" s="952"/>
    </row>
    <row r="114" spans="1:36" s="951" customFormat="1" ht="11.25" customHeight="1" outlineLevel="1">
      <c r="A114" s="950"/>
      <c r="B114" s="829">
        <v>3</v>
      </c>
      <c r="C114" s="832" t="str">
        <f t="shared" si="47"/>
        <v>PV of Increase in forecast year 2 lease commitments</v>
      </c>
      <c r="D114" s="832"/>
      <c r="E114" s="832"/>
      <c r="F114" s="832"/>
      <c r="G114" s="832"/>
      <c r="H114" s="949">
        <f t="shared" si="45"/>
        <v>1994.6635592572741</v>
      </c>
      <c r="I114" s="949">
        <f t="shared" si="46"/>
        <v>199.03056947923207</v>
      </c>
      <c r="J114" s="949">
        <f t="shared" si="46"/>
        <v>-162.94884800424759</v>
      </c>
      <c r="K114" s="949">
        <f t="shared" si="46"/>
        <v>120.47158509790775</v>
      </c>
      <c r="L114" s="949">
        <f t="shared" si="46"/>
        <v>109.35616813125631</v>
      </c>
      <c r="M114" s="949">
        <f t="shared" si="46"/>
        <v>745.37136493207163</v>
      </c>
      <c r="N114" s="949">
        <f t="shared" si="46"/>
        <v>277.7827017841085</v>
      </c>
      <c r="O114" s="949">
        <f t="shared" si="46"/>
        <v>379.75267944380954</v>
      </c>
      <c r="P114" s="949">
        <f t="shared" si="46"/>
        <v>269.10487851092654</v>
      </c>
      <c r="Q114" s="949">
        <f t="shared" si="46"/>
        <v>292.42730131520682</v>
      </c>
      <c r="R114" s="949">
        <f t="shared" si="46"/>
        <v>298.27584734151094</v>
      </c>
      <c r="S114" s="949">
        <f t="shared" si="46"/>
        <v>304.24136428834117</v>
      </c>
      <c r="T114" s="949">
        <f t="shared" si="46"/>
        <v>310.32619157410801</v>
      </c>
      <c r="U114" s="949">
        <f t="shared" si="46"/>
        <v>316.53271540559018</v>
      </c>
      <c r="V114" s="949">
        <f t="shared" si="46"/>
        <v>322.86336971370201</v>
      </c>
      <c r="W114" s="949">
        <f t="shared" si="46"/>
        <v>329.32063710797604</v>
      </c>
      <c r="AA114"/>
      <c r="AB114"/>
      <c r="AC114"/>
      <c r="AD114"/>
      <c r="AE114"/>
      <c r="AF114"/>
      <c r="AJ114" s="952"/>
    </row>
    <row r="115" spans="1:36" s="951" customFormat="1" outlineLevel="1">
      <c r="A115" s="950"/>
      <c r="B115" s="829">
        <v>4</v>
      </c>
      <c r="C115" s="832" t="str">
        <f t="shared" si="47"/>
        <v>PV of Increase in forecast year 3 lease commitments</v>
      </c>
      <c r="D115" s="832"/>
      <c r="E115" s="832"/>
      <c r="F115" s="832"/>
      <c r="G115" s="832"/>
      <c r="H115" s="949">
        <f t="shared" si="45"/>
        <v>1404.0501265237383</v>
      </c>
      <c r="I115" s="949">
        <f t="shared" si="46"/>
        <v>-397.41694263324206</v>
      </c>
      <c r="J115" s="949">
        <f t="shared" si="46"/>
        <v>-831.83761725987824</v>
      </c>
      <c r="K115" s="949">
        <f t="shared" si="46"/>
        <v>124.2726860544927</v>
      </c>
      <c r="L115" s="949">
        <f t="shared" si="46"/>
        <v>89.298324010870388</v>
      </c>
      <c r="M115" s="949">
        <f t="shared" si="46"/>
        <v>454.99671541965233</v>
      </c>
      <c r="N115" s="949">
        <f t="shared" si="46"/>
        <v>812.24634673609535</v>
      </c>
      <c r="O115" s="949">
        <f t="shared" si="46"/>
        <v>933.08485554851563</v>
      </c>
      <c r="P115" s="949">
        <f t="shared" si="46"/>
        <v>865.1015465096674</v>
      </c>
      <c r="Q115" s="949">
        <f t="shared" si="46"/>
        <v>882.40357743986078</v>
      </c>
      <c r="R115" s="949">
        <f t="shared" si="46"/>
        <v>900.05164898865803</v>
      </c>
      <c r="S115" s="949">
        <f t="shared" si="46"/>
        <v>918.05268196843122</v>
      </c>
      <c r="T115" s="949">
        <f t="shared" si="46"/>
        <v>936.41373560779982</v>
      </c>
      <c r="U115" s="949">
        <f t="shared" si="46"/>
        <v>955.14201031995583</v>
      </c>
      <c r="V115" s="949">
        <f t="shared" si="46"/>
        <v>974.24485052635487</v>
      </c>
      <c r="W115" s="949">
        <f t="shared" si="46"/>
        <v>993.72974753688209</v>
      </c>
      <c r="AA115"/>
      <c r="AB115"/>
      <c r="AC115"/>
      <c r="AD115"/>
      <c r="AE115"/>
      <c r="AF115"/>
      <c r="AJ115" s="952"/>
    </row>
    <row r="116" spans="1:36" s="930" customFormat="1" outlineLevel="1">
      <c r="A116" s="925"/>
      <c r="B116" s="829">
        <v>5</v>
      </c>
      <c r="C116" s="832" t="str">
        <f t="shared" si="47"/>
        <v>PV of Increase in forecast year 4 lease commitments</v>
      </c>
      <c r="D116" s="832"/>
      <c r="E116" s="832"/>
      <c r="F116" s="832"/>
      <c r="G116" s="832"/>
      <c r="H116" s="949">
        <f t="shared" si="45"/>
        <v>1274.0003489794608</v>
      </c>
      <c r="I116" s="949" t="str">
        <f t="shared" si="46"/>
        <v>NA</v>
      </c>
      <c r="J116" s="949">
        <f t="shared" si="46"/>
        <v>503.57426370573955</v>
      </c>
      <c r="K116" s="949">
        <f t="shared" si="46"/>
        <v>111.18600170889151</v>
      </c>
      <c r="L116" s="949">
        <f t="shared" si="46"/>
        <v>64.367161053172481</v>
      </c>
      <c r="M116" s="949">
        <f t="shared" si="46"/>
        <v>-359.89843735462722</v>
      </c>
      <c r="N116" s="949">
        <f t="shared" si="46"/>
        <v>-879.64324412012763</v>
      </c>
      <c r="O116" s="949">
        <f t="shared" si="46"/>
        <v>-1008.7745359132903</v>
      </c>
      <c r="P116" s="949">
        <f t="shared" si="46"/>
        <v>-917.75454860510877</v>
      </c>
      <c r="Q116" s="949">
        <f t="shared" si="46"/>
        <v>-917.75454860510877</v>
      </c>
      <c r="R116" s="949">
        <f t="shared" si="46"/>
        <v>-936.10963957721094</v>
      </c>
      <c r="S116" s="949">
        <f t="shared" si="46"/>
        <v>-954.83183236875527</v>
      </c>
      <c r="T116" s="949">
        <f t="shared" si="46"/>
        <v>-973.92846901613029</v>
      </c>
      <c r="U116" s="949">
        <f t="shared" si="46"/>
        <v>-993.40703839645278</v>
      </c>
      <c r="V116" s="949">
        <f t="shared" si="46"/>
        <v>-1013.2751791643819</v>
      </c>
      <c r="W116" s="949">
        <f t="shared" si="46"/>
        <v>-1033.5406827476697</v>
      </c>
      <c r="AA116"/>
      <c r="AB116"/>
      <c r="AC116"/>
      <c r="AD116"/>
      <c r="AE116"/>
      <c r="AF116"/>
      <c r="AJ116" s="931"/>
    </row>
    <row r="117" spans="1:36" s="930" customFormat="1" outlineLevel="1">
      <c r="A117" s="925"/>
      <c r="B117" s="829">
        <v>6</v>
      </c>
      <c r="C117" s="832" t="str">
        <f t="shared" si="47"/>
        <v>PV of Increase in forecast year 5 lease commitments</v>
      </c>
      <c r="D117" s="832"/>
      <c r="E117" s="832"/>
      <c r="F117" s="832"/>
      <c r="G117" s="832"/>
      <c r="H117" s="949" t="str">
        <f t="shared" si="45"/>
        <v>NA</v>
      </c>
      <c r="I117" s="949" t="str">
        <f t="shared" si="46"/>
        <v>NA</v>
      </c>
      <c r="J117" s="949">
        <f t="shared" si="46"/>
        <v>386.99108454183749</v>
      </c>
      <c r="K117" s="949">
        <f t="shared" si="46"/>
        <v>426.25252447790763</v>
      </c>
      <c r="L117" s="949">
        <f t="shared" si="46"/>
        <v>405.21457177059131</v>
      </c>
      <c r="M117" s="949">
        <f t="shared" si="46"/>
        <v>855.21503066440198</v>
      </c>
      <c r="N117" s="949">
        <f t="shared" si="46"/>
        <v>943.10613723918732</v>
      </c>
      <c r="O117" s="949">
        <f t="shared" si="46"/>
        <v>991.45817062017545</v>
      </c>
      <c r="P117" s="949">
        <f t="shared" si="46"/>
        <v>885.10199113576209</v>
      </c>
      <c r="Q117" s="949">
        <f t="shared" si="46"/>
        <v>902.80403095847737</v>
      </c>
      <c r="R117" s="949">
        <f t="shared" si="46"/>
        <v>920.86011157764688</v>
      </c>
      <c r="S117" s="949">
        <f t="shared" si="46"/>
        <v>939.27731380919977</v>
      </c>
      <c r="T117" s="949">
        <f t="shared" si="46"/>
        <v>958.0628600853837</v>
      </c>
      <c r="U117" s="949">
        <f t="shared" si="46"/>
        <v>977.22411728709142</v>
      </c>
      <c r="V117" s="949">
        <f t="shared" si="46"/>
        <v>996.76859963283334</v>
      </c>
      <c r="W117" s="949">
        <f t="shared" si="46"/>
        <v>1016.7039716254901</v>
      </c>
      <c r="AA117"/>
      <c r="AB117"/>
      <c r="AC117"/>
      <c r="AD117"/>
      <c r="AE117"/>
      <c r="AF117"/>
      <c r="AJ117" s="931"/>
    </row>
    <row r="118" spans="1:36" s="930" customFormat="1" outlineLevel="1">
      <c r="A118" s="925"/>
      <c r="B118" s="829">
        <v>7</v>
      </c>
      <c r="C118" s="832" t="str">
        <f t="shared" si="47"/>
        <v>PV of Increase in forecast year 6 lease commitments</v>
      </c>
      <c r="D118" s="832"/>
      <c r="E118" s="832"/>
      <c r="F118" s="832"/>
      <c r="G118" s="832"/>
      <c r="H118" s="949" t="str">
        <f t="shared" si="45"/>
        <v>NA</v>
      </c>
      <c r="I118" s="949" t="str">
        <f t="shared" si="46"/>
        <v>NA</v>
      </c>
      <c r="J118" s="949">
        <f t="shared" si="46"/>
        <v>0</v>
      </c>
      <c r="K118" s="949">
        <f t="shared" si="46"/>
        <v>0</v>
      </c>
      <c r="L118" s="949">
        <f t="shared" si="46"/>
        <v>0</v>
      </c>
      <c r="M118" s="949">
        <f t="shared" si="46"/>
        <v>0</v>
      </c>
      <c r="N118" s="949">
        <f t="shared" si="46"/>
        <v>0</v>
      </c>
      <c r="O118" s="949">
        <f t="shared" si="46"/>
        <v>0</v>
      </c>
      <c r="P118" s="949">
        <f t="shared" si="46"/>
        <v>0</v>
      </c>
      <c r="Q118" s="949">
        <f t="shared" si="46"/>
        <v>0</v>
      </c>
      <c r="R118" s="949">
        <f t="shared" si="46"/>
        <v>0</v>
      </c>
      <c r="S118" s="949">
        <f t="shared" si="46"/>
        <v>0</v>
      </c>
      <c r="T118" s="949">
        <f t="shared" si="46"/>
        <v>0</v>
      </c>
      <c r="U118" s="949">
        <f t="shared" si="46"/>
        <v>0</v>
      </c>
      <c r="V118" s="949">
        <f t="shared" si="46"/>
        <v>0</v>
      </c>
      <c r="W118" s="949">
        <f t="shared" si="46"/>
        <v>0</v>
      </c>
      <c r="AA118"/>
      <c r="AB118"/>
      <c r="AC118"/>
      <c r="AD118"/>
      <c r="AE118"/>
      <c r="AF118"/>
      <c r="AJ118" s="931"/>
    </row>
    <row r="119" spans="1:36" s="930" customFormat="1" outlineLevel="1">
      <c r="A119" s="925"/>
      <c r="B119" s="829">
        <v>8</v>
      </c>
      <c r="C119" s="832" t="str">
        <f t="shared" si="47"/>
        <v>PV of Increase in forecast year 7 lease commitments</v>
      </c>
      <c r="D119" s="832"/>
      <c r="E119" s="832"/>
      <c r="F119" s="832"/>
      <c r="G119" s="832"/>
      <c r="H119" s="949" t="str">
        <f t="shared" si="45"/>
        <v>NA</v>
      </c>
      <c r="I119" s="949" t="str">
        <f t="shared" si="46"/>
        <v>NA</v>
      </c>
      <c r="J119" s="949">
        <f t="shared" si="46"/>
        <v>0</v>
      </c>
      <c r="K119" s="949">
        <f t="shared" si="46"/>
        <v>0</v>
      </c>
      <c r="L119" s="949">
        <f t="shared" si="46"/>
        <v>0</v>
      </c>
      <c r="M119" s="949">
        <f t="shared" si="46"/>
        <v>0</v>
      </c>
      <c r="N119" s="949">
        <f t="shared" si="46"/>
        <v>0</v>
      </c>
      <c r="O119" s="949">
        <f t="shared" si="46"/>
        <v>0</v>
      </c>
      <c r="P119" s="949">
        <f t="shared" si="46"/>
        <v>0</v>
      </c>
      <c r="Q119" s="949">
        <f t="shared" si="46"/>
        <v>0</v>
      </c>
      <c r="R119" s="949">
        <f t="shared" si="46"/>
        <v>0</v>
      </c>
      <c r="S119" s="949">
        <f t="shared" si="46"/>
        <v>0</v>
      </c>
      <c r="T119" s="949">
        <f t="shared" si="46"/>
        <v>0</v>
      </c>
      <c r="U119" s="949">
        <f t="shared" si="46"/>
        <v>0</v>
      </c>
      <c r="V119" s="949">
        <f t="shared" si="46"/>
        <v>0</v>
      </c>
      <c r="W119" s="949">
        <f t="shared" si="46"/>
        <v>0</v>
      </c>
      <c r="AA119"/>
      <c r="AB119"/>
      <c r="AC119"/>
      <c r="AD119"/>
      <c r="AE119"/>
      <c r="AF119"/>
      <c r="AJ119" s="931"/>
    </row>
    <row r="120" spans="1:36" s="930" customFormat="1" outlineLevel="1">
      <c r="A120" s="925"/>
      <c r="B120" s="829">
        <v>9</v>
      </c>
      <c r="C120" s="832" t="str">
        <f t="shared" si="47"/>
        <v>PV of Increase in forecast year 8 lease commitments</v>
      </c>
      <c r="D120" s="832"/>
      <c r="E120" s="832"/>
      <c r="F120" s="832"/>
      <c r="G120" s="832"/>
      <c r="H120" s="949" t="str">
        <f t="shared" si="45"/>
        <v>NA</v>
      </c>
      <c r="I120" s="949" t="str">
        <f t="shared" si="46"/>
        <v>NA</v>
      </c>
      <c r="J120" s="949">
        <f t="shared" si="46"/>
        <v>0</v>
      </c>
      <c r="K120" s="949">
        <f t="shared" si="46"/>
        <v>0</v>
      </c>
      <c r="L120" s="949">
        <f t="shared" si="46"/>
        <v>0</v>
      </c>
      <c r="M120" s="949">
        <f t="shared" si="46"/>
        <v>0</v>
      </c>
      <c r="N120" s="949">
        <f t="shared" si="46"/>
        <v>0</v>
      </c>
      <c r="O120" s="949">
        <f t="shared" si="46"/>
        <v>0</v>
      </c>
      <c r="P120" s="949">
        <f t="shared" si="46"/>
        <v>0</v>
      </c>
      <c r="Q120" s="949">
        <f t="shared" si="46"/>
        <v>0</v>
      </c>
      <c r="R120" s="949">
        <f t="shared" si="46"/>
        <v>0</v>
      </c>
      <c r="S120" s="949">
        <f t="shared" si="46"/>
        <v>0</v>
      </c>
      <c r="T120" s="949">
        <f t="shared" si="46"/>
        <v>0</v>
      </c>
      <c r="U120" s="949">
        <f t="shared" si="46"/>
        <v>0</v>
      </c>
      <c r="V120" s="949">
        <f t="shared" si="46"/>
        <v>0</v>
      </c>
      <c r="W120" s="949">
        <f t="shared" si="46"/>
        <v>0</v>
      </c>
      <c r="AA120"/>
      <c r="AB120"/>
      <c r="AC120"/>
      <c r="AD120"/>
      <c r="AE120"/>
      <c r="AF120"/>
      <c r="AJ120" s="931"/>
    </row>
    <row r="121" spans="1:36" s="930" customFormat="1" outlineLevel="1">
      <c r="A121" s="925"/>
      <c r="B121" s="829">
        <v>10</v>
      </c>
      <c r="C121" s="832" t="str">
        <f t="shared" si="47"/>
        <v>PV of Increase in forecast year 9 lease commitments</v>
      </c>
      <c r="D121" s="832"/>
      <c r="E121" s="832"/>
      <c r="F121" s="832"/>
      <c r="G121" s="832"/>
      <c r="H121" s="949" t="str">
        <f t="shared" si="45"/>
        <v>NA</v>
      </c>
      <c r="I121" s="949" t="str">
        <f t="shared" si="46"/>
        <v>NA</v>
      </c>
      <c r="J121" s="949">
        <f t="shared" si="46"/>
        <v>0</v>
      </c>
      <c r="K121" s="949">
        <f t="shared" si="46"/>
        <v>0</v>
      </c>
      <c r="L121" s="949">
        <f t="shared" si="46"/>
        <v>0</v>
      </c>
      <c r="M121" s="949">
        <f t="shared" si="46"/>
        <v>0</v>
      </c>
      <c r="N121" s="949">
        <f t="shared" si="46"/>
        <v>0</v>
      </c>
      <c r="O121" s="949">
        <f t="shared" si="46"/>
        <v>0</v>
      </c>
      <c r="P121" s="949">
        <f t="shared" si="46"/>
        <v>0</v>
      </c>
      <c r="Q121" s="949">
        <f t="shared" si="46"/>
        <v>0</v>
      </c>
      <c r="R121" s="949">
        <f t="shared" si="46"/>
        <v>0</v>
      </c>
      <c r="S121" s="949">
        <f t="shared" si="46"/>
        <v>0</v>
      </c>
      <c r="T121" s="949">
        <f t="shared" si="46"/>
        <v>0</v>
      </c>
      <c r="U121" s="949">
        <f t="shared" si="46"/>
        <v>0</v>
      </c>
      <c r="V121" s="949">
        <f t="shared" si="46"/>
        <v>0</v>
      </c>
      <c r="W121" s="949">
        <f t="shared" si="46"/>
        <v>0</v>
      </c>
      <c r="AA121"/>
      <c r="AB121"/>
      <c r="AC121"/>
      <c r="AD121"/>
      <c r="AE121"/>
      <c r="AF121"/>
      <c r="AJ121" s="931"/>
    </row>
    <row r="122" spans="1:36" s="930" customFormat="1" outlineLevel="1">
      <c r="A122" s="925"/>
      <c r="B122" s="829">
        <v>11</v>
      </c>
      <c r="C122" s="832" t="str">
        <f t="shared" si="47"/>
        <v>PV of Increase in forecast year 10 lease commitments</v>
      </c>
      <c r="D122" s="832"/>
      <c r="E122" s="832"/>
      <c r="F122" s="832"/>
      <c r="G122" s="832"/>
      <c r="H122" s="949" t="str">
        <f t="shared" si="45"/>
        <v>NA</v>
      </c>
      <c r="I122" s="949" t="str">
        <f t="shared" si="46"/>
        <v>NA</v>
      </c>
      <c r="J122" s="949">
        <f t="shared" si="46"/>
        <v>0</v>
      </c>
      <c r="K122" s="949">
        <f t="shared" si="46"/>
        <v>0</v>
      </c>
      <c r="L122" s="949">
        <f t="shared" si="46"/>
        <v>0</v>
      </c>
      <c r="M122" s="949">
        <f t="shared" si="46"/>
        <v>0</v>
      </c>
      <c r="N122" s="949">
        <f t="shared" si="46"/>
        <v>0</v>
      </c>
      <c r="O122" s="949">
        <f t="shared" si="46"/>
        <v>0</v>
      </c>
      <c r="P122" s="949">
        <f t="shared" si="46"/>
        <v>0</v>
      </c>
      <c r="Q122" s="949">
        <f t="shared" si="46"/>
        <v>0</v>
      </c>
      <c r="R122" s="949">
        <f t="shared" si="46"/>
        <v>0</v>
      </c>
      <c r="S122" s="949">
        <f t="shared" si="46"/>
        <v>0</v>
      </c>
      <c r="T122" s="949">
        <f t="shared" si="46"/>
        <v>0</v>
      </c>
      <c r="U122" s="949">
        <f t="shared" si="46"/>
        <v>0</v>
      </c>
      <c r="V122" s="949">
        <f t="shared" si="46"/>
        <v>0</v>
      </c>
      <c r="W122" s="949">
        <f t="shared" si="46"/>
        <v>0</v>
      </c>
      <c r="AA122"/>
      <c r="AB122"/>
      <c r="AC122"/>
      <c r="AD122"/>
      <c r="AE122"/>
      <c r="AF122"/>
      <c r="AJ122" s="931"/>
    </row>
    <row r="123" spans="1:36" s="930" customFormat="1" outlineLevel="1">
      <c r="A123" s="925"/>
      <c r="B123" s="829">
        <v>12</v>
      </c>
      <c r="C123" s="832" t="str">
        <f t="shared" si="47"/>
        <v>PV of Increase in forecast year 11 lease commitments</v>
      </c>
      <c r="D123" s="832"/>
      <c r="E123" s="832"/>
      <c r="F123" s="832"/>
      <c r="G123" s="832"/>
      <c r="H123" s="949" t="str">
        <f t="shared" si="45"/>
        <v>NA</v>
      </c>
      <c r="I123" s="949" t="str">
        <f t="shared" si="46"/>
        <v>NA</v>
      </c>
      <c r="J123" s="949">
        <f t="shared" si="46"/>
        <v>0</v>
      </c>
      <c r="K123" s="949">
        <f t="shared" si="46"/>
        <v>0</v>
      </c>
      <c r="L123" s="949">
        <f t="shared" si="46"/>
        <v>0</v>
      </c>
      <c r="M123" s="949">
        <f t="shared" si="46"/>
        <v>0</v>
      </c>
      <c r="N123" s="949">
        <f t="shared" si="46"/>
        <v>0</v>
      </c>
      <c r="O123" s="949">
        <f t="shared" si="46"/>
        <v>0</v>
      </c>
      <c r="P123" s="949">
        <f t="shared" si="46"/>
        <v>0</v>
      </c>
      <c r="Q123" s="949">
        <f t="shared" si="46"/>
        <v>0</v>
      </c>
      <c r="R123" s="949">
        <f t="shared" si="46"/>
        <v>0</v>
      </c>
      <c r="S123" s="949">
        <f t="shared" si="46"/>
        <v>0</v>
      </c>
      <c r="T123" s="949">
        <f t="shared" si="46"/>
        <v>0</v>
      </c>
      <c r="U123" s="949">
        <f t="shared" si="46"/>
        <v>0</v>
      </c>
      <c r="V123" s="949">
        <f t="shared" si="46"/>
        <v>0</v>
      </c>
      <c r="W123" s="949">
        <f t="shared" si="46"/>
        <v>0</v>
      </c>
      <c r="AA123"/>
      <c r="AB123"/>
      <c r="AC123"/>
      <c r="AD123"/>
      <c r="AE123"/>
      <c r="AF123"/>
      <c r="AJ123" s="931"/>
    </row>
    <row r="124" spans="1:36" s="930" customFormat="1" outlineLevel="1">
      <c r="A124" s="925"/>
      <c r="B124" s="829">
        <v>13</v>
      </c>
      <c r="C124" s="832" t="str">
        <f t="shared" si="47"/>
        <v>PV of Increase in forecast year 12 lease commitments</v>
      </c>
      <c r="D124" s="832"/>
      <c r="E124" s="832"/>
      <c r="F124" s="832"/>
      <c r="G124" s="832"/>
      <c r="H124" s="949" t="str">
        <f t="shared" si="45"/>
        <v>NA</v>
      </c>
      <c r="I124" s="949" t="str">
        <f t="shared" si="46"/>
        <v>NA</v>
      </c>
      <c r="J124" s="949">
        <f t="shared" si="46"/>
        <v>0</v>
      </c>
      <c r="K124" s="949">
        <f t="shared" si="46"/>
        <v>0</v>
      </c>
      <c r="L124" s="949">
        <f t="shared" si="46"/>
        <v>0</v>
      </c>
      <c r="M124" s="949">
        <f t="shared" si="46"/>
        <v>0</v>
      </c>
      <c r="N124" s="949">
        <f t="shared" si="46"/>
        <v>0</v>
      </c>
      <c r="O124" s="949">
        <f t="shared" si="46"/>
        <v>0</v>
      </c>
      <c r="P124" s="949">
        <f t="shared" si="46"/>
        <v>0</v>
      </c>
      <c r="Q124" s="949">
        <f t="shared" si="46"/>
        <v>0</v>
      </c>
      <c r="R124" s="949">
        <f t="shared" si="46"/>
        <v>0</v>
      </c>
      <c r="S124" s="949">
        <f t="shared" si="46"/>
        <v>0</v>
      </c>
      <c r="T124" s="949">
        <f t="shared" si="46"/>
        <v>0</v>
      </c>
      <c r="U124" s="949">
        <f t="shared" si="46"/>
        <v>0</v>
      </c>
      <c r="V124" s="949">
        <f t="shared" si="46"/>
        <v>0</v>
      </c>
      <c r="W124" s="949">
        <f t="shared" si="46"/>
        <v>0</v>
      </c>
      <c r="AA124"/>
      <c r="AB124"/>
      <c r="AC124"/>
      <c r="AD124"/>
      <c r="AE124"/>
      <c r="AF124"/>
      <c r="AJ124" s="931"/>
    </row>
    <row r="125" spans="1:36" s="930" customFormat="1" outlineLevel="1">
      <c r="A125" s="925"/>
      <c r="B125" s="829">
        <v>14</v>
      </c>
      <c r="C125" s="832" t="str">
        <f t="shared" si="47"/>
        <v>PV of Increase in forecast year 13 lease commitments</v>
      </c>
      <c r="D125" s="832"/>
      <c r="E125" s="832"/>
      <c r="F125" s="832"/>
      <c r="G125" s="832"/>
      <c r="H125" s="949" t="str">
        <f t="shared" si="45"/>
        <v>NA</v>
      </c>
      <c r="I125" s="949" t="str">
        <f t="shared" si="46"/>
        <v>NA</v>
      </c>
      <c r="J125" s="949">
        <f t="shared" si="46"/>
        <v>0</v>
      </c>
      <c r="K125" s="949">
        <f t="shared" si="46"/>
        <v>0</v>
      </c>
      <c r="L125" s="949">
        <f t="shared" si="46"/>
        <v>0</v>
      </c>
      <c r="M125" s="949">
        <f t="shared" si="46"/>
        <v>0</v>
      </c>
      <c r="N125" s="949">
        <f t="shared" si="46"/>
        <v>0</v>
      </c>
      <c r="O125" s="949">
        <f t="shared" si="46"/>
        <v>0</v>
      </c>
      <c r="P125" s="949">
        <f t="shared" si="46"/>
        <v>0</v>
      </c>
      <c r="Q125" s="949">
        <f t="shared" si="46"/>
        <v>0</v>
      </c>
      <c r="R125" s="949">
        <f t="shared" si="46"/>
        <v>0</v>
      </c>
      <c r="S125" s="949">
        <f t="shared" si="46"/>
        <v>0</v>
      </c>
      <c r="T125" s="949">
        <f t="shared" si="46"/>
        <v>0</v>
      </c>
      <c r="U125" s="949">
        <f t="shared" si="46"/>
        <v>0</v>
      </c>
      <c r="V125" s="949">
        <f t="shared" si="46"/>
        <v>0</v>
      </c>
      <c r="W125" s="949">
        <f t="shared" si="46"/>
        <v>0</v>
      </c>
      <c r="AA125"/>
      <c r="AB125"/>
      <c r="AC125"/>
      <c r="AD125"/>
      <c r="AE125"/>
      <c r="AF125"/>
      <c r="AJ125" s="931"/>
    </row>
    <row r="126" spans="1:36" s="930" customFormat="1" outlineLevel="1">
      <c r="A126" s="925"/>
      <c r="B126" s="829">
        <v>15</v>
      </c>
      <c r="C126" s="832" t="str">
        <f t="shared" si="47"/>
        <v>PV of Increase in forecast year 14 lease commitments</v>
      </c>
      <c r="D126" s="832"/>
      <c r="E126" s="832"/>
      <c r="F126" s="832"/>
      <c r="G126" s="832"/>
      <c r="H126" s="949" t="str">
        <f t="shared" si="45"/>
        <v>NA</v>
      </c>
      <c r="I126" s="949" t="str">
        <f t="shared" si="46"/>
        <v>NA</v>
      </c>
      <c r="J126" s="949">
        <f t="shared" si="46"/>
        <v>0</v>
      </c>
      <c r="K126" s="949">
        <f t="shared" si="46"/>
        <v>0</v>
      </c>
      <c r="L126" s="949">
        <f t="shared" si="46"/>
        <v>0</v>
      </c>
      <c r="M126" s="949">
        <f t="shared" si="46"/>
        <v>0</v>
      </c>
      <c r="N126" s="949">
        <f t="shared" si="46"/>
        <v>0</v>
      </c>
      <c r="O126" s="949">
        <f t="shared" si="46"/>
        <v>0</v>
      </c>
      <c r="P126" s="949">
        <f t="shared" si="46"/>
        <v>0</v>
      </c>
      <c r="Q126" s="949">
        <f t="shared" si="46"/>
        <v>0</v>
      </c>
      <c r="R126" s="949">
        <f t="shared" si="46"/>
        <v>0</v>
      </c>
      <c r="S126" s="949">
        <f t="shared" si="46"/>
        <v>0</v>
      </c>
      <c r="T126" s="949">
        <f t="shared" si="46"/>
        <v>0</v>
      </c>
      <c r="U126" s="949">
        <f t="shared" si="46"/>
        <v>0</v>
      </c>
      <c r="V126" s="949">
        <f t="shared" si="46"/>
        <v>0</v>
      </c>
      <c r="W126" s="949">
        <f t="shared" si="46"/>
        <v>0</v>
      </c>
      <c r="AA126"/>
      <c r="AB126"/>
      <c r="AC126"/>
      <c r="AD126"/>
      <c r="AE126"/>
      <c r="AF126"/>
      <c r="AJ126" s="931"/>
    </row>
    <row r="127" spans="1:36" s="930" customFormat="1" outlineLevel="1">
      <c r="A127" s="925"/>
      <c r="B127" s="829">
        <v>16</v>
      </c>
      <c r="C127" s="832" t="str">
        <f t="shared" si="47"/>
        <v>PV of Increase in forecast year 15 lease commitments</v>
      </c>
      <c r="D127" s="832"/>
      <c r="E127" s="832"/>
      <c r="F127" s="832"/>
      <c r="G127" s="832"/>
      <c r="H127" s="949" t="str">
        <f t="shared" si="45"/>
        <v>NA</v>
      </c>
      <c r="I127" s="949" t="str">
        <f t="shared" si="46"/>
        <v>NA</v>
      </c>
      <c r="J127" s="949">
        <f t="shared" si="46"/>
        <v>0</v>
      </c>
      <c r="K127" s="949">
        <f t="shared" si="46"/>
        <v>0</v>
      </c>
      <c r="L127" s="949">
        <f t="shared" si="46"/>
        <v>0</v>
      </c>
      <c r="M127" s="949">
        <f t="shared" si="46"/>
        <v>0</v>
      </c>
      <c r="N127" s="949">
        <f t="shared" si="46"/>
        <v>0</v>
      </c>
      <c r="O127" s="949">
        <f t="shared" si="46"/>
        <v>0</v>
      </c>
      <c r="P127" s="949">
        <f t="shared" si="46"/>
        <v>0</v>
      </c>
      <c r="Q127" s="949">
        <f t="shared" si="46"/>
        <v>0</v>
      </c>
      <c r="R127" s="949">
        <f t="shared" si="46"/>
        <v>0</v>
      </c>
      <c r="S127" s="949">
        <f t="shared" si="46"/>
        <v>0</v>
      </c>
      <c r="T127" s="949">
        <f t="shared" si="46"/>
        <v>0</v>
      </c>
      <c r="U127" s="949">
        <f t="shared" si="46"/>
        <v>0</v>
      </c>
      <c r="V127" s="949">
        <f t="shared" si="46"/>
        <v>0</v>
      </c>
      <c r="W127" s="949">
        <f t="shared" si="46"/>
        <v>0</v>
      </c>
      <c r="AA127"/>
      <c r="AB127"/>
      <c r="AC127"/>
      <c r="AD127"/>
      <c r="AE127"/>
      <c r="AF127"/>
      <c r="AJ127" s="931"/>
    </row>
    <row r="128" spans="1:36" s="930" customFormat="1" outlineLevel="1">
      <c r="A128" s="925"/>
      <c r="B128" s="829">
        <v>17</v>
      </c>
      <c r="C128" s="832" t="str">
        <f t="shared" si="47"/>
        <v>PV of Increase in forecast year 16 lease commitments</v>
      </c>
      <c r="D128" s="832"/>
      <c r="E128" s="832"/>
      <c r="F128" s="832"/>
      <c r="G128" s="832"/>
      <c r="H128" s="949" t="str">
        <f t="shared" si="45"/>
        <v>NA</v>
      </c>
      <c r="I128" s="949" t="str">
        <f t="shared" ref="I128:W141" si="48">IF(ISERROR((I92-H93)/(POWER((1+I$45),$B128))),"NA",(I92-H93)/(POWER((1+I$45),$B128)))</f>
        <v>NA</v>
      </c>
      <c r="J128" s="949">
        <f t="shared" si="48"/>
        <v>0</v>
      </c>
      <c r="K128" s="949">
        <f t="shared" si="48"/>
        <v>0</v>
      </c>
      <c r="L128" s="949">
        <f t="shared" si="48"/>
        <v>0</v>
      </c>
      <c r="M128" s="949">
        <f t="shared" si="48"/>
        <v>0</v>
      </c>
      <c r="N128" s="949">
        <f t="shared" si="48"/>
        <v>0</v>
      </c>
      <c r="O128" s="949">
        <f t="shared" si="48"/>
        <v>0</v>
      </c>
      <c r="P128" s="949">
        <f t="shared" si="48"/>
        <v>0</v>
      </c>
      <c r="Q128" s="949">
        <f t="shared" si="48"/>
        <v>0</v>
      </c>
      <c r="R128" s="949">
        <f t="shared" si="48"/>
        <v>0</v>
      </c>
      <c r="S128" s="949">
        <f t="shared" si="48"/>
        <v>0</v>
      </c>
      <c r="T128" s="949">
        <f t="shared" si="48"/>
        <v>0</v>
      </c>
      <c r="U128" s="949">
        <f t="shared" si="48"/>
        <v>0</v>
      </c>
      <c r="V128" s="949">
        <f t="shared" si="48"/>
        <v>0</v>
      </c>
      <c r="W128" s="949">
        <f t="shared" si="48"/>
        <v>0</v>
      </c>
      <c r="AA128"/>
      <c r="AB128"/>
      <c r="AC128"/>
      <c r="AD128"/>
      <c r="AE128"/>
      <c r="AF128"/>
      <c r="AJ128" s="931"/>
    </row>
    <row r="129" spans="1:36" s="930" customFormat="1" outlineLevel="1">
      <c r="A129" s="925"/>
      <c r="B129" s="829">
        <v>18</v>
      </c>
      <c r="C129" s="832" t="str">
        <f t="shared" si="47"/>
        <v>PV of Increase in forecast year 17 lease commitments</v>
      </c>
      <c r="D129" s="832"/>
      <c r="E129" s="832"/>
      <c r="F129" s="832"/>
      <c r="G129" s="832"/>
      <c r="H129" s="949" t="str">
        <f t="shared" si="45"/>
        <v>NA</v>
      </c>
      <c r="I129" s="949" t="str">
        <f t="shared" si="48"/>
        <v>NA</v>
      </c>
      <c r="J129" s="949">
        <f t="shared" si="48"/>
        <v>0</v>
      </c>
      <c r="K129" s="949">
        <f t="shared" si="48"/>
        <v>0</v>
      </c>
      <c r="L129" s="949">
        <f t="shared" si="48"/>
        <v>0</v>
      </c>
      <c r="M129" s="949">
        <f t="shared" si="48"/>
        <v>0</v>
      </c>
      <c r="N129" s="949">
        <f t="shared" si="48"/>
        <v>0</v>
      </c>
      <c r="O129" s="949">
        <f t="shared" si="48"/>
        <v>0</v>
      </c>
      <c r="P129" s="949">
        <f t="shared" si="48"/>
        <v>0</v>
      </c>
      <c r="Q129" s="949">
        <f t="shared" si="48"/>
        <v>0</v>
      </c>
      <c r="R129" s="949">
        <f t="shared" si="48"/>
        <v>0</v>
      </c>
      <c r="S129" s="949">
        <f t="shared" si="48"/>
        <v>0</v>
      </c>
      <c r="T129" s="949">
        <f t="shared" si="48"/>
        <v>0</v>
      </c>
      <c r="U129" s="949">
        <f t="shared" si="48"/>
        <v>0</v>
      </c>
      <c r="V129" s="949">
        <f t="shared" si="48"/>
        <v>0</v>
      </c>
      <c r="W129" s="949">
        <f t="shared" si="48"/>
        <v>0</v>
      </c>
      <c r="AA129"/>
      <c r="AB129"/>
      <c r="AC129"/>
      <c r="AD129"/>
      <c r="AE129"/>
      <c r="AF129"/>
      <c r="AJ129" s="931"/>
    </row>
    <row r="130" spans="1:36" s="930" customFormat="1" outlineLevel="1">
      <c r="A130" s="925"/>
      <c r="B130" s="829">
        <v>19</v>
      </c>
      <c r="C130" s="832" t="str">
        <f t="shared" si="47"/>
        <v>PV of Increase in forecast year 18 lease commitments</v>
      </c>
      <c r="D130" s="832"/>
      <c r="E130" s="832"/>
      <c r="F130" s="832"/>
      <c r="G130" s="832"/>
      <c r="H130" s="949" t="str">
        <f t="shared" si="45"/>
        <v>NA</v>
      </c>
      <c r="I130" s="949" t="str">
        <f t="shared" si="48"/>
        <v>NA</v>
      </c>
      <c r="J130" s="949">
        <f t="shared" si="48"/>
        <v>0</v>
      </c>
      <c r="K130" s="949">
        <f t="shared" si="48"/>
        <v>0</v>
      </c>
      <c r="L130" s="949">
        <f t="shared" si="48"/>
        <v>0</v>
      </c>
      <c r="M130" s="949">
        <f t="shared" si="48"/>
        <v>0</v>
      </c>
      <c r="N130" s="949">
        <f t="shared" si="48"/>
        <v>0</v>
      </c>
      <c r="O130" s="949">
        <f t="shared" si="48"/>
        <v>0</v>
      </c>
      <c r="P130" s="949">
        <f t="shared" si="48"/>
        <v>0</v>
      </c>
      <c r="Q130" s="949">
        <f t="shared" si="48"/>
        <v>0</v>
      </c>
      <c r="R130" s="949">
        <f t="shared" si="48"/>
        <v>0</v>
      </c>
      <c r="S130" s="949">
        <f t="shared" si="48"/>
        <v>0</v>
      </c>
      <c r="T130" s="949">
        <f t="shared" si="48"/>
        <v>0</v>
      </c>
      <c r="U130" s="949">
        <f t="shared" si="48"/>
        <v>0</v>
      </c>
      <c r="V130" s="949">
        <f t="shared" si="48"/>
        <v>0</v>
      </c>
      <c r="W130" s="949">
        <f t="shared" si="48"/>
        <v>0</v>
      </c>
      <c r="AA130"/>
      <c r="AB130"/>
      <c r="AC130"/>
      <c r="AD130"/>
      <c r="AE130"/>
      <c r="AF130"/>
      <c r="AJ130" s="931"/>
    </row>
    <row r="131" spans="1:36" s="930" customFormat="1" outlineLevel="1">
      <c r="A131" s="925"/>
      <c r="B131" s="829">
        <f t="shared" ref="B131:B141" si="49">B130+1</f>
        <v>20</v>
      </c>
      <c r="C131" s="832" t="str">
        <f t="shared" si="47"/>
        <v>PV of Increase in forecast year 19 lease commitments</v>
      </c>
      <c r="D131" s="832"/>
      <c r="E131" s="832"/>
      <c r="F131" s="832"/>
      <c r="G131" s="832"/>
      <c r="H131" s="949" t="str">
        <f t="shared" si="45"/>
        <v>NA</v>
      </c>
      <c r="I131" s="949" t="str">
        <f t="shared" si="48"/>
        <v>NA</v>
      </c>
      <c r="J131" s="949">
        <f t="shared" si="48"/>
        <v>0</v>
      </c>
      <c r="K131" s="949">
        <f t="shared" si="48"/>
        <v>0</v>
      </c>
      <c r="L131" s="949">
        <f t="shared" si="48"/>
        <v>0</v>
      </c>
      <c r="M131" s="949">
        <f t="shared" si="48"/>
        <v>0</v>
      </c>
      <c r="N131" s="949">
        <f t="shared" si="48"/>
        <v>0</v>
      </c>
      <c r="O131" s="949">
        <f t="shared" si="48"/>
        <v>0</v>
      </c>
      <c r="P131" s="949">
        <f t="shared" si="48"/>
        <v>0</v>
      </c>
      <c r="Q131" s="949">
        <f t="shared" si="48"/>
        <v>0</v>
      </c>
      <c r="R131" s="949">
        <f t="shared" si="48"/>
        <v>0</v>
      </c>
      <c r="S131" s="949">
        <f t="shared" si="48"/>
        <v>0</v>
      </c>
      <c r="T131" s="949">
        <f t="shared" si="48"/>
        <v>0</v>
      </c>
      <c r="U131" s="949">
        <f t="shared" si="48"/>
        <v>0</v>
      </c>
      <c r="V131" s="949">
        <f t="shared" si="48"/>
        <v>0</v>
      </c>
      <c r="W131" s="949">
        <f t="shared" si="48"/>
        <v>0</v>
      </c>
      <c r="AA131"/>
      <c r="AB131"/>
      <c r="AC131"/>
      <c r="AD131"/>
      <c r="AE131"/>
      <c r="AF131"/>
      <c r="AJ131" s="931"/>
    </row>
    <row r="132" spans="1:36" s="930" customFormat="1" outlineLevel="1">
      <c r="A132" s="925"/>
      <c r="B132" s="829">
        <f t="shared" si="49"/>
        <v>21</v>
      </c>
      <c r="C132" s="832" t="str">
        <f t="shared" si="47"/>
        <v>PV of Increase in forecast year 20 lease commitments</v>
      </c>
      <c r="D132" s="832"/>
      <c r="E132" s="832"/>
      <c r="F132" s="832"/>
      <c r="G132" s="832"/>
      <c r="H132" s="949" t="str">
        <f t="shared" si="45"/>
        <v>NA</v>
      </c>
      <c r="I132" s="949" t="str">
        <f t="shared" si="48"/>
        <v>NA</v>
      </c>
      <c r="J132" s="949">
        <f t="shared" si="48"/>
        <v>0</v>
      </c>
      <c r="K132" s="949">
        <f t="shared" si="48"/>
        <v>0</v>
      </c>
      <c r="L132" s="949">
        <f t="shared" si="48"/>
        <v>0</v>
      </c>
      <c r="M132" s="949">
        <f t="shared" si="48"/>
        <v>0</v>
      </c>
      <c r="N132" s="949">
        <f t="shared" si="48"/>
        <v>0</v>
      </c>
      <c r="O132" s="949">
        <f t="shared" si="48"/>
        <v>0</v>
      </c>
      <c r="P132" s="949">
        <f t="shared" si="48"/>
        <v>0</v>
      </c>
      <c r="Q132" s="949">
        <f t="shared" si="48"/>
        <v>0</v>
      </c>
      <c r="R132" s="949">
        <f t="shared" si="48"/>
        <v>0</v>
      </c>
      <c r="S132" s="949">
        <f t="shared" si="48"/>
        <v>0</v>
      </c>
      <c r="T132" s="949">
        <f t="shared" si="48"/>
        <v>0</v>
      </c>
      <c r="U132" s="949">
        <f t="shared" si="48"/>
        <v>0</v>
      </c>
      <c r="V132" s="949">
        <f t="shared" si="48"/>
        <v>0</v>
      </c>
      <c r="W132" s="949">
        <f t="shared" si="48"/>
        <v>0</v>
      </c>
      <c r="AA132"/>
      <c r="AB132"/>
      <c r="AC132"/>
      <c r="AD132"/>
      <c r="AE132"/>
      <c r="AF132"/>
      <c r="AJ132" s="931"/>
    </row>
    <row r="133" spans="1:36" s="930" customFormat="1" outlineLevel="1">
      <c r="A133" s="925"/>
      <c r="B133" s="829">
        <f t="shared" si="49"/>
        <v>22</v>
      </c>
      <c r="C133" s="832" t="str">
        <f t="shared" si="47"/>
        <v>PV of Increase in forecast year 21 lease commitments</v>
      </c>
      <c r="D133" s="832"/>
      <c r="E133" s="832"/>
      <c r="F133" s="832"/>
      <c r="G133" s="832"/>
      <c r="H133" s="949" t="str">
        <f t="shared" si="45"/>
        <v>NA</v>
      </c>
      <c r="I133" s="949" t="str">
        <f t="shared" si="48"/>
        <v>NA</v>
      </c>
      <c r="J133" s="949">
        <f t="shared" si="48"/>
        <v>0</v>
      </c>
      <c r="K133" s="949">
        <f t="shared" si="48"/>
        <v>0</v>
      </c>
      <c r="L133" s="949">
        <f t="shared" si="48"/>
        <v>0</v>
      </c>
      <c r="M133" s="949">
        <f t="shared" si="48"/>
        <v>0</v>
      </c>
      <c r="N133" s="949">
        <f t="shared" si="48"/>
        <v>0</v>
      </c>
      <c r="O133" s="949">
        <f t="shared" si="48"/>
        <v>0</v>
      </c>
      <c r="P133" s="949">
        <f t="shared" si="48"/>
        <v>0</v>
      </c>
      <c r="Q133" s="949">
        <f t="shared" si="48"/>
        <v>0</v>
      </c>
      <c r="R133" s="949">
        <f t="shared" si="48"/>
        <v>0</v>
      </c>
      <c r="S133" s="949">
        <f t="shared" si="48"/>
        <v>0</v>
      </c>
      <c r="T133" s="949">
        <f t="shared" si="48"/>
        <v>0</v>
      </c>
      <c r="U133" s="949">
        <f t="shared" si="48"/>
        <v>0</v>
      </c>
      <c r="V133" s="949">
        <f t="shared" si="48"/>
        <v>0</v>
      </c>
      <c r="W133" s="949">
        <f t="shared" si="48"/>
        <v>0</v>
      </c>
      <c r="AA133"/>
      <c r="AB133"/>
      <c r="AC133"/>
      <c r="AD133"/>
      <c r="AE133"/>
      <c r="AF133"/>
      <c r="AJ133" s="931"/>
    </row>
    <row r="134" spans="1:36" s="930" customFormat="1" outlineLevel="1">
      <c r="A134" s="925"/>
      <c r="B134" s="829">
        <f t="shared" si="49"/>
        <v>23</v>
      </c>
      <c r="C134" s="832" t="str">
        <f t="shared" si="47"/>
        <v>PV of Increase in forecast year 22 lease commitments</v>
      </c>
      <c r="D134" s="832"/>
      <c r="E134" s="832"/>
      <c r="F134" s="832"/>
      <c r="G134" s="832"/>
      <c r="H134" s="949" t="str">
        <f t="shared" si="45"/>
        <v>NA</v>
      </c>
      <c r="I134" s="949" t="str">
        <f t="shared" si="48"/>
        <v>NA</v>
      </c>
      <c r="J134" s="949">
        <f t="shared" si="48"/>
        <v>0</v>
      </c>
      <c r="K134" s="949">
        <f t="shared" si="48"/>
        <v>0</v>
      </c>
      <c r="L134" s="949">
        <f t="shared" si="48"/>
        <v>0</v>
      </c>
      <c r="M134" s="949">
        <f t="shared" si="48"/>
        <v>0</v>
      </c>
      <c r="N134" s="949">
        <f t="shared" si="48"/>
        <v>0</v>
      </c>
      <c r="O134" s="949">
        <f t="shared" si="48"/>
        <v>0</v>
      </c>
      <c r="P134" s="949">
        <f t="shared" si="48"/>
        <v>0</v>
      </c>
      <c r="Q134" s="949">
        <f t="shared" si="48"/>
        <v>0</v>
      </c>
      <c r="R134" s="949">
        <f t="shared" si="48"/>
        <v>0</v>
      </c>
      <c r="S134" s="949">
        <f t="shared" si="48"/>
        <v>0</v>
      </c>
      <c r="T134" s="949">
        <f t="shared" si="48"/>
        <v>0</v>
      </c>
      <c r="U134" s="949">
        <f t="shared" si="48"/>
        <v>0</v>
      </c>
      <c r="V134" s="949">
        <f t="shared" si="48"/>
        <v>0</v>
      </c>
      <c r="W134" s="949">
        <f t="shared" si="48"/>
        <v>0</v>
      </c>
      <c r="AA134"/>
      <c r="AB134"/>
      <c r="AC134"/>
      <c r="AD134"/>
      <c r="AE134"/>
      <c r="AF134"/>
      <c r="AJ134" s="931"/>
    </row>
    <row r="135" spans="1:36" s="930" customFormat="1" outlineLevel="1">
      <c r="A135" s="925"/>
      <c r="B135" s="829">
        <f t="shared" si="49"/>
        <v>24</v>
      </c>
      <c r="C135" s="832" t="str">
        <f t="shared" si="47"/>
        <v>PV of Increase in forecast year 23 lease commitments</v>
      </c>
      <c r="D135" s="832"/>
      <c r="E135" s="832"/>
      <c r="F135" s="832"/>
      <c r="G135" s="832"/>
      <c r="H135" s="949" t="str">
        <f t="shared" si="45"/>
        <v>NA</v>
      </c>
      <c r="I135" s="949" t="str">
        <f t="shared" si="48"/>
        <v>NA</v>
      </c>
      <c r="J135" s="949">
        <f t="shared" si="48"/>
        <v>0</v>
      </c>
      <c r="K135" s="949">
        <f t="shared" si="48"/>
        <v>0</v>
      </c>
      <c r="L135" s="949">
        <f t="shared" si="48"/>
        <v>0</v>
      </c>
      <c r="M135" s="949">
        <f t="shared" si="48"/>
        <v>0</v>
      </c>
      <c r="N135" s="949">
        <f t="shared" si="48"/>
        <v>0</v>
      </c>
      <c r="O135" s="949">
        <f t="shared" si="48"/>
        <v>0</v>
      </c>
      <c r="P135" s="949">
        <f t="shared" si="48"/>
        <v>0</v>
      </c>
      <c r="Q135" s="949">
        <f t="shared" si="48"/>
        <v>0</v>
      </c>
      <c r="R135" s="949">
        <f t="shared" si="48"/>
        <v>0</v>
      </c>
      <c r="S135" s="949">
        <f t="shared" si="48"/>
        <v>0</v>
      </c>
      <c r="T135" s="949">
        <f t="shared" si="48"/>
        <v>0</v>
      </c>
      <c r="U135" s="949">
        <f t="shared" si="48"/>
        <v>0</v>
      </c>
      <c r="V135" s="949">
        <f t="shared" si="48"/>
        <v>0</v>
      </c>
      <c r="W135" s="949">
        <f t="shared" si="48"/>
        <v>0</v>
      </c>
      <c r="AA135"/>
      <c r="AB135"/>
      <c r="AC135"/>
      <c r="AD135"/>
      <c r="AE135"/>
      <c r="AF135"/>
      <c r="AJ135" s="931"/>
    </row>
    <row r="136" spans="1:36" s="930" customFormat="1" outlineLevel="1">
      <c r="A136" s="925"/>
      <c r="B136" s="829">
        <f t="shared" si="49"/>
        <v>25</v>
      </c>
      <c r="C136" s="832" t="str">
        <f t="shared" si="47"/>
        <v>PV of Increase in forecast year 24 lease commitments</v>
      </c>
      <c r="D136" s="832"/>
      <c r="E136" s="832"/>
      <c r="F136" s="832"/>
      <c r="G136" s="832"/>
      <c r="H136" s="949" t="str">
        <f t="shared" si="45"/>
        <v>NA</v>
      </c>
      <c r="I136" s="949" t="str">
        <f t="shared" si="48"/>
        <v>NA</v>
      </c>
      <c r="J136" s="949">
        <f t="shared" si="48"/>
        <v>0</v>
      </c>
      <c r="K136" s="949">
        <f t="shared" si="48"/>
        <v>0</v>
      </c>
      <c r="L136" s="949">
        <f t="shared" si="48"/>
        <v>0</v>
      </c>
      <c r="M136" s="949">
        <f t="shared" si="48"/>
        <v>0</v>
      </c>
      <c r="N136" s="949">
        <f t="shared" si="48"/>
        <v>0</v>
      </c>
      <c r="O136" s="949">
        <f t="shared" si="48"/>
        <v>0</v>
      </c>
      <c r="P136" s="949">
        <f t="shared" si="48"/>
        <v>0</v>
      </c>
      <c r="Q136" s="949">
        <f t="shared" si="48"/>
        <v>0</v>
      </c>
      <c r="R136" s="949">
        <f t="shared" si="48"/>
        <v>0</v>
      </c>
      <c r="S136" s="949">
        <f t="shared" si="48"/>
        <v>0</v>
      </c>
      <c r="T136" s="949">
        <f t="shared" si="48"/>
        <v>0</v>
      </c>
      <c r="U136" s="949">
        <f t="shared" si="48"/>
        <v>0</v>
      </c>
      <c r="V136" s="949">
        <f t="shared" si="48"/>
        <v>0</v>
      </c>
      <c r="W136" s="949">
        <f t="shared" si="48"/>
        <v>0</v>
      </c>
      <c r="AA136"/>
      <c r="AB136"/>
      <c r="AC136"/>
      <c r="AD136"/>
      <c r="AE136"/>
      <c r="AF136"/>
      <c r="AJ136" s="931"/>
    </row>
    <row r="137" spans="1:36" s="930" customFormat="1" outlineLevel="1">
      <c r="A137" s="925"/>
      <c r="B137" s="829">
        <f t="shared" si="49"/>
        <v>26</v>
      </c>
      <c r="C137" s="832" t="str">
        <f t="shared" si="47"/>
        <v>PV of Increase in forecast year 25 lease commitments</v>
      </c>
      <c r="D137" s="832"/>
      <c r="E137" s="832"/>
      <c r="F137" s="832"/>
      <c r="G137" s="832"/>
      <c r="H137" s="949" t="str">
        <f t="shared" si="45"/>
        <v>NA</v>
      </c>
      <c r="I137" s="949" t="str">
        <f t="shared" si="48"/>
        <v>NA</v>
      </c>
      <c r="J137" s="949">
        <f t="shared" si="48"/>
        <v>0</v>
      </c>
      <c r="K137" s="949">
        <f t="shared" si="48"/>
        <v>0</v>
      </c>
      <c r="L137" s="949">
        <f t="shared" si="48"/>
        <v>0</v>
      </c>
      <c r="M137" s="949">
        <f t="shared" si="48"/>
        <v>0</v>
      </c>
      <c r="N137" s="949">
        <f t="shared" si="48"/>
        <v>0</v>
      </c>
      <c r="O137" s="949">
        <f t="shared" si="48"/>
        <v>0</v>
      </c>
      <c r="P137" s="949">
        <f t="shared" si="48"/>
        <v>0</v>
      </c>
      <c r="Q137" s="949">
        <f t="shared" si="48"/>
        <v>0</v>
      </c>
      <c r="R137" s="949">
        <f t="shared" si="48"/>
        <v>0</v>
      </c>
      <c r="S137" s="949">
        <f t="shared" si="48"/>
        <v>0</v>
      </c>
      <c r="T137" s="949">
        <f t="shared" si="48"/>
        <v>0</v>
      </c>
      <c r="U137" s="949">
        <f t="shared" si="48"/>
        <v>0</v>
      </c>
      <c r="V137" s="949">
        <f t="shared" si="48"/>
        <v>0</v>
      </c>
      <c r="W137" s="949">
        <f t="shared" si="48"/>
        <v>0</v>
      </c>
      <c r="AA137"/>
      <c r="AB137"/>
      <c r="AC137"/>
      <c r="AD137"/>
      <c r="AE137"/>
      <c r="AF137"/>
      <c r="AJ137" s="931"/>
    </row>
    <row r="138" spans="1:36" s="930" customFormat="1" outlineLevel="1">
      <c r="A138" s="925"/>
      <c r="B138" s="829">
        <f t="shared" si="49"/>
        <v>27</v>
      </c>
      <c r="C138" s="832" t="str">
        <f t="shared" si="47"/>
        <v>PV of Increase in forecast year 26 lease commitments</v>
      </c>
      <c r="D138" s="832"/>
      <c r="E138" s="832"/>
      <c r="F138" s="832"/>
      <c r="G138" s="832"/>
      <c r="H138" s="949" t="str">
        <f t="shared" si="45"/>
        <v>NA</v>
      </c>
      <c r="I138" s="949" t="str">
        <f t="shared" si="48"/>
        <v>NA</v>
      </c>
      <c r="J138" s="949">
        <f t="shared" si="48"/>
        <v>0</v>
      </c>
      <c r="K138" s="949">
        <f t="shared" si="48"/>
        <v>0</v>
      </c>
      <c r="L138" s="949">
        <f t="shared" si="48"/>
        <v>0</v>
      </c>
      <c r="M138" s="949">
        <f t="shared" si="48"/>
        <v>0</v>
      </c>
      <c r="N138" s="949">
        <f t="shared" si="48"/>
        <v>0</v>
      </c>
      <c r="O138" s="949">
        <f t="shared" si="48"/>
        <v>0</v>
      </c>
      <c r="P138" s="949">
        <f t="shared" si="48"/>
        <v>0</v>
      </c>
      <c r="Q138" s="949">
        <f t="shared" si="48"/>
        <v>0</v>
      </c>
      <c r="R138" s="949">
        <f t="shared" si="48"/>
        <v>0</v>
      </c>
      <c r="S138" s="949">
        <f t="shared" si="48"/>
        <v>0</v>
      </c>
      <c r="T138" s="949">
        <f t="shared" si="48"/>
        <v>0</v>
      </c>
      <c r="U138" s="949">
        <f t="shared" si="48"/>
        <v>0</v>
      </c>
      <c r="V138" s="949">
        <f t="shared" si="48"/>
        <v>0</v>
      </c>
      <c r="W138" s="949">
        <f t="shared" si="48"/>
        <v>0</v>
      </c>
      <c r="AA138"/>
      <c r="AB138"/>
      <c r="AC138"/>
      <c r="AD138"/>
      <c r="AE138"/>
      <c r="AF138"/>
      <c r="AJ138" s="931"/>
    </row>
    <row r="139" spans="1:36" s="930" customFormat="1" outlineLevel="1">
      <c r="A139" s="925"/>
      <c r="B139" s="829">
        <f t="shared" si="49"/>
        <v>28</v>
      </c>
      <c r="C139" s="832" t="str">
        <f t="shared" si="47"/>
        <v>PV of Increase in forecast year 27 lease commitments</v>
      </c>
      <c r="D139" s="832"/>
      <c r="E139" s="832"/>
      <c r="F139" s="832"/>
      <c r="G139" s="832"/>
      <c r="H139" s="949" t="str">
        <f t="shared" si="45"/>
        <v>NA</v>
      </c>
      <c r="I139" s="949" t="str">
        <f t="shared" si="48"/>
        <v>NA</v>
      </c>
      <c r="J139" s="949">
        <f t="shared" si="48"/>
        <v>0</v>
      </c>
      <c r="K139" s="949">
        <f t="shared" si="48"/>
        <v>0</v>
      </c>
      <c r="L139" s="949">
        <f t="shared" si="48"/>
        <v>0</v>
      </c>
      <c r="M139" s="949">
        <f t="shared" si="48"/>
        <v>0</v>
      </c>
      <c r="N139" s="949">
        <f t="shared" si="48"/>
        <v>0</v>
      </c>
      <c r="O139" s="949">
        <f t="shared" si="48"/>
        <v>0</v>
      </c>
      <c r="P139" s="949">
        <f t="shared" si="48"/>
        <v>0</v>
      </c>
      <c r="Q139" s="949">
        <f t="shared" si="48"/>
        <v>0</v>
      </c>
      <c r="R139" s="949">
        <f t="shared" si="48"/>
        <v>0</v>
      </c>
      <c r="S139" s="949">
        <f t="shared" si="48"/>
        <v>0</v>
      </c>
      <c r="T139" s="949">
        <f t="shared" si="48"/>
        <v>0</v>
      </c>
      <c r="U139" s="949">
        <f t="shared" si="48"/>
        <v>0</v>
      </c>
      <c r="V139" s="949">
        <f t="shared" si="48"/>
        <v>0</v>
      </c>
      <c r="W139" s="949">
        <f t="shared" si="48"/>
        <v>0</v>
      </c>
      <c r="AA139"/>
      <c r="AB139"/>
      <c r="AC139"/>
      <c r="AD139"/>
      <c r="AE139"/>
      <c r="AF139"/>
      <c r="AJ139" s="931"/>
    </row>
    <row r="140" spans="1:36" s="930" customFormat="1" outlineLevel="1">
      <c r="A140" s="925"/>
      <c r="B140" s="829">
        <f t="shared" si="49"/>
        <v>29</v>
      </c>
      <c r="C140" s="832" t="str">
        <f t="shared" si="47"/>
        <v>PV of Increase in forecast year 28 lease commitments</v>
      </c>
      <c r="D140" s="832"/>
      <c r="E140" s="832"/>
      <c r="F140" s="832"/>
      <c r="G140" s="832"/>
      <c r="H140" s="949" t="str">
        <f t="shared" si="45"/>
        <v>NA</v>
      </c>
      <c r="I140" s="949" t="str">
        <f t="shared" si="48"/>
        <v>NA</v>
      </c>
      <c r="J140" s="949">
        <f t="shared" si="48"/>
        <v>0</v>
      </c>
      <c r="K140" s="949">
        <f t="shared" si="48"/>
        <v>0</v>
      </c>
      <c r="L140" s="949">
        <f t="shared" si="48"/>
        <v>0</v>
      </c>
      <c r="M140" s="949">
        <f t="shared" si="48"/>
        <v>0</v>
      </c>
      <c r="N140" s="949">
        <f t="shared" si="48"/>
        <v>0</v>
      </c>
      <c r="O140" s="949">
        <f t="shared" si="48"/>
        <v>0</v>
      </c>
      <c r="P140" s="949">
        <f t="shared" si="48"/>
        <v>0</v>
      </c>
      <c r="Q140" s="949">
        <f t="shared" si="48"/>
        <v>0</v>
      </c>
      <c r="R140" s="949">
        <f t="shared" si="48"/>
        <v>0</v>
      </c>
      <c r="S140" s="949">
        <f t="shared" si="48"/>
        <v>0</v>
      </c>
      <c r="T140" s="949">
        <f t="shared" si="48"/>
        <v>0</v>
      </c>
      <c r="U140" s="949">
        <f t="shared" si="48"/>
        <v>0</v>
      </c>
      <c r="V140" s="949">
        <f t="shared" si="48"/>
        <v>0</v>
      </c>
      <c r="W140" s="949">
        <f t="shared" si="48"/>
        <v>0</v>
      </c>
      <c r="AA140"/>
      <c r="AB140"/>
      <c r="AC140"/>
      <c r="AD140"/>
      <c r="AE140"/>
      <c r="AF140"/>
      <c r="AJ140" s="931"/>
    </row>
    <row r="141" spans="1:36" s="930" customFormat="1" outlineLevel="1">
      <c r="A141" s="925"/>
      <c r="B141" s="829">
        <f t="shared" si="49"/>
        <v>30</v>
      </c>
      <c r="C141" s="832" t="str">
        <f t="shared" si="47"/>
        <v>PV of Increase in forecast year 29 lease commitments</v>
      </c>
      <c r="D141" s="832"/>
      <c r="E141" s="832"/>
      <c r="F141" s="832"/>
      <c r="G141" s="832"/>
      <c r="H141" s="949" t="str">
        <f t="shared" si="45"/>
        <v>NA</v>
      </c>
      <c r="I141" s="949" t="str">
        <f t="shared" si="48"/>
        <v>NA</v>
      </c>
      <c r="J141" s="949">
        <f t="shared" si="48"/>
        <v>0</v>
      </c>
      <c r="K141" s="949">
        <f t="shared" si="48"/>
        <v>0</v>
      </c>
      <c r="L141" s="949">
        <f t="shared" si="48"/>
        <v>0</v>
      </c>
      <c r="M141" s="949">
        <f t="shared" si="48"/>
        <v>0</v>
      </c>
      <c r="N141" s="949">
        <f t="shared" si="48"/>
        <v>0</v>
      </c>
      <c r="O141" s="949">
        <f t="shared" si="48"/>
        <v>0</v>
      </c>
      <c r="P141" s="949">
        <f t="shared" si="48"/>
        <v>0</v>
      </c>
      <c r="Q141" s="949">
        <f t="shared" si="48"/>
        <v>0</v>
      </c>
      <c r="R141" s="949">
        <f t="shared" si="48"/>
        <v>0</v>
      </c>
      <c r="S141" s="949">
        <f t="shared" si="48"/>
        <v>0</v>
      </c>
      <c r="T141" s="949">
        <f t="shared" si="48"/>
        <v>0</v>
      </c>
      <c r="U141" s="949">
        <f t="shared" si="48"/>
        <v>0</v>
      </c>
      <c r="V141" s="949">
        <f t="shared" si="48"/>
        <v>0</v>
      </c>
      <c r="W141" s="949">
        <f t="shared" si="48"/>
        <v>0</v>
      </c>
      <c r="AA141"/>
      <c r="AB141"/>
      <c r="AC141"/>
      <c r="AD141"/>
      <c r="AE141"/>
      <c r="AF141"/>
      <c r="AJ141" s="931"/>
    </row>
    <row r="142" spans="1:36" s="930" customFormat="1" outlineLevel="1">
      <c r="A142" s="925"/>
      <c r="B142" s="953"/>
      <c r="C142" s="832"/>
      <c r="D142" s="832"/>
      <c r="E142" s="832"/>
      <c r="F142" s="832"/>
      <c r="G142" s="832"/>
      <c r="H142" s="841"/>
      <c r="I142" s="841"/>
      <c r="J142" s="954"/>
      <c r="K142" s="954"/>
      <c r="L142" s="954"/>
      <c r="M142" s="954"/>
      <c r="N142" s="954"/>
      <c r="O142" s="954"/>
      <c r="P142" s="954"/>
      <c r="Q142" s="954"/>
      <c r="R142" s="954"/>
      <c r="S142" s="954"/>
      <c r="T142" s="954"/>
      <c r="U142" s="954"/>
      <c r="V142" s="954"/>
      <c r="W142" s="954"/>
      <c r="AA142"/>
      <c r="AB142"/>
      <c r="AC142"/>
      <c r="AD142"/>
      <c r="AE142"/>
      <c r="AF142"/>
      <c r="AJ142" s="931"/>
    </row>
    <row r="143" spans="1:36" s="942" customFormat="1" outlineLevel="1">
      <c r="A143" s="940"/>
      <c r="B143" s="851"/>
      <c r="C143" s="832" t="s">
        <v>243</v>
      </c>
      <c r="D143" s="832"/>
      <c r="E143" s="832"/>
      <c r="F143" s="832"/>
      <c r="G143" s="832"/>
      <c r="H143" s="841">
        <f t="shared" ref="H143:W143" si="50">SUM(H112:H142)</f>
        <v>7733.3290450598452</v>
      </c>
      <c r="I143" s="841">
        <f t="shared" si="50"/>
        <v>-667.00842118579135</v>
      </c>
      <c r="J143" s="954">
        <f t="shared" si="50"/>
        <v>-259.45352459922947</v>
      </c>
      <c r="K143" s="954">
        <f t="shared" si="50"/>
        <v>1322.2660202201018</v>
      </c>
      <c r="L143" s="954">
        <f t="shared" si="50"/>
        <v>1476.4518637845977</v>
      </c>
      <c r="M143" s="954">
        <f t="shared" si="50"/>
        <v>2455.6015229424402</v>
      </c>
      <c r="N143" s="954">
        <f t="shared" si="50"/>
        <v>1089.3512811811265</v>
      </c>
      <c r="O143" s="954">
        <f t="shared" si="50"/>
        <v>1201.7419476078512</v>
      </c>
      <c r="P143" s="954">
        <f t="shared" si="50"/>
        <v>1304.8436194316776</v>
      </c>
      <c r="Q143" s="954">
        <f t="shared" si="50"/>
        <v>1406.8494652171178</v>
      </c>
      <c r="R143" s="954">
        <f t="shared" si="50"/>
        <v>1434.98645452146</v>
      </c>
      <c r="S143" s="954">
        <f t="shared" si="50"/>
        <v>1463.6861836118892</v>
      </c>
      <c r="T143" s="954">
        <f t="shared" si="50"/>
        <v>1492.959907284127</v>
      </c>
      <c r="U143" s="954">
        <f t="shared" si="50"/>
        <v>1522.81910542981</v>
      </c>
      <c r="V143" s="954">
        <f t="shared" si="50"/>
        <v>1553.275487538406</v>
      </c>
      <c r="W143" s="954">
        <f t="shared" si="50"/>
        <v>1584.3409972891741</v>
      </c>
      <c r="AA143"/>
      <c r="AB143"/>
      <c r="AC143"/>
      <c r="AD143"/>
      <c r="AE143"/>
      <c r="AF143"/>
      <c r="AJ143" s="931"/>
    </row>
    <row r="144" spans="1:36">
      <c r="C144" s="955"/>
      <c r="D144" s="955"/>
      <c r="E144" s="955"/>
      <c r="F144" s="955"/>
      <c r="G144" s="955"/>
      <c r="H144" s="875"/>
      <c r="I144" s="875"/>
      <c r="J144" s="875"/>
      <c r="K144" s="875"/>
      <c r="L144" s="875"/>
      <c r="M144" s="875"/>
      <c r="N144" s="875"/>
      <c r="O144" s="875"/>
      <c r="P144" s="875"/>
      <c r="Q144" s="875"/>
      <c r="R144" s="875"/>
      <c r="S144" s="875"/>
      <c r="T144" s="875"/>
      <c r="U144" s="875"/>
      <c r="V144" s="875"/>
      <c r="W144" s="875"/>
    </row>
    <row r="145" spans="1:36">
      <c r="H145" s="875"/>
      <c r="I145" s="875"/>
      <c r="J145" s="956"/>
      <c r="K145" s="875"/>
      <c r="L145" s="875"/>
      <c r="M145" s="875"/>
      <c r="N145" s="875"/>
      <c r="O145" s="875"/>
      <c r="P145" s="875"/>
      <c r="Q145" s="875"/>
      <c r="R145" s="875"/>
      <c r="S145" s="875"/>
      <c r="T145" s="875"/>
      <c r="U145" s="875"/>
      <c r="V145" s="875"/>
      <c r="W145" s="875"/>
    </row>
    <row r="146" spans="1:36">
      <c r="H146" s="875"/>
      <c r="I146" s="875"/>
      <c r="J146" s="875"/>
      <c r="K146" s="875"/>
      <c r="L146" s="875"/>
      <c r="M146" s="875"/>
      <c r="N146" s="875"/>
      <c r="O146" s="875"/>
      <c r="P146" s="875"/>
      <c r="Q146" s="875"/>
      <c r="R146" s="875"/>
      <c r="T146" s="831"/>
      <c r="U146" s="831"/>
      <c r="V146" s="831"/>
      <c r="W146" s="831"/>
    </row>
    <row r="147" spans="1:36" ht="12.75" customHeight="1" outlineLevel="1">
      <c r="C147" s="880" t="s">
        <v>244</v>
      </c>
      <c r="D147" s="880"/>
      <c r="E147" s="880"/>
      <c r="F147" s="880"/>
      <c r="G147" s="880"/>
      <c r="H147" s="448">
        <f t="shared" ref="H147:W147" si="51">H110</f>
        <v>39813</v>
      </c>
      <c r="I147" s="448">
        <f t="shared" si="51"/>
        <v>40178</v>
      </c>
      <c r="J147" s="448">
        <f t="shared" si="51"/>
        <v>40543</v>
      </c>
      <c r="K147" s="448">
        <f t="shared" si="51"/>
        <v>40908</v>
      </c>
      <c r="L147" s="448">
        <f t="shared" si="51"/>
        <v>41274</v>
      </c>
      <c r="M147" s="448">
        <f t="shared" si="51"/>
        <v>41639</v>
      </c>
      <c r="N147" s="448">
        <f t="shared" si="51"/>
        <v>42004</v>
      </c>
      <c r="O147" s="448">
        <f t="shared" si="51"/>
        <v>42369</v>
      </c>
      <c r="P147" s="448">
        <f t="shared" si="51"/>
        <v>42735</v>
      </c>
      <c r="Q147" s="448">
        <f t="shared" si="51"/>
        <v>43100</v>
      </c>
      <c r="R147" s="448">
        <f t="shared" si="51"/>
        <v>43465</v>
      </c>
      <c r="S147" s="448">
        <f t="shared" si="51"/>
        <v>43830</v>
      </c>
      <c r="T147" s="448">
        <f t="shared" si="51"/>
        <v>44196</v>
      </c>
      <c r="U147" s="448">
        <f t="shared" si="51"/>
        <v>44561</v>
      </c>
      <c r="V147" s="448">
        <f t="shared" si="51"/>
        <v>44926</v>
      </c>
      <c r="W147" s="448">
        <f t="shared" si="51"/>
        <v>45291</v>
      </c>
    </row>
    <row r="148" spans="1:36" ht="11.25" customHeight="1" outlineLevel="1">
      <c r="H148" s="858"/>
      <c r="I148" s="858"/>
      <c r="J148" s="858"/>
      <c r="K148" s="858"/>
      <c r="L148" s="858"/>
      <c r="M148" s="858"/>
      <c r="N148" s="858"/>
      <c r="O148" s="442"/>
      <c r="P148" s="442"/>
      <c r="Q148" s="442"/>
      <c r="R148" s="442"/>
      <c r="S148" s="442"/>
      <c r="T148" s="442"/>
      <c r="U148" s="442"/>
      <c r="V148" s="442"/>
      <c r="W148" s="442"/>
    </row>
    <row r="149" spans="1:36" s="821" customFormat="1" ht="11.25" customHeight="1" outlineLevel="1">
      <c r="A149" s="816"/>
      <c r="C149" s="818" t="s">
        <v>245</v>
      </c>
      <c r="D149" s="818"/>
      <c r="E149" s="818"/>
      <c r="F149" s="818"/>
      <c r="G149" s="818"/>
      <c r="H149" s="957">
        <f t="shared" ref="H149:N149" si="52">H70</f>
        <v>10</v>
      </c>
      <c r="I149" s="958">
        <f t="shared" si="52"/>
        <v>10</v>
      </c>
      <c r="J149" s="958">
        <f t="shared" si="52"/>
        <v>10</v>
      </c>
      <c r="K149" s="958">
        <f t="shared" si="52"/>
        <v>10</v>
      </c>
      <c r="L149" s="958">
        <f t="shared" si="52"/>
        <v>10</v>
      </c>
      <c r="M149" s="958">
        <f t="shared" si="52"/>
        <v>10</v>
      </c>
      <c r="N149" s="958">
        <f t="shared" si="52"/>
        <v>10</v>
      </c>
      <c r="O149" s="958">
        <f t="shared" ref="O149:W149" si="53">N149</f>
        <v>10</v>
      </c>
      <c r="P149" s="958">
        <f t="shared" si="53"/>
        <v>10</v>
      </c>
      <c r="Q149" s="958">
        <f t="shared" si="53"/>
        <v>10</v>
      </c>
      <c r="R149" s="958">
        <f t="shared" si="53"/>
        <v>10</v>
      </c>
      <c r="S149" s="958">
        <f t="shared" si="53"/>
        <v>10</v>
      </c>
      <c r="T149" s="958">
        <f t="shared" si="53"/>
        <v>10</v>
      </c>
      <c r="U149" s="958">
        <f t="shared" si="53"/>
        <v>10</v>
      </c>
      <c r="V149" s="958">
        <f t="shared" si="53"/>
        <v>10</v>
      </c>
      <c r="W149" s="958">
        <f t="shared" si="53"/>
        <v>10</v>
      </c>
      <c r="AA149"/>
      <c r="AB149"/>
      <c r="AC149"/>
      <c r="AD149"/>
      <c r="AE149"/>
      <c r="AF149"/>
      <c r="AJ149" s="827"/>
    </row>
    <row r="150" spans="1:36" s="821" customFormat="1" ht="11.25" customHeight="1" outlineLevel="1">
      <c r="A150" s="816"/>
      <c r="C150" s="818" t="s">
        <v>246</v>
      </c>
      <c r="D150" s="849"/>
      <c r="E150" s="849"/>
      <c r="F150" s="849"/>
      <c r="G150" s="849"/>
      <c r="H150" s="870">
        <v>0</v>
      </c>
      <c r="I150" s="959"/>
      <c r="J150" s="959"/>
      <c r="K150" s="958"/>
      <c r="L150" s="958"/>
      <c r="M150" s="958"/>
      <c r="N150" s="958"/>
      <c r="O150" s="958"/>
      <c r="P150" s="958"/>
      <c r="Q150" s="958"/>
      <c r="R150" s="958"/>
      <c r="S150" s="958"/>
      <c r="T150" s="958"/>
      <c r="U150" s="958"/>
      <c r="V150" s="958"/>
      <c r="W150" s="958"/>
      <c r="AA150"/>
      <c r="AB150"/>
      <c r="AC150"/>
      <c r="AD150"/>
      <c r="AE150"/>
      <c r="AF150"/>
      <c r="AJ150" s="827"/>
    </row>
    <row r="151" spans="1:36" s="821" customFormat="1" ht="11.25" customHeight="1" outlineLevel="1">
      <c r="A151" s="816"/>
      <c r="C151" s="818" t="s">
        <v>247</v>
      </c>
      <c r="D151" s="849"/>
      <c r="E151" s="849"/>
      <c r="F151" s="849"/>
      <c r="G151" s="849"/>
      <c r="H151" s="960">
        <v>0.98</v>
      </c>
      <c r="AA151"/>
      <c r="AB151"/>
      <c r="AC151"/>
      <c r="AD151"/>
      <c r="AE151"/>
      <c r="AF151"/>
      <c r="AJ151" s="827"/>
    </row>
    <row r="152" spans="1:36" s="818" customFormat="1" ht="11.25" customHeight="1" outlineLevel="1">
      <c r="A152" s="961"/>
      <c r="C152" s="818" t="s">
        <v>248</v>
      </c>
      <c r="H152" s="962">
        <v>2</v>
      </c>
      <c r="AA152"/>
      <c r="AB152"/>
      <c r="AC152"/>
      <c r="AD152"/>
      <c r="AE152"/>
      <c r="AF152"/>
      <c r="AJ152" s="827"/>
    </row>
    <row r="153" spans="1:36" s="818" customFormat="1" ht="11.25" customHeight="1" outlineLevel="1">
      <c r="A153" s="961"/>
      <c r="C153" s="818" t="s">
        <v>249</v>
      </c>
      <c r="H153" s="963">
        <f>H24*(1-H150)</f>
        <v>5416.6063547978702</v>
      </c>
      <c r="I153" s="963">
        <f t="shared" ref="I153:W153" si="54">I143*(1-$H$150)</f>
        <v>-667.00842118579135</v>
      </c>
      <c r="J153" s="963">
        <f t="shared" si="54"/>
        <v>-259.45352459922947</v>
      </c>
      <c r="K153" s="963">
        <f t="shared" si="54"/>
        <v>1322.2660202201018</v>
      </c>
      <c r="L153" s="963">
        <f t="shared" si="54"/>
        <v>1476.4518637845977</v>
      </c>
      <c r="M153" s="963">
        <f t="shared" si="54"/>
        <v>2455.6015229424402</v>
      </c>
      <c r="N153" s="963">
        <f t="shared" si="54"/>
        <v>1089.3512811811265</v>
      </c>
      <c r="O153" s="963">
        <f t="shared" si="54"/>
        <v>1201.7419476078512</v>
      </c>
      <c r="P153" s="963">
        <f t="shared" si="54"/>
        <v>1304.8436194316776</v>
      </c>
      <c r="Q153" s="963">
        <f t="shared" si="54"/>
        <v>1406.8494652171178</v>
      </c>
      <c r="R153" s="963">
        <f t="shared" si="54"/>
        <v>1434.98645452146</v>
      </c>
      <c r="S153" s="963">
        <f t="shared" si="54"/>
        <v>1463.6861836118892</v>
      </c>
      <c r="T153" s="963">
        <f t="shared" si="54"/>
        <v>1492.959907284127</v>
      </c>
      <c r="U153" s="963">
        <f t="shared" si="54"/>
        <v>1522.81910542981</v>
      </c>
      <c r="V153" s="963">
        <f t="shared" si="54"/>
        <v>1553.275487538406</v>
      </c>
      <c r="W153" s="963">
        <f t="shared" si="54"/>
        <v>1584.3409972891741</v>
      </c>
      <c r="AA153"/>
      <c r="AB153"/>
      <c r="AC153"/>
      <c r="AD153"/>
      <c r="AE153"/>
      <c r="AF153"/>
      <c r="AJ153" s="827"/>
    </row>
    <row r="154" spans="1:36" s="818" customFormat="1" ht="11.25" customHeight="1" outlineLevel="1">
      <c r="A154" s="961"/>
      <c r="B154" s="963"/>
      <c r="C154" s="818" t="s">
        <v>250</v>
      </c>
      <c r="H154" s="964">
        <f>$H$24/$H$149*H152*(1-H150)</f>
        <v>1083.3212709595741</v>
      </c>
      <c r="I154" s="965">
        <f>IF(SUM($H154:H154)+H154*$H$151&lt;$H$153,H154*$H$151,$H$153-SUM($H154:H154))</f>
        <v>1061.6548455403827</v>
      </c>
      <c r="J154" s="965">
        <f>IF(SUM($H154:I154)+I154*$H$151&lt;$H$153,I154*$H$151,$H$153-SUM($H154:I154))</f>
        <v>1040.4217486295749</v>
      </c>
      <c r="K154" s="965">
        <f>IF(SUM($H154:J154)+J154*$H$151&lt;$H$153,J154*$H$151,$H$153-SUM($H154:J154))</f>
        <v>1019.6133136569835</v>
      </c>
      <c r="L154" s="965">
        <f>IF(SUM($H154:K154)+K154*$H$151&lt;$H$153,K154*$H$151,$H$153-SUM($H154:K154))</f>
        <v>999.22104738384371</v>
      </c>
      <c r="M154" s="965">
        <f>IF(SUM($H154:L154)+L154*$H$151&lt;$H$153,L154*$H$151,$H$153-SUM($H154:L154))</f>
        <v>212.3741286275108</v>
      </c>
      <c r="N154" s="965">
        <f>IF(SUM($H154:M154)+M154*$H$151&lt;$H$153,M154*$H$151,$H$153-SUM($H154:M154))</f>
        <v>0</v>
      </c>
      <c r="O154" s="965">
        <f>IF(SUM($H154:N154)+N154*$H$151&lt;$H$153,N154*$H$151,$H$153-SUM($H154:N154))</f>
        <v>0</v>
      </c>
      <c r="P154" s="965">
        <f>IF(SUM($H154:O154)+O154*$H$151&lt;$H$153,O154*$H$151,$H$153-SUM($H154:O154))</f>
        <v>0</v>
      </c>
      <c r="Q154" s="965">
        <f>IF(SUM($H154:P154)+P154*$H$151&lt;$H$153,P154*$H$151,$H$153-SUM($H154:P154))</f>
        <v>0</v>
      </c>
      <c r="R154" s="965">
        <f>IF(SUM($H154:Q154)+Q154*$H$151&lt;$H$153,Q154*$H$151,$H$153-SUM($H154:Q154))</f>
        <v>0</v>
      </c>
      <c r="S154" s="965">
        <f>IF(SUM($H154:R154)+R154*$H$151&lt;$H$153,R154*$H$151,$H$153-SUM($H154:R154))</f>
        <v>0</v>
      </c>
      <c r="T154" s="965">
        <f>IF(SUM($H154:S154)+S154*$H$151&lt;$H$153,S154*$H$151,$H$153-SUM($H154:S154))</f>
        <v>0</v>
      </c>
      <c r="U154" s="965">
        <f>IF(SUM($H154:T154)+T154*$H$151&lt;$H$153,T154*$H$151,$H$153-SUM($H154:T154))</f>
        <v>0</v>
      </c>
      <c r="V154" s="965">
        <f>IF(SUM($H154:U154)+U154*$H$151&lt;$H$153,U154*$H$151,$H$153-SUM($H154:U154))</f>
        <v>0</v>
      </c>
      <c r="W154" s="965">
        <f>IF(SUM($H154:V154)+V154*$H$151&lt;$H$153,V154*$H$151,$H$153-SUM($H154:V154))</f>
        <v>0</v>
      </c>
      <c r="AA154"/>
      <c r="AB154"/>
      <c r="AC154"/>
      <c r="AD154"/>
      <c r="AE154"/>
      <c r="AF154"/>
      <c r="AJ154" s="827"/>
    </row>
    <row r="155" spans="1:36" s="821" customFormat="1" ht="11.25" customHeight="1" outlineLevel="1">
      <c r="A155" s="816"/>
      <c r="B155" s="958"/>
      <c r="C155" s="966">
        <f t="array" ref="C155:C169">TRANSPOSE(H147:W147)</f>
        <v>39813</v>
      </c>
      <c r="D155" s="843"/>
      <c r="E155" s="843"/>
      <c r="F155" s="843"/>
      <c r="G155" s="843"/>
      <c r="H155" s="967"/>
      <c r="I155" s="967">
        <f>I$22/I$149*(1-$H$150)</f>
        <v>-66.700842118579132</v>
      </c>
      <c r="J155" s="967">
        <f>(IF(COUNT($I155:I155)&lt;$I$149,I155,0))</f>
        <v>-66.700842118579132</v>
      </c>
      <c r="K155" s="967">
        <f>(IF(COUNT($I155:J155)&lt;$I$149,J155,0))</f>
        <v>-66.700842118579132</v>
      </c>
      <c r="L155" s="967">
        <f>(IF(COUNT($I155:K155)&lt;$I$149,K155,0))</f>
        <v>-66.700842118579132</v>
      </c>
      <c r="M155" s="967">
        <f>(IF(COUNT($I155:L155)&lt;$I$149,L155,0))</f>
        <v>-66.700842118579132</v>
      </c>
      <c r="N155" s="967">
        <f>(IF(COUNT($I155:M155)&lt;$I$149,M155,0))</f>
        <v>-66.700842118579132</v>
      </c>
      <c r="O155" s="967">
        <f>(IF(COUNT($I155:N155)&lt;$I$149,N155,0))</f>
        <v>-66.700842118579132</v>
      </c>
      <c r="P155" s="967">
        <f>(IF(COUNT($I155:O155)&lt;$I$149,O155,0))</f>
        <v>-66.700842118579132</v>
      </c>
      <c r="Q155" s="967">
        <f>(IF(COUNT($I155:P155)&lt;$I$149,P155,0))</f>
        <v>-66.700842118579132</v>
      </c>
      <c r="R155" s="967">
        <f>(IF(COUNT($I155:Q155)&lt;$I$149,Q155,0))</f>
        <v>-66.700842118579132</v>
      </c>
      <c r="S155" s="967">
        <f>(IF(COUNT($I155:R155)&lt;$I$149,R155,0))</f>
        <v>0</v>
      </c>
      <c r="T155" s="967">
        <f>(IF(COUNT($I155:S155)&lt;$I$149,S155,0))</f>
        <v>0</v>
      </c>
      <c r="U155" s="967">
        <f>(IF(COUNT($I155:T155)&lt;$I$149,T155,0))</f>
        <v>0</v>
      </c>
      <c r="V155" s="967">
        <f>(IF(COUNT($I155:U155)&lt;$I$149,U155,0))</f>
        <v>0</v>
      </c>
      <c r="W155" s="967">
        <f>(IF(COUNT($I155:V155)&lt;$I$149,V155,0))</f>
        <v>0</v>
      </c>
      <c r="X155" s="967"/>
      <c r="Y155" s="967"/>
      <c r="Z155" s="967"/>
      <c r="AA155"/>
      <c r="AB155"/>
      <c r="AC155"/>
      <c r="AD155"/>
      <c r="AE155"/>
      <c r="AF155"/>
      <c r="AJ155" s="827"/>
    </row>
    <row r="156" spans="1:36" s="821" customFormat="1" ht="11.25" customHeight="1" outlineLevel="1">
      <c r="A156" s="816"/>
      <c r="B156" s="958"/>
      <c r="C156" s="966">
        <v>40178</v>
      </c>
      <c r="D156" s="843"/>
      <c r="E156" s="843"/>
      <c r="F156" s="843"/>
      <c r="G156" s="843"/>
      <c r="H156" s="967"/>
      <c r="I156" s="967"/>
      <c r="J156" s="967">
        <f>J$22/J$149*(1-$H$150)</f>
        <v>-25.945352459922947</v>
      </c>
      <c r="K156" s="967">
        <f>(IF(COUNT($J156:J156)&lt;$J$149,J156,0))</f>
        <v>-25.945352459922947</v>
      </c>
      <c r="L156" s="967">
        <f>(IF(COUNT($J156:K156)&lt;$J$149,K156,0))</f>
        <v>-25.945352459922947</v>
      </c>
      <c r="M156" s="967">
        <f>(IF(COUNT($J156:L156)&lt;$J$149,L156,0))</f>
        <v>-25.945352459922947</v>
      </c>
      <c r="N156" s="967">
        <f>(IF(COUNT($J156:M156)&lt;$J$149,M156,0))</f>
        <v>-25.945352459922947</v>
      </c>
      <c r="O156" s="967">
        <f>(IF(COUNT($J156:N156)&lt;$J$149,N156,0))</f>
        <v>-25.945352459922947</v>
      </c>
      <c r="P156" s="967">
        <f>(IF(COUNT($J156:O156)&lt;$J$149,O156,0))</f>
        <v>-25.945352459922947</v>
      </c>
      <c r="Q156" s="967">
        <f>(IF(COUNT($J156:P156)&lt;$J$149,P156,0))</f>
        <v>-25.945352459922947</v>
      </c>
      <c r="R156" s="967">
        <f>(IF(COUNT($J156:Q156)&lt;$J$149,Q156,0))</f>
        <v>-25.945352459922947</v>
      </c>
      <c r="S156" s="967">
        <f>(IF(COUNT($J156:R156)&lt;$J$149,R156,0))</f>
        <v>-25.945352459922947</v>
      </c>
      <c r="T156" s="967">
        <f>(IF(COUNT($J156:S156)&lt;$J$149,S156,0))</f>
        <v>0</v>
      </c>
      <c r="U156" s="967">
        <f>(IF(COUNT($J156:T156)&lt;$J$149,T156,0))</f>
        <v>0</v>
      </c>
      <c r="V156" s="967">
        <f>(IF(COUNT($J156:U156)&lt;$J$149,U156,0))</f>
        <v>0</v>
      </c>
      <c r="W156" s="967">
        <f>(IF(COUNT($J156:V156)&lt;$J$149,V156,0))</f>
        <v>0</v>
      </c>
      <c r="X156" s="967"/>
      <c r="Y156" s="967"/>
      <c r="Z156" s="967"/>
      <c r="AA156"/>
      <c r="AB156"/>
      <c r="AC156"/>
      <c r="AD156"/>
      <c r="AE156"/>
      <c r="AF156"/>
      <c r="AJ156" s="827"/>
    </row>
    <row r="157" spans="1:36" s="821" customFormat="1" ht="11.25" customHeight="1" outlineLevel="1">
      <c r="A157" s="816"/>
      <c r="B157" s="958"/>
      <c r="C157" s="966">
        <v>40543</v>
      </c>
      <c r="D157" s="843"/>
      <c r="E157" s="843"/>
      <c r="F157" s="843"/>
      <c r="G157" s="843"/>
      <c r="H157" s="967"/>
      <c r="I157" s="967"/>
      <c r="J157" s="967"/>
      <c r="K157" s="967">
        <f>K$22/K$149*(1-$H$150)</f>
        <v>132.22660202201018</v>
      </c>
      <c r="L157" s="967">
        <f>(IF(COUNT($J157:K157)&lt;$K$149,K157,0))</f>
        <v>132.22660202201018</v>
      </c>
      <c r="M157" s="967">
        <f>(IF(COUNT($J157:L157)&lt;$K$149,L157,0))</f>
        <v>132.22660202201018</v>
      </c>
      <c r="N157" s="967">
        <f>(IF(COUNT($J157:M157)&lt;$K$149,M157,0))</f>
        <v>132.22660202201018</v>
      </c>
      <c r="O157" s="967">
        <f>(IF(COUNT($J157:N157)&lt;$K$149,N157,0))</f>
        <v>132.22660202201018</v>
      </c>
      <c r="P157" s="967">
        <f>(IF(COUNT($J157:O157)&lt;$K$149,O157,0))</f>
        <v>132.22660202201018</v>
      </c>
      <c r="Q157" s="967">
        <f>(IF(COUNT($J157:P157)&lt;$K$149,P157,0))</f>
        <v>132.22660202201018</v>
      </c>
      <c r="R157" s="967">
        <f>(IF(COUNT($J157:Q157)&lt;$K$149,Q157,0))</f>
        <v>132.22660202201018</v>
      </c>
      <c r="S157" s="967">
        <f>(IF(COUNT($J157:R157)&lt;$K$149,R157,0))</f>
        <v>132.22660202201018</v>
      </c>
      <c r="T157" s="967">
        <f>(IF(COUNT($J157:S157)&lt;$K$149,S157,0))</f>
        <v>132.22660202201018</v>
      </c>
      <c r="U157" s="967">
        <f>(IF(COUNT($J157:T157)&lt;$K$149,T157,0))</f>
        <v>0</v>
      </c>
      <c r="V157" s="967">
        <f>(IF(COUNT($J157:U157)&lt;$K$149,U157,0))</f>
        <v>0</v>
      </c>
      <c r="W157" s="967">
        <f>(IF(COUNT($J157:V157)&lt;$K$149,V157,0))</f>
        <v>0</v>
      </c>
      <c r="AA157"/>
      <c r="AB157"/>
      <c r="AC157"/>
      <c r="AD157"/>
      <c r="AE157"/>
      <c r="AF157"/>
      <c r="AJ157" s="827"/>
    </row>
    <row r="158" spans="1:36" s="821" customFormat="1" ht="11.25" customHeight="1" outlineLevel="1">
      <c r="A158" s="816"/>
      <c r="B158" s="958"/>
      <c r="C158" s="966">
        <v>40908</v>
      </c>
      <c r="D158" s="843"/>
      <c r="E158" s="843"/>
      <c r="F158" s="843"/>
      <c r="G158" s="843"/>
      <c r="H158" s="967"/>
      <c r="I158" s="967"/>
      <c r="J158" s="967"/>
      <c r="K158" s="967"/>
      <c r="L158" s="967">
        <f>L$22/L$149*(1-$H$150)</f>
        <v>147.64518637845975</v>
      </c>
      <c r="M158" s="967">
        <f>(IF(COUNT($L158:L158)&lt;$L$149,L158,0))</f>
        <v>147.64518637845975</v>
      </c>
      <c r="N158" s="967">
        <f>(IF(COUNT($L158:M158)&lt;$L$149,M158,0))</f>
        <v>147.64518637845975</v>
      </c>
      <c r="O158" s="967">
        <f>(IF(COUNT($L158:N158)&lt;$L$149,N158,0))</f>
        <v>147.64518637845975</v>
      </c>
      <c r="P158" s="967">
        <f>(IF(COUNT($L158:O158)&lt;$L$149,O158,0))</f>
        <v>147.64518637845975</v>
      </c>
      <c r="Q158" s="967">
        <f>(IF(COUNT($L158:P158)&lt;$L$149,P158,0))</f>
        <v>147.64518637845975</v>
      </c>
      <c r="R158" s="967">
        <f>(IF(COUNT($L158:Q158)&lt;$L$149,Q158,0))</f>
        <v>147.64518637845975</v>
      </c>
      <c r="S158" s="967">
        <f>(IF(COUNT($L158:R158)&lt;$L$149,R158,0))</f>
        <v>147.64518637845975</v>
      </c>
      <c r="T158" s="967">
        <f>(IF(COUNT($L158:S158)&lt;$L$149,S158,0))</f>
        <v>147.64518637845975</v>
      </c>
      <c r="U158" s="967">
        <f>(IF(COUNT($L158:T158)&lt;$L$149,T158,0))</f>
        <v>147.64518637845975</v>
      </c>
      <c r="V158" s="967">
        <f>(IF(COUNT($L158:U158)&lt;$L$149,U158,0))</f>
        <v>0</v>
      </c>
      <c r="W158" s="967">
        <f>(IF(COUNT($L158:V158)&lt;$L$149,V158,0))</f>
        <v>0</v>
      </c>
      <c r="X158" s="967"/>
      <c r="Y158" s="967"/>
      <c r="Z158" s="967"/>
      <c r="AA158"/>
      <c r="AB158"/>
      <c r="AC158"/>
      <c r="AD158"/>
      <c r="AE158"/>
      <c r="AF158"/>
      <c r="AJ158" s="827"/>
    </row>
    <row r="159" spans="1:36" s="821" customFormat="1" ht="11.25" customHeight="1" outlineLevel="1">
      <c r="A159" s="816"/>
      <c r="B159" s="958"/>
      <c r="C159" s="966">
        <v>41274</v>
      </c>
      <c r="D159" s="843"/>
      <c r="E159" s="843"/>
      <c r="F159" s="843"/>
      <c r="G159" s="843"/>
      <c r="H159" s="967"/>
      <c r="I159" s="967"/>
      <c r="J159" s="967"/>
      <c r="K159" s="967"/>
      <c r="L159" s="967"/>
      <c r="M159" s="967">
        <f>M$22/M$149*(1-$H$150)</f>
        <v>245.56015229424401</v>
      </c>
      <c r="N159" s="967">
        <f>(IF(COUNT($M159:M159)&lt;$M$149,M159,0))</f>
        <v>245.56015229424401</v>
      </c>
      <c r="O159" s="967">
        <f>(IF(COUNT($M159:N159)&lt;$M$149,N159,0))</f>
        <v>245.56015229424401</v>
      </c>
      <c r="P159" s="967">
        <f>(IF(COUNT($M159:O159)&lt;$M$149,O159,0))</f>
        <v>245.56015229424401</v>
      </c>
      <c r="Q159" s="967">
        <f>(IF(COUNT($M159:P159)&lt;$M$149,P159,0))</f>
        <v>245.56015229424401</v>
      </c>
      <c r="R159" s="967">
        <f>(IF(COUNT($M159:Q159)&lt;$M$149,Q159,0))</f>
        <v>245.56015229424401</v>
      </c>
      <c r="S159" s="967">
        <f>(IF(COUNT($M159:R159)&lt;$M$149,R159,0))</f>
        <v>245.56015229424401</v>
      </c>
      <c r="T159" s="967">
        <f>(IF(COUNT($M159:S159)&lt;$M$149,S159,0))</f>
        <v>245.56015229424401</v>
      </c>
      <c r="U159" s="967">
        <f>(IF(COUNT($M159:T159)&lt;$M$149,T159,0))</f>
        <v>245.56015229424401</v>
      </c>
      <c r="V159" s="967">
        <f>(IF(COUNT($M159:U159)&lt;$M$149,U159,0))</f>
        <v>245.56015229424401</v>
      </c>
      <c r="W159" s="967">
        <f>(IF(COUNT($M159:V159)&lt;$M$149,V159,0))</f>
        <v>0</v>
      </c>
      <c r="AA159"/>
      <c r="AB159"/>
      <c r="AC159"/>
      <c r="AD159"/>
      <c r="AE159"/>
      <c r="AF159"/>
      <c r="AJ159" s="827"/>
    </row>
    <row r="160" spans="1:36" s="821" customFormat="1" ht="11.25" customHeight="1" outlineLevel="1">
      <c r="A160" s="816"/>
      <c r="B160" s="958"/>
      <c r="C160" s="966">
        <v>41639</v>
      </c>
      <c r="D160" s="843"/>
      <c r="E160" s="843"/>
      <c r="F160" s="843"/>
      <c r="G160" s="843"/>
      <c r="H160" s="967"/>
      <c r="I160" s="967"/>
      <c r="J160" s="967"/>
      <c r="K160" s="967"/>
      <c r="L160" s="967"/>
      <c r="M160" s="967"/>
      <c r="N160" s="967">
        <f>N$22/N$149*(1-$H$150)</f>
        <v>108.93512811811266</v>
      </c>
      <c r="O160" s="967">
        <f>(IF(COUNT($N160:N160)&lt;$N$149,N160,0))</f>
        <v>108.93512811811266</v>
      </c>
      <c r="P160" s="967">
        <f>(IF(COUNT($N160:O160)&lt;$N$149,O160,0))</f>
        <v>108.93512811811266</v>
      </c>
      <c r="Q160" s="967">
        <f>(IF(COUNT($N160:P160)&lt;$N$149,P160,0))</f>
        <v>108.93512811811266</v>
      </c>
      <c r="R160" s="967">
        <f>(IF(COUNT($N160:Q160)&lt;$N$149,Q160,0))</f>
        <v>108.93512811811266</v>
      </c>
      <c r="S160" s="967">
        <f>(IF(COUNT($N160:R160)&lt;$N$149,R160,0))</f>
        <v>108.93512811811266</v>
      </c>
      <c r="T160" s="967">
        <f>(IF(COUNT($N160:S160)&lt;$N$149,S160,0))</f>
        <v>108.93512811811266</v>
      </c>
      <c r="U160" s="967">
        <f>(IF(COUNT($N160:T160)&lt;$N$149,T160,0))</f>
        <v>108.93512811811266</v>
      </c>
      <c r="V160" s="967">
        <f>(IF(COUNT($N160:U160)&lt;$N$149,U160,0))</f>
        <v>108.93512811811266</v>
      </c>
      <c r="W160" s="967">
        <f>(IF(COUNT($N160:V160)&lt;$N$149,V160,0))</f>
        <v>108.93512811811266</v>
      </c>
      <c r="X160" s="967"/>
      <c r="Y160" s="967"/>
      <c r="Z160" s="967"/>
      <c r="AA160"/>
      <c r="AB160"/>
      <c r="AC160"/>
      <c r="AD160"/>
      <c r="AE160"/>
      <c r="AF160"/>
      <c r="AJ160" s="827"/>
    </row>
    <row r="161" spans="1:36" s="821" customFormat="1" ht="11.25" customHeight="1" outlineLevel="1">
      <c r="A161" s="816"/>
      <c r="B161" s="958"/>
      <c r="C161" s="966">
        <v>42004</v>
      </c>
      <c r="D161" s="843"/>
      <c r="E161" s="843"/>
      <c r="F161" s="843"/>
      <c r="G161" s="843"/>
      <c r="H161" s="967"/>
      <c r="I161" s="967"/>
      <c r="J161" s="967"/>
      <c r="K161" s="967"/>
      <c r="L161" s="967"/>
      <c r="M161" s="967"/>
      <c r="N161" s="967"/>
      <c r="O161" s="967">
        <f>O$22/O$149*(1-$H$150)</f>
        <v>120.17419476078513</v>
      </c>
      <c r="P161" s="967">
        <f>(IF(COUNT($O161:O161)&lt;$O$149,O161,0))</f>
        <v>120.17419476078513</v>
      </c>
      <c r="Q161" s="967">
        <f>(IF(COUNT($O161:P161)&lt;$O$149,P161,0))</f>
        <v>120.17419476078513</v>
      </c>
      <c r="R161" s="967">
        <f>(IF(COUNT($O161:Q161)&lt;$O$149,Q161,0))</f>
        <v>120.17419476078513</v>
      </c>
      <c r="S161" s="967">
        <f>(IF(COUNT($O161:R161)&lt;$O$149,R161,0))</f>
        <v>120.17419476078513</v>
      </c>
      <c r="T161" s="967">
        <f>(IF(COUNT($O161:S161)&lt;$O$149,S161,0))</f>
        <v>120.17419476078513</v>
      </c>
      <c r="U161" s="967">
        <f>(IF(COUNT($O161:T161)&lt;$O$149,T161,0))</f>
        <v>120.17419476078513</v>
      </c>
      <c r="V161" s="967">
        <f>(IF(COUNT($O161:U161)&lt;$O$149,U161,0))</f>
        <v>120.17419476078513</v>
      </c>
      <c r="W161" s="967">
        <f>(IF(COUNT($O161:V161)&lt;$O$149,V161,0))</f>
        <v>120.17419476078513</v>
      </c>
      <c r="AA161"/>
      <c r="AB161"/>
      <c r="AC161"/>
      <c r="AD161"/>
      <c r="AE161"/>
      <c r="AF161"/>
      <c r="AJ161" s="827"/>
    </row>
    <row r="162" spans="1:36" s="821" customFormat="1" ht="11.25" customHeight="1" outlineLevel="1">
      <c r="A162" s="816"/>
      <c r="B162" s="958"/>
      <c r="C162" s="966">
        <v>42369</v>
      </c>
      <c r="D162" s="843"/>
      <c r="E162" s="843"/>
      <c r="F162" s="843"/>
      <c r="G162" s="843"/>
      <c r="H162" s="967"/>
      <c r="I162" s="967"/>
      <c r="J162" s="967"/>
      <c r="K162" s="967"/>
      <c r="L162" s="967"/>
      <c r="M162" s="967"/>
      <c r="N162" s="967"/>
      <c r="O162" s="967"/>
      <c r="P162" s="967">
        <f>P$22/P$149*(1-$H$150)</f>
        <v>130.48436194316776</v>
      </c>
      <c r="Q162" s="967">
        <f>(IF(COUNT($P162:P162)&lt;$P$149,P162,0))</f>
        <v>130.48436194316776</v>
      </c>
      <c r="R162" s="967">
        <f>(IF(COUNT($P162:Q162)&lt;$P$149,Q162,0))</f>
        <v>130.48436194316776</v>
      </c>
      <c r="S162" s="967">
        <f>(IF(COUNT($P162:R162)&lt;$P$149,R162,0))</f>
        <v>130.48436194316776</v>
      </c>
      <c r="T162" s="967">
        <f>(IF(COUNT($P162:S162)&lt;$P$149,S162,0))</f>
        <v>130.48436194316776</v>
      </c>
      <c r="U162" s="967">
        <f>(IF(COUNT($P162:T162)&lt;$P$149,T162,0))</f>
        <v>130.48436194316776</v>
      </c>
      <c r="V162" s="967">
        <f>(IF(COUNT($P162:U162)&lt;$P$149,U162,0))</f>
        <v>130.48436194316776</v>
      </c>
      <c r="W162" s="967">
        <f>(IF(COUNT($P162:V162)&lt;$P$149,V162,0))</f>
        <v>130.48436194316776</v>
      </c>
      <c r="AA162"/>
      <c r="AB162"/>
      <c r="AC162"/>
      <c r="AD162"/>
      <c r="AE162"/>
      <c r="AF162"/>
      <c r="AJ162" s="827"/>
    </row>
    <row r="163" spans="1:36" s="821" customFormat="1" ht="11.25" customHeight="1" outlineLevel="1">
      <c r="A163" s="816"/>
      <c r="B163" s="958"/>
      <c r="C163" s="966">
        <v>42735</v>
      </c>
      <c r="D163" s="843"/>
      <c r="E163" s="843"/>
      <c r="F163" s="843"/>
      <c r="G163" s="843"/>
      <c r="H163" s="967"/>
      <c r="I163" s="967"/>
      <c r="J163" s="967"/>
      <c r="K163" s="967"/>
      <c r="L163" s="967"/>
      <c r="M163" s="967"/>
      <c r="N163" s="967"/>
      <c r="O163" s="967"/>
      <c r="P163" s="967"/>
      <c r="Q163" s="967">
        <f>Q$22/Q$149*(1-$H$150)</f>
        <v>140.68494652171177</v>
      </c>
      <c r="R163" s="967">
        <f>(IF(COUNT($Q163:Q163)&lt;$Q$149,Q163,0))</f>
        <v>140.68494652171177</v>
      </c>
      <c r="S163" s="967">
        <f>(IF(COUNT($Q163:R163)&lt;$Q$149,R163,0))</f>
        <v>140.68494652171177</v>
      </c>
      <c r="T163" s="967">
        <f>(IF(COUNT($Q163:S163)&lt;$Q$149,S163,0))</f>
        <v>140.68494652171177</v>
      </c>
      <c r="U163" s="967">
        <f>(IF(COUNT($Q163:T163)&lt;$Q$149,T163,0))</f>
        <v>140.68494652171177</v>
      </c>
      <c r="V163" s="967">
        <f>(IF(COUNT($Q163:U163)&lt;$Q$149,U163,0))</f>
        <v>140.68494652171177</v>
      </c>
      <c r="W163" s="967">
        <f>(IF(COUNT($Q163:V163)&lt;$Q$149,V163,0))</f>
        <v>140.68494652171177</v>
      </c>
      <c r="AA163"/>
      <c r="AB163"/>
      <c r="AC163"/>
      <c r="AD163"/>
      <c r="AE163"/>
      <c r="AF163"/>
      <c r="AJ163" s="827"/>
    </row>
    <row r="164" spans="1:36" s="821" customFormat="1" ht="11.25" customHeight="1" outlineLevel="1">
      <c r="A164" s="816"/>
      <c r="B164" s="958"/>
      <c r="C164" s="966">
        <v>43100</v>
      </c>
      <c r="D164" s="843"/>
      <c r="E164" s="843"/>
      <c r="F164" s="843"/>
      <c r="G164" s="843"/>
      <c r="H164" s="967"/>
      <c r="I164" s="967"/>
      <c r="J164" s="967"/>
      <c r="K164" s="967"/>
      <c r="L164" s="967"/>
      <c r="M164" s="967"/>
      <c r="N164" s="967"/>
      <c r="O164" s="967"/>
      <c r="P164" s="967"/>
      <c r="Q164" s="967"/>
      <c r="R164" s="967">
        <f>R$22/R$149*(1-$H$150)</f>
        <v>143.49864545214601</v>
      </c>
      <c r="S164" s="967">
        <f>(IF(COUNT($R164:R164)&lt;$R$149,R164,0))</f>
        <v>143.49864545214601</v>
      </c>
      <c r="T164" s="967">
        <f>(IF(COUNT($R164:S164)&lt;$R$149,S164,0))</f>
        <v>143.49864545214601</v>
      </c>
      <c r="U164" s="967">
        <f>(IF(COUNT($R164:T164)&lt;$R$149,T164,0))</f>
        <v>143.49864545214601</v>
      </c>
      <c r="V164" s="967">
        <f>(IF(COUNT($R164:U164)&lt;$R$149,U164,0))</f>
        <v>143.49864545214601</v>
      </c>
      <c r="W164" s="967">
        <f>(IF(COUNT($R164:V164)&lt;$R$149,V164,0))</f>
        <v>143.49864545214601</v>
      </c>
      <c r="AA164"/>
      <c r="AB164"/>
      <c r="AC164"/>
      <c r="AD164"/>
      <c r="AE164"/>
      <c r="AF164"/>
      <c r="AJ164" s="827"/>
    </row>
    <row r="165" spans="1:36" s="821" customFormat="1" ht="11.25" customHeight="1" outlineLevel="1">
      <c r="A165" s="816"/>
      <c r="B165" s="958"/>
      <c r="C165" s="966">
        <v>43465</v>
      </c>
      <c r="D165" s="843"/>
      <c r="E165" s="843"/>
      <c r="F165" s="843"/>
      <c r="G165" s="843"/>
      <c r="H165" s="967"/>
      <c r="I165" s="967"/>
      <c r="J165" s="967"/>
      <c r="K165" s="967"/>
      <c r="L165" s="967"/>
      <c r="M165" s="967"/>
      <c r="N165" s="967"/>
      <c r="O165" s="967"/>
      <c r="P165" s="967"/>
      <c r="Q165" s="967"/>
      <c r="R165" s="967"/>
      <c r="S165" s="967">
        <f>S$22/S$149*(1-$H$150)</f>
        <v>146.36861836118891</v>
      </c>
      <c r="T165" s="967">
        <f>(IF(COUNT($R165:S165)&lt;$R$149,S165,0))</f>
        <v>146.36861836118891</v>
      </c>
      <c r="U165" s="967">
        <f>(IF(COUNT($R165:T165)&lt;$R$149,T165,0))</f>
        <v>146.36861836118891</v>
      </c>
      <c r="V165" s="967">
        <f>(IF(COUNT($R165:U165)&lt;$R$149,U165,0))</f>
        <v>146.36861836118891</v>
      </c>
      <c r="W165" s="967">
        <f>(IF(COUNT($R165:V165)&lt;$R$149,V165,0))</f>
        <v>146.36861836118891</v>
      </c>
      <c r="AA165"/>
      <c r="AB165"/>
      <c r="AC165"/>
      <c r="AD165"/>
      <c r="AE165"/>
      <c r="AF165"/>
      <c r="AJ165" s="827"/>
    </row>
    <row r="166" spans="1:36" s="821" customFormat="1" ht="11.25" customHeight="1" outlineLevel="1">
      <c r="A166" s="816"/>
      <c r="B166" s="958"/>
      <c r="C166" s="966">
        <v>43830</v>
      </c>
      <c r="D166" s="843"/>
      <c r="E166" s="843"/>
      <c r="F166" s="843"/>
      <c r="G166" s="843"/>
      <c r="H166" s="967"/>
      <c r="I166" s="967"/>
      <c r="J166" s="967"/>
      <c r="K166" s="967"/>
      <c r="L166" s="967"/>
      <c r="M166" s="967"/>
      <c r="N166" s="967"/>
      <c r="O166" s="967"/>
      <c r="P166" s="967"/>
      <c r="Q166" s="967"/>
      <c r="R166" s="967"/>
      <c r="S166" s="967"/>
      <c r="T166" s="967">
        <f>T$22/T$149*(1-$H$150)</f>
        <v>149.2959907284127</v>
      </c>
      <c r="U166" s="967">
        <f>(IF(COUNT($R166:T166)&lt;$R$149,T166,0))</f>
        <v>149.2959907284127</v>
      </c>
      <c r="V166" s="967">
        <f>(IF(COUNT($R166:U166)&lt;$R$149,U166,0))</f>
        <v>149.2959907284127</v>
      </c>
      <c r="W166" s="967">
        <f>(IF(COUNT($R166:V166)&lt;$R$149,V166,0))</f>
        <v>149.2959907284127</v>
      </c>
      <c r="AA166"/>
      <c r="AB166"/>
      <c r="AC166"/>
      <c r="AD166"/>
      <c r="AE166"/>
      <c r="AF166"/>
      <c r="AJ166" s="827"/>
    </row>
    <row r="167" spans="1:36" s="821" customFormat="1" ht="11.25" customHeight="1" outlineLevel="1">
      <c r="A167" s="816"/>
      <c r="B167" s="958"/>
      <c r="C167" s="966">
        <v>44196</v>
      </c>
      <c r="D167" s="843"/>
      <c r="E167" s="843"/>
      <c r="F167" s="843"/>
      <c r="G167" s="843"/>
      <c r="H167" s="967"/>
      <c r="I167" s="967"/>
      <c r="J167" s="967"/>
      <c r="K167" s="967"/>
      <c r="L167" s="967"/>
      <c r="M167" s="967"/>
      <c r="N167" s="967"/>
      <c r="O167" s="967"/>
      <c r="P167" s="967"/>
      <c r="Q167" s="967"/>
      <c r="R167" s="967"/>
      <c r="S167" s="967"/>
      <c r="T167" s="965"/>
      <c r="U167" s="967">
        <f>U$22/U$149*(1-$H$150)</f>
        <v>152.281910542981</v>
      </c>
      <c r="V167" s="967">
        <f>(IF(COUNT($R167:U167)&lt;$R$149,U167,0))</f>
        <v>152.281910542981</v>
      </c>
      <c r="W167" s="967">
        <f>(IF(COUNT($R167:V167)&lt;$R$149,V167,0))</f>
        <v>152.281910542981</v>
      </c>
      <c r="AA167"/>
      <c r="AB167"/>
      <c r="AC167"/>
      <c r="AD167"/>
      <c r="AE167"/>
      <c r="AF167"/>
      <c r="AJ167" s="827"/>
    </row>
    <row r="168" spans="1:36" s="821" customFormat="1" ht="11.25" customHeight="1" outlineLevel="1">
      <c r="A168" s="816"/>
      <c r="B168" s="958"/>
      <c r="C168" s="966">
        <v>44561</v>
      </c>
      <c r="D168" s="843"/>
      <c r="E168" s="843"/>
      <c r="F168" s="843"/>
      <c r="G168" s="843"/>
      <c r="H168" s="967"/>
      <c r="I168" s="967"/>
      <c r="J168" s="967"/>
      <c r="K168" s="967"/>
      <c r="L168" s="967"/>
      <c r="M168" s="967"/>
      <c r="N168" s="967"/>
      <c r="O168" s="967"/>
      <c r="P168" s="967"/>
      <c r="Q168" s="967"/>
      <c r="R168" s="967"/>
      <c r="S168" s="967"/>
      <c r="T168" s="965"/>
      <c r="V168" s="967">
        <f>V$22/V$149*(1-$H$150)</f>
        <v>155.3275487538406</v>
      </c>
      <c r="W168" s="967">
        <f>(IF(COUNT($R168:V168)&lt;$R$149,V168,0))</f>
        <v>155.3275487538406</v>
      </c>
      <c r="AA168"/>
      <c r="AB168"/>
      <c r="AC168"/>
      <c r="AD168"/>
      <c r="AE168"/>
      <c r="AF168"/>
      <c r="AJ168" s="827"/>
    </row>
    <row r="169" spans="1:36" s="821" customFormat="1" ht="11.25" customHeight="1" outlineLevel="1">
      <c r="A169" s="816"/>
      <c r="B169" s="958"/>
      <c r="C169" s="966">
        <v>44926</v>
      </c>
      <c r="D169" s="843"/>
      <c r="E169" s="843"/>
      <c r="F169" s="843"/>
      <c r="G169" s="843"/>
      <c r="H169" s="967"/>
      <c r="I169" s="967"/>
      <c r="J169" s="967"/>
      <c r="K169" s="967"/>
      <c r="L169" s="967"/>
      <c r="M169" s="967"/>
      <c r="N169" s="967"/>
      <c r="O169" s="967"/>
      <c r="P169" s="967"/>
      <c r="Q169" s="967"/>
      <c r="R169" s="967"/>
      <c r="S169" s="967"/>
      <c r="T169" s="965"/>
      <c r="W169" s="967">
        <f>W$22/W$149*(1-$H$150)</f>
        <v>158.4340997289174</v>
      </c>
      <c r="AA169"/>
      <c r="AB169"/>
      <c r="AC169"/>
      <c r="AD169"/>
      <c r="AE169"/>
      <c r="AF169"/>
      <c r="AJ169" s="827"/>
    </row>
    <row r="170" spans="1:36" s="821" customFormat="1" ht="11.25" customHeight="1" outlineLevel="1">
      <c r="A170" s="816"/>
      <c r="B170" s="968"/>
      <c r="C170" s="843"/>
      <c r="D170" s="843"/>
      <c r="E170" s="843"/>
      <c r="F170" s="843"/>
      <c r="G170" s="843"/>
      <c r="H170" s="965"/>
      <c r="I170" s="965"/>
      <c r="J170" s="965"/>
      <c r="K170" s="965"/>
      <c r="L170" s="965"/>
      <c r="M170" s="965"/>
      <c r="N170" s="965"/>
      <c r="O170" s="965"/>
      <c r="P170" s="965"/>
      <c r="Q170" s="965"/>
      <c r="R170" s="965"/>
      <c r="S170" s="818"/>
      <c r="T170" s="818"/>
      <c r="U170" s="818"/>
      <c r="V170" s="818"/>
      <c r="W170" s="818"/>
      <c r="AA170"/>
      <c r="AB170"/>
      <c r="AC170"/>
      <c r="AD170"/>
      <c r="AE170"/>
      <c r="AF170"/>
      <c r="AJ170" s="827"/>
    </row>
    <row r="171" spans="1:36" s="818" customFormat="1" ht="11.25" customHeight="1" outlineLevel="1">
      <c r="A171" s="961"/>
      <c r="B171" s="969"/>
      <c r="C171" s="843"/>
      <c r="D171" s="843"/>
      <c r="E171" s="843"/>
      <c r="F171" s="843"/>
      <c r="G171" s="843"/>
      <c r="H171" s="964">
        <f t="shared" ref="H171:W171" si="55">SUM(H154:H169)</f>
        <v>1083.3212709595741</v>
      </c>
      <c r="I171" s="964">
        <f t="shared" si="55"/>
        <v>994.95400342180358</v>
      </c>
      <c r="J171" s="964">
        <f t="shared" si="55"/>
        <v>947.77555405107296</v>
      </c>
      <c r="K171" s="964">
        <f t="shared" si="55"/>
        <v>1059.1937211004915</v>
      </c>
      <c r="L171" s="964">
        <f t="shared" si="55"/>
        <v>1186.4466412058116</v>
      </c>
      <c r="M171" s="964">
        <f t="shared" si="55"/>
        <v>645.15987474372264</v>
      </c>
      <c r="N171" s="964">
        <f t="shared" si="55"/>
        <v>541.72087423432447</v>
      </c>
      <c r="O171" s="964">
        <f t="shared" si="55"/>
        <v>661.89506899510957</v>
      </c>
      <c r="P171" s="964">
        <f t="shared" si="55"/>
        <v>792.37943093827732</v>
      </c>
      <c r="Q171" s="964">
        <f t="shared" si="55"/>
        <v>933.06437745998915</v>
      </c>
      <c r="R171" s="964">
        <f t="shared" si="55"/>
        <v>1076.5630229121352</v>
      </c>
      <c r="S171" s="964">
        <f t="shared" si="55"/>
        <v>1289.6324833919034</v>
      </c>
      <c r="T171" s="964">
        <f t="shared" si="55"/>
        <v>1464.873826580239</v>
      </c>
      <c r="U171" s="964">
        <f t="shared" si="55"/>
        <v>1484.9291351012098</v>
      </c>
      <c r="V171" s="964">
        <f t="shared" si="55"/>
        <v>1492.6114974765906</v>
      </c>
      <c r="W171" s="964">
        <f t="shared" si="55"/>
        <v>1405.4854449112638</v>
      </c>
      <c r="AA171"/>
      <c r="AB171"/>
      <c r="AC171"/>
      <c r="AD171"/>
      <c r="AE171"/>
      <c r="AF171"/>
      <c r="AJ171" s="827"/>
    </row>
    <row r="172" spans="1:36" s="821" customFormat="1">
      <c r="A172" s="816"/>
      <c r="B172" s="817"/>
      <c r="C172" s="422"/>
      <c r="D172" s="422"/>
      <c r="E172" s="422"/>
      <c r="F172" s="422"/>
      <c r="G172" s="422"/>
      <c r="H172" s="819"/>
      <c r="I172" s="819"/>
      <c r="J172" s="819"/>
      <c r="K172" s="819"/>
      <c r="L172" s="819"/>
      <c r="M172" s="819"/>
      <c r="N172" s="819"/>
      <c r="O172" s="819"/>
      <c r="P172" s="819"/>
      <c r="Q172" s="819"/>
      <c r="R172" s="819"/>
      <c r="S172" s="819"/>
      <c r="T172" s="970"/>
      <c r="AA172"/>
      <c r="AB172"/>
      <c r="AC172"/>
      <c r="AD172"/>
      <c r="AE172"/>
      <c r="AF172"/>
      <c r="AJ172" s="827"/>
    </row>
    <row r="173" spans="1:36" s="821" customFormat="1">
      <c r="A173" s="816"/>
      <c r="B173" s="817"/>
      <c r="C173" s="423"/>
      <c r="D173" s="423"/>
      <c r="E173" s="423"/>
      <c r="F173" s="423"/>
      <c r="G173" s="423"/>
      <c r="H173" s="819"/>
      <c r="I173" s="819"/>
      <c r="J173" s="819"/>
      <c r="K173" s="819"/>
      <c r="L173" s="819"/>
      <c r="M173" s="819"/>
      <c r="N173" s="819"/>
      <c r="O173" s="819"/>
      <c r="P173" s="819"/>
      <c r="Q173" s="819"/>
      <c r="R173" s="819"/>
      <c r="S173" s="819"/>
      <c r="T173" s="971"/>
      <c r="AA173"/>
      <c r="AB173"/>
      <c r="AC173"/>
      <c r="AD173"/>
      <c r="AE173"/>
      <c r="AF173"/>
      <c r="AJ173" s="827"/>
    </row>
    <row r="174" spans="1:36" s="821" customFormat="1">
      <c r="A174" s="816"/>
      <c r="B174" s="817"/>
      <c r="C174" s="843"/>
      <c r="D174" s="843"/>
      <c r="E174" s="843"/>
      <c r="F174" s="843"/>
      <c r="G174" s="843"/>
      <c r="H174" s="819"/>
      <c r="I174" s="819"/>
      <c r="J174" s="819"/>
      <c r="K174" s="819"/>
      <c r="L174" s="819"/>
      <c r="M174" s="819"/>
      <c r="N174" s="819"/>
      <c r="O174" s="819"/>
      <c r="P174" s="819"/>
      <c r="Q174" s="819"/>
      <c r="R174" s="819"/>
      <c r="S174" s="819"/>
      <c r="T174" s="818"/>
      <c r="AA174"/>
      <c r="AB174"/>
      <c r="AC174"/>
      <c r="AD174"/>
      <c r="AE174"/>
      <c r="AF174"/>
      <c r="AJ174" s="827"/>
    </row>
    <row r="175" spans="1:36" s="821" customFormat="1" hidden="1" outlineLevel="1">
      <c r="A175" s="816"/>
      <c r="B175" s="817"/>
      <c r="C175" s="843"/>
      <c r="D175" s="843"/>
      <c r="E175" s="843"/>
      <c r="F175" s="843"/>
      <c r="G175" s="843"/>
      <c r="H175" s="819"/>
      <c r="I175" s="819"/>
      <c r="J175" s="819"/>
      <c r="K175" s="819"/>
      <c r="L175" s="819"/>
      <c r="M175" s="819"/>
      <c r="N175" s="819"/>
      <c r="O175" s="819"/>
      <c r="P175" s="819"/>
      <c r="Q175" s="819"/>
      <c r="R175" s="819"/>
      <c r="S175" s="819"/>
      <c r="T175" s="818"/>
      <c r="AA175"/>
      <c r="AB175"/>
      <c r="AC175"/>
      <c r="AD175"/>
      <c r="AE175"/>
      <c r="AF175"/>
      <c r="AJ175" s="827"/>
    </row>
    <row r="176" spans="1:36" s="821" customFormat="1" hidden="1" outlineLevel="1">
      <c r="A176" s="816"/>
      <c r="B176" s="817"/>
      <c r="C176" s="843"/>
      <c r="D176" s="843"/>
      <c r="E176" s="843"/>
      <c r="F176" s="843"/>
      <c r="G176" s="843"/>
      <c r="H176" s="819"/>
      <c r="I176" s="819"/>
      <c r="J176" s="819"/>
      <c r="K176" s="819"/>
      <c r="L176" s="819"/>
      <c r="M176" s="819"/>
      <c r="N176" s="819"/>
      <c r="O176" s="819"/>
      <c r="P176" s="819"/>
      <c r="Q176" s="819"/>
      <c r="R176" s="819"/>
      <c r="S176" s="819"/>
      <c r="T176" s="818"/>
      <c r="AA176"/>
      <c r="AB176"/>
      <c r="AC176"/>
      <c r="AD176"/>
      <c r="AE176"/>
      <c r="AF176"/>
      <c r="AJ176" s="827"/>
    </row>
    <row r="177" spans="1:36" s="821" customFormat="1" hidden="1" outlineLevel="1">
      <c r="A177" s="816"/>
      <c r="B177" s="817"/>
      <c r="C177" s="818"/>
      <c r="D177" s="818"/>
      <c r="E177" s="818"/>
      <c r="F177" s="818"/>
      <c r="G177" s="818"/>
      <c r="H177" s="819"/>
      <c r="I177" s="819"/>
      <c r="J177" s="819"/>
      <c r="K177" s="819"/>
      <c r="L177" s="819"/>
      <c r="M177" s="819"/>
      <c r="N177" s="819"/>
      <c r="O177" s="819"/>
      <c r="P177" s="819"/>
      <c r="Q177" s="819"/>
      <c r="R177" s="819"/>
      <c r="S177" s="819"/>
      <c r="AA177"/>
      <c r="AB177"/>
      <c r="AC177"/>
      <c r="AD177"/>
      <c r="AE177"/>
      <c r="AF177"/>
      <c r="AJ177" s="827"/>
    </row>
    <row r="178" spans="1:36" hidden="1" outlineLevel="1"/>
    <row r="179" spans="1:36" s="821" customFormat="1" hidden="1" outlineLevel="1">
      <c r="A179" s="816"/>
      <c r="B179" s="817"/>
      <c r="C179" s="818"/>
      <c r="D179" s="818"/>
      <c r="E179" s="818"/>
      <c r="F179" s="818"/>
      <c r="G179" s="818"/>
      <c r="H179" s="819"/>
      <c r="I179" s="819"/>
      <c r="J179" s="819"/>
      <c r="K179" s="819"/>
      <c r="L179" s="819"/>
      <c r="M179" s="819"/>
      <c r="N179" s="819"/>
      <c r="O179" s="819"/>
      <c r="P179" s="819"/>
      <c r="Q179" s="819"/>
      <c r="R179" s="819"/>
      <c r="S179" s="819"/>
      <c r="AA179"/>
      <c r="AB179"/>
      <c r="AC179"/>
      <c r="AD179"/>
      <c r="AE179"/>
      <c r="AF179"/>
      <c r="AJ179" s="827"/>
    </row>
    <row r="180" spans="1:36" s="821" customFormat="1" hidden="1" outlineLevel="1">
      <c r="A180" s="816"/>
      <c r="B180" s="817"/>
      <c r="C180" s="818"/>
      <c r="D180" s="818"/>
      <c r="E180" s="818"/>
      <c r="F180" s="818"/>
      <c r="G180" s="818"/>
      <c r="H180" s="819"/>
      <c r="I180" s="819"/>
      <c r="J180" s="819"/>
      <c r="K180" s="819"/>
      <c r="L180" s="819"/>
      <c r="M180" s="819"/>
      <c r="N180" s="819"/>
      <c r="O180" s="819"/>
      <c r="P180" s="819"/>
      <c r="Q180" s="819"/>
      <c r="R180" s="819"/>
      <c r="S180" s="819"/>
      <c r="AA180"/>
      <c r="AB180"/>
      <c r="AC180"/>
      <c r="AD180"/>
      <c r="AE180"/>
      <c r="AF180"/>
      <c r="AJ180" s="827"/>
    </row>
    <row r="181" spans="1:36" s="821" customFormat="1" hidden="1" outlineLevel="1">
      <c r="A181" s="816"/>
      <c r="B181" s="817"/>
      <c r="C181" s="818"/>
      <c r="D181" s="818"/>
      <c r="E181" s="818"/>
      <c r="F181" s="818"/>
      <c r="G181" s="818"/>
      <c r="H181" s="819"/>
      <c r="I181" s="819"/>
      <c r="J181" s="819"/>
      <c r="K181" s="819"/>
      <c r="L181" s="819"/>
      <c r="M181" s="819"/>
      <c r="N181" s="819"/>
      <c r="O181" s="819"/>
      <c r="P181" s="819"/>
      <c r="Q181" s="819"/>
      <c r="R181" s="819"/>
      <c r="S181" s="819"/>
      <c r="AA181"/>
      <c r="AB181"/>
      <c r="AC181"/>
      <c r="AD181"/>
      <c r="AE181"/>
      <c r="AF181"/>
      <c r="AJ181" s="827"/>
    </row>
    <row r="182" spans="1:36" s="821" customFormat="1" hidden="1" outlineLevel="1">
      <c r="A182" s="816"/>
      <c r="B182" s="817"/>
      <c r="C182" s="818"/>
      <c r="D182" s="818"/>
      <c r="E182" s="818"/>
      <c r="F182" s="818"/>
      <c r="G182" s="818"/>
      <c r="H182" s="819"/>
      <c r="I182" s="819"/>
      <c r="J182" s="819"/>
      <c r="K182" s="819"/>
      <c r="L182" s="819"/>
      <c r="M182" s="819"/>
      <c r="N182" s="819"/>
      <c r="O182" s="819"/>
      <c r="P182" s="819"/>
      <c r="Q182" s="819"/>
      <c r="R182" s="819"/>
      <c r="S182" s="819"/>
      <c r="AA182"/>
      <c r="AB182"/>
      <c r="AC182"/>
      <c r="AD182"/>
      <c r="AE182"/>
      <c r="AF182"/>
      <c r="AJ182" s="827"/>
    </row>
    <row r="183" spans="1:36" s="821" customFormat="1" hidden="1" outlineLevel="1">
      <c r="A183" s="816"/>
      <c r="B183" s="817"/>
      <c r="C183" s="818"/>
      <c r="D183" s="818"/>
      <c r="E183" s="818"/>
      <c r="F183" s="818"/>
      <c r="G183" s="818"/>
      <c r="H183" s="819"/>
      <c r="I183" s="819"/>
      <c r="J183" s="819"/>
      <c r="K183" s="819"/>
      <c r="L183" s="819"/>
      <c r="M183" s="819"/>
      <c r="N183" s="819"/>
      <c r="O183" s="819"/>
      <c r="P183" s="819"/>
      <c r="Q183" s="819"/>
      <c r="R183" s="819"/>
      <c r="S183" s="819"/>
      <c r="AA183"/>
      <c r="AB183"/>
      <c r="AC183"/>
      <c r="AD183"/>
      <c r="AE183"/>
      <c r="AF183"/>
      <c r="AJ183" s="827"/>
    </row>
    <row r="184" spans="1:36" s="975" customFormat="1" hidden="1" outlineLevel="1">
      <c r="A184" s="972">
        <v>1</v>
      </c>
      <c r="B184" s="973"/>
      <c r="C184" s="974"/>
      <c r="D184" s="974"/>
      <c r="E184" s="974"/>
      <c r="F184" s="974"/>
      <c r="G184" s="974"/>
      <c r="H184" s="974"/>
      <c r="I184" s="974"/>
      <c r="J184" s="974"/>
      <c r="K184" s="974"/>
      <c r="L184" s="974"/>
      <c r="M184" s="974"/>
      <c r="N184" s="974"/>
      <c r="O184" s="974"/>
      <c r="P184" s="974"/>
      <c r="AA184"/>
      <c r="AB184"/>
      <c r="AC184"/>
      <c r="AD184"/>
      <c r="AE184"/>
      <c r="AF184"/>
      <c r="AJ184" s="976"/>
    </row>
    <row r="185" spans="1:36" s="821" customFormat="1" collapsed="1">
      <c r="A185" s="816"/>
      <c r="B185" s="817"/>
      <c r="C185" s="818"/>
      <c r="D185" s="818"/>
      <c r="E185" s="818"/>
      <c r="F185" s="818"/>
      <c r="G185" s="818"/>
      <c r="H185" s="819"/>
      <c r="I185" s="819"/>
      <c r="J185" s="819"/>
      <c r="K185" s="819"/>
      <c r="L185" s="819"/>
      <c r="M185" s="819"/>
      <c r="N185" s="819"/>
      <c r="O185" s="819"/>
      <c r="P185" s="819"/>
      <c r="Q185" s="819"/>
      <c r="R185" s="819"/>
      <c r="S185" s="819"/>
      <c r="AA185"/>
      <c r="AB185"/>
      <c r="AC185"/>
      <c r="AD185"/>
      <c r="AE185"/>
      <c r="AF185"/>
      <c r="AJ185" s="827"/>
    </row>
    <row r="186" spans="1:36" s="821" customFormat="1">
      <c r="A186" s="816"/>
      <c r="B186" s="817"/>
      <c r="C186" s="818"/>
      <c r="D186" s="818"/>
      <c r="E186" s="818"/>
      <c r="F186" s="818"/>
      <c r="G186" s="818"/>
      <c r="H186" s="819"/>
      <c r="I186" s="819"/>
      <c r="J186" s="819"/>
      <c r="K186" s="819"/>
      <c r="L186" s="819"/>
      <c r="M186" s="819"/>
      <c r="N186" s="819"/>
      <c r="O186" s="819"/>
      <c r="P186" s="819"/>
      <c r="Q186" s="819"/>
      <c r="R186" s="819"/>
      <c r="S186" s="819"/>
      <c r="AA186"/>
      <c r="AB186"/>
      <c r="AC186"/>
      <c r="AD186"/>
      <c r="AE186"/>
      <c r="AF186"/>
      <c r="AJ186" s="827"/>
    </row>
    <row r="187" spans="1:36" s="821" customFormat="1" outlineLevel="1">
      <c r="A187" s="816"/>
      <c r="B187" s="817"/>
      <c r="C187" s="977" t="s">
        <v>683</v>
      </c>
      <c r="D187" s="818"/>
      <c r="E187" s="818"/>
      <c r="F187" s="818"/>
      <c r="G187" s="818"/>
      <c r="H187" s="978">
        <f t="shared" ref="H187:P187" si="56">H9</f>
        <v>39813</v>
      </c>
      <c r="I187" s="978">
        <f t="shared" si="56"/>
        <v>40178</v>
      </c>
      <c r="J187" s="978">
        <f t="shared" si="56"/>
        <v>40543</v>
      </c>
      <c r="K187" s="978">
        <f t="shared" si="56"/>
        <v>40908</v>
      </c>
      <c r="L187" s="978">
        <f t="shared" si="56"/>
        <v>41274</v>
      </c>
      <c r="M187" s="978">
        <f t="shared" si="56"/>
        <v>41639</v>
      </c>
      <c r="N187" s="978">
        <f t="shared" si="56"/>
        <v>42004</v>
      </c>
      <c r="O187" s="978">
        <f t="shared" si="56"/>
        <v>42369</v>
      </c>
      <c r="P187" s="978">
        <f t="shared" si="56"/>
        <v>42735</v>
      </c>
      <c r="Q187" s="979"/>
      <c r="R187" s="979"/>
      <c r="S187" s="979"/>
      <c r="T187" s="980"/>
      <c r="U187" s="980"/>
      <c r="V187" s="980"/>
      <c r="W187" s="980"/>
      <c r="X187" s="980"/>
      <c r="AA187"/>
      <c r="AB187"/>
      <c r="AC187"/>
      <c r="AD187"/>
      <c r="AE187"/>
      <c r="AF187"/>
      <c r="AJ187" s="827"/>
    </row>
    <row r="188" spans="1:36" s="821" customFormat="1" outlineLevel="1">
      <c r="A188" s="816"/>
      <c r="B188" s="817"/>
      <c r="C188" s="981" t="s">
        <v>684</v>
      </c>
      <c r="D188" s="818"/>
      <c r="E188" s="818"/>
      <c r="F188" s="818"/>
      <c r="G188" s="818"/>
      <c r="H188" s="819"/>
      <c r="I188" s="819"/>
      <c r="J188" s="819"/>
      <c r="K188" s="819"/>
      <c r="L188" s="819"/>
      <c r="M188" s="819"/>
      <c r="N188" s="819"/>
      <c r="O188" s="819"/>
      <c r="P188" s="819"/>
      <c r="Q188" s="819"/>
      <c r="R188" s="819"/>
      <c r="S188" s="819"/>
      <c r="AA188"/>
      <c r="AB188"/>
      <c r="AC188"/>
      <c r="AD188"/>
      <c r="AE188"/>
      <c r="AF188"/>
      <c r="AJ188" s="827"/>
    </row>
    <row r="189" spans="1:36" s="821" customFormat="1" outlineLevel="1">
      <c r="A189" s="816"/>
      <c r="B189" s="817"/>
      <c r="C189" s="818"/>
      <c r="D189" s="818"/>
      <c r="E189" s="818"/>
      <c r="F189" s="818"/>
      <c r="G189" s="818"/>
      <c r="H189" s="982"/>
      <c r="I189" s="982"/>
      <c r="J189" s="982"/>
      <c r="K189" s="982"/>
      <c r="L189" s="982"/>
      <c r="M189" s="982"/>
      <c r="N189" s="982"/>
      <c r="O189" s="982"/>
      <c r="P189" s="982"/>
      <c r="AA189"/>
      <c r="AB189"/>
      <c r="AC189"/>
      <c r="AD189"/>
      <c r="AE189"/>
      <c r="AF189"/>
    </row>
    <row r="190" spans="1:36" s="821" customFormat="1" outlineLevel="1">
      <c r="A190" s="816"/>
      <c r="B190" s="817"/>
      <c r="C190" s="983" t="s">
        <v>685</v>
      </c>
      <c r="D190" s="983"/>
      <c r="E190" s="984"/>
      <c r="F190" s="818"/>
      <c r="G190" s="818"/>
      <c r="H190" s="985">
        <f>_xll.ThomsonONEAddinShim.SpreadsheetFormulas.TF(SedolTicker,$AJ$190,,H$5,$J$3)</f>
        <v>3.3000000000000002E-2</v>
      </c>
      <c r="I190" s="985">
        <f>_xll.ThomsonONEAddinShim.SpreadsheetFormulas.TF(SedolTicker,$AJ$190,,I$5,$J$3)</f>
        <v>2.7000000000000003E-2</v>
      </c>
      <c r="J190" s="985">
        <f>_xll.ThomsonONEAddinShim.SpreadsheetFormulas.TF(SedolTicker,$AJ$190,,J$5,$J$3)</f>
        <v>1.9E-2</v>
      </c>
      <c r="K190" s="985">
        <f>_xll.ThomsonONEAddinShim.SpreadsheetFormulas.TF(SedolTicker,$AJ$190,,K$5,$J$3)</f>
        <v>1.1000000000000001E-2</v>
      </c>
      <c r="L190" s="985">
        <f>_xll.ThomsonONEAddinShim.SpreadsheetFormulas.TF(SedolTicker,$AJ$190,,L$5,$J$3)</f>
        <v>2E-3</v>
      </c>
      <c r="M190" s="985">
        <f>_xll.ThomsonONEAddinShim.SpreadsheetFormulas.TF(SedolTicker,$AJ$190,,M$5,$J$3)</f>
        <v>6.9999999999999993E-3</v>
      </c>
      <c r="N190" s="985">
        <f>_xll.ThomsonONEAddinShim.SpreadsheetFormulas.TF(SedolTicker,$AJ$190,,N$5,$J$3)</f>
        <v>1.2E-2</v>
      </c>
      <c r="O190" s="985">
        <f>_xll.ThomsonONEAddinShim.SpreadsheetFormulas.TF(SedolTicker,$AJ$190,,O$5,$J$3)</f>
        <v>1.4999999999999999E-2</v>
      </c>
      <c r="P190" s="985">
        <f>_xll.ThomsonONEAddinShim.SpreadsheetFormulas.TF(SedolTicker,$AJ$190,,P$5,$J$3)</f>
        <v>2.2000000000000002E-2</v>
      </c>
      <c r="Q190" s="986"/>
      <c r="R190" s="986"/>
      <c r="S190" s="986"/>
      <c r="T190" s="986"/>
      <c r="U190" s="986"/>
      <c r="W190" s="986"/>
      <c r="X190" s="986"/>
      <c r="Y190" s="986"/>
      <c r="Z190" s="986"/>
      <c r="AA190"/>
      <c r="AB190"/>
      <c r="AC190"/>
      <c r="AD190"/>
      <c r="AE190"/>
      <c r="AF190"/>
      <c r="AJ190" s="424" t="s">
        <v>681</v>
      </c>
    </row>
    <row r="191" spans="1:36" s="821" customFormat="1" outlineLevel="1">
      <c r="A191" s="816"/>
      <c r="B191" s="817"/>
      <c r="C191" s="983" t="s">
        <v>686</v>
      </c>
      <c r="D191" s="983"/>
      <c r="E191" s="984"/>
      <c r="F191" s="818"/>
      <c r="G191" s="818"/>
      <c r="H191" s="819"/>
      <c r="I191" s="985">
        <f>_xll.ThomsonONEAddinShim.SpreadsheetFormulas.TF(SedolTicker,$AJ$191,"dataDir=across",$I$5,$P$5,$J$3)</f>
        <v>2E-3</v>
      </c>
      <c r="J191" s="985">
        <v>2.1456627110145411E-3</v>
      </c>
      <c r="K191" s="985">
        <v>1.4599409407577138E-3</v>
      </c>
      <c r="L191" s="985">
        <v>1.9586533352654203E-3</v>
      </c>
      <c r="M191" s="985">
        <v>2.6409774436090227E-2</v>
      </c>
      <c r="N191" s="985">
        <v>2.5979505726341168E-2</v>
      </c>
      <c r="O191" s="985">
        <v>1.7465553067441346E-2</v>
      </c>
      <c r="P191" s="985">
        <v>3.6891293654697489E-2</v>
      </c>
      <c r="Q191" s="986"/>
      <c r="R191" s="986"/>
      <c r="S191" s="986"/>
      <c r="T191" s="986"/>
      <c r="U191" s="986"/>
      <c r="W191" s="986"/>
      <c r="X191" s="986"/>
      <c r="Y191" s="986"/>
      <c r="Z191" s="986"/>
      <c r="AA191"/>
      <c r="AB191"/>
      <c r="AC191"/>
      <c r="AD191"/>
      <c r="AE191"/>
      <c r="AF191"/>
      <c r="AJ191" s="424" t="s">
        <v>682</v>
      </c>
    </row>
    <row r="192" spans="1:36" s="821" customFormat="1" outlineLevel="1">
      <c r="A192" s="816"/>
      <c r="B192" s="817"/>
      <c r="C192" s="425"/>
      <c r="D192" s="425"/>
      <c r="E192" s="426"/>
      <c r="F192" s="818"/>
      <c r="G192" s="818"/>
      <c r="H192" s="427"/>
      <c r="I192" s="427"/>
      <c r="J192" s="427"/>
      <c r="K192" s="427"/>
      <c r="L192" s="427"/>
      <c r="M192" s="427"/>
      <c r="N192" s="427"/>
      <c r="O192" s="427"/>
      <c r="P192" s="427"/>
      <c r="Q192" s="428"/>
      <c r="R192" s="428"/>
      <c r="S192" s="428"/>
      <c r="T192" s="428"/>
      <c r="U192" s="428"/>
      <c r="W192" s="428"/>
      <c r="X192" s="428"/>
      <c r="Y192" s="428"/>
      <c r="Z192" s="428"/>
      <c r="AA192"/>
      <c r="AB192"/>
      <c r="AC192"/>
      <c r="AD192"/>
      <c r="AE192"/>
      <c r="AF192"/>
      <c r="AJ192" s="428"/>
    </row>
    <row r="193" spans="1:39" s="821" customFormat="1" outlineLevel="1">
      <c r="A193" s="816"/>
      <c r="B193" s="817"/>
      <c r="C193" s="425"/>
      <c r="D193" s="425"/>
      <c r="E193" s="426"/>
      <c r="F193" s="818"/>
      <c r="G193" s="818"/>
      <c r="H193" s="427"/>
      <c r="I193" s="427"/>
      <c r="J193" s="427"/>
      <c r="K193" s="427"/>
      <c r="L193" s="427"/>
      <c r="M193" s="427"/>
      <c r="N193" s="427"/>
      <c r="O193" s="427"/>
      <c r="P193" s="427"/>
      <c r="Q193" s="428"/>
      <c r="R193" s="428"/>
      <c r="S193" s="428"/>
      <c r="T193" s="428"/>
      <c r="U193" s="428"/>
      <c r="W193" s="428"/>
      <c r="X193" s="428"/>
      <c r="Y193" s="428"/>
      <c r="Z193" s="428"/>
      <c r="AA193"/>
      <c r="AB193"/>
      <c r="AC193"/>
      <c r="AD193"/>
      <c r="AE193"/>
      <c r="AF193"/>
      <c r="AJ193" s="428"/>
    </row>
    <row r="194" spans="1:39" s="821" customFormat="1" outlineLevel="1">
      <c r="A194" s="816"/>
      <c r="B194" s="817"/>
      <c r="C194" s="983" t="s">
        <v>339</v>
      </c>
      <c r="D194" s="983"/>
      <c r="E194" s="984"/>
      <c r="F194" s="818"/>
      <c r="G194" s="818"/>
      <c r="H194" s="987">
        <f>_xll.ThomsonONEAddinShim.SpreadsheetFormulas.TF(SedolTicker,$AJ194,"dataDir=across",$J$3)</f>
        <v>1093</v>
      </c>
      <c r="I194" s="987">
        <v>827</v>
      </c>
      <c r="J194" s="987">
        <v>1027</v>
      </c>
      <c r="K194" s="987">
        <v>662</v>
      </c>
      <c r="L194" s="987">
        <v>811</v>
      </c>
      <c r="M194" s="987">
        <v>10116</v>
      </c>
      <c r="N194" s="987">
        <v>9482</v>
      </c>
      <c r="O194" s="987">
        <v>3463</v>
      </c>
      <c r="P194" s="987">
        <v>5025</v>
      </c>
      <c r="Q194" s="428"/>
      <c r="R194" s="428"/>
      <c r="S194" s="428"/>
      <c r="T194" s="428"/>
      <c r="U194" s="428"/>
      <c r="W194" s="428"/>
      <c r="X194" s="428"/>
      <c r="Y194" s="428"/>
      <c r="Z194" s="428"/>
      <c r="AA194"/>
      <c r="AB194"/>
      <c r="AC194"/>
      <c r="AD194"/>
      <c r="AE194"/>
      <c r="AF194"/>
      <c r="AJ194" s="429" t="s">
        <v>687</v>
      </c>
    </row>
    <row r="195" spans="1:39" outlineLevel="1">
      <c r="C195" s="983" t="s">
        <v>688</v>
      </c>
      <c r="D195" s="983"/>
      <c r="E195" s="984"/>
      <c r="F195" s="818"/>
      <c r="G195" s="818"/>
      <c r="H195" s="987">
        <f>_xll.ThomsonONEAddinShim.SpreadsheetFormulas.TF(SedolTicker,$AJ195,"dataDir=across",$J$3)</f>
        <v>193695</v>
      </c>
      <c r="I195" s="987">
        <v>133054</v>
      </c>
      <c r="J195" s="987">
        <v>117959</v>
      </c>
      <c r="K195" s="987">
        <v>137611</v>
      </c>
      <c r="L195" s="987">
        <v>101392</v>
      </c>
      <c r="M195" s="987">
        <v>77890</v>
      </c>
      <c r="N195" s="987">
        <v>71789</v>
      </c>
      <c r="O195" s="987">
        <v>49892</v>
      </c>
      <c r="P195" s="987">
        <v>30714</v>
      </c>
      <c r="Q195" s="428"/>
      <c r="R195" s="428"/>
      <c r="S195" s="428"/>
      <c r="T195" s="428"/>
      <c r="U195" s="428"/>
      <c r="V195" s="821"/>
      <c r="W195" s="428"/>
      <c r="X195" s="428"/>
      <c r="Y195" s="428"/>
      <c r="Z195" s="428"/>
      <c r="AG195" s="821"/>
      <c r="AH195" s="821"/>
      <c r="AI195" s="821"/>
      <c r="AJ195" s="429" t="s">
        <v>689</v>
      </c>
      <c r="AK195" s="821"/>
      <c r="AL195" s="821"/>
      <c r="AM195" s="821"/>
    </row>
    <row r="196" spans="1:39" outlineLevel="1">
      <c r="C196" s="983" t="s">
        <v>690</v>
      </c>
      <c r="D196" s="983"/>
      <c r="E196" s="984"/>
      <c r="H196" s="987">
        <f>_xll.ThomsonONEAddinShim.SpreadsheetFormulas.TF(SedolTicker,$AJ196,"dataDir=across",$J$3)</f>
        <v>330067</v>
      </c>
      <c r="I196" s="987">
        <v>377138</v>
      </c>
      <c r="J196" s="987">
        <v>360681</v>
      </c>
      <c r="K196" s="987">
        <v>315832</v>
      </c>
      <c r="L196" s="987">
        <v>312668</v>
      </c>
      <c r="M196" s="987">
        <v>305150</v>
      </c>
      <c r="N196" s="987">
        <v>293191</v>
      </c>
      <c r="O196" s="987">
        <v>148384</v>
      </c>
      <c r="P196" s="987">
        <v>105497</v>
      </c>
      <c r="Q196" s="428"/>
      <c r="R196" s="428"/>
      <c r="S196" s="428"/>
      <c r="T196" s="428"/>
      <c r="U196" s="428"/>
      <c r="W196" s="428"/>
      <c r="X196" s="428"/>
      <c r="Y196" s="428"/>
      <c r="Z196" s="428"/>
      <c r="AJ196" s="429" t="s">
        <v>691</v>
      </c>
    </row>
    <row r="197" spans="1:39" outlineLevel="1">
      <c r="C197" s="983"/>
      <c r="D197" s="983"/>
      <c r="E197" s="984"/>
      <c r="H197" s="985"/>
      <c r="I197" s="988"/>
      <c r="J197" s="988"/>
      <c r="K197" s="988"/>
      <c r="L197" s="988"/>
      <c r="M197" s="988"/>
      <c r="N197" s="988"/>
      <c r="O197" s="988"/>
      <c r="P197" s="988"/>
      <c r="Q197" s="428"/>
      <c r="R197" s="428"/>
      <c r="S197" s="428"/>
      <c r="T197" s="428"/>
      <c r="U197" s="428"/>
      <c r="W197" s="428"/>
      <c r="X197" s="428"/>
      <c r="Y197" s="428"/>
      <c r="Z197" s="428"/>
      <c r="AJ197" s="429"/>
    </row>
    <row r="198" spans="1:39" s="873" customFormat="1">
      <c r="A198" s="866"/>
      <c r="B198" s="867"/>
      <c r="C198" s="983"/>
      <c r="D198" s="983"/>
      <c r="E198" s="984"/>
      <c r="F198" s="868"/>
      <c r="G198" s="868"/>
      <c r="H198" s="989"/>
      <c r="I198" s="430"/>
      <c r="J198" s="430"/>
      <c r="K198" s="430"/>
      <c r="L198" s="431"/>
      <c r="M198" s="431"/>
      <c r="N198" s="431"/>
      <c r="O198" s="431"/>
      <c r="P198" s="431"/>
      <c r="Q198" s="428"/>
      <c r="R198" s="428"/>
      <c r="S198" s="428"/>
      <c r="T198" s="428"/>
      <c r="U198" s="428"/>
      <c r="W198" s="428"/>
      <c r="X198" s="428"/>
      <c r="Y198" s="428"/>
      <c r="Z198" s="428"/>
      <c r="AA198"/>
      <c r="AB198"/>
      <c r="AC198"/>
      <c r="AD198"/>
      <c r="AE198"/>
      <c r="AF198"/>
      <c r="AJ198" s="428"/>
    </row>
    <row r="199" spans="1:39">
      <c r="C199" s="983"/>
      <c r="D199" s="983"/>
      <c r="E199" s="984"/>
      <c r="H199" s="990"/>
      <c r="I199" s="990"/>
      <c r="J199" s="990"/>
      <c r="K199" s="990"/>
      <c r="L199" s="990"/>
      <c r="M199" s="990"/>
      <c r="N199" s="990"/>
      <c r="O199" s="990"/>
      <c r="P199" s="990"/>
      <c r="Q199" s="428"/>
      <c r="R199" s="428"/>
      <c r="S199" s="428"/>
      <c r="T199" s="428"/>
      <c r="U199" s="428"/>
      <c r="W199" s="428"/>
      <c r="X199" s="428"/>
      <c r="Y199" s="428"/>
      <c r="Z199" s="428"/>
      <c r="AJ199" s="428"/>
    </row>
    <row r="200" spans="1:39">
      <c r="C200" s="983"/>
      <c r="D200" s="983"/>
      <c r="E200" s="984"/>
      <c r="H200" s="990"/>
      <c r="I200" s="990"/>
      <c r="J200" s="990"/>
      <c r="K200" s="990"/>
      <c r="L200" s="990"/>
      <c r="M200" s="990"/>
      <c r="N200" s="990"/>
      <c r="O200" s="990"/>
      <c r="P200" s="990"/>
      <c r="Q200" s="428"/>
      <c r="R200" s="428"/>
      <c r="S200" s="428"/>
      <c r="T200" s="428"/>
      <c r="U200" s="428"/>
      <c r="W200" s="428"/>
      <c r="X200" s="428"/>
      <c r="Y200" s="428"/>
      <c r="Z200" s="428"/>
      <c r="AJ200" s="428"/>
    </row>
    <row r="201" spans="1:39">
      <c r="C201" s="983"/>
      <c r="D201" s="983"/>
      <c r="E201" s="984"/>
      <c r="H201" s="990"/>
      <c r="I201" s="990"/>
      <c r="J201" s="990"/>
      <c r="K201" s="990"/>
      <c r="L201" s="990"/>
      <c r="M201" s="990"/>
      <c r="N201" s="990"/>
      <c r="O201" s="990"/>
      <c r="P201" s="990"/>
      <c r="Q201" s="428"/>
      <c r="R201" s="428"/>
      <c r="S201" s="428"/>
      <c r="T201" s="428"/>
      <c r="U201" s="428"/>
      <c r="W201" s="428"/>
      <c r="X201" s="428"/>
      <c r="Y201" s="428"/>
      <c r="Z201" s="428"/>
      <c r="AJ201" s="428"/>
    </row>
    <row r="202" spans="1:39" s="873" customFormat="1">
      <c r="A202" s="866"/>
      <c r="B202" s="867"/>
      <c r="C202" s="983"/>
      <c r="D202" s="983"/>
      <c r="E202" s="984"/>
      <c r="F202" s="868"/>
      <c r="G202" s="868"/>
      <c r="H202" s="989"/>
      <c r="I202" s="989"/>
      <c r="J202" s="989"/>
      <c r="K202" s="989"/>
      <c r="L202" s="989"/>
      <c r="M202" s="989"/>
      <c r="N202" s="989"/>
      <c r="O202" s="989"/>
      <c r="P202" s="989"/>
      <c r="Q202" s="428"/>
      <c r="R202" s="428"/>
      <c r="S202" s="428"/>
      <c r="T202" s="428"/>
      <c r="U202" s="428"/>
      <c r="V202" s="428"/>
      <c r="W202" s="428"/>
      <c r="X202" s="428"/>
      <c r="Y202" s="428"/>
      <c r="Z202" s="428"/>
      <c r="AA202"/>
      <c r="AB202"/>
      <c r="AC202"/>
      <c r="AD202"/>
      <c r="AE202"/>
      <c r="AF202"/>
      <c r="AJ202" s="874"/>
    </row>
    <row r="203" spans="1:39" s="873" customFormat="1">
      <c r="A203" s="866"/>
      <c r="B203" s="867"/>
      <c r="C203" s="983"/>
      <c r="D203" s="983"/>
      <c r="E203" s="984"/>
      <c r="F203" s="868"/>
      <c r="G203" s="868"/>
      <c r="H203" s="989"/>
      <c r="I203" s="989"/>
      <c r="J203" s="989"/>
      <c r="K203" s="989"/>
      <c r="L203" s="989"/>
      <c r="M203" s="989"/>
      <c r="N203" s="989"/>
      <c r="O203" s="989"/>
      <c r="P203" s="989"/>
      <c r="Q203" s="428"/>
      <c r="R203" s="428"/>
      <c r="S203" s="428"/>
      <c r="T203" s="428"/>
      <c r="U203" s="428"/>
      <c r="V203" s="428"/>
      <c r="W203" s="428"/>
      <c r="X203" s="428"/>
      <c r="Y203" s="428"/>
      <c r="Z203" s="428"/>
      <c r="AA203"/>
      <c r="AB203"/>
      <c r="AC203"/>
      <c r="AD203"/>
      <c r="AE203"/>
      <c r="AF203"/>
      <c r="AJ203" s="874"/>
    </row>
  </sheetData>
  <conditionalFormatting sqref="A44 C46">
    <cfRule type="cellIs" dxfId="1" priority="1" stopIfTrue="1" operator="equal">
      <formula>"A44=0"</formula>
    </cfRule>
  </conditionalFormatting>
  <conditionalFormatting sqref="H44 I44:P45">
    <cfRule type="cellIs" dxfId="0" priority="2" stopIfTrue="1" operator="equal">
      <formula>0</formula>
    </cfRule>
  </conditionalFormatting>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controls>
    <mc:AlternateContent xmlns:mc="http://schemas.openxmlformats.org/markup-compatibility/2006">
      <mc:Choice Requires="x14">
        <control shapeId="21094401" r:id="rId4" name="CommandButton2">
          <controlPr defaultSize="0" autoLine="0" r:id="rId5">
            <anchor moveWithCells="1">
              <from>
                <xdr:col>14</xdr:col>
                <xdr:colOff>485775</xdr:colOff>
                <xdr:row>1</xdr:row>
                <xdr:rowOff>57150</xdr:rowOff>
              </from>
              <to>
                <xdr:col>16</xdr:col>
                <xdr:colOff>352425</xdr:colOff>
                <xdr:row>1</xdr:row>
                <xdr:rowOff>381000</xdr:rowOff>
              </to>
            </anchor>
          </controlPr>
        </control>
      </mc:Choice>
      <mc:Fallback>
        <control shapeId="21094401" r:id="rId4" name="CommandButton2"/>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61"/>
  <sheetViews>
    <sheetView zoomScale="85" zoomScaleNormal="85" workbookViewId="0"/>
  </sheetViews>
  <sheetFormatPr defaultRowHeight="12.75" outlineLevelRow="1"/>
  <cols>
    <col min="1" max="1" width="2" style="1481" customWidth="1"/>
    <col min="2" max="2" width="32.140625" style="1551" customWidth="1"/>
    <col min="3" max="3" width="10.5703125" style="1481" customWidth="1"/>
    <col min="4" max="10" width="10.28515625" style="1481" bestFit="1" customWidth="1"/>
    <col min="11" max="11" width="11.28515625" style="1481" bestFit="1" customWidth="1"/>
    <col min="12" max="256" width="9.140625" style="1481"/>
    <col min="257" max="257" width="2" style="1481" customWidth="1"/>
    <col min="258" max="258" width="32.140625" style="1481" customWidth="1"/>
    <col min="259" max="259" width="10.5703125" style="1481" customWidth="1"/>
    <col min="260" max="266" width="10.28515625" style="1481" bestFit="1" customWidth="1"/>
    <col min="267" max="267" width="11.28515625" style="1481" bestFit="1" customWidth="1"/>
    <col min="268" max="512" width="9.140625" style="1481"/>
    <col min="513" max="513" width="2" style="1481" customWidth="1"/>
    <col min="514" max="514" width="32.140625" style="1481" customWidth="1"/>
    <col min="515" max="515" width="10.5703125" style="1481" customWidth="1"/>
    <col min="516" max="522" width="10.28515625" style="1481" bestFit="1" customWidth="1"/>
    <col min="523" max="523" width="11.28515625" style="1481" bestFit="1" customWidth="1"/>
    <col min="524" max="768" width="9.140625" style="1481"/>
    <col min="769" max="769" width="2" style="1481" customWidth="1"/>
    <col min="770" max="770" width="32.140625" style="1481" customWidth="1"/>
    <col min="771" max="771" width="10.5703125" style="1481" customWidth="1"/>
    <col min="772" max="778" width="10.28515625" style="1481" bestFit="1" customWidth="1"/>
    <col min="779" max="779" width="11.28515625" style="1481" bestFit="1" customWidth="1"/>
    <col min="780" max="1024" width="9.140625" style="1481"/>
    <col min="1025" max="1025" width="2" style="1481" customWidth="1"/>
    <col min="1026" max="1026" width="32.140625" style="1481" customWidth="1"/>
    <col min="1027" max="1027" width="10.5703125" style="1481" customWidth="1"/>
    <col min="1028" max="1034" width="10.28515625" style="1481" bestFit="1" customWidth="1"/>
    <col min="1035" max="1035" width="11.28515625" style="1481" bestFit="1" customWidth="1"/>
    <col min="1036" max="1280" width="9.140625" style="1481"/>
    <col min="1281" max="1281" width="2" style="1481" customWidth="1"/>
    <col min="1282" max="1282" width="32.140625" style="1481" customWidth="1"/>
    <col min="1283" max="1283" width="10.5703125" style="1481" customWidth="1"/>
    <col min="1284" max="1290" width="10.28515625" style="1481" bestFit="1" customWidth="1"/>
    <col min="1291" max="1291" width="11.28515625" style="1481" bestFit="1" customWidth="1"/>
    <col min="1292" max="1536" width="9.140625" style="1481"/>
    <col min="1537" max="1537" width="2" style="1481" customWidth="1"/>
    <col min="1538" max="1538" width="32.140625" style="1481" customWidth="1"/>
    <col min="1539" max="1539" width="10.5703125" style="1481" customWidth="1"/>
    <col min="1540" max="1546" width="10.28515625" style="1481" bestFit="1" customWidth="1"/>
    <col min="1547" max="1547" width="11.28515625" style="1481" bestFit="1" customWidth="1"/>
    <col min="1548" max="1792" width="9.140625" style="1481"/>
    <col min="1793" max="1793" width="2" style="1481" customWidth="1"/>
    <col min="1794" max="1794" width="32.140625" style="1481" customWidth="1"/>
    <col min="1795" max="1795" width="10.5703125" style="1481" customWidth="1"/>
    <col min="1796" max="1802" width="10.28515625" style="1481" bestFit="1" customWidth="1"/>
    <col min="1803" max="1803" width="11.28515625" style="1481" bestFit="1" customWidth="1"/>
    <col min="1804" max="2048" width="9.140625" style="1481"/>
    <col min="2049" max="2049" width="2" style="1481" customWidth="1"/>
    <col min="2050" max="2050" width="32.140625" style="1481" customWidth="1"/>
    <col min="2051" max="2051" width="10.5703125" style="1481" customWidth="1"/>
    <col min="2052" max="2058" width="10.28515625" style="1481" bestFit="1" customWidth="1"/>
    <col min="2059" max="2059" width="11.28515625" style="1481" bestFit="1" customWidth="1"/>
    <col min="2060" max="2304" width="9.140625" style="1481"/>
    <col min="2305" max="2305" width="2" style="1481" customWidth="1"/>
    <col min="2306" max="2306" width="32.140625" style="1481" customWidth="1"/>
    <col min="2307" max="2307" width="10.5703125" style="1481" customWidth="1"/>
    <col min="2308" max="2314" width="10.28515625" style="1481" bestFit="1" customWidth="1"/>
    <col min="2315" max="2315" width="11.28515625" style="1481" bestFit="1" customWidth="1"/>
    <col min="2316" max="2560" width="9.140625" style="1481"/>
    <col min="2561" max="2561" width="2" style="1481" customWidth="1"/>
    <col min="2562" max="2562" width="32.140625" style="1481" customWidth="1"/>
    <col min="2563" max="2563" width="10.5703125" style="1481" customWidth="1"/>
    <col min="2564" max="2570" width="10.28515625" style="1481" bestFit="1" customWidth="1"/>
    <col min="2571" max="2571" width="11.28515625" style="1481" bestFit="1" customWidth="1"/>
    <col min="2572" max="2816" width="9.140625" style="1481"/>
    <col min="2817" max="2817" width="2" style="1481" customWidth="1"/>
    <col min="2818" max="2818" width="32.140625" style="1481" customWidth="1"/>
    <col min="2819" max="2819" width="10.5703125" style="1481" customWidth="1"/>
    <col min="2820" max="2826" width="10.28515625" style="1481" bestFit="1" customWidth="1"/>
    <col min="2827" max="2827" width="11.28515625" style="1481" bestFit="1" customWidth="1"/>
    <col min="2828" max="3072" width="9.140625" style="1481"/>
    <col min="3073" max="3073" width="2" style="1481" customWidth="1"/>
    <col min="3074" max="3074" width="32.140625" style="1481" customWidth="1"/>
    <col min="3075" max="3075" width="10.5703125" style="1481" customWidth="1"/>
    <col min="3076" max="3082" width="10.28515625" style="1481" bestFit="1" customWidth="1"/>
    <col min="3083" max="3083" width="11.28515625" style="1481" bestFit="1" customWidth="1"/>
    <col min="3084" max="3328" width="9.140625" style="1481"/>
    <col min="3329" max="3329" width="2" style="1481" customWidth="1"/>
    <col min="3330" max="3330" width="32.140625" style="1481" customWidth="1"/>
    <col min="3331" max="3331" width="10.5703125" style="1481" customWidth="1"/>
    <col min="3332" max="3338" width="10.28515625" style="1481" bestFit="1" customWidth="1"/>
    <col min="3339" max="3339" width="11.28515625" style="1481" bestFit="1" customWidth="1"/>
    <col min="3340" max="3584" width="9.140625" style="1481"/>
    <col min="3585" max="3585" width="2" style="1481" customWidth="1"/>
    <col min="3586" max="3586" width="32.140625" style="1481" customWidth="1"/>
    <col min="3587" max="3587" width="10.5703125" style="1481" customWidth="1"/>
    <col min="3588" max="3594" width="10.28515625" style="1481" bestFit="1" customWidth="1"/>
    <col min="3595" max="3595" width="11.28515625" style="1481" bestFit="1" customWidth="1"/>
    <col min="3596" max="3840" width="9.140625" style="1481"/>
    <col min="3841" max="3841" width="2" style="1481" customWidth="1"/>
    <col min="3842" max="3842" width="32.140625" style="1481" customWidth="1"/>
    <col min="3843" max="3843" width="10.5703125" style="1481" customWidth="1"/>
    <col min="3844" max="3850" width="10.28515625" style="1481" bestFit="1" customWidth="1"/>
    <col min="3851" max="3851" width="11.28515625" style="1481" bestFit="1" customWidth="1"/>
    <col min="3852" max="4096" width="9.140625" style="1481"/>
    <col min="4097" max="4097" width="2" style="1481" customWidth="1"/>
    <col min="4098" max="4098" width="32.140625" style="1481" customWidth="1"/>
    <col min="4099" max="4099" width="10.5703125" style="1481" customWidth="1"/>
    <col min="4100" max="4106" width="10.28515625" style="1481" bestFit="1" customWidth="1"/>
    <col min="4107" max="4107" width="11.28515625" style="1481" bestFit="1" customWidth="1"/>
    <col min="4108" max="4352" width="9.140625" style="1481"/>
    <col min="4353" max="4353" width="2" style="1481" customWidth="1"/>
    <col min="4354" max="4354" width="32.140625" style="1481" customWidth="1"/>
    <col min="4355" max="4355" width="10.5703125" style="1481" customWidth="1"/>
    <col min="4356" max="4362" width="10.28515625" style="1481" bestFit="1" customWidth="1"/>
    <col min="4363" max="4363" width="11.28515625" style="1481" bestFit="1" customWidth="1"/>
    <col min="4364" max="4608" width="9.140625" style="1481"/>
    <col min="4609" max="4609" width="2" style="1481" customWidth="1"/>
    <col min="4610" max="4610" width="32.140625" style="1481" customWidth="1"/>
    <col min="4611" max="4611" width="10.5703125" style="1481" customWidth="1"/>
    <col min="4612" max="4618" width="10.28515625" style="1481" bestFit="1" customWidth="1"/>
    <col min="4619" max="4619" width="11.28515625" style="1481" bestFit="1" customWidth="1"/>
    <col min="4620" max="4864" width="9.140625" style="1481"/>
    <col min="4865" max="4865" width="2" style="1481" customWidth="1"/>
    <col min="4866" max="4866" width="32.140625" style="1481" customWidth="1"/>
    <col min="4867" max="4867" width="10.5703125" style="1481" customWidth="1"/>
    <col min="4868" max="4874" width="10.28515625" style="1481" bestFit="1" customWidth="1"/>
    <col min="4875" max="4875" width="11.28515625" style="1481" bestFit="1" customWidth="1"/>
    <col min="4876" max="5120" width="9.140625" style="1481"/>
    <col min="5121" max="5121" width="2" style="1481" customWidth="1"/>
    <col min="5122" max="5122" width="32.140625" style="1481" customWidth="1"/>
    <col min="5123" max="5123" width="10.5703125" style="1481" customWidth="1"/>
    <col min="5124" max="5130" width="10.28515625" style="1481" bestFit="1" customWidth="1"/>
    <col min="5131" max="5131" width="11.28515625" style="1481" bestFit="1" customWidth="1"/>
    <col min="5132" max="5376" width="9.140625" style="1481"/>
    <col min="5377" max="5377" width="2" style="1481" customWidth="1"/>
    <col min="5378" max="5378" width="32.140625" style="1481" customWidth="1"/>
    <col min="5379" max="5379" width="10.5703125" style="1481" customWidth="1"/>
    <col min="5380" max="5386" width="10.28515625" style="1481" bestFit="1" customWidth="1"/>
    <col min="5387" max="5387" width="11.28515625" style="1481" bestFit="1" customWidth="1"/>
    <col min="5388" max="5632" width="9.140625" style="1481"/>
    <col min="5633" max="5633" width="2" style="1481" customWidth="1"/>
    <col min="5634" max="5634" width="32.140625" style="1481" customWidth="1"/>
    <col min="5635" max="5635" width="10.5703125" style="1481" customWidth="1"/>
    <col min="5636" max="5642" width="10.28515625" style="1481" bestFit="1" customWidth="1"/>
    <col min="5643" max="5643" width="11.28515625" style="1481" bestFit="1" customWidth="1"/>
    <col min="5644" max="5888" width="9.140625" style="1481"/>
    <col min="5889" max="5889" width="2" style="1481" customWidth="1"/>
    <col min="5890" max="5890" width="32.140625" style="1481" customWidth="1"/>
    <col min="5891" max="5891" width="10.5703125" style="1481" customWidth="1"/>
    <col min="5892" max="5898" width="10.28515625" style="1481" bestFit="1" customWidth="1"/>
    <col min="5899" max="5899" width="11.28515625" style="1481" bestFit="1" customWidth="1"/>
    <col min="5900" max="6144" width="9.140625" style="1481"/>
    <col min="6145" max="6145" width="2" style="1481" customWidth="1"/>
    <col min="6146" max="6146" width="32.140625" style="1481" customWidth="1"/>
    <col min="6147" max="6147" width="10.5703125" style="1481" customWidth="1"/>
    <col min="6148" max="6154" width="10.28515625" style="1481" bestFit="1" customWidth="1"/>
    <col min="6155" max="6155" width="11.28515625" style="1481" bestFit="1" customWidth="1"/>
    <col min="6156" max="6400" width="9.140625" style="1481"/>
    <col min="6401" max="6401" width="2" style="1481" customWidth="1"/>
    <col min="6402" max="6402" width="32.140625" style="1481" customWidth="1"/>
    <col min="6403" max="6403" width="10.5703125" style="1481" customWidth="1"/>
    <col min="6404" max="6410" width="10.28515625" style="1481" bestFit="1" customWidth="1"/>
    <col min="6411" max="6411" width="11.28515625" style="1481" bestFit="1" customWidth="1"/>
    <col min="6412" max="6656" width="9.140625" style="1481"/>
    <col min="6657" max="6657" width="2" style="1481" customWidth="1"/>
    <col min="6658" max="6658" width="32.140625" style="1481" customWidth="1"/>
    <col min="6659" max="6659" width="10.5703125" style="1481" customWidth="1"/>
    <col min="6660" max="6666" width="10.28515625" style="1481" bestFit="1" customWidth="1"/>
    <col min="6667" max="6667" width="11.28515625" style="1481" bestFit="1" customWidth="1"/>
    <col min="6668" max="6912" width="9.140625" style="1481"/>
    <col min="6913" max="6913" width="2" style="1481" customWidth="1"/>
    <col min="6914" max="6914" width="32.140625" style="1481" customWidth="1"/>
    <col min="6915" max="6915" width="10.5703125" style="1481" customWidth="1"/>
    <col min="6916" max="6922" width="10.28515625" style="1481" bestFit="1" customWidth="1"/>
    <col min="6923" max="6923" width="11.28515625" style="1481" bestFit="1" customWidth="1"/>
    <col min="6924" max="7168" width="9.140625" style="1481"/>
    <col min="7169" max="7169" width="2" style="1481" customWidth="1"/>
    <col min="7170" max="7170" width="32.140625" style="1481" customWidth="1"/>
    <col min="7171" max="7171" width="10.5703125" style="1481" customWidth="1"/>
    <col min="7172" max="7178" width="10.28515625" style="1481" bestFit="1" customWidth="1"/>
    <col min="7179" max="7179" width="11.28515625" style="1481" bestFit="1" customWidth="1"/>
    <col min="7180" max="7424" width="9.140625" style="1481"/>
    <col min="7425" max="7425" width="2" style="1481" customWidth="1"/>
    <col min="7426" max="7426" width="32.140625" style="1481" customWidth="1"/>
    <col min="7427" max="7427" width="10.5703125" style="1481" customWidth="1"/>
    <col min="7428" max="7434" width="10.28515625" style="1481" bestFit="1" customWidth="1"/>
    <col min="7435" max="7435" width="11.28515625" style="1481" bestFit="1" customWidth="1"/>
    <col min="7436" max="7680" width="9.140625" style="1481"/>
    <col min="7681" max="7681" width="2" style="1481" customWidth="1"/>
    <col min="7682" max="7682" width="32.140625" style="1481" customWidth="1"/>
    <col min="7683" max="7683" width="10.5703125" style="1481" customWidth="1"/>
    <col min="7684" max="7690" width="10.28515625" style="1481" bestFit="1" customWidth="1"/>
    <col min="7691" max="7691" width="11.28515625" style="1481" bestFit="1" customWidth="1"/>
    <col min="7692" max="7936" width="9.140625" style="1481"/>
    <col min="7937" max="7937" width="2" style="1481" customWidth="1"/>
    <col min="7938" max="7938" width="32.140625" style="1481" customWidth="1"/>
    <col min="7939" max="7939" width="10.5703125" style="1481" customWidth="1"/>
    <col min="7940" max="7946" width="10.28515625" style="1481" bestFit="1" customWidth="1"/>
    <col min="7947" max="7947" width="11.28515625" style="1481" bestFit="1" customWidth="1"/>
    <col min="7948" max="8192" width="9.140625" style="1481"/>
    <col min="8193" max="8193" width="2" style="1481" customWidth="1"/>
    <col min="8194" max="8194" width="32.140625" style="1481" customWidth="1"/>
    <col min="8195" max="8195" width="10.5703125" style="1481" customWidth="1"/>
    <col min="8196" max="8202" width="10.28515625" style="1481" bestFit="1" customWidth="1"/>
    <col min="8203" max="8203" width="11.28515625" style="1481" bestFit="1" customWidth="1"/>
    <col min="8204" max="8448" width="9.140625" style="1481"/>
    <col min="8449" max="8449" width="2" style="1481" customWidth="1"/>
    <col min="8450" max="8450" width="32.140625" style="1481" customWidth="1"/>
    <col min="8451" max="8451" width="10.5703125" style="1481" customWidth="1"/>
    <col min="8452" max="8458" width="10.28515625" style="1481" bestFit="1" customWidth="1"/>
    <col min="8459" max="8459" width="11.28515625" style="1481" bestFit="1" customWidth="1"/>
    <col min="8460" max="8704" width="9.140625" style="1481"/>
    <col min="8705" max="8705" width="2" style="1481" customWidth="1"/>
    <col min="8706" max="8706" width="32.140625" style="1481" customWidth="1"/>
    <col min="8707" max="8707" width="10.5703125" style="1481" customWidth="1"/>
    <col min="8708" max="8714" width="10.28515625" style="1481" bestFit="1" customWidth="1"/>
    <col min="8715" max="8715" width="11.28515625" style="1481" bestFit="1" customWidth="1"/>
    <col min="8716" max="8960" width="9.140625" style="1481"/>
    <col min="8961" max="8961" width="2" style="1481" customWidth="1"/>
    <col min="8962" max="8962" width="32.140625" style="1481" customWidth="1"/>
    <col min="8963" max="8963" width="10.5703125" style="1481" customWidth="1"/>
    <col min="8964" max="8970" width="10.28515625" style="1481" bestFit="1" customWidth="1"/>
    <col min="8971" max="8971" width="11.28515625" style="1481" bestFit="1" customWidth="1"/>
    <col min="8972" max="9216" width="9.140625" style="1481"/>
    <col min="9217" max="9217" width="2" style="1481" customWidth="1"/>
    <col min="9218" max="9218" width="32.140625" style="1481" customWidth="1"/>
    <col min="9219" max="9219" width="10.5703125" style="1481" customWidth="1"/>
    <col min="9220" max="9226" width="10.28515625" style="1481" bestFit="1" customWidth="1"/>
    <col min="9227" max="9227" width="11.28515625" style="1481" bestFit="1" customWidth="1"/>
    <col min="9228" max="9472" width="9.140625" style="1481"/>
    <col min="9473" max="9473" width="2" style="1481" customWidth="1"/>
    <col min="9474" max="9474" width="32.140625" style="1481" customWidth="1"/>
    <col min="9475" max="9475" width="10.5703125" style="1481" customWidth="1"/>
    <col min="9476" max="9482" width="10.28515625" style="1481" bestFit="1" customWidth="1"/>
    <col min="9483" max="9483" width="11.28515625" style="1481" bestFit="1" customWidth="1"/>
    <col min="9484" max="9728" width="9.140625" style="1481"/>
    <col min="9729" max="9729" width="2" style="1481" customWidth="1"/>
    <col min="9730" max="9730" width="32.140625" style="1481" customWidth="1"/>
    <col min="9731" max="9731" width="10.5703125" style="1481" customWidth="1"/>
    <col min="9732" max="9738" width="10.28515625" style="1481" bestFit="1" customWidth="1"/>
    <col min="9739" max="9739" width="11.28515625" style="1481" bestFit="1" customWidth="1"/>
    <col min="9740" max="9984" width="9.140625" style="1481"/>
    <col min="9985" max="9985" width="2" style="1481" customWidth="1"/>
    <col min="9986" max="9986" width="32.140625" style="1481" customWidth="1"/>
    <col min="9987" max="9987" width="10.5703125" style="1481" customWidth="1"/>
    <col min="9988" max="9994" width="10.28515625" style="1481" bestFit="1" customWidth="1"/>
    <col min="9995" max="9995" width="11.28515625" style="1481" bestFit="1" customWidth="1"/>
    <col min="9996" max="10240" width="9.140625" style="1481"/>
    <col min="10241" max="10241" width="2" style="1481" customWidth="1"/>
    <col min="10242" max="10242" width="32.140625" style="1481" customWidth="1"/>
    <col min="10243" max="10243" width="10.5703125" style="1481" customWidth="1"/>
    <col min="10244" max="10250" width="10.28515625" style="1481" bestFit="1" customWidth="1"/>
    <col min="10251" max="10251" width="11.28515625" style="1481" bestFit="1" customWidth="1"/>
    <col min="10252" max="10496" width="9.140625" style="1481"/>
    <col min="10497" max="10497" width="2" style="1481" customWidth="1"/>
    <col min="10498" max="10498" width="32.140625" style="1481" customWidth="1"/>
    <col min="10499" max="10499" width="10.5703125" style="1481" customWidth="1"/>
    <col min="10500" max="10506" width="10.28515625" style="1481" bestFit="1" customWidth="1"/>
    <col min="10507" max="10507" width="11.28515625" style="1481" bestFit="1" customWidth="1"/>
    <col min="10508" max="10752" width="9.140625" style="1481"/>
    <col min="10753" max="10753" width="2" style="1481" customWidth="1"/>
    <col min="10754" max="10754" width="32.140625" style="1481" customWidth="1"/>
    <col min="10755" max="10755" width="10.5703125" style="1481" customWidth="1"/>
    <col min="10756" max="10762" width="10.28515625" style="1481" bestFit="1" customWidth="1"/>
    <col min="10763" max="10763" width="11.28515625" style="1481" bestFit="1" customWidth="1"/>
    <col min="10764" max="11008" width="9.140625" style="1481"/>
    <col min="11009" max="11009" width="2" style="1481" customWidth="1"/>
    <col min="11010" max="11010" width="32.140625" style="1481" customWidth="1"/>
    <col min="11011" max="11011" width="10.5703125" style="1481" customWidth="1"/>
    <col min="11012" max="11018" width="10.28515625" style="1481" bestFit="1" customWidth="1"/>
    <col min="11019" max="11019" width="11.28515625" style="1481" bestFit="1" customWidth="1"/>
    <col min="11020" max="11264" width="9.140625" style="1481"/>
    <col min="11265" max="11265" width="2" style="1481" customWidth="1"/>
    <col min="11266" max="11266" width="32.140625" style="1481" customWidth="1"/>
    <col min="11267" max="11267" width="10.5703125" style="1481" customWidth="1"/>
    <col min="11268" max="11274" width="10.28515625" style="1481" bestFit="1" customWidth="1"/>
    <col min="11275" max="11275" width="11.28515625" style="1481" bestFit="1" customWidth="1"/>
    <col min="11276" max="11520" width="9.140625" style="1481"/>
    <col min="11521" max="11521" width="2" style="1481" customWidth="1"/>
    <col min="11522" max="11522" width="32.140625" style="1481" customWidth="1"/>
    <col min="11523" max="11523" width="10.5703125" style="1481" customWidth="1"/>
    <col min="11524" max="11530" width="10.28515625" style="1481" bestFit="1" customWidth="1"/>
    <col min="11531" max="11531" width="11.28515625" style="1481" bestFit="1" customWidth="1"/>
    <col min="11532" max="11776" width="9.140625" style="1481"/>
    <col min="11777" max="11777" width="2" style="1481" customWidth="1"/>
    <col min="11778" max="11778" width="32.140625" style="1481" customWidth="1"/>
    <col min="11779" max="11779" width="10.5703125" style="1481" customWidth="1"/>
    <col min="11780" max="11786" width="10.28515625" style="1481" bestFit="1" customWidth="1"/>
    <col min="11787" max="11787" width="11.28515625" style="1481" bestFit="1" customWidth="1"/>
    <col min="11788" max="12032" width="9.140625" style="1481"/>
    <col min="12033" max="12033" width="2" style="1481" customWidth="1"/>
    <col min="12034" max="12034" width="32.140625" style="1481" customWidth="1"/>
    <col min="12035" max="12035" width="10.5703125" style="1481" customWidth="1"/>
    <col min="12036" max="12042" width="10.28515625" style="1481" bestFit="1" customWidth="1"/>
    <col min="12043" max="12043" width="11.28515625" style="1481" bestFit="1" customWidth="1"/>
    <col min="12044" max="12288" width="9.140625" style="1481"/>
    <col min="12289" max="12289" width="2" style="1481" customWidth="1"/>
    <col min="12290" max="12290" width="32.140625" style="1481" customWidth="1"/>
    <col min="12291" max="12291" width="10.5703125" style="1481" customWidth="1"/>
    <col min="12292" max="12298" width="10.28515625" style="1481" bestFit="1" customWidth="1"/>
    <col min="12299" max="12299" width="11.28515625" style="1481" bestFit="1" customWidth="1"/>
    <col min="12300" max="12544" width="9.140625" style="1481"/>
    <col min="12545" max="12545" width="2" style="1481" customWidth="1"/>
    <col min="12546" max="12546" width="32.140625" style="1481" customWidth="1"/>
    <col min="12547" max="12547" width="10.5703125" style="1481" customWidth="1"/>
    <col min="12548" max="12554" width="10.28515625" style="1481" bestFit="1" customWidth="1"/>
    <col min="12555" max="12555" width="11.28515625" style="1481" bestFit="1" customWidth="1"/>
    <col min="12556" max="12800" width="9.140625" style="1481"/>
    <col min="12801" max="12801" width="2" style="1481" customWidth="1"/>
    <col min="12802" max="12802" width="32.140625" style="1481" customWidth="1"/>
    <col min="12803" max="12803" width="10.5703125" style="1481" customWidth="1"/>
    <col min="12804" max="12810" width="10.28515625" style="1481" bestFit="1" customWidth="1"/>
    <col min="12811" max="12811" width="11.28515625" style="1481" bestFit="1" customWidth="1"/>
    <col min="12812" max="13056" width="9.140625" style="1481"/>
    <col min="13057" max="13057" width="2" style="1481" customWidth="1"/>
    <col min="13058" max="13058" width="32.140625" style="1481" customWidth="1"/>
    <col min="13059" max="13059" width="10.5703125" style="1481" customWidth="1"/>
    <col min="13060" max="13066" width="10.28515625" style="1481" bestFit="1" customWidth="1"/>
    <col min="13067" max="13067" width="11.28515625" style="1481" bestFit="1" customWidth="1"/>
    <col min="13068" max="13312" width="9.140625" style="1481"/>
    <col min="13313" max="13313" width="2" style="1481" customWidth="1"/>
    <col min="13314" max="13314" width="32.140625" style="1481" customWidth="1"/>
    <col min="13315" max="13315" width="10.5703125" style="1481" customWidth="1"/>
    <col min="13316" max="13322" width="10.28515625" style="1481" bestFit="1" customWidth="1"/>
    <col min="13323" max="13323" width="11.28515625" style="1481" bestFit="1" customWidth="1"/>
    <col min="13324" max="13568" width="9.140625" style="1481"/>
    <col min="13569" max="13569" width="2" style="1481" customWidth="1"/>
    <col min="13570" max="13570" width="32.140625" style="1481" customWidth="1"/>
    <col min="13571" max="13571" width="10.5703125" style="1481" customWidth="1"/>
    <col min="13572" max="13578" width="10.28515625" style="1481" bestFit="1" customWidth="1"/>
    <col min="13579" max="13579" width="11.28515625" style="1481" bestFit="1" customWidth="1"/>
    <col min="13580" max="13824" width="9.140625" style="1481"/>
    <col min="13825" max="13825" width="2" style="1481" customWidth="1"/>
    <col min="13826" max="13826" width="32.140625" style="1481" customWidth="1"/>
    <col min="13827" max="13827" width="10.5703125" style="1481" customWidth="1"/>
    <col min="13828" max="13834" width="10.28515625" style="1481" bestFit="1" customWidth="1"/>
    <col min="13835" max="13835" width="11.28515625" style="1481" bestFit="1" customWidth="1"/>
    <col min="13836" max="14080" width="9.140625" style="1481"/>
    <col min="14081" max="14081" width="2" style="1481" customWidth="1"/>
    <col min="14082" max="14082" width="32.140625" style="1481" customWidth="1"/>
    <col min="14083" max="14083" width="10.5703125" style="1481" customWidth="1"/>
    <col min="14084" max="14090" width="10.28515625" style="1481" bestFit="1" customWidth="1"/>
    <col min="14091" max="14091" width="11.28515625" style="1481" bestFit="1" customWidth="1"/>
    <col min="14092" max="14336" width="9.140625" style="1481"/>
    <col min="14337" max="14337" width="2" style="1481" customWidth="1"/>
    <col min="14338" max="14338" width="32.140625" style="1481" customWidth="1"/>
    <col min="14339" max="14339" width="10.5703125" style="1481" customWidth="1"/>
    <col min="14340" max="14346" width="10.28515625" style="1481" bestFit="1" customWidth="1"/>
    <col min="14347" max="14347" width="11.28515625" style="1481" bestFit="1" customWidth="1"/>
    <col min="14348" max="14592" width="9.140625" style="1481"/>
    <col min="14593" max="14593" width="2" style="1481" customWidth="1"/>
    <col min="14594" max="14594" width="32.140625" style="1481" customWidth="1"/>
    <col min="14595" max="14595" width="10.5703125" style="1481" customWidth="1"/>
    <col min="14596" max="14602" width="10.28515625" style="1481" bestFit="1" customWidth="1"/>
    <col min="14603" max="14603" width="11.28515625" style="1481" bestFit="1" customWidth="1"/>
    <col min="14604" max="14848" width="9.140625" style="1481"/>
    <col min="14849" max="14849" width="2" style="1481" customWidth="1"/>
    <col min="14850" max="14850" width="32.140625" style="1481" customWidth="1"/>
    <col min="14851" max="14851" width="10.5703125" style="1481" customWidth="1"/>
    <col min="14852" max="14858" width="10.28515625" style="1481" bestFit="1" customWidth="1"/>
    <col min="14859" max="14859" width="11.28515625" style="1481" bestFit="1" customWidth="1"/>
    <col min="14860" max="15104" width="9.140625" style="1481"/>
    <col min="15105" max="15105" width="2" style="1481" customWidth="1"/>
    <col min="15106" max="15106" width="32.140625" style="1481" customWidth="1"/>
    <col min="15107" max="15107" width="10.5703125" style="1481" customWidth="1"/>
    <col min="15108" max="15114" width="10.28515625" style="1481" bestFit="1" customWidth="1"/>
    <col min="15115" max="15115" width="11.28515625" style="1481" bestFit="1" customWidth="1"/>
    <col min="15116" max="15360" width="9.140625" style="1481"/>
    <col min="15361" max="15361" width="2" style="1481" customWidth="1"/>
    <col min="15362" max="15362" width="32.140625" style="1481" customWidth="1"/>
    <col min="15363" max="15363" width="10.5703125" style="1481" customWidth="1"/>
    <col min="15364" max="15370" width="10.28515625" style="1481" bestFit="1" customWidth="1"/>
    <col min="15371" max="15371" width="11.28515625" style="1481" bestFit="1" customWidth="1"/>
    <col min="15372" max="15616" width="9.140625" style="1481"/>
    <col min="15617" max="15617" width="2" style="1481" customWidth="1"/>
    <col min="15618" max="15618" width="32.140625" style="1481" customWidth="1"/>
    <col min="15619" max="15619" width="10.5703125" style="1481" customWidth="1"/>
    <col min="15620" max="15626" width="10.28515625" style="1481" bestFit="1" customWidth="1"/>
    <col min="15627" max="15627" width="11.28515625" style="1481" bestFit="1" customWidth="1"/>
    <col min="15628" max="15872" width="9.140625" style="1481"/>
    <col min="15873" max="15873" width="2" style="1481" customWidth="1"/>
    <col min="15874" max="15874" width="32.140625" style="1481" customWidth="1"/>
    <col min="15875" max="15875" width="10.5703125" style="1481" customWidth="1"/>
    <col min="15876" max="15882" width="10.28515625" style="1481" bestFit="1" customWidth="1"/>
    <col min="15883" max="15883" width="11.28515625" style="1481" bestFit="1" customWidth="1"/>
    <col min="15884" max="16128" width="9.140625" style="1481"/>
    <col min="16129" max="16129" width="2" style="1481" customWidth="1"/>
    <col min="16130" max="16130" width="32.140625" style="1481" customWidth="1"/>
    <col min="16131" max="16131" width="10.5703125" style="1481" customWidth="1"/>
    <col min="16132" max="16138" width="10.28515625" style="1481" bestFit="1" customWidth="1"/>
    <col min="16139" max="16139" width="11.28515625" style="1481" bestFit="1" customWidth="1"/>
    <col min="16140" max="16384" width="9.140625" style="1481"/>
  </cols>
  <sheetData>
    <row r="1" spans="1:23">
      <c r="A1" s="1479"/>
      <c r="B1" s="1480"/>
      <c r="C1" s="2139" t="s">
        <v>758</v>
      </c>
      <c r="D1" s="2139"/>
      <c r="E1" s="2139"/>
      <c r="F1" s="2139"/>
      <c r="G1" s="2139"/>
      <c r="H1" s="2140" t="s">
        <v>759</v>
      </c>
      <c r="I1" s="2140"/>
      <c r="J1" s="2140"/>
      <c r="K1" s="1479"/>
      <c r="L1" s="1479"/>
      <c r="M1" s="1479"/>
      <c r="N1" s="1479"/>
      <c r="O1" s="1479"/>
      <c r="P1" s="1479"/>
      <c r="Q1" s="1479"/>
      <c r="R1" s="1479"/>
      <c r="S1" s="1479"/>
      <c r="T1" s="1479"/>
      <c r="U1" s="1479"/>
      <c r="V1" s="1479"/>
      <c r="W1" s="1479"/>
    </row>
    <row r="2" spans="1:23" s="1486" customFormat="1">
      <c r="A2" s="1482"/>
      <c r="B2" s="1483" t="s">
        <v>714</v>
      </c>
      <c r="C2" s="1087">
        <v>2018</v>
      </c>
      <c r="D2" s="1087">
        <v>2019</v>
      </c>
      <c r="E2" s="1087">
        <v>2020</v>
      </c>
      <c r="F2" s="1087">
        <v>2021</v>
      </c>
      <c r="G2" s="1087">
        <v>2022</v>
      </c>
      <c r="H2" s="1484">
        <f>G2+1</f>
        <v>2023</v>
      </c>
      <c r="I2" s="1484">
        <f t="shared" ref="I2:J2" si="0">H2+1</f>
        <v>2024</v>
      </c>
      <c r="J2" s="1484">
        <f t="shared" si="0"/>
        <v>2025</v>
      </c>
      <c r="K2" s="1482"/>
      <c r="L2" s="1485"/>
      <c r="M2" s="1485"/>
      <c r="N2" s="1485"/>
      <c r="O2" s="1485"/>
      <c r="P2" s="1482"/>
      <c r="Q2" s="1482"/>
      <c r="R2" s="1482"/>
      <c r="S2" s="1482"/>
      <c r="T2" s="1482"/>
      <c r="U2" s="1482"/>
      <c r="V2" s="1482"/>
      <c r="W2" s="1482"/>
    </row>
    <row r="3" spans="1:23" s="1486" customFormat="1">
      <c r="A3" s="1482"/>
      <c r="B3" s="1487"/>
      <c r="C3" s="1485"/>
      <c r="D3" s="1485"/>
      <c r="E3" s="1485"/>
      <c r="F3" s="1485"/>
      <c r="G3" s="1485"/>
      <c r="H3" s="1488"/>
      <c r="I3" s="1488"/>
      <c r="J3" s="1488"/>
      <c r="K3" s="1482"/>
      <c r="L3" s="1485"/>
      <c r="M3" s="1485"/>
      <c r="N3" s="1485"/>
      <c r="O3" s="1485"/>
      <c r="P3" s="1482"/>
      <c r="Q3" s="1482"/>
      <c r="R3" s="1482"/>
      <c r="S3" s="1482"/>
      <c r="T3" s="1482"/>
      <c r="U3" s="1482"/>
      <c r="V3" s="1482"/>
      <c r="W3" s="1482"/>
    </row>
    <row r="4" spans="1:23">
      <c r="A4" s="1479"/>
      <c r="B4" s="1480" t="s">
        <v>192</v>
      </c>
      <c r="C4" s="1489">
        <f>'yrP&amp;L'!AD7</f>
        <v>16007.374239900169</v>
      </c>
      <c r="D4" s="1489">
        <f>'yrP&amp;L'!AD7</f>
        <v>16007.374239900169</v>
      </c>
      <c r="E4" s="1489">
        <f>'yrP&amp;L'!AE7</f>
        <v>15929.412165188094</v>
      </c>
      <c r="F4" s="1489">
        <f>'yrP&amp;L'!AF7</f>
        <v>15853.165473056992</v>
      </c>
      <c r="G4" s="1489">
        <f>'yrP&amp;L'!AG7</f>
        <v>15789.040595885397</v>
      </c>
      <c r="H4" s="1490">
        <f>G4*(1+H5)</f>
        <v>15631.150189926542</v>
      </c>
      <c r="I4" s="1490">
        <f>H4*(1+I5)</f>
        <v>15474.838688027277</v>
      </c>
      <c r="J4" s="1490">
        <f>I4*(1+J5)</f>
        <v>15242.716107706869</v>
      </c>
      <c r="K4" s="1479"/>
      <c r="L4" s="1479"/>
      <c r="M4" s="1479"/>
      <c r="N4" s="1479"/>
      <c r="O4" s="1479"/>
      <c r="P4" s="1479"/>
      <c r="Q4" s="1479"/>
      <c r="R4" s="1479"/>
      <c r="S4" s="1479"/>
      <c r="T4" s="1479"/>
      <c r="U4" s="1479"/>
      <c r="V4" s="1479"/>
      <c r="W4" s="1479"/>
    </row>
    <row r="5" spans="1:23">
      <c r="A5" s="1479"/>
      <c r="B5" s="1480" t="s">
        <v>476</v>
      </c>
      <c r="C5" s="1491"/>
      <c r="D5" s="1491">
        <f>D4/C4-1</f>
        <v>0</v>
      </c>
      <c r="E5" s="1491">
        <f>E4/D4-1</f>
        <v>-4.8703849578118907E-3</v>
      </c>
      <c r="F5" s="1491">
        <f>F4/E4-1</f>
        <v>-4.7865352054692334E-3</v>
      </c>
      <c r="G5" s="1491">
        <f>G4/F4-1</f>
        <v>-4.0449257456233179E-3</v>
      </c>
      <c r="H5" s="1492">
        <v>-0.01</v>
      </c>
      <c r="I5" s="1492">
        <v>-0.01</v>
      </c>
      <c r="J5" s="1492">
        <v>-1.4999999999999999E-2</v>
      </c>
      <c r="K5" s="1479"/>
      <c r="L5" s="1479"/>
      <c r="M5" s="1479"/>
      <c r="N5" s="1479"/>
      <c r="O5" s="1479"/>
      <c r="P5" s="1479"/>
      <c r="Q5" s="1479"/>
      <c r="R5" s="1479"/>
      <c r="S5" s="1479"/>
      <c r="T5" s="1479"/>
      <c r="U5" s="1479"/>
      <c r="V5" s="1479"/>
      <c r="W5" s="1479"/>
    </row>
    <row r="6" spans="1:23">
      <c r="A6" s="1479"/>
      <c r="B6" s="1480" t="s">
        <v>365</v>
      </c>
      <c r="C6" s="1489">
        <f>'yrP&amp;L'!AD33</f>
        <v>1380.9071137001029</v>
      </c>
      <c r="D6" s="1489">
        <f>'yrP&amp;L'!AD33</f>
        <v>1380.9071137001029</v>
      </c>
      <c r="E6" s="1489">
        <f>'yrP&amp;L'!AE33</f>
        <v>1307.1034507693621</v>
      </c>
      <c r="F6" s="1489">
        <f>'yrP&amp;L'!AF33</f>
        <v>1248.5315080239752</v>
      </c>
      <c r="G6" s="1489">
        <f>'yrP&amp;L'!AG33</f>
        <v>1191.3774568165245</v>
      </c>
      <c r="H6" s="1490">
        <f>H4*H7</f>
        <v>1094.180513294858</v>
      </c>
      <c r="I6" s="1490">
        <f>I4*I7</f>
        <v>1036.8141920978276</v>
      </c>
      <c r="J6" s="1490">
        <f>J4*J7</f>
        <v>960.29111478553273</v>
      </c>
      <c r="K6" s="1479"/>
      <c r="L6" s="1479"/>
      <c r="M6" s="1479"/>
      <c r="N6" s="1479"/>
      <c r="O6" s="1479"/>
      <c r="P6" s="1479"/>
      <c r="Q6" s="1479"/>
      <c r="R6" s="1479"/>
      <c r="S6" s="1479"/>
      <c r="T6" s="1479"/>
      <c r="U6" s="1479"/>
      <c r="V6" s="1479"/>
      <c r="W6" s="1479"/>
    </row>
    <row r="7" spans="1:23">
      <c r="A7" s="1479"/>
      <c r="B7" s="1480" t="s">
        <v>494</v>
      </c>
      <c r="C7" s="1491">
        <f>C6/C4</f>
        <v>8.6266935039104514E-2</v>
      </c>
      <c r="D7" s="1491">
        <f t="shared" ref="D7:F7" si="1">D6/D4</f>
        <v>8.6266935039104514E-2</v>
      </c>
      <c r="E7" s="1491">
        <f t="shared" si="1"/>
        <v>8.2055975274837004E-2</v>
      </c>
      <c r="F7" s="1491">
        <f t="shared" si="1"/>
        <v>7.8755975274836951E-2</v>
      </c>
      <c r="G7" s="1491">
        <f>G6/G4</f>
        <v>7.5455975274836898E-2</v>
      </c>
      <c r="H7" s="1492">
        <v>7.0000000000000007E-2</v>
      </c>
      <c r="I7" s="1492">
        <v>6.7000000000000004E-2</v>
      </c>
      <c r="J7" s="1492">
        <v>6.3E-2</v>
      </c>
      <c r="K7" s="1479"/>
      <c r="L7" s="1479"/>
      <c r="M7" s="1479"/>
      <c r="N7" s="1479"/>
      <c r="O7" s="1479"/>
      <c r="P7" s="1479"/>
      <c r="Q7" s="1479"/>
      <c r="R7" s="1479"/>
      <c r="S7" s="1479"/>
      <c r="T7" s="1479"/>
      <c r="U7" s="1479"/>
      <c r="V7" s="1479"/>
      <c r="W7" s="1479"/>
    </row>
    <row r="8" spans="1:23" s="1497" customFormat="1">
      <c r="A8" s="1493"/>
      <c r="B8" s="1494" t="s">
        <v>20</v>
      </c>
      <c r="C8" s="1495">
        <f>'yrP&amp;L'!AD43</f>
        <v>0.26000000000000029</v>
      </c>
      <c r="D8" s="1495">
        <f>'yrP&amp;L'!AD43</f>
        <v>0.26000000000000029</v>
      </c>
      <c r="E8" s="1495">
        <f>'yrP&amp;L'!AE43</f>
        <v>0.26000000000000029</v>
      </c>
      <c r="F8" s="1495">
        <f>'yrP&amp;L'!AF43</f>
        <v>0.26000000000000029</v>
      </c>
      <c r="G8" s="1495">
        <f>'yrP&amp;L'!AG43</f>
        <v>0.26000000000000029</v>
      </c>
      <c r="H8" s="1496">
        <f>G8</f>
        <v>0.26000000000000029</v>
      </c>
      <c r="I8" s="1496">
        <f>H8</f>
        <v>0.26000000000000029</v>
      </c>
      <c r="J8" s="1496">
        <f>I8</f>
        <v>0.26000000000000029</v>
      </c>
      <c r="K8" s="1493"/>
      <c r="L8" s="1493"/>
      <c r="M8" s="1493"/>
      <c r="N8" s="1493"/>
      <c r="O8" s="1493"/>
      <c r="P8" s="1493"/>
      <c r="Q8" s="1493"/>
      <c r="R8" s="1493"/>
      <c r="S8" s="1493"/>
      <c r="T8" s="1493"/>
      <c r="U8" s="1493"/>
      <c r="V8" s="1493"/>
      <c r="W8" s="1493"/>
    </row>
    <row r="9" spans="1:23">
      <c r="A9" s="1479"/>
      <c r="B9" s="1480" t="s">
        <v>760</v>
      </c>
      <c r="C9" s="1498">
        <f t="shared" ref="C9:J9" si="2">-C6*C8</f>
        <v>-359.03584956202712</v>
      </c>
      <c r="D9" s="1498">
        <f t="shared" si="2"/>
        <v>-359.03584956202712</v>
      </c>
      <c r="E9" s="1498">
        <f t="shared" si="2"/>
        <v>-339.8468972000345</v>
      </c>
      <c r="F9" s="1498">
        <f t="shared" si="2"/>
        <v>-324.61819208623393</v>
      </c>
      <c r="G9" s="1498">
        <f t="shared" si="2"/>
        <v>-309.75813877229672</v>
      </c>
      <c r="H9" s="1499">
        <f t="shared" si="2"/>
        <v>-284.48693345666339</v>
      </c>
      <c r="I9" s="1499">
        <f t="shared" si="2"/>
        <v>-269.57168994543548</v>
      </c>
      <c r="J9" s="1499">
        <f t="shared" si="2"/>
        <v>-249.67568984423878</v>
      </c>
      <c r="K9" s="1479"/>
      <c r="L9" s="1479"/>
      <c r="M9" s="1479"/>
      <c r="N9" s="1479"/>
      <c r="O9" s="1479"/>
      <c r="P9" s="1479"/>
      <c r="Q9" s="1479"/>
      <c r="R9" s="1479"/>
      <c r="S9" s="1479"/>
      <c r="T9" s="1479"/>
      <c r="U9" s="1479"/>
      <c r="V9" s="1479"/>
      <c r="W9" s="1479"/>
    </row>
    <row r="10" spans="1:23">
      <c r="A10" s="1479"/>
      <c r="B10" s="1480" t="s">
        <v>696</v>
      </c>
      <c r="C10" s="1500">
        <f>C6+C9</f>
        <v>1021.8712641380757</v>
      </c>
      <c r="D10" s="1500">
        <f t="shared" ref="D10:J10" si="3">D6+D9</f>
        <v>1021.8712641380757</v>
      </c>
      <c r="E10" s="1500">
        <f t="shared" si="3"/>
        <v>967.25655356932759</v>
      </c>
      <c r="F10" s="1500">
        <f t="shared" si="3"/>
        <v>923.91331593774134</v>
      </c>
      <c r="G10" s="1500">
        <f>G6+G9</f>
        <v>881.61931804422784</v>
      </c>
      <c r="H10" s="1501">
        <f t="shared" si="3"/>
        <v>809.69357983819464</v>
      </c>
      <c r="I10" s="1501">
        <f t="shared" si="3"/>
        <v>767.24250215239203</v>
      </c>
      <c r="J10" s="1501">
        <f t="shared" si="3"/>
        <v>710.6154249412939</v>
      </c>
      <c r="K10" s="1479"/>
      <c r="L10" s="1479"/>
      <c r="M10" s="1479"/>
      <c r="N10" s="1479"/>
      <c r="O10" s="1479"/>
      <c r="P10" s="1479"/>
      <c r="Q10" s="1479"/>
      <c r="R10" s="1479"/>
      <c r="S10" s="1479"/>
      <c r="T10" s="1479"/>
      <c r="U10" s="1479"/>
      <c r="V10" s="1479"/>
      <c r="W10" s="1479"/>
    </row>
    <row r="11" spans="1:23" s="1506" customFormat="1" hidden="1">
      <c r="A11" s="1502"/>
      <c r="B11" s="1503" t="s">
        <v>761</v>
      </c>
      <c r="C11" s="1504">
        <f t="shared" ref="C11:J11" si="4">C10/C4</f>
        <v>6.3837531928937319E-2</v>
      </c>
      <c r="D11" s="1504">
        <f t="shared" si="4"/>
        <v>6.3837531928937319E-2</v>
      </c>
      <c r="E11" s="1504">
        <f t="shared" si="4"/>
        <v>6.0721421703379366E-2</v>
      </c>
      <c r="F11" s="1504">
        <f t="shared" si="4"/>
        <v>5.8279421703379318E-2</v>
      </c>
      <c r="G11" s="1504">
        <f t="shared" si="4"/>
        <v>5.5837421703379284E-2</v>
      </c>
      <c r="H11" s="1505">
        <f t="shared" si="4"/>
        <v>5.1799999999999985E-2</v>
      </c>
      <c r="I11" s="1505">
        <f t="shared" si="4"/>
        <v>4.9579999999999978E-2</v>
      </c>
      <c r="J11" s="1505">
        <f t="shared" si="4"/>
        <v>4.6619999999999981E-2</v>
      </c>
      <c r="K11" s="1502"/>
      <c r="L11" s="1502"/>
      <c r="M11" s="1502"/>
      <c r="N11" s="1502"/>
      <c r="O11" s="1502"/>
      <c r="P11" s="1502"/>
      <c r="Q11" s="1502"/>
      <c r="R11" s="1502"/>
      <c r="S11" s="1502"/>
      <c r="T11" s="1502"/>
      <c r="U11" s="1502"/>
      <c r="V11" s="1502"/>
      <c r="W11" s="1502"/>
    </row>
    <row r="12" spans="1:23" ht="6.75" customHeight="1">
      <c r="A12" s="1479"/>
      <c r="B12" s="1480"/>
      <c r="C12" s="1479"/>
      <c r="D12" s="1479"/>
      <c r="E12" s="1479"/>
      <c r="F12" s="1479"/>
      <c r="G12" s="1479"/>
      <c r="H12" s="1507"/>
      <c r="I12" s="1507"/>
      <c r="J12" s="1507"/>
      <c r="K12" s="1479"/>
      <c r="L12" s="1479"/>
      <c r="M12" s="1479"/>
      <c r="N12" s="1479"/>
      <c r="O12" s="1479"/>
      <c r="P12" s="1479"/>
      <c r="Q12" s="1479"/>
      <c r="R12" s="1479"/>
      <c r="S12" s="1479"/>
      <c r="T12" s="1479"/>
      <c r="U12" s="1479"/>
      <c r="V12" s="1479"/>
      <c r="W12" s="1479"/>
    </row>
    <row r="13" spans="1:23">
      <c r="A13" s="1479"/>
      <c r="B13" s="1508" t="s">
        <v>762</v>
      </c>
      <c r="C13" s="1498">
        <f>'yrP&amp;L'!AD30</f>
        <v>550</v>
      </c>
      <c r="D13" s="1498">
        <f>'yrP&amp;L'!AD30</f>
        <v>550</v>
      </c>
      <c r="E13" s="1498">
        <f>'yrP&amp;L'!AE30</f>
        <v>565</v>
      </c>
      <c r="F13" s="1498">
        <f>'yrP&amp;L'!AF30</f>
        <v>580</v>
      </c>
      <c r="G13" s="1498">
        <f>'yrP&amp;L'!AG30</f>
        <v>595</v>
      </c>
      <c r="H13" s="1499">
        <f>H14*H4</f>
        <v>625.24600759706175</v>
      </c>
      <c r="I13" s="1499">
        <f t="shared" ref="I13:J13" si="5">I14*I4</f>
        <v>634.46838620911842</v>
      </c>
      <c r="J13" s="1499">
        <f t="shared" si="5"/>
        <v>640.19407652368852</v>
      </c>
      <c r="K13" s="1479"/>
      <c r="L13" s="1479"/>
      <c r="M13" s="1479"/>
      <c r="N13" s="1479"/>
      <c r="O13" s="1479"/>
      <c r="P13" s="1479"/>
      <c r="Q13" s="1479"/>
      <c r="R13" s="1479"/>
      <c r="S13" s="1479"/>
      <c r="T13" s="1479"/>
      <c r="U13" s="1479"/>
      <c r="V13" s="1479"/>
      <c r="W13" s="1479"/>
    </row>
    <row r="14" spans="1:23">
      <c r="A14" s="1479"/>
      <c r="B14" s="1480"/>
      <c r="C14" s="1491">
        <f t="shared" ref="C14:G14" si="6">C13/C4</f>
        <v>3.4359164205023926E-2</v>
      </c>
      <c r="D14" s="1491">
        <f t="shared" si="6"/>
        <v>3.4359164205023926E-2</v>
      </c>
      <c r="E14" s="1491">
        <f t="shared" si="6"/>
        <v>3.5468979905909068E-2</v>
      </c>
      <c r="F14" s="1491">
        <f t="shared" si="6"/>
        <v>3.6585753235574954E-2</v>
      </c>
      <c r="G14" s="1491">
        <f t="shared" si="6"/>
        <v>3.7684366975093864E-2</v>
      </c>
      <c r="H14" s="1509">
        <v>0.04</v>
      </c>
      <c r="I14" s="1509">
        <v>4.1000000000000002E-2</v>
      </c>
      <c r="J14" s="1509">
        <v>4.2000000000000003E-2</v>
      </c>
      <c r="K14" s="1479"/>
      <c r="L14" s="1479"/>
      <c r="M14" s="1479"/>
      <c r="N14" s="1479"/>
      <c r="O14" s="1479"/>
      <c r="P14" s="1479"/>
      <c r="Q14" s="1479"/>
      <c r="R14" s="1479"/>
      <c r="S14" s="1479"/>
      <c r="T14" s="1479"/>
      <c r="U14" s="1479"/>
      <c r="V14" s="1479"/>
      <c r="W14" s="1479"/>
    </row>
    <row r="15" spans="1:23">
      <c r="A15" s="1479"/>
      <c r="B15" s="1508" t="s">
        <v>333</v>
      </c>
      <c r="C15" s="1489">
        <f>-flow!BH22</f>
        <v>-800</v>
      </c>
      <c r="D15" s="1489">
        <f>-flow!BJ22</f>
        <v>-650</v>
      </c>
      <c r="E15" s="1489">
        <f>-flow!BL22</f>
        <v>-650</v>
      </c>
      <c r="F15" s="1489">
        <f>-flow!BN22</f>
        <v>-650</v>
      </c>
      <c r="G15" s="1489">
        <f>-flow!BP22</f>
        <v>-650</v>
      </c>
      <c r="H15" s="1490">
        <v>-625</v>
      </c>
      <c r="I15" s="1490">
        <v>-620</v>
      </c>
      <c r="J15" s="1490">
        <f t="shared" ref="J15" si="7">I15</f>
        <v>-620</v>
      </c>
      <c r="K15" s="1479"/>
      <c r="L15" s="1479"/>
      <c r="M15" s="1479"/>
      <c r="N15" s="1479"/>
      <c r="O15" s="1479"/>
      <c r="P15" s="1479"/>
      <c r="Q15" s="1479"/>
      <c r="R15" s="1479"/>
      <c r="S15" s="1479"/>
      <c r="T15" s="1479"/>
      <c r="U15" s="1479"/>
      <c r="V15" s="1479"/>
      <c r="W15" s="1479"/>
    </row>
    <row r="16" spans="1:23">
      <c r="A16" s="1479"/>
      <c r="B16" s="1508"/>
      <c r="C16" s="1489"/>
      <c r="D16" s="1489"/>
      <c r="E16" s="1489"/>
      <c r="F16" s="1489"/>
      <c r="G16" s="1489"/>
      <c r="H16" s="1510"/>
      <c r="I16" s="1510"/>
      <c r="J16" s="1510"/>
      <c r="K16" s="1479"/>
      <c r="L16" s="1479"/>
      <c r="M16" s="1479"/>
      <c r="N16" s="1479"/>
      <c r="O16" s="1479"/>
      <c r="P16" s="1479"/>
      <c r="Q16" s="1479"/>
      <c r="R16" s="1479"/>
      <c r="S16" s="1479"/>
      <c r="T16" s="1479"/>
      <c r="U16" s="1479"/>
      <c r="V16" s="1479"/>
      <c r="W16" s="1479"/>
    </row>
    <row r="17" spans="1:23">
      <c r="A17" s="1479"/>
      <c r="B17" s="1508" t="s">
        <v>763</v>
      </c>
      <c r="C17" s="1498">
        <f>flow!BFH36</f>
        <v>0</v>
      </c>
      <c r="D17" s="1498">
        <f>flow!BJ36</f>
        <v>-54.151158064052538</v>
      </c>
      <c r="E17" s="1498">
        <f>flow!BL36</f>
        <v>-6.609091654949566</v>
      </c>
      <c r="F17" s="1498">
        <f>flow!BN36</f>
        <v>-6.3669015978628067</v>
      </c>
      <c r="G17" s="1498">
        <f>flow!BP36</f>
        <v>-6.0103091299118887</v>
      </c>
      <c r="H17" s="1499">
        <f>G17</f>
        <v>-6.0103091299118887</v>
      </c>
      <c r="I17" s="1499">
        <f>H17</f>
        <v>-6.0103091299118887</v>
      </c>
      <c r="J17" s="1499">
        <f>I17</f>
        <v>-6.0103091299118887</v>
      </c>
      <c r="K17" s="1479"/>
      <c r="L17" s="1479"/>
      <c r="M17" s="1479"/>
      <c r="N17" s="1479"/>
      <c r="O17" s="1479"/>
      <c r="P17" s="1479"/>
      <c r="Q17" s="1479"/>
      <c r="R17" s="1479"/>
      <c r="S17" s="1479"/>
      <c r="T17" s="1479"/>
      <c r="U17" s="1479"/>
      <c r="V17" s="1479"/>
      <c r="W17" s="1479"/>
    </row>
    <row r="18" spans="1:23">
      <c r="A18" s="1479"/>
      <c r="B18" s="1480" t="s">
        <v>764</v>
      </c>
      <c r="C18" s="1500">
        <f>SUM(C15:C17)</f>
        <v>-800</v>
      </c>
      <c r="D18" s="1500">
        <f t="shared" ref="D18:G18" si="8">SUM(D15:D17)</f>
        <v>-704.15115806405254</v>
      </c>
      <c r="E18" s="1500">
        <f t="shared" si="8"/>
        <v>-656.60909165494957</v>
      </c>
      <c r="F18" s="1500">
        <f t="shared" si="8"/>
        <v>-656.36690159786281</v>
      </c>
      <c r="G18" s="1500">
        <f t="shared" si="8"/>
        <v>-656.01030912991189</v>
      </c>
      <c r="H18" s="1501">
        <f t="shared" ref="H18:J18" si="9">SUM(H15:H17)</f>
        <v>-631.01030912991189</v>
      </c>
      <c r="I18" s="1501">
        <f t="shared" si="9"/>
        <v>-626.01030912991189</v>
      </c>
      <c r="J18" s="1501">
        <f t="shared" si="9"/>
        <v>-626.01030912991189</v>
      </c>
      <c r="K18" s="1479"/>
      <c r="L18" s="1479"/>
      <c r="M18" s="1479"/>
      <c r="N18" s="1479"/>
      <c r="O18" s="1479"/>
      <c r="P18" s="1479"/>
      <c r="Q18" s="1479"/>
      <c r="R18" s="1479"/>
      <c r="S18" s="1479"/>
      <c r="T18" s="1479"/>
      <c r="U18" s="1479"/>
      <c r="V18" s="1479"/>
      <c r="W18" s="1479"/>
    </row>
    <row r="19" spans="1:23" s="1506" customFormat="1">
      <c r="A19" s="1502"/>
      <c r="B19" s="1502" t="s">
        <v>765</v>
      </c>
      <c r="C19" s="1511"/>
      <c r="D19" s="1511"/>
      <c r="E19" s="1511"/>
      <c r="F19" s="1511"/>
      <c r="G19" s="1511"/>
      <c r="H19" s="1512"/>
      <c r="I19" s="1512"/>
      <c r="J19" s="1512"/>
      <c r="K19" s="1502"/>
      <c r="L19" s="1502"/>
      <c r="M19" s="1502"/>
      <c r="N19" s="1502"/>
      <c r="O19" s="1502"/>
      <c r="P19" s="1502"/>
      <c r="Q19" s="1502"/>
      <c r="R19" s="1502"/>
      <c r="S19" s="1502"/>
      <c r="T19" s="1502"/>
      <c r="U19" s="1502"/>
      <c r="V19" s="1502"/>
      <c r="W19" s="1502"/>
    </row>
    <row r="20" spans="1:23" ht="9" customHeight="1">
      <c r="A20" s="1479"/>
      <c r="B20" s="1480"/>
      <c r="C20" s="1513"/>
      <c r="D20" s="1513"/>
      <c r="E20" s="1513"/>
      <c r="F20" s="1513"/>
      <c r="G20" s="1513"/>
      <c r="H20" s="1514"/>
      <c r="I20" s="1514"/>
      <c r="J20" s="1514"/>
      <c r="K20" s="1479"/>
      <c r="L20" s="1479"/>
      <c r="M20" s="1479"/>
      <c r="N20" s="1479"/>
      <c r="O20" s="1479"/>
      <c r="P20" s="1479"/>
      <c r="Q20" s="1479"/>
      <c r="R20" s="1479"/>
      <c r="S20" s="1479"/>
      <c r="T20" s="1479"/>
      <c r="U20" s="1479"/>
      <c r="V20" s="1479"/>
      <c r="W20" s="1479"/>
    </row>
    <row r="21" spans="1:23">
      <c r="A21" s="1479"/>
      <c r="B21" s="1487" t="s">
        <v>766</v>
      </c>
      <c r="C21" s="1515">
        <f>C10+C13+C18</f>
        <v>771.87126413807573</v>
      </c>
      <c r="D21" s="1515">
        <f t="shared" ref="D21:G21" si="10">D10+D13+D18</f>
        <v>867.72010607402319</v>
      </c>
      <c r="E21" s="1515">
        <f t="shared" si="10"/>
        <v>875.64746191437791</v>
      </c>
      <c r="F21" s="1515">
        <f t="shared" si="10"/>
        <v>847.54641433987854</v>
      </c>
      <c r="G21" s="1515">
        <f t="shared" si="10"/>
        <v>820.60900891431595</v>
      </c>
      <c r="H21" s="1516">
        <f>H10+H13+H18</f>
        <v>803.92927830534438</v>
      </c>
      <c r="I21" s="1516">
        <f t="shared" ref="I21:J21" si="11">I10+I13+I18</f>
        <v>775.70057923159868</v>
      </c>
      <c r="J21" s="1516">
        <f t="shared" si="11"/>
        <v>724.79919233507064</v>
      </c>
      <c r="K21" s="1479"/>
      <c r="L21" s="1479"/>
      <c r="M21" s="1479"/>
      <c r="N21" s="1479"/>
      <c r="O21" s="1479"/>
      <c r="P21" s="1479"/>
      <c r="Q21" s="1479"/>
      <c r="R21" s="1479"/>
      <c r="S21" s="1479"/>
      <c r="T21" s="1479"/>
      <c r="U21" s="1479"/>
      <c r="V21" s="1479"/>
      <c r="W21" s="1479"/>
    </row>
    <row r="22" spans="1:23" s="1518" customFormat="1">
      <c r="A22" s="1517"/>
      <c r="B22" s="1511"/>
      <c r="C22" s="1511"/>
      <c r="D22" s="1511"/>
      <c r="E22" s="1511"/>
      <c r="F22" s="1511"/>
      <c r="G22" s="1511"/>
      <c r="H22" s="1512"/>
      <c r="I22" s="1512"/>
      <c r="J22" s="1512"/>
      <c r="K22" s="1517"/>
      <c r="L22" s="1517"/>
      <c r="M22" s="1517"/>
      <c r="N22" s="1517"/>
      <c r="O22" s="1517"/>
      <c r="P22" s="1517"/>
      <c r="Q22" s="1517"/>
      <c r="R22" s="1517"/>
      <c r="S22" s="1517"/>
      <c r="T22" s="1517"/>
      <c r="U22" s="1517"/>
      <c r="V22" s="1517"/>
      <c r="W22" s="1517"/>
    </row>
    <row r="23" spans="1:23" s="1522" customFormat="1" ht="11.25">
      <c r="A23" s="1519"/>
      <c r="B23" s="1520"/>
      <c r="C23" s="1521">
        <v>0</v>
      </c>
      <c r="D23" s="1521">
        <v>1</v>
      </c>
      <c r="E23" s="1521">
        <f t="shared" ref="E23:J23" si="12">D23+1</f>
        <v>2</v>
      </c>
      <c r="F23" s="1521">
        <f t="shared" si="12"/>
        <v>3</v>
      </c>
      <c r="G23" s="1521">
        <f t="shared" si="12"/>
        <v>4</v>
      </c>
      <c r="H23" s="1521">
        <f t="shared" si="12"/>
        <v>5</v>
      </c>
      <c r="I23" s="1521">
        <f t="shared" si="12"/>
        <v>6</v>
      </c>
      <c r="J23" s="1521">
        <f t="shared" si="12"/>
        <v>7</v>
      </c>
      <c r="K23" s="1519"/>
      <c r="L23" s="1519"/>
      <c r="M23" s="1519"/>
      <c r="N23" s="1519"/>
      <c r="O23" s="1519"/>
      <c r="P23" s="1519"/>
      <c r="Q23" s="1519"/>
      <c r="R23" s="1519"/>
      <c r="S23" s="1519"/>
      <c r="T23" s="1519"/>
      <c r="U23" s="1519"/>
      <c r="V23" s="1519"/>
      <c r="W23" s="1519"/>
    </row>
    <row r="24" spans="1:23">
      <c r="A24" s="1479"/>
      <c r="B24" s="1523" t="s">
        <v>767</v>
      </c>
      <c r="C24" s="1524">
        <f>1/(1+$H$39)^C23</f>
        <v>1</v>
      </c>
      <c r="D24" s="1524">
        <f t="shared" ref="D24:J24" si="13">1/(1+$H$39)^D23</f>
        <v>0.91954561800279755</v>
      </c>
      <c r="E24" s="1524">
        <f t="shared" si="13"/>
        <v>0.8455641435881468</v>
      </c>
      <c r="F24" s="1524">
        <f t="shared" si="13"/>
        <v>0.77753480297676869</v>
      </c>
      <c r="G24" s="1524">
        <f t="shared" si="13"/>
        <v>0.71497872092195613</v>
      </c>
      <c r="H24" s="1524">
        <f t="shared" si="13"/>
        <v>0.65745554978902987</v>
      </c>
      <c r="I24" s="1524">
        <f>1/(1+$H$39)^I23</f>
        <v>0.60456036984012251</v>
      </c>
      <c r="J24" s="1524">
        <f t="shared" si="13"/>
        <v>0.55592083890463528</v>
      </c>
      <c r="K24" s="1479"/>
      <c r="L24" s="1479"/>
      <c r="M24" s="1479"/>
      <c r="N24" s="1479"/>
      <c r="O24" s="1479"/>
      <c r="P24" s="1479"/>
      <c r="Q24" s="1479"/>
      <c r="R24" s="1479"/>
      <c r="S24" s="1479"/>
      <c r="T24" s="1479"/>
      <c r="U24" s="1479"/>
      <c r="V24" s="1479"/>
      <c r="W24" s="1479"/>
    </row>
    <row r="25" spans="1:23">
      <c r="B25" s="1525" t="s">
        <v>768</v>
      </c>
      <c r="C25" s="1526">
        <f t="shared" ref="C25:I25" si="14">C21*C24</f>
        <v>771.87126413807573</v>
      </c>
      <c r="D25" s="1526">
        <f t="shared" si="14"/>
        <v>797.90822119329073</v>
      </c>
      <c r="E25" s="1526">
        <f t="shared" si="14"/>
        <v>740.41609621876535</v>
      </c>
      <c r="F25" s="1526">
        <f t="shared" si="14"/>
        <v>658.99683428742424</v>
      </c>
      <c r="G25" s="1526">
        <f t="shared" si="14"/>
        <v>586.71797957059175</v>
      </c>
      <c r="H25" s="1526">
        <f t="shared" si="14"/>
        <v>528.54776565973816</v>
      </c>
      <c r="I25" s="1526">
        <f t="shared" si="14"/>
        <v>468.95782906545253</v>
      </c>
      <c r="J25" s="1527">
        <f>J21*J24</f>
        <v>402.93097504031459</v>
      </c>
      <c r="K25" s="1479"/>
      <c r="L25" s="1479"/>
      <c r="M25" s="1479"/>
      <c r="N25" s="1479"/>
      <c r="O25" s="1479"/>
      <c r="P25" s="1479"/>
      <c r="Q25" s="1479"/>
      <c r="R25" s="1479"/>
      <c r="S25" s="1479"/>
      <c r="T25" s="1479"/>
      <c r="U25" s="1479"/>
      <c r="V25" s="1479"/>
      <c r="W25" s="1479"/>
    </row>
    <row r="26" spans="1:23">
      <c r="A26" s="1479"/>
      <c r="B26" s="1523" t="s">
        <v>769</v>
      </c>
      <c r="C26" s="1479"/>
      <c r="D26" s="1479"/>
      <c r="E26" s="1479"/>
      <c r="F26" s="1479"/>
      <c r="G26" s="1479"/>
      <c r="H26" s="1479"/>
      <c r="I26" s="1479"/>
      <c r="J26" s="1523">
        <f>(J21*(1+C28))/(H39-C28)</f>
        <v>5983.7731632867326</v>
      </c>
      <c r="K26" s="1479"/>
      <c r="L26" s="1479"/>
      <c r="M26" s="1479"/>
      <c r="N26" s="1479"/>
      <c r="O26" s="1479"/>
      <c r="P26" s="1479"/>
      <c r="Q26" s="1479"/>
      <c r="R26" s="1479"/>
      <c r="S26" s="1479"/>
      <c r="T26" s="1479"/>
      <c r="U26" s="1479"/>
      <c r="V26" s="1479"/>
      <c r="W26" s="1479"/>
    </row>
    <row r="27" spans="1:23">
      <c r="B27" s="1528" t="s">
        <v>770</v>
      </c>
      <c r="C27" s="1529"/>
      <c r="D27" s="1529"/>
      <c r="E27" s="1529"/>
      <c r="F27" s="1529"/>
      <c r="G27" s="1529"/>
      <c r="H27" s="1529"/>
      <c r="I27" s="1529"/>
      <c r="J27" s="1527">
        <f>J26*J24</f>
        <v>3326.5041967494035</v>
      </c>
      <c r="K27" s="1479"/>
      <c r="L27" s="1479"/>
      <c r="M27" s="1479"/>
      <c r="N27" s="1479"/>
      <c r="O27" s="1479"/>
      <c r="P27" s="1479"/>
      <c r="Q27" s="1479"/>
      <c r="R27" s="1479"/>
      <c r="S27" s="1479"/>
      <c r="T27" s="1479"/>
      <c r="U27" s="1479"/>
      <c r="V27" s="1479"/>
      <c r="W27" s="1479"/>
    </row>
    <row r="28" spans="1:23">
      <c r="A28" s="1479"/>
      <c r="B28" s="1523" t="s">
        <v>771</v>
      </c>
      <c r="C28" s="1530">
        <v>-0.03</v>
      </c>
      <c r="D28" s="1479"/>
      <c r="E28" s="1479"/>
      <c r="F28" s="1479"/>
      <c r="G28" s="1479"/>
      <c r="H28" s="1479"/>
      <c r="I28" s="1479"/>
      <c r="J28" s="1479"/>
      <c r="K28" s="1479"/>
      <c r="L28" s="1479"/>
      <c r="M28" s="1479"/>
      <c r="N28" s="1479"/>
      <c r="O28" s="1479"/>
      <c r="P28" s="1479"/>
      <c r="Q28" s="1479"/>
      <c r="R28" s="1479"/>
      <c r="S28" s="1479"/>
      <c r="T28" s="1479"/>
      <c r="U28" s="1479"/>
      <c r="V28" s="1479"/>
      <c r="W28" s="1479"/>
    </row>
    <row r="29" spans="1:23">
      <c r="A29" s="1479"/>
      <c r="B29" s="1523"/>
      <c r="C29" s="1479"/>
      <c r="D29" s="1479"/>
      <c r="E29" s="1479"/>
      <c r="F29" s="1479"/>
      <c r="G29" s="1479"/>
      <c r="H29" s="1491"/>
      <c r="I29" s="1479"/>
      <c r="J29" s="1479"/>
      <c r="K29" s="1479"/>
      <c r="L29" s="1479"/>
      <c r="M29" s="1479"/>
      <c r="N29" s="1479"/>
      <c r="O29" s="1479"/>
      <c r="P29" s="1479"/>
      <c r="Q29" s="1479"/>
      <c r="R29" s="1479"/>
      <c r="S29" s="1479"/>
      <c r="T29" s="1479"/>
      <c r="U29" s="1479"/>
      <c r="V29" s="1479"/>
      <c r="W29" s="1479"/>
    </row>
    <row r="30" spans="1:23">
      <c r="A30" s="1479"/>
      <c r="B30" s="1523" t="s">
        <v>772</v>
      </c>
      <c r="C30" s="1523">
        <f>bal!BK35</f>
        <v>1249</v>
      </c>
      <c r="D30" s="1523"/>
      <c r="E30" s="1523" t="s">
        <v>773</v>
      </c>
      <c r="F30" s="1523"/>
      <c r="G30" s="1479"/>
      <c r="H30" s="1531">
        <v>2.9499999999999998E-2</v>
      </c>
      <c r="I30" s="1479"/>
      <c r="J30" s="1479"/>
      <c r="K30" s="1479"/>
      <c r="L30" s="1479"/>
      <c r="M30" s="1479"/>
      <c r="N30" s="1479"/>
      <c r="O30" s="1479"/>
      <c r="P30" s="1479"/>
      <c r="Q30" s="1479"/>
      <c r="R30" s="1479"/>
      <c r="S30" s="1479"/>
      <c r="T30" s="1479"/>
      <c r="U30" s="1479"/>
      <c r="V30" s="1479"/>
      <c r="W30" s="1479"/>
    </row>
    <row r="31" spans="1:23">
      <c r="A31" s="1479"/>
      <c r="B31" s="1523" t="s">
        <v>774</v>
      </c>
      <c r="C31" s="1532">
        <f>bal!BK9</f>
        <v>2031.3044685239699</v>
      </c>
      <c r="D31" s="1523"/>
      <c r="E31" s="1523" t="s">
        <v>775</v>
      </c>
      <c r="F31" s="1523"/>
      <c r="G31" s="1479"/>
      <c r="H31" s="1531">
        <v>5.0799999999999998E-2</v>
      </c>
      <c r="I31" s="1479"/>
      <c r="J31" s="1479"/>
      <c r="K31" s="1479"/>
      <c r="L31" s="1479"/>
      <c r="M31" s="1479"/>
      <c r="N31" s="1479"/>
      <c r="O31" s="1479"/>
      <c r="P31" s="1479"/>
      <c r="Q31" s="1479"/>
      <c r="R31" s="1479"/>
      <c r="S31" s="1479"/>
      <c r="T31" s="1479"/>
      <c r="U31" s="1479"/>
      <c r="V31" s="1479"/>
      <c r="W31" s="1479"/>
    </row>
    <row r="32" spans="1:23">
      <c r="A32" s="1479"/>
      <c r="B32" s="1533" t="s">
        <v>375</v>
      </c>
      <c r="C32" s="1533">
        <f>C30-C31</f>
        <v>-782.30446852396994</v>
      </c>
      <c r="D32" s="1533"/>
      <c r="E32" s="1523" t="s">
        <v>776</v>
      </c>
      <c r="F32" s="1533"/>
      <c r="G32" s="1479"/>
      <c r="H32" s="1552">
        <v>1.23</v>
      </c>
      <c r="I32" s="1479"/>
      <c r="J32" s="1479"/>
      <c r="K32" s="1479"/>
      <c r="L32" s="1479"/>
      <c r="M32" s="1479"/>
      <c r="N32" s="1479"/>
      <c r="O32" s="1479"/>
      <c r="P32" s="1479"/>
      <c r="Q32" s="1479"/>
      <c r="R32" s="1479"/>
      <c r="S32" s="1479"/>
      <c r="T32" s="1479"/>
      <c r="U32" s="1479"/>
      <c r="V32" s="1479"/>
      <c r="W32" s="1479"/>
    </row>
    <row r="33" spans="1:23">
      <c r="A33" s="1479"/>
      <c r="B33" s="1534" t="s">
        <v>777</v>
      </c>
      <c r="C33" s="1535">
        <v>0.06</v>
      </c>
      <c r="D33" s="1523"/>
      <c r="E33" s="1523" t="s">
        <v>778</v>
      </c>
      <c r="F33" s="1523"/>
      <c r="G33" s="1479"/>
      <c r="H33" s="1536">
        <f>H30+H32*(H31)</f>
        <v>9.1983999999999996E-2</v>
      </c>
      <c r="I33" s="1479"/>
      <c r="J33" s="1479"/>
      <c r="K33" s="1479"/>
      <c r="L33" s="1479"/>
      <c r="M33" s="1479"/>
      <c r="N33" s="1479"/>
      <c r="O33" s="1479"/>
      <c r="P33" s="1479"/>
      <c r="Q33" s="1479"/>
      <c r="R33" s="1479"/>
      <c r="S33" s="1479"/>
      <c r="T33" s="1479"/>
      <c r="U33" s="1479"/>
      <c r="V33" s="1479"/>
      <c r="W33" s="1479"/>
    </row>
    <row r="34" spans="1:23">
      <c r="A34" s="1479"/>
      <c r="B34" s="1534" t="s">
        <v>825</v>
      </c>
      <c r="C34" s="1537">
        <f>C33*(1-0.21)</f>
        <v>4.7399999999999998E-2</v>
      </c>
      <c r="D34" s="1523"/>
      <c r="E34" s="1523"/>
      <c r="F34" s="1523"/>
      <c r="G34" s="1523"/>
      <c r="H34" s="1523"/>
      <c r="I34" s="1479"/>
      <c r="J34" s="1479"/>
      <c r="K34" s="1479"/>
      <c r="L34" s="1479"/>
      <c r="M34" s="1479"/>
      <c r="N34" s="1479"/>
      <c r="O34" s="1479"/>
      <c r="P34" s="1479"/>
      <c r="Q34" s="1479"/>
      <c r="R34" s="1479"/>
      <c r="S34" s="1479"/>
      <c r="T34" s="1479"/>
      <c r="U34" s="1479"/>
      <c r="V34" s="1479"/>
      <c r="W34" s="1479"/>
    </row>
    <row r="35" spans="1:23">
      <c r="A35" s="1479"/>
      <c r="B35" s="1523"/>
      <c r="C35" s="1523"/>
      <c r="D35" s="1523"/>
      <c r="E35" s="1523"/>
      <c r="F35" s="1523"/>
      <c r="G35" s="1523"/>
      <c r="H35" s="1523"/>
      <c r="I35" s="1479"/>
      <c r="J35" s="1479"/>
      <c r="K35" s="1479"/>
      <c r="L35" s="1479"/>
      <c r="M35" s="1479"/>
      <c r="N35" s="1479"/>
      <c r="O35" s="1479"/>
      <c r="P35" s="1479"/>
      <c r="Q35" s="1479"/>
      <c r="R35" s="1479"/>
      <c r="S35" s="1479"/>
      <c r="T35" s="1479"/>
      <c r="U35" s="1479"/>
      <c r="V35" s="1479"/>
      <c r="W35" s="1479"/>
    </row>
    <row r="36" spans="1:23">
      <c r="A36" s="1479"/>
      <c r="B36" s="1523" t="s">
        <v>779</v>
      </c>
      <c r="C36" s="1523">
        <f>'yrP&amp;L'!AE54</f>
        <v>371.73563218390808</v>
      </c>
      <c r="D36" s="1523"/>
      <c r="E36" s="1523"/>
      <c r="F36" s="1538"/>
      <c r="G36" s="1539"/>
      <c r="H36" s="1539"/>
      <c r="I36" s="1479"/>
      <c r="J36" s="1479"/>
      <c r="K36" s="1479"/>
      <c r="L36" s="1479"/>
      <c r="M36" s="1479"/>
      <c r="N36" s="1479"/>
      <c r="O36" s="1479"/>
      <c r="P36" s="1479"/>
      <c r="Q36" s="1479"/>
      <c r="R36" s="1479"/>
      <c r="S36" s="1479"/>
      <c r="T36" s="1479"/>
      <c r="U36" s="1479"/>
      <c r="V36" s="1479"/>
      <c r="W36" s="1479"/>
    </row>
    <row r="37" spans="1:23">
      <c r="A37" s="1479"/>
      <c r="B37" s="1523" t="s">
        <v>780</v>
      </c>
      <c r="C37" s="1540">
        <v>30</v>
      </c>
      <c r="D37" s="1523"/>
      <c r="E37" s="1541"/>
      <c r="F37" s="1542"/>
      <c r="G37" s="1539"/>
      <c r="H37" s="1539"/>
      <c r="I37" s="1479"/>
      <c r="J37" s="1479"/>
      <c r="K37" s="1479"/>
      <c r="L37" s="1479"/>
      <c r="M37" s="1479"/>
      <c r="N37" s="1479"/>
      <c r="O37" s="1479"/>
      <c r="P37" s="1479"/>
      <c r="Q37" s="1479"/>
      <c r="R37" s="1479"/>
      <c r="S37" s="1479"/>
      <c r="T37" s="1479"/>
      <c r="U37" s="1479"/>
      <c r="V37" s="1479"/>
      <c r="W37" s="1479"/>
    </row>
    <row r="38" spans="1:23">
      <c r="A38" s="1479"/>
      <c r="B38" s="1533" t="s">
        <v>256</v>
      </c>
      <c r="C38" s="1533">
        <f>C36*C37</f>
        <v>11152.068965517243</v>
      </c>
      <c r="D38" s="1523"/>
      <c r="E38" s="1539"/>
      <c r="F38" s="1542"/>
      <c r="G38" s="1539"/>
      <c r="H38" s="1539"/>
      <c r="I38" s="1479"/>
      <c r="J38" s="1479"/>
      <c r="K38" s="1479"/>
      <c r="L38" s="1479"/>
      <c r="M38" s="1479"/>
      <c r="N38" s="1479"/>
      <c r="O38" s="1479"/>
      <c r="P38" s="1479"/>
      <c r="Q38" s="1479"/>
      <c r="R38" s="1479"/>
      <c r="S38" s="1479"/>
      <c r="T38" s="1479"/>
      <c r="U38" s="1479"/>
      <c r="V38" s="1479"/>
      <c r="W38" s="1479"/>
    </row>
    <row r="39" spans="1:23">
      <c r="A39" s="1479"/>
      <c r="B39" s="1533" t="s">
        <v>781</v>
      </c>
      <c r="C39" s="1533">
        <f>C32+C38</f>
        <v>10369.764496993273</v>
      </c>
      <c r="D39" s="1523"/>
      <c r="E39" s="1525" t="s">
        <v>695</v>
      </c>
      <c r="F39" s="1543"/>
      <c r="G39" s="1543"/>
      <c r="H39" s="1544">
        <f>(C30/(C30+C38))*C34 + (C38/(C30+C38))*H33</f>
        <v>8.7493627746217648E-2</v>
      </c>
      <c r="I39" s="1479"/>
      <c r="J39" s="1479"/>
      <c r="K39" s="1479"/>
      <c r="L39" s="1479"/>
      <c r="M39" s="1479"/>
      <c r="N39" s="1479"/>
      <c r="O39" s="1479"/>
      <c r="P39" s="1479"/>
      <c r="Q39" s="1479"/>
      <c r="R39" s="1479"/>
      <c r="S39" s="1479"/>
      <c r="T39" s="1479"/>
      <c r="U39" s="1479"/>
      <c r="V39" s="1479"/>
      <c r="W39" s="1479"/>
    </row>
    <row r="40" spans="1:23">
      <c r="A40" s="1479"/>
      <c r="B40" s="1523"/>
      <c r="C40" s="1523"/>
      <c r="D40" s="1523"/>
      <c r="E40" s="1523"/>
      <c r="F40" s="1523"/>
      <c r="G40" s="1523"/>
      <c r="H40" s="1523"/>
      <c r="I40" s="1479"/>
      <c r="J40" s="1479"/>
      <c r="K40" s="1479"/>
      <c r="L40" s="1479"/>
      <c r="M40" s="1479"/>
      <c r="N40" s="1479"/>
      <c r="O40" s="1479"/>
      <c r="P40" s="1479"/>
      <c r="Q40" s="1479"/>
      <c r="R40" s="1479"/>
      <c r="S40" s="1479"/>
      <c r="T40" s="1479"/>
      <c r="U40" s="1479"/>
      <c r="V40" s="1479"/>
      <c r="W40" s="1479"/>
    </row>
    <row r="41" spans="1:23">
      <c r="A41" s="1479"/>
      <c r="B41" s="1523" t="s">
        <v>782</v>
      </c>
      <c r="C41" s="1523">
        <f>SUM(C25:J25)</f>
        <v>4956.3469651736523</v>
      </c>
      <c r="D41" s="1523"/>
      <c r="E41" s="1523"/>
      <c r="F41" s="1523"/>
      <c r="G41" s="1523"/>
      <c r="H41" s="1523"/>
      <c r="I41" s="1479"/>
      <c r="J41" s="1479"/>
      <c r="K41" s="1479"/>
      <c r="L41" s="1479"/>
      <c r="M41" s="1479"/>
      <c r="N41" s="1479"/>
      <c r="O41" s="1479"/>
      <c r="P41" s="1479"/>
      <c r="Q41" s="1479"/>
      <c r="R41" s="1479"/>
      <c r="S41" s="1479"/>
      <c r="T41" s="1479"/>
      <c r="U41" s="1479"/>
      <c r="V41" s="1479"/>
      <c r="W41" s="1479"/>
    </row>
    <row r="42" spans="1:23">
      <c r="A42" s="1479"/>
      <c r="B42" s="1523" t="s">
        <v>770</v>
      </c>
      <c r="C42" s="1532">
        <f>J27</f>
        <v>3326.5041967494035</v>
      </c>
      <c r="D42" s="1523"/>
      <c r="E42" s="1523"/>
      <c r="F42" s="1523"/>
      <c r="G42" s="1523"/>
      <c r="H42" s="1523"/>
      <c r="I42" s="1479"/>
      <c r="J42" s="1479"/>
      <c r="K42" s="1479"/>
      <c r="L42" s="1479"/>
      <c r="M42" s="1479"/>
      <c r="N42" s="1479"/>
      <c r="O42" s="1479"/>
      <c r="P42" s="1479"/>
      <c r="Q42" s="1479"/>
      <c r="R42" s="1479"/>
      <c r="S42" s="1479"/>
      <c r="T42" s="1479"/>
      <c r="U42" s="1479"/>
      <c r="V42" s="1479"/>
      <c r="W42" s="1479"/>
    </row>
    <row r="43" spans="1:23">
      <c r="A43" s="1479"/>
      <c r="B43" s="1533" t="s">
        <v>783</v>
      </c>
      <c r="C43" s="1533">
        <f>SUM(C41:C42)</f>
        <v>8282.8511619230558</v>
      </c>
      <c r="D43" s="1523"/>
      <c r="E43" s="1523"/>
      <c r="F43" s="1523"/>
      <c r="G43" s="1523"/>
      <c r="H43" s="1523"/>
      <c r="I43" s="1479"/>
      <c r="J43" s="1479"/>
      <c r="K43" s="1479"/>
      <c r="L43" s="1479"/>
      <c r="M43" s="1479"/>
      <c r="N43" s="1479"/>
      <c r="O43" s="1479"/>
      <c r="P43" s="1479"/>
      <c r="Q43" s="1479"/>
      <c r="R43" s="1479"/>
      <c r="S43" s="1479"/>
      <c r="T43" s="1479"/>
      <c r="U43" s="1479"/>
      <c r="V43" s="1479"/>
      <c r="W43" s="1479"/>
    </row>
    <row r="44" spans="1:23">
      <c r="A44" s="1479"/>
      <c r="B44" s="1523" t="s">
        <v>784</v>
      </c>
      <c r="C44" s="1523">
        <f>-C30</f>
        <v>-1249</v>
      </c>
      <c r="D44" s="1541"/>
      <c r="E44" s="1541"/>
      <c r="F44" s="1541"/>
      <c r="G44" s="1541"/>
      <c r="H44" s="1541"/>
      <c r="I44" s="1541"/>
      <c r="J44" s="1541"/>
      <c r="K44" s="1541"/>
      <c r="L44" s="1479"/>
      <c r="M44" s="1479"/>
      <c r="N44" s="1479"/>
      <c r="O44" s="1479"/>
      <c r="P44" s="1479"/>
      <c r="Q44" s="1479"/>
      <c r="R44" s="1479"/>
      <c r="S44" s="1479"/>
      <c r="T44" s="1479"/>
      <c r="U44" s="1479"/>
      <c r="V44" s="1479"/>
      <c r="W44" s="1479"/>
    </row>
    <row r="45" spans="1:23">
      <c r="A45" s="1479"/>
      <c r="B45" s="1523" t="s">
        <v>785</v>
      </c>
      <c r="C45" s="1545">
        <f>+C31</f>
        <v>2031.3044685239699</v>
      </c>
      <c r="D45" s="1523"/>
      <c r="E45" s="1523"/>
      <c r="F45" s="1523"/>
      <c r="G45" s="1523"/>
      <c r="H45" s="1523"/>
      <c r="I45" s="1479"/>
      <c r="J45" s="1479"/>
      <c r="K45" s="1479"/>
      <c r="L45" s="1479"/>
      <c r="M45" s="1479"/>
      <c r="N45" s="1479"/>
      <c r="O45" s="1479"/>
      <c r="P45" s="1479"/>
      <c r="Q45" s="1479"/>
      <c r="R45" s="1479"/>
      <c r="S45" s="1479"/>
      <c r="T45" s="1479"/>
      <c r="U45" s="1479"/>
      <c r="V45" s="1479"/>
      <c r="W45" s="1479"/>
    </row>
    <row r="46" spans="1:23" hidden="1" outlineLevel="1">
      <c r="A46" s="1479"/>
      <c r="B46" s="1523" t="s">
        <v>786</v>
      </c>
      <c r="C46" s="1545">
        <v>0</v>
      </c>
      <c r="D46" s="1523"/>
      <c r="E46" s="1523"/>
      <c r="F46" s="1523"/>
      <c r="G46" s="1523"/>
      <c r="H46" s="1523"/>
      <c r="I46" s="1479"/>
      <c r="J46" s="1479"/>
      <c r="K46" s="1479"/>
      <c r="L46" s="1479"/>
      <c r="M46" s="1479"/>
      <c r="N46" s="1479"/>
      <c r="O46" s="1479"/>
      <c r="P46" s="1479"/>
      <c r="Q46" s="1479"/>
      <c r="R46" s="1479"/>
      <c r="S46" s="1479"/>
      <c r="T46" s="1479"/>
      <c r="U46" s="1479"/>
      <c r="V46" s="1479"/>
      <c r="W46" s="1479"/>
    </row>
    <row r="47" spans="1:23" hidden="1" outlineLevel="1">
      <c r="A47" s="1479"/>
      <c r="B47" s="1523" t="s">
        <v>787</v>
      </c>
      <c r="C47" s="1546" t="s">
        <v>644</v>
      </c>
      <c r="D47" s="1523"/>
      <c r="E47" s="1523"/>
      <c r="F47" s="1523"/>
      <c r="G47" s="1523"/>
      <c r="H47" s="1523"/>
      <c r="I47" s="1479"/>
      <c r="J47" s="1479"/>
      <c r="K47" s="1479"/>
      <c r="L47" s="1479"/>
      <c r="M47" s="1479"/>
      <c r="N47" s="1479"/>
      <c r="O47" s="1479"/>
      <c r="P47" s="1479"/>
      <c r="Q47" s="1479"/>
      <c r="R47" s="1479"/>
      <c r="S47" s="1479"/>
      <c r="T47" s="1479"/>
      <c r="U47" s="1479"/>
      <c r="V47" s="1479"/>
      <c r="W47" s="1479"/>
    </row>
    <row r="48" spans="1:23" collapsed="1">
      <c r="A48" s="1479"/>
      <c r="B48" s="1533" t="s">
        <v>329</v>
      </c>
      <c r="C48" s="1533">
        <f>SUM(C43:C47)</f>
        <v>9065.155630447025</v>
      </c>
      <c r="D48" s="1523"/>
      <c r="E48" s="1523"/>
      <c r="F48" s="1523"/>
      <c r="G48" s="1523"/>
      <c r="H48" s="1523"/>
      <c r="I48" s="1479"/>
      <c r="J48" s="1479"/>
      <c r="K48" s="1479"/>
      <c r="L48" s="1479"/>
      <c r="M48" s="1479"/>
      <c r="N48" s="1479"/>
      <c r="O48" s="1479"/>
      <c r="P48" s="1479"/>
      <c r="Q48" s="1479"/>
      <c r="R48" s="1479"/>
      <c r="S48" s="1479"/>
      <c r="T48" s="1479"/>
      <c r="U48" s="1479"/>
      <c r="V48" s="1479"/>
      <c r="W48" s="1479"/>
    </row>
    <row r="49" spans="1:23">
      <c r="A49" s="1479"/>
      <c r="B49" s="1547" t="s">
        <v>788</v>
      </c>
      <c r="C49" s="1548">
        <f>C48/C36</f>
        <v>24.386028256667732</v>
      </c>
      <c r="D49" s="1549"/>
      <c r="E49" s="1523"/>
      <c r="F49" s="1523"/>
      <c r="G49" s="1523"/>
      <c r="H49" s="1523"/>
      <c r="I49" s="1479"/>
      <c r="J49" s="1479"/>
      <c r="K49" s="1479"/>
      <c r="L49" s="1479"/>
      <c r="M49" s="1479"/>
      <c r="N49" s="1479"/>
      <c r="O49" s="1479"/>
      <c r="P49" s="1479"/>
      <c r="Q49" s="1479"/>
      <c r="R49" s="1479"/>
      <c r="S49" s="1479"/>
      <c r="T49" s="1479"/>
      <c r="U49" s="1479"/>
      <c r="V49" s="1479"/>
      <c r="W49" s="1479"/>
    </row>
    <row r="50" spans="1:23">
      <c r="A50" s="1479"/>
      <c r="B50" s="1523"/>
      <c r="C50" s="1550"/>
      <c r="D50" s="1479"/>
      <c r="E50" s="1479"/>
      <c r="F50" s="1479"/>
      <c r="G50" s="1479"/>
      <c r="H50" s="1479"/>
      <c r="I50" s="1479"/>
      <c r="J50" s="1479"/>
      <c r="K50" s="1479"/>
      <c r="L50" s="1479"/>
      <c r="M50" s="1479"/>
      <c r="N50" s="1479"/>
      <c r="O50" s="1479"/>
      <c r="P50" s="1479"/>
      <c r="Q50" s="1479"/>
      <c r="R50" s="1479"/>
      <c r="S50" s="1479"/>
      <c r="T50" s="1479"/>
      <c r="U50" s="1479"/>
      <c r="V50" s="1479"/>
      <c r="W50" s="1479"/>
    </row>
    <row r="51" spans="1:23">
      <c r="A51" s="1479"/>
      <c r="B51" s="1523"/>
      <c r="C51" s="1479"/>
      <c r="D51" s="1479"/>
      <c r="E51" s="1479"/>
      <c r="F51" s="1479"/>
      <c r="G51" s="1479"/>
      <c r="H51" s="1479"/>
      <c r="I51" s="1479"/>
      <c r="J51" s="1479"/>
      <c r="K51" s="1479"/>
      <c r="L51" s="1479"/>
      <c r="M51" s="1479"/>
      <c r="N51" s="1479"/>
      <c r="O51" s="1479"/>
      <c r="P51" s="1479"/>
      <c r="Q51" s="1479"/>
      <c r="R51" s="1479"/>
      <c r="S51" s="1479"/>
      <c r="T51" s="1479"/>
      <c r="U51" s="1479"/>
      <c r="V51" s="1479"/>
      <c r="W51" s="1479"/>
    </row>
    <row r="52" spans="1:23">
      <c r="A52" s="1479"/>
      <c r="B52" s="1523"/>
      <c r="C52" s="1479"/>
      <c r="D52" s="1479"/>
      <c r="E52" s="1479"/>
      <c r="F52" s="1479"/>
      <c r="G52" s="1479"/>
      <c r="H52" s="1479"/>
      <c r="I52" s="1479"/>
      <c r="J52" s="1479"/>
      <c r="K52" s="1479"/>
      <c r="L52" s="1479"/>
      <c r="M52" s="1479"/>
      <c r="N52" s="1479"/>
      <c r="O52" s="1479"/>
      <c r="P52" s="1479"/>
      <c r="Q52" s="1479"/>
      <c r="R52" s="1479"/>
      <c r="S52" s="1479"/>
      <c r="T52" s="1479"/>
      <c r="U52" s="1479"/>
      <c r="V52" s="1479"/>
      <c r="W52" s="1479"/>
    </row>
    <row r="53" spans="1:23">
      <c r="A53" s="1479"/>
      <c r="B53" s="1523"/>
      <c r="C53" s="1491"/>
      <c r="D53" s="1491"/>
      <c r="E53" s="1491"/>
      <c r="F53" s="1491"/>
      <c r="G53" s="1491"/>
      <c r="H53" s="1491"/>
      <c r="I53" s="1491"/>
      <c r="J53" s="1491"/>
      <c r="K53" s="1491"/>
      <c r="L53" s="1479"/>
      <c r="M53" s="1479"/>
      <c r="N53" s="1479"/>
      <c r="O53" s="1479"/>
      <c r="P53" s="1479"/>
      <c r="Q53" s="1479"/>
      <c r="R53" s="1479"/>
      <c r="S53" s="1479"/>
      <c r="T53" s="1479"/>
      <c r="U53" s="1479"/>
      <c r="V53" s="1479"/>
      <c r="W53" s="1479"/>
    </row>
    <row r="54" spans="1:23">
      <c r="A54" s="1479"/>
      <c r="B54" s="1523"/>
      <c r="C54" s="1479"/>
      <c r="D54" s="1479"/>
      <c r="E54" s="1479"/>
      <c r="F54" s="1479"/>
      <c r="G54" s="1479"/>
      <c r="H54" s="1479"/>
      <c r="I54" s="1479"/>
      <c r="J54" s="1479"/>
      <c r="K54" s="1479"/>
      <c r="L54" s="1479"/>
      <c r="M54" s="1479"/>
      <c r="N54" s="1479"/>
      <c r="O54" s="1479"/>
      <c r="P54" s="1479"/>
      <c r="Q54" s="1479"/>
      <c r="R54" s="1479"/>
      <c r="S54" s="1479"/>
      <c r="T54" s="1479"/>
      <c r="U54" s="1479"/>
      <c r="V54" s="1479"/>
      <c r="W54" s="1479"/>
    </row>
    <row r="55" spans="1:23">
      <c r="A55" s="1479"/>
      <c r="B55" s="1549"/>
    </row>
    <row r="56" spans="1:23">
      <c r="B56" s="1549"/>
    </row>
    <row r="57" spans="1:23">
      <c r="B57" s="1549"/>
    </row>
    <row r="58" spans="1:23">
      <c r="B58" s="1549"/>
    </row>
    <row r="59" spans="1:23">
      <c r="B59" s="1549"/>
    </row>
    <row r="60" spans="1:23">
      <c r="B60" s="1549"/>
    </row>
    <row r="61" spans="1:23">
      <c r="B61" s="1549"/>
    </row>
  </sheetData>
  <mergeCells count="2">
    <mergeCell ref="C1:G1"/>
    <mergeCell ref="H1:J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cols>
    <col min="1" max="1" width="29.5703125" style="2" bestFit="1" customWidth="1"/>
    <col min="2" max="2" width="19.85546875" style="2162" customWidth="1"/>
    <col min="3" max="3" width="12" style="2" bestFit="1" customWidth="1"/>
    <col min="4" max="256" width="9.140625" style="2"/>
    <col min="257" max="257" width="29.5703125" style="2" bestFit="1" customWidth="1"/>
    <col min="258" max="258" width="19.85546875" style="2" customWidth="1"/>
    <col min="259" max="259" width="12" style="2" bestFit="1" customWidth="1"/>
    <col min="260" max="512" width="9.140625" style="2"/>
    <col min="513" max="513" width="29.5703125" style="2" bestFit="1" customWidth="1"/>
    <col min="514" max="514" width="19.85546875" style="2" customWidth="1"/>
    <col min="515" max="515" width="12" style="2" bestFit="1" customWidth="1"/>
    <col min="516" max="768" width="9.140625" style="2"/>
    <col min="769" max="769" width="29.5703125" style="2" bestFit="1" customWidth="1"/>
    <col min="770" max="770" width="19.85546875" style="2" customWidth="1"/>
    <col min="771" max="771" width="12" style="2" bestFit="1" customWidth="1"/>
    <col min="772" max="1024" width="9.140625" style="2"/>
    <col min="1025" max="1025" width="29.5703125" style="2" bestFit="1" customWidth="1"/>
    <col min="1026" max="1026" width="19.85546875" style="2" customWidth="1"/>
    <col min="1027" max="1027" width="12" style="2" bestFit="1" customWidth="1"/>
    <col min="1028" max="1280" width="9.140625" style="2"/>
    <col min="1281" max="1281" width="29.5703125" style="2" bestFit="1" customWidth="1"/>
    <col min="1282" max="1282" width="19.85546875" style="2" customWidth="1"/>
    <col min="1283" max="1283" width="12" style="2" bestFit="1" customWidth="1"/>
    <col min="1284" max="1536" width="9.140625" style="2"/>
    <col min="1537" max="1537" width="29.5703125" style="2" bestFit="1" customWidth="1"/>
    <col min="1538" max="1538" width="19.85546875" style="2" customWidth="1"/>
    <col min="1539" max="1539" width="12" style="2" bestFit="1" customWidth="1"/>
    <col min="1540" max="1792" width="9.140625" style="2"/>
    <col min="1793" max="1793" width="29.5703125" style="2" bestFit="1" customWidth="1"/>
    <col min="1794" max="1794" width="19.85546875" style="2" customWidth="1"/>
    <col min="1795" max="1795" width="12" style="2" bestFit="1" customWidth="1"/>
    <col min="1796" max="2048" width="9.140625" style="2"/>
    <col min="2049" max="2049" width="29.5703125" style="2" bestFit="1" customWidth="1"/>
    <col min="2050" max="2050" width="19.85546875" style="2" customWidth="1"/>
    <col min="2051" max="2051" width="12" style="2" bestFit="1" customWidth="1"/>
    <col min="2052" max="2304" width="9.140625" style="2"/>
    <col min="2305" max="2305" width="29.5703125" style="2" bestFit="1" customWidth="1"/>
    <col min="2306" max="2306" width="19.85546875" style="2" customWidth="1"/>
    <col min="2307" max="2307" width="12" style="2" bestFit="1" customWidth="1"/>
    <col min="2308" max="2560" width="9.140625" style="2"/>
    <col min="2561" max="2561" width="29.5703125" style="2" bestFit="1" customWidth="1"/>
    <col min="2562" max="2562" width="19.85546875" style="2" customWidth="1"/>
    <col min="2563" max="2563" width="12" style="2" bestFit="1" customWidth="1"/>
    <col min="2564" max="2816" width="9.140625" style="2"/>
    <col min="2817" max="2817" width="29.5703125" style="2" bestFit="1" customWidth="1"/>
    <col min="2818" max="2818" width="19.85546875" style="2" customWidth="1"/>
    <col min="2819" max="2819" width="12" style="2" bestFit="1" customWidth="1"/>
    <col min="2820" max="3072" width="9.140625" style="2"/>
    <col min="3073" max="3073" width="29.5703125" style="2" bestFit="1" customWidth="1"/>
    <col min="3074" max="3074" width="19.85546875" style="2" customWidth="1"/>
    <col min="3075" max="3075" width="12" style="2" bestFit="1" customWidth="1"/>
    <col min="3076" max="3328" width="9.140625" style="2"/>
    <col min="3329" max="3329" width="29.5703125" style="2" bestFit="1" customWidth="1"/>
    <col min="3330" max="3330" width="19.85546875" style="2" customWidth="1"/>
    <col min="3331" max="3331" width="12" style="2" bestFit="1" customWidth="1"/>
    <col min="3332" max="3584" width="9.140625" style="2"/>
    <col min="3585" max="3585" width="29.5703125" style="2" bestFit="1" customWidth="1"/>
    <col min="3586" max="3586" width="19.85546875" style="2" customWidth="1"/>
    <col min="3587" max="3587" width="12" style="2" bestFit="1" customWidth="1"/>
    <col min="3588" max="3840" width="9.140625" style="2"/>
    <col min="3841" max="3841" width="29.5703125" style="2" bestFit="1" customWidth="1"/>
    <col min="3842" max="3842" width="19.85546875" style="2" customWidth="1"/>
    <col min="3843" max="3843" width="12" style="2" bestFit="1" customWidth="1"/>
    <col min="3844" max="4096" width="9.140625" style="2"/>
    <col min="4097" max="4097" width="29.5703125" style="2" bestFit="1" customWidth="1"/>
    <col min="4098" max="4098" width="19.85546875" style="2" customWidth="1"/>
    <col min="4099" max="4099" width="12" style="2" bestFit="1" customWidth="1"/>
    <col min="4100" max="4352" width="9.140625" style="2"/>
    <col min="4353" max="4353" width="29.5703125" style="2" bestFit="1" customWidth="1"/>
    <col min="4354" max="4354" width="19.85546875" style="2" customWidth="1"/>
    <col min="4355" max="4355" width="12" style="2" bestFit="1" customWidth="1"/>
    <col min="4356" max="4608" width="9.140625" style="2"/>
    <col min="4609" max="4609" width="29.5703125" style="2" bestFit="1" customWidth="1"/>
    <col min="4610" max="4610" width="19.85546875" style="2" customWidth="1"/>
    <col min="4611" max="4611" width="12" style="2" bestFit="1" customWidth="1"/>
    <col min="4612" max="4864" width="9.140625" style="2"/>
    <col min="4865" max="4865" width="29.5703125" style="2" bestFit="1" customWidth="1"/>
    <col min="4866" max="4866" width="19.85546875" style="2" customWidth="1"/>
    <col min="4867" max="4867" width="12" style="2" bestFit="1" customWidth="1"/>
    <col min="4868" max="5120" width="9.140625" style="2"/>
    <col min="5121" max="5121" width="29.5703125" style="2" bestFit="1" customWidth="1"/>
    <col min="5122" max="5122" width="19.85546875" style="2" customWidth="1"/>
    <col min="5123" max="5123" width="12" style="2" bestFit="1" customWidth="1"/>
    <col min="5124" max="5376" width="9.140625" style="2"/>
    <col min="5377" max="5377" width="29.5703125" style="2" bestFit="1" customWidth="1"/>
    <col min="5378" max="5378" width="19.85546875" style="2" customWidth="1"/>
    <col min="5379" max="5379" width="12" style="2" bestFit="1" customWidth="1"/>
    <col min="5380" max="5632" width="9.140625" style="2"/>
    <col min="5633" max="5633" width="29.5703125" style="2" bestFit="1" customWidth="1"/>
    <col min="5634" max="5634" width="19.85546875" style="2" customWidth="1"/>
    <col min="5635" max="5635" width="12" style="2" bestFit="1" customWidth="1"/>
    <col min="5636" max="5888" width="9.140625" style="2"/>
    <col min="5889" max="5889" width="29.5703125" style="2" bestFit="1" customWidth="1"/>
    <col min="5890" max="5890" width="19.85546875" style="2" customWidth="1"/>
    <col min="5891" max="5891" width="12" style="2" bestFit="1" customWidth="1"/>
    <col min="5892" max="6144" width="9.140625" style="2"/>
    <col min="6145" max="6145" width="29.5703125" style="2" bestFit="1" customWidth="1"/>
    <col min="6146" max="6146" width="19.85546875" style="2" customWidth="1"/>
    <col min="6147" max="6147" width="12" style="2" bestFit="1" customWidth="1"/>
    <col min="6148" max="6400" width="9.140625" style="2"/>
    <col min="6401" max="6401" width="29.5703125" style="2" bestFit="1" customWidth="1"/>
    <col min="6402" max="6402" width="19.85546875" style="2" customWidth="1"/>
    <col min="6403" max="6403" width="12" style="2" bestFit="1" customWidth="1"/>
    <col min="6404" max="6656" width="9.140625" style="2"/>
    <col min="6657" max="6657" width="29.5703125" style="2" bestFit="1" customWidth="1"/>
    <col min="6658" max="6658" width="19.85546875" style="2" customWidth="1"/>
    <col min="6659" max="6659" width="12" style="2" bestFit="1" customWidth="1"/>
    <col min="6660" max="6912" width="9.140625" style="2"/>
    <col min="6913" max="6913" width="29.5703125" style="2" bestFit="1" customWidth="1"/>
    <col min="6914" max="6914" width="19.85546875" style="2" customWidth="1"/>
    <col min="6915" max="6915" width="12" style="2" bestFit="1" customWidth="1"/>
    <col min="6916" max="7168" width="9.140625" style="2"/>
    <col min="7169" max="7169" width="29.5703125" style="2" bestFit="1" customWidth="1"/>
    <col min="7170" max="7170" width="19.85546875" style="2" customWidth="1"/>
    <col min="7171" max="7171" width="12" style="2" bestFit="1" customWidth="1"/>
    <col min="7172" max="7424" width="9.140625" style="2"/>
    <col min="7425" max="7425" width="29.5703125" style="2" bestFit="1" customWidth="1"/>
    <col min="7426" max="7426" width="19.85546875" style="2" customWidth="1"/>
    <col min="7427" max="7427" width="12" style="2" bestFit="1" customWidth="1"/>
    <col min="7428" max="7680" width="9.140625" style="2"/>
    <col min="7681" max="7681" width="29.5703125" style="2" bestFit="1" customWidth="1"/>
    <col min="7682" max="7682" width="19.85546875" style="2" customWidth="1"/>
    <col min="7683" max="7683" width="12" style="2" bestFit="1" customWidth="1"/>
    <col min="7684" max="7936" width="9.140625" style="2"/>
    <col min="7937" max="7937" width="29.5703125" style="2" bestFit="1" customWidth="1"/>
    <col min="7938" max="7938" width="19.85546875" style="2" customWidth="1"/>
    <col min="7939" max="7939" width="12" style="2" bestFit="1" customWidth="1"/>
    <col min="7940" max="8192" width="9.140625" style="2"/>
    <col min="8193" max="8193" width="29.5703125" style="2" bestFit="1" customWidth="1"/>
    <col min="8194" max="8194" width="19.85546875" style="2" customWidth="1"/>
    <col min="8195" max="8195" width="12" style="2" bestFit="1" customWidth="1"/>
    <col min="8196" max="8448" width="9.140625" style="2"/>
    <col min="8449" max="8449" width="29.5703125" style="2" bestFit="1" customWidth="1"/>
    <col min="8450" max="8450" width="19.85546875" style="2" customWidth="1"/>
    <col min="8451" max="8451" width="12" style="2" bestFit="1" customWidth="1"/>
    <col min="8452" max="8704" width="9.140625" style="2"/>
    <col min="8705" max="8705" width="29.5703125" style="2" bestFit="1" customWidth="1"/>
    <col min="8706" max="8706" width="19.85546875" style="2" customWidth="1"/>
    <col min="8707" max="8707" width="12" style="2" bestFit="1" customWidth="1"/>
    <col min="8708" max="8960" width="9.140625" style="2"/>
    <col min="8961" max="8961" width="29.5703125" style="2" bestFit="1" customWidth="1"/>
    <col min="8962" max="8962" width="19.85546875" style="2" customWidth="1"/>
    <col min="8963" max="8963" width="12" style="2" bestFit="1" customWidth="1"/>
    <col min="8964" max="9216" width="9.140625" style="2"/>
    <col min="9217" max="9217" width="29.5703125" style="2" bestFit="1" customWidth="1"/>
    <col min="9218" max="9218" width="19.85546875" style="2" customWidth="1"/>
    <col min="9219" max="9219" width="12" style="2" bestFit="1" customWidth="1"/>
    <col min="9220" max="9472" width="9.140625" style="2"/>
    <col min="9473" max="9473" width="29.5703125" style="2" bestFit="1" customWidth="1"/>
    <col min="9474" max="9474" width="19.85546875" style="2" customWidth="1"/>
    <col min="9475" max="9475" width="12" style="2" bestFit="1" customWidth="1"/>
    <col min="9476" max="9728" width="9.140625" style="2"/>
    <col min="9729" max="9729" width="29.5703125" style="2" bestFit="1" customWidth="1"/>
    <col min="9730" max="9730" width="19.85546875" style="2" customWidth="1"/>
    <col min="9731" max="9731" width="12" style="2" bestFit="1" customWidth="1"/>
    <col min="9732" max="9984" width="9.140625" style="2"/>
    <col min="9985" max="9985" width="29.5703125" style="2" bestFit="1" customWidth="1"/>
    <col min="9986" max="9986" width="19.85546875" style="2" customWidth="1"/>
    <col min="9987" max="9987" width="12" style="2" bestFit="1" customWidth="1"/>
    <col min="9988" max="10240" width="9.140625" style="2"/>
    <col min="10241" max="10241" width="29.5703125" style="2" bestFit="1" customWidth="1"/>
    <col min="10242" max="10242" width="19.85546875" style="2" customWidth="1"/>
    <col min="10243" max="10243" width="12" style="2" bestFit="1" customWidth="1"/>
    <col min="10244" max="10496" width="9.140625" style="2"/>
    <col min="10497" max="10497" width="29.5703125" style="2" bestFit="1" customWidth="1"/>
    <col min="10498" max="10498" width="19.85546875" style="2" customWidth="1"/>
    <col min="10499" max="10499" width="12" style="2" bestFit="1" customWidth="1"/>
    <col min="10500" max="10752" width="9.140625" style="2"/>
    <col min="10753" max="10753" width="29.5703125" style="2" bestFit="1" customWidth="1"/>
    <col min="10754" max="10754" width="19.85546875" style="2" customWidth="1"/>
    <col min="10755" max="10755" width="12" style="2" bestFit="1" customWidth="1"/>
    <col min="10756" max="11008" width="9.140625" style="2"/>
    <col min="11009" max="11009" width="29.5703125" style="2" bestFit="1" customWidth="1"/>
    <col min="11010" max="11010" width="19.85546875" style="2" customWidth="1"/>
    <col min="11011" max="11011" width="12" style="2" bestFit="1" customWidth="1"/>
    <col min="11012" max="11264" width="9.140625" style="2"/>
    <col min="11265" max="11265" width="29.5703125" style="2" bestFit="1" customWidth="1"/>
    <col min="11266" max="11266" width="19.85546875" style="2" customWidth="1"/>
    <col min="11267" max="11267" width="12" style="2" bestFit="1" customWidth="1"/>
    <col min="11268" max="11520" width="9.140625" style="2"/>
    <col min="11521" max="11521" width="29.5703125" style="2" bestFit="1" customWidth="1"/>
    <col min="11522" max="11522" width="19.85546875" style="2" customWidth="1"/>
    <col min="11523" max="11523" width="12" style="2" bestFit="1" customWidth="1"/>
    <col min="11524" max="11776" width="9.140625" style="2"/>
    <col min="11777" max="11777" width="29.5703125" style="2" bestFit="1" customWidth="1"/>
    <col min="11778" max="11778" width="19.85546875" style="2" customWidth="1"/>
    <col min="11779" max="11779" width="12" style="2" bestFit="1" customWidth="1"/>
    <col min="11780" max="12032" width="9.140625" style="2"/>
    <col min="12033" max="12033" width="29.5703125" style="2" bestFit="1" customWidth="1"/>
    <col min="12034" max="12034" width="19.85546875" style="2" customWidth="1"/>
    <col min="12035" max="12035" width="12" style="2" bestFit="1" customWidth="1"/>
    <col min="12036" max="12288" width="9.140625" style="2"/>
    <col min="12289" max="12289" width="29.5703125" style="2" bestFit="1" customWidth="1"/>
    <col min="12290" max="12290" width="19.85546875" style="2" customWidth="1"/>
    <col min="12291" max="12291" width="12" style="2" bestFit="1" customWidth="1"/>
    <col min="12292" max="12544" width="9.140625" style="2"/>
    <col min="12545" max="12545" width="29.5703125" style="2" bestFit="1" customWidth="1"/>
    <col min="12546" max="12546" width="19.85546875" style="2" customWidth="1"/>
    <col min="12547" max="12547" width="12" style="2" bestFit="1" customWidth="1"/>
    <col min="12548" max="12800" width="9.140625" style="2"/>
    <col min="12801" max="12801" width="29.5703125" style="2" bestFit="1" customWidth="1"/>
    <col min="12802" max="12802" width="19.85546875" style="2" customWidth="1"/>
    <col min="12803" max="12803" width="12" style="2" bestFit="1" customWidth="1"/>
    <col min="12804" max="13056" width="9.140625" style="2"/>
    <col min="13057" max="13057" width="29.5703125" style="2" bestFit="1" customWidth="1"/>
    <col min="13058" max="13058" width="19.85546875" style="2" customWidth="1"/>
    <col min="13059" max="13059" width="12" style="2" bestFit="1" customWidth="1"/>
    <col min="13060" max="13312" width="9.140625" style="2"/>
    <col min="13313" max="13313" width="29.5703125" style="2" bestFit="1" customWidth="1"/>
    <col min="13314" max="13314" width="19.85546875" style="2" customWidth="1"/>
    <col min="13315" max="13315" width="12" style="2" bestFit="1" customWidth="1"/>
    <col min="13316" max="13568" width="9.140625" style="2"/>
    <col min="13569" max="13569" width="29.5703125" style="2" bestFit="1" customWidth="1"/>
    <col min="13570" max="13570" width="19.85546875" style="2" customWidth="1"/>
    <col min="13571" max="13571" width="12" style="2" bestFit="1" customWidth="1"/>
    <col min="13572" max="13824" width="9.140625" style="2"/>
    <col min="13825" max="13825" width="29.5703125" style="2" bestFit="1" customWidth="1"/>
    <col min="13826" max="13826" width="19.85546875" style="2" customWidth="1"/>
    <col min="13827" max="13827" width="12" style="2" bestFit="1" customWidth="1"/>
    <col min="13828" max="14080" width="9.140625" style="2"/>
    <col min="14081" max="14081" width="29.5703125" style="2" bestFit="1" customWidth="1"/>
    <col min="14082" max="14082" width="19.85546875" style="2" customWidth="1"/>
    <col min="14083" max="14083" width="12" style="2" bestFit="1" customWidth="1"/>
    <col min="14084" max="14336" width="9.140625" style="2"/>
    <col min="14337" max="14337" width="29.5703125" style="2" bestFit="1" customWidth="1"/>
    <col min="14338" max="14338" width="19.85546875" style="2" customWidth="1"/>
    <col min="14339" max="14339" width="12" style="2" bestFit="1" customWidth="1"/>
    <col min="14340" max="14592" width="9.140625" style="2"/>
    <col min="14593" max="14593" width="29.5703125" style="2" bestFit="1" customWidth="1"/>
    <col min="14594" max="14594" width="19.85546875" style="2" customWidth="1"/>
    <col min="14595" max="14595" width="12" style="2" bestFit="1" customWidth="1"/>
    <col min="14596" max="14848" width="9.140625" style="2"/>
    <col min="14849" max="14849" width="29.5703125" style="2" bestFit="1" customWidth="1"/>
    <col min="14850" max="14850" width="19.85546875" style="2" customWidth="1"/>
    <col min="14851" max="14851" width="12" style="2" bestFit="1" customWidth="1"/>
    <col min="14852" max="15104" width="9.140625" style="2"/>
    <col min="15105" max="15105" width="29.5703125" style="2" bestFit="1" customWidth="1"/>
    <col min="15106" max="15106" width="19.85546875" style="2" customWidth="1"/>
    <col min="15107" max="15107" width="12" style="2" bestFit="1" customWidth="1"/>
    <col min="15108" max="15360" width="9.140625" style="2"/>
    <col min="15361" max="15361" width="29.5703125" style="2" bestFit="1" customWidth="1"/>
    <col min="15362" max="15362" width="19.85546875" style="2" customWidth="1"/>
    <col min="15363" max="15363" width="12" style="2" bestFit="1" customWidth="1"/>
    <col min="15364" max="15616" width="9.140625" style="2"/>
    <col min="15617" max="15617" width="29.5703125" style="2" bestFit="1" customWidth="1"/>
    <col min="15618" max="15618" width="19.85546875" style="2" customWidth="1"/>
    <col min="15619" max="15619" width="12" style="2" bestFit="1" customWidth="1"/>
    <col min="15620" max="15872" width="9.140625" style="2"/>
    <col min="15873" max="15873" width="29.5703125" style="2" bestFit="1" customWidth="1"/>
    <col min="15874" max="15874" width="19.85546875" style="2" customWidth="1"/>
    <col min="15875" max="15875" width="12" style="2" bestFit="1" customWidth="1"/>
    <col min="15876" max="16128" width="9.140625" style="2"/>
    <col min="16129" max="16129" width="29.5703125" style="2" bestFit="1" customWidth="1"/>
    <col min="16130" max="16130" width="19.85546875" style="2" customWidth="1"/>
    <col min="16131" max="16131" width="12" style="2" bestFit="1" customWidth="1"/>
    <col min="16132" max="16384" width="9.140625" style="2"/>
  </cols>
  <sheetData>
    <row r="1" spans="1:2">
      <c r="A1" s="2" t="s">
        <v>1119</v>
      </c>
      <c r="B1" s="2161">
        <v>6.1</v>
      </c>
    </row>
    <row r="2" spans="1:2">
      <c r="A2" s="2" t="s">
        <v>1120</v>
      </c>
      <c r="B2" s="2164">
        <v>43199.632870370369</v>
      </c>
    </row>
    <row r="3" spans="1:2">
      <c r="A3" s="2" t="s">
        <v>1121</v>
      </c>
      <c r="B3" s="2162" t="s">
        <v>827</v>
      </c>
    </row>
    <row r="4" spans="1:2">
      <c r="A4" s="2" t="s">
        <v>1122</v>
      </c>
      <c r="B4" s="2162" t="s">
        <v>392</v>
      </c>
    </row>
    <row r="5" spans="1:2">
      <c r="A5" s="2" t="s">
        <v>1123</v>
      </c>
      <c r="B5" s="2162" t="s">
        <v>758</v>
      </c>
    </row>
    <row r="6" spans="1:2">
      <c r="A6" s="2" t="s">
        <v>1124</v>
      </c>
    </row>
    <row r="7" spans="1:2">
      <c r="A7" s="2" t="s">
        <v>1125</v>
      </c>
      <c r="B7" s="2162" t="s">
        <v>84</v>
      </c>
    </row>
    <row r="8" spans="1:2">
      <c r="A8" s="2" t="s">
        <v>1126</v>
      </c>
      <c r="B8" s="2162" t="s">
        <v>1127</v>
      </c>
    </row>
    <row r="9" spans="1:2">
      <c r="A9" s="2" t="s">
        <v>1128</v>
      </c>
      <c r="B9" s="2162" t="s">
        <v>1165</v>
      </c>
    </row>
    <row r="10" spans="1:2">
      <c r="A10" s="2" t="s">
        <v>1129</v>
      </c>
    </row>
    <row r="11" spans="1:2">
      <c r="A11" s="2" t="s">
        <v>1130</v>
      </c>
    </row>
    <row r="12" spans="1:2">
      <c r="A12" s="2" t="s">
        <v>1131</v>
      </c>
    </row>
    <row r="13" spans="1:2">
      <c r="A13" s="2" t="s">
        <v>1132</v>
      </c>
    </row>
    <row r="14" spans="1:2">
      <c r="A14" s="2" t="s">
        <v>1133</v>
      </c>
    </row>
    <row r="15" spans="1:2">
      <c r="A15" s="2" t="s">
        <v>1134</v>
      </c>
    </row>
    <row r="16" spans="1:2">
      <c r="A16" s="2" t="s">
        <v>1135</v>
      </c>
    </row>
    <row r="17" spans="1:4">
      <c r="A17" s="2" t="s">
        <v>1136</v>
      </c>
      <c r="B17" s="2162" t="s">
        <v>1166</v>
      </c>
    </row>
    <row r="18" spans="1:4">
      <c r="A18" s="2" t="s">
        <v>1137</v>
      </c>
      <c r="B18" s="2162" t="s">
        <v>826</v>
      </c>
    </row>
    <row r="19" spans="1:4">
      <c r="A19" s="2" t="s">
        <v>1138</v>
      </c>
      <c r="B19" s="2162" t="s">
        <v>83</v>
      </c>
    </row>
    <row r="20" spans="1:4">
      <c r="A20" s="2" t="s">
        <v>1139</v>
      </c>
      <c r="B20" s="2163">
        <v>364760108</v>
      </c>
    </row>
    <row r="21" spans="1:4">
      <c r="A21" s="2" t="s">
        <v>1140</v>
      </c>
      <c r="B21" s="2162" t="s">
        <v>83</v>
      </c>
    </row>
    <row r="22" spans="1:4">
      <c r="A22" s="2" t="s">
        <v>1141</v>
      </c>
      <c r="B22" s="2163">
        <v>2360326</v>
      </c>
    </row>
    <row r="23" spans="1:4">
      <c r="A23" s="2" t="s">
        <v>374</v>
      </c>
      <c r="B23" s="2161">
        <v>30.41</v>
      </c>
    </row>
    <row r="24" spans="1:4">
      <c r="A24" s="2" t="s">
        <v>390</v>
      </c>
      <c r="B24" s="2162" t="s">
        <v>251</v>
      </c>
      <c r="D24" s="2" t="s">
        <v>95</v>
      </c>
    </row>
    <row r="25" spans="1:4">
      <c r="A25" s="2" t="s">
        <v>1142</v>
      </c>
      <c r="B25" s="2162" t="s">
        <v>1169</v>
      </c>
    </row>
    <row r="26" spans="1:4">
      <c r="A26" s="2" t="s">
        <v>1143</v>
      </c>
      <c r="B26" s="2162">
        <v>0</v>
      </c>
    </row>
    <row r="27" spans="1:4">
      <c r="A27" s="2" t="s">
        <v>1144</v>
      </c>
      <c r="B27" s="2162" t="s">
        <v>1145</v>
      </c>
    </row>
    <row r="28" spans="1:4">
      <c r="A28" s="2" t="s">
        <v>1146</v>
      </c>
      <c r="B28" s="2162" t="s">
        <v>1147</v>
      </c>
    </row>
    <row r="29" spans="1:4">
      <c r="A29" s="2" t="s">
        <v>1148</v>
      </c>
    </row>
    <row r="30" spans="1:4">
      <c r="A30" s="2" t="s">
        <v>1149</v>
      </c>
    </row>
    <row r="31" spans="1:4">
      <c r="A31" s="2" t="s">
        <v>1150</v>
      </c>
    </row>
    <row r="32" spans="1:4">
      <c r="A32" s="2" t="s">
        <v>1151</v>
      </c>
      <c r="B32" s="2161"/>
    </row>
    <row r="33" spans="1:2">
      <c r="A33" s="2" t="s">
        <v>1152</v>
      </c>
      <c r="B33" s="2161"/>
    </row>
    <row r="34" spans="1:2">
      <c r="A34" s="2" t="s">
        <v>1153</v>
      </c>
      <c r="B34" s="2161"/>
    </row>
    <row r="35" spans="1:2">
      <c r="A35" s="2" t="s">
        <v>1154</v>
      </c>
      <c r="B35" s="2162">
        <v>1000000</v>
      </c>
    </row>
    <row r="36" spans="1:2">
      <c r="A36" s="2" t="s">
        <v>1155</v>
      </c>
      <c r="B36" s="2162" t="s">
        <v>1167</v>
      </c>
    </row>
    <row r="37" spans="1:2">
      <c r="A37" s="2" t="s">
        <v>1156</v>
      </c>
      <c r="B37" s="2162" t="s">
        <v>1157</v>
      </c>
    </row>
    <row r="38" spans="1:2">
      <c r="A38" s="2" t="s">
        <v>1158</v>
      </c>
      <c r="B38" s="2162" t="s">
        <v>1159</v>
      </c>
    </row>
    <row r="39" spans="1:2">
      <c r="A39" s="2" t="s">
        <v>1160</v>
      </c>
      <c r="B39" s="2162" t="s">
        <v>1168</v>
      </c>
    </row>
    <row r="40" spans="1:2">
      <c r="A40" s="2" t="s">
        <v>1161</v>
      </c>
      <c r="B40" s="2162">
        <v>5208</v>
      </c>
    </row>
    <row r="41" spans="1:2">
      <c r="A41" s="2" t="s">
        <v>1162</v>
      </c>
      <c r="B41" s="2162">
        <v>1</v>
      </c>
    </row>
    <row r="42" spans="1:2">
      <c r="A42" s="1481" t="s">
        <v>1163</v>
      </c>
      <c r="B42" s="2162" t="s">
        <v>1170</v>
      </c>
    </row>
    <row r="43" spans="1:2">
      <c r="A43" s="2" t="s">
        <v>1164</v>
      </c>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2" bestFit="1" customWidth="1"/>
    <col min="2" max="256" width="9.140625" style="2"/>
    <col min="257" max="257" width="28.5703125" style="2" bestFit="1" customWidth="1"/>
    <col min="258" max="512" width="9.140625" style="2"/>
    <col min="513" max="513" width="28.5703125" style="2" bestFit="1" customWidth="1"/>
    <col min="514" max="768" width="9.140625" style="2"/>
    <col min="769" max="769" width="28.5703125" style="2" bestFit="1" customWidth="1"/>
    <col min="770" max="1024" width="9.140625" style="2"/>
    <col min="1025" max="1025" width="28.5703125" style="2" bestFit="1" customWidth="1"/>
    <col min="1026" max="1280" width="9.140625" style="2"/>
    <col min="1281" max="1281" width="28.5703125" style="2" bestFit="1" customWidth="1"/>
    <col min="1282" max="1536" width="9.140625" style="2"/>
    <col min="1537" max="1537" width="28.5703125" style="2" bestFit="1" customWidth="1"/>
    <col min="1538" max="1792" width="9.140625" style="2"/>
    <col min="1793" max="1793" width="28.5703125" style="2" bestFit="1" customWidth="1"/>
    <col min="1794" max="2048" width="9.140625" style="2"/>
    <col min="2049" max="2049" width="28.5703125" style="2" bestFit="1" customWidth="1"/>
    <col min="2050" max="2304" width="9.140625" style="2"/>
    <col min="2305" max="2305" width="28.5703125" style="2" bestFit="1" customWidth="1"/>
    <col min="2306" max="2560" width="9.140625" style="2"/>
    <col min="2561" max="2561" width="28.5703125" style="2" bestFit="1" customWidth="1"/>
    <col min="2562" max="2816" width="9.140625" style="2"/>
    <col min="2817" max="2817" width="28.5703125" style="2" bestFit="1" customWidth="1"/>
    <col min="2818" max="3072" width="9.140625" style="2"/>
    <col min="3073" max="3073" width="28.5703125" style="2" bestFit="1" customWidth="1"/>
    <col min="3074" max="3328" width="9.140625" style="2"/>
    <col min="3329" max="3329" width="28.5703125" style="2" bestFit="1" customWidth="1"/>
    <col min="3330" max="3584" width="9.140625" style="2"/>
    <col min="3585" max="3585" width="28.5703125" style="2" bestFit="1" customWidth="1"/>
    <col min="3586" max="3840" width="9.140625" style="2"/>
    <col min="3841" max="3841" width="28.5703125" style="2" bestFit="1" customWidth="1"/>
    <col min="3842" max="4096" width="9.140625" style="2"/>
    <col min="4097" max="4097" width="28.5703125" style="2" bestFit="1" customWidth="1"/>
    <col min="4098" max="4352" width="9.140625" style="2"/>
    <col min="4353" max="4353" width="28.5703125" style="2" bestFit="1" customWidth="1"/>
    <col min="4354" max="4608" width="9.140625" style="2"/>
    <col min="4609" max="4609" width="28.5703125" style="2" bestFit="1" customWidth="1"/>
    <col min="4610" max="4864" width="9.140625" style="2"/>
    <col min="4865" max="4865" width="28.5703125" style="2" bestFit="1" customWidth="1"/>
    <col min="4866" max="5120" width="9.140625" style="2"/>
    <col min="5121" max="5121" width="28.5703125" style="2" bestFit="1" customWidth="1"/>
    <col min="5122" max="5376" width="9.140625" style="2"/>
    <col min="5377" max="5377" width="28.5703125" style="2" bestFit="1" customWidth="1"/>
    <col min="5378" max="5632" width="9.140625" style="2"/>
    <col min="5633" max="5633" width="28.5703125" style="2" bestFit="1" customWidth="1"/>
    <col min="5634" max="5888" width="9.140625" style="2"/>
    <col min="5889" max="5889" width="28.5703125" style="2" bestFit="1" customWidth="1"/>
    <col min="5890" max="6144" width="9.140625" style="2"/>
    <col min="6145" max="6145" width="28.5703125" style="2" bestFit="1" customWidth="1"/>
    <col min="6146" max="6400" width="9.140625" style="2"/>
    <col min="6401" max="6401" width="28.5703125" style="2" bestFit="1" customWidth="1"/>
    <col min="6402" max="6656" width="9.140625" style="2"/>
    <col min="6657" max="6657" width="28.5703125" style="2" bestFit="1" customWidth="1"/>
    <col min="6658" max="6912" width="9.140625" style="2"/>
    <col min="6913" max="6913" width="28.5703125" style="2" bestFit="1" customWidth="1"/>
    <col min="6914" max="7168" width="9.140625" style="2"/>
    <col min="7169" max="7169" width="28.5703125" style="2" bestFit="1" customWidth="1"/>
    <col min="7170" max="7424" width="9.140625" style="2"/>
    <col min="7425" max="7425" width="28.5703125" style="2" bestFit="1" customWidth="1"/>
    <col min="7426" max="7680" width="9.140625" style="2"/>
    <col min="7681" max="7681" width="28.5703125" style="2" bestFit="1" customWidth="1"/>
    <col min="7682" max="7936" width="9.140625" style="2"/>
    <col min="7937" max="7937" width="28.5703125" style="2" bestFit="1" customWidth="1"/>
    <col min="7938" max="8192" width="9.140625" style="2"/>
    <col min="8193" max="8193" width="28.5703125" style="2" bestFit="1" customWidth="1"/>
    <col min="8194" max="8448" width="9.140625" style="2"/>
    <col min="8449" max="8449" width="28.5703125" style="2" bestFit="1" customWidth="1"/>
    <col min="8450" max="8704" width="9.140625" style="2"/>
    <col min="8705" max="8705" width="28.5703125" style="2" bestFit="1" customWidth="1"/>
    <col min="8706" max="8960" width="9.140625" style="2"/>
    <col min="8961" max="8961" width="28.5703125" style="2" bestFit="1" customWidth="1"/>
    <col min="8962" max="9216" width="9.140625" style="2"/>
    <col min="9217" max="9217" width="28.5703125" style="2" bestFit="1" customWidth="1"/>
    <col min="9218" max="9472" width="9.140625" style="2"/>
    <col min="9473" max="9473" width="28.5703125" style="2" bestFit="1" customWidth="1"/>
    <col min="9474" max="9728" width="9.140625" style="2"/>
    <col min="9729" max="9729" width="28.5703125" style="2" bestFit="1" customWidth="1"/>
    <col min="9730" max="9984" width="9.140625" style="2"/>
    <col min="9985" max="9985" width="28.5703125" style="2" bestFit="1" customWidth="1"/>
    <col min="9986" max="10240" width="9.140625" style="2"/>
    <col min="10241" max="10241" width="28.5703125" style="2" bestFit="1" customWidth="1"/>
    <col min="10242" max="10496" width="9.140625" style="2"/>
    <col min="10497" max="10497" width="28.5703125" style="2" bestFit="1" customWidth="1"/>
    <col min="10498" max="10752" width="9.140625" style="2"/>
    <col min="10753" max="10753" width="28.5703125" style="2" bestFit="1" customWidth="1"/>
    <col min="10754" max="11008" width="9.140625" style="2"/>
    <col min="11009" max="11009" width="28.5703125" style="2" bestFit="1" customWidth="1"/>
    <col min="11010" max="11264" width="9.140625" style="2"/>
    <col min="11265" max="11265" width="28.5703125" style="2" bestFit="1" customWidth="1"/>
    <col min="11266" max="11520" width="9.140625" style="2"/>
    <col min="11521" max="11521" width="28.5703125" style="2" bestFit="1" customWidth="1"/>
    <col min="11522" max="11776" width="9.140625" style="2"/>
    <col min="11777" max="11777" width="28.5703125" style="2" bestFit="1" customWidth="1"/>
    <col min="11778" max="12032" width="9.140625" style="2"/>
    <col min="12033" max="12033" width="28.5703125" style="2" bestFit="1" customWidth="1"/>
    <col min="12034" max="12288" width="9.140625" style="2"/>
    <col min="12289" max="12289" width="28.5703125" style="2" bestFit="1" customWidth="1"/>
    <col min="12290" max="12544" width="9.140625" style="2"/>
    <col min="12545" max="12545" width="28.5703125" style="2" bestFit="1" customWidth="1"/>
    <col min="12546" max="12800" width="9.140625" style="2"/>
    <col min="12801" max="12801" width="28.5703125" style="2" bestFit="1" customWidth="1"/>
    <col min="12802" max="13056" width="9.140625" style="2"/>
    <col min="13057" max="13057" width="28.5703125" style="2" bestFit="1" customWidth="1"/>
    <col min="13058" max="13312" width="9.140625" style="2"/>
    <col min="13313" max="13313" width="28.5703125" style="2" bestFit="1" customWidth="1"/>
    <col min="13314" max="13568" width="9.140625" style="2"/>
    <col min="13569" max="13569" width="28.5703125" style="2" bestFit="1" customWidth="1"/>
    <col min="13570" max="13824" width="9.140625" style="2"/>
    <col min="13825" max="13825" width="28.5703125" style="2" bestFit="1" customWidth="1"/>
    <col min="13826" max="14080" width="9.140625" style="2"/>
    <col min="14081" max="14081" width="28.5703125" style="2" bestFit="1" customWidth="1"/>
    <col min="14082" max="14336" width="9.140625" style="2"/>
    <col min="14337" max="14337" width="28.5703125" style="2" bestFit="1" customWidth="1"/>
    <col min="14338" max="14592" width="9.140625" style="2"/>
    <col min="14593" max="14593" width="28.5703125" style="2" bestFit="1" customWidth="1"/>
    <col min="14594" max="14848" width="9.140625" style="2"/>
    <col min="14849" max="14849" width="28.5703125" style="2" bestFit="1" customWidth="1"/>
    <col min="14850" max="15104" width="9.140625" style="2"/>
    <col min="15105" max="15105" width="28.5703125" style="2" bestFit="1" customWidth="1"/>
    <col min="15106" max="15360" width="9.140625" style="2"/>
    <col min="15361" max="15361" width="28.5703125" style="2" bestFit="1" customWidth="1"/>
    <col min="15362" max="15616" width="9.140625" style="2"/>
    <col min="15617" max="15617" width="28.5703125" style="2" bestFit="1" customWidth="1"/>
    <col min="15618" max="15872" width="9.140625" style="2"/>
    <col min="15873" max="15873" width="28.5703125" style="2" bestFit="1" customWidth="1"/>
    <col min="15874" max="16128" width="9.140625" style="2"/>
    <col min="16129" max="16129" width="28.5703125" style="2" bestFit="1" customWidth="1"/>
    <col min="16130" max="16384" width="9.140625" style="2"/>
  </cols>
  <sheetData>
    <row r="1" spans="1:1">
      <c r="A1" s="2165" t="s">
        <v>1171</v>
      </c>
    </row>
    <row r="2" spans="1:1">
      <c r="A2" s="2165" t="s">
        <v>1176</v>
      </c>
    </row>
    <row r="3" spans="1:1">
      <c r="A3" s="2165" t="s">
        <v>1177</v>
      </c>
    </row>
    <row r="4" spans="1:1">
      <c r="A4" s="2165" t="s">
        <v>1178</v>
      </c>
    </row>
    <row r="5" spans="1:1">
      <c r="A5" s="2165" t="s">
        <v>1179</v>
      </c>
    </row>
    <row r="6" spans="1:1">
      <c r="A6" s="2165" t="s">
        <v>1172</v>
      </c>
    </row>
    <row r="7" spans="1:1">
      <c r="A7" s="2165" t="s">
        <v>1180</v>
      </c>
    </row>
    <row r="8" spans="1:1">
      <c r="A8" s="2165" t="s">
        <v>1181</v>
      </c>
    </row>
    <row r="9" spans="1:1">
      <c r="A9" s="2165" t="s">
        <v>1182</v>
      </c>
    </row>
    <row r="10" spans="1:1">
      <c r="A10" s="2165" t="s">
        <v>1173</v>
      </c>
    </row>
    <row r="11" spans="1:1">
      <c r="A11" s="2165" t="s">
        <v>1183</v>
      </c>
    </row>
    <row r="12" spans="1:1">
      <c r="A12" s="2165" t="s">
        <v>1174</v>
      </c>
    </row>
    <row r="13" spans="1:1">
      <c r="A13" s="2165" t="s">
        <v>1175</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957be844-f027-4a53-992e-bd4103e73c23</GUID>
    <SOURCETYPE>Chart</SOURCETYPE>
    <SOURCE_OBJECTNAME>MWA_Risk_Reward</SOURCE_OBJECTNAME>
    <SOURCE_SHEETCODE>MWRSSData</SOURCE_SHEETCODE>
    <SOURCE_SHEETNAME>MWA RR</SOURCE_SHEETNAME>
    <OBJECTTYPE>Native</OBJECTTYPE>
    <SOURCEAPPLICATION>EXCEL_SOURCE</SOURCEAPPLICATION>
    <UPDATEDAT>5/22/2015 2:38:15 PM</UPDATEDAT>
    <SOURCE_ISOUTOFDATE>False</SOURCE_ISOUTOFDATE>
    <SOURCE_WORKBOOKNAME>GPS.xls</SOURCE_WORKBOOKNAME>
    <SOURCE_WORKBOOKPATH>\\MSAD\ROOT\NA\NY\LIB\ER\RETAIL\Greenberger\Companies\GPS\Models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/MSResearch/Content/ExternalAssets/2014-06/Images/957be844-f027-4a53-992e-bd4103e73c23.png</TARGET_BINARYFULLNAME>
    <TARGET_UUID>cafd277c-fbe9-11e3-b24f-e28f69e2b0c4</TARGET_UUID>
    <TARGET_STORYFULLNAME>/MSResearch/Content/ExternalAssets/2014-06/Sections/MWA_Risk_Reward-5832.xml</TARGET_STORYFULLNAME>
    <TARGET_LOID>4.0.1658902549</TARGET_LOID>
    <HIDEGRIDLINES>False</HIDEGRIDLINES>
    <LINKSTATUS>Unknown</LINKSTATUS>
  </Link>
  <Link>
    <GUID>d646ce79-bcb5-4780-bf6f-a27d9addfd31</GUID>
    <SOURCE_ALTADDRESS>$A$7:$CY$54</SOURCE_ALTADDRESS>
    <SOURCETYPE>Table</SOURCETYPE>
    <SOURCE_OBJECTNAME>Linking_Range_12</SOURCE_OBJECTNAME>
    <OBJECTTYPE>Native</OBJECTTYPE>
    <SOURCE_SHEETCODE>Sheet2</SOURCE_SHEETCODE>
    <SOURCE_SHEETNAME>sumry</SOURCE_SHEETNAME>
    <SOURCEAPPLICATION>EXCEL_SOURCE</SOURCEAPPLICATION>
    <UPDATEDAT>5/22/2015 2:44:55 PM</UPDATEDAT>
    <SOURCE_ISOUTOFDATE>False</SOURCE_ISOUTOFDATE>
    <SOURCE_WORKBOOKNAME>GPS.xls</SOURCE_WORKBOOKNAME>
    <SOURCE_WORKBOOKPATH>\\MSAD\ROOT\NA\NY\LIB\ER\RETAIL\Greenberger\Companies\GPS\Models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/MSResearch/Content/ExternalAssets/2014-08/Images/d646ce79-bcb5-4780-bf6f-a27d9addfd31.png</TARGET_BINARYFULLNAME>
    <TARGET_UUID>f5e63198-1f40-11e4-9935-dcac4d73c9aa</TARGET_UUID>
    <TARGET_STORYFULLNAME>/MSResearch/Content/ExternalAssets/2014-08/Sections/Linking_Range_12-4024.xml</TARGET_STORYFULLNAME>
    <TARGET_LOID>4.0.2101222505</TARGET_LOID>
    <TRANSPARENTBACKGROUND>False</TRANSPARENTBACKGROUND>
    <TRANSPARENTPLOTAREA>False</TRANSPARENTPLOTAREA>
    <LINKSTATUS>Unknown</LINKSTATUS>
  </Link>
  <Link>
    <GUID>6f18b5fc-34eb-4d65-b3f4-f491010a1735</GUID>
    <SOURCE_ALTADDRESS>$A$7:$DC$54</SOURCE_ALTADDRESS>
    <SOURCETYPE>Table</SOURCETYPE>
    <SOURCE_OBJECTNAME>Linking_Range_36</SOURCE_OBJECTNAME>
    <OBJECTTYPE>Native</OBJECTTYPE>
    <SOURCE_SHEETCODE>Sheet2</SOURCE_SHEETCODE>
    <SOURCE_SHEETNAME>sumry</SOURCE_SHEETNAME>
    <SOURCEAPPLICATION>EXCEL_SOURCE</SOURCEAPPLICATION>
    <UPDATEDAT>5/22/2015 2:44:59 PM</UPDATEDAT>
    <SOURCE_ISOUTOFDATE>False</SOURCE_ISOUTOFDATE>
    <SOURCE_WORKBOOKNAME>GPS.xls</SOURCE_WORKBOOKNAME>
    <SOURCE_WORKBOOKPATH>\\MSAD\ROOT\NA\NY\LIB\ER\RETAIL\Greenberger\Companies\GPS\Models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/MSResearch/Content/ExternalAssets/2015-02/Images/hSOtktebK23eh6gLqqB9A--.png</TARGET_BINARYFULLNAME>
    <TARGET_STORYFULLNAME>/MSResearch/Content/ExternalAssets/2015-02/Sections/20150209_083440_Linking_Range_36.xml</TARGET_STORYFULLNAME>
    <TARGET_UUID>fb7d6cdc-b0c4-11e4-9343-7c9184ca9b36</TARGET_UUID>
    <TRANSPARENTBACKGROUND>False</TRANSPARENTBACKGROUND>
    <TRANSPARENTPLOTAREA>False</TRANSPARENTPLOTAREA>
    <EXTRACTSOURCEMODE>CopyToClipboard</EXTRACTSOURCEMODE>
    <LINKSTATUS>Unknown</LINKSTATUS>
  </Link>
  <Link>
    <GUID>ba7f8b3c-619a-4273-b4cc-b102a4a88faf</GUID>
    <SOURCE_ALTADDRESS>$A$6:$BI$52</SOURCE_ALTADDRESS>
    <SOURCETYPE>Table</SOURCETYPE>
    <SOURCE_OBJECTNAME>Linking_Range_21</SOURCE_OBJECTNAME>
    <OBJECTTYPE>Native</OBJECTTYPE>
    <SOURCE_SHEETCODE>Sheet18</SOURCE_SHEETCODE>
    <SOURCE_SHEETNAME>bal</SOURCE_SHEETNAME>
    <SOURCEAPPLICATION>EXCEL_SOURCE</SOURCEAPPLICATION>
    <UPDATEDAT>5/22/2015 2:45:24 PM</UPDATEDAT>
    <SOURCE_ISOUTOFDATE>False</SOURCE_ISOUTOFDATE>
    <SOURCE_WORKBOOKNAME>GPS.xls</SOURCE_WORKBOOKNAME>
    <SOURCE_WORKBOOKPATH>\\MSAD\ROOT\NA\NY\LIB\ER\RETAIL\Greenberger\Companies\GPS\Models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/MSResearch/Content/ExternalAssets/2014-08/Images/ba7f8b3c-619a-4273-b4cc-b102a4a88faf.png</TARGET_BINARYFULLNAME>
    <TARGET_UUID>1dfcafe0-1f41-11e4-9935-dcac4d73c9aa</TARGET_UUID>
    <TARGET_STORYFULLNAME>/MSResearch/Content/ExternalAssets/2014-08/Sections/Linking_Range_21-4027.xml</TARGET_STORYFULLNAME>
    <TARGET_LOID>4.0.2101222686</TARGET_LOID>
    <LINKSTATUS>Unknown</LINKSTATUS>
  </Link>
  <Link>
    <GUID>81a9e7af-44cf-4907-84c1-03043a100639</GUID>
    <SOURCE_ALTADDRESS>$A$6:$BI$55</SOURCE_ALTADDRESS>
    <SOURCETYPE>Table</SOURCETYPE>
    <SOURCE_OBJECTNAME>Linking_Range_23</SOURCE_OBJECTNAME>
    <OBJECTTYPE>Native</OBJECTTYPE>
    <SOURCE_SHEETCODE>Sheet18</SOURCE_SHEETCODE>
    <SOURCE_SHEETNAME>bal</SOURCE_SHEETNAME>
    <SOURCEAPPLICATION>EXCEL_SOURCE</SOURCEAPPLICATION>
    <UPDATEDAT>5/22/2015 2:45:28 PM</UPDATEDAT>
    <SOURCE_ISOUTOFDATE>False</SOURCE_ISOUTOFDATE>
    <SOURCE_WORKBOOKNAME>GPS.xls</SOURCE_WORKBOOKNAME>
    <SOURCE_WORKBOOKPATH>\\MSAD\ROOT\NA\NY\LIB\ER\RETAIL\Greenberger\Companies\GPS\Models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/MSResearch/Content/ExternalAssets/2014-08/Images/BBAVd6LKF2u3coF-a4tAQ--.png</TARGET_BINARYFULLNAME>
    <TARGET_STORYFULLNAME>/MSResearch/Content/ExternalAssets/2014-08/Sections/Linking_Range_23-069.xml</TARGET_STORYFULLNAME>
    <TARGET_UUID>048d14e2-2a03-11e4-bcee-a2c607d46481</TARGET_UUID>
    <TRANSPARENTBACKGROUND>False</TRANSPARENTBACKGROUND>
    <TRANSPARENTPLOTAREA>False</TRANSPARENTPLOTAREA>
    <LINKSTATUS>Unknown</LINKSTATUS>
  </Link>
  <Link>
    <GUID>87522ffb-85b0-4448-aa01-e68fbd6d5d03</GUID>
    <SOURCE_ALTADDRESS>$A$6:$BK$52</SOURCE_ALTADDRESS>
    <SOURCETYPE>Table</SOURCETYPE>
    <SOURCE_OBJECTNAME>Linking_Range_37</SOURCE_OBJECTNAME>
    <OBJECTTYPE>Native</OBJECTTYPE>
    <SOURCE_SHEETCODE>Sheet18</SOURCE_SHEETCODE>
    <SOURCE_SHEETNAME>bal</SOURCE_SHEETNAME>
    <SOURCEAPPLICATION>EXCEL_SOURCE</SOURCEAPPLICATION>
    <UPDATEDAT>5/22/2015 2:45:32 PM</UPDATEDAT>
    <SOURCE_ISOUTOFDATE>False</SOURCE_ISOUTOFDATE>
    <SOURCE_WORKBOOKNAME>GPS.xls</SOURCE_WORKBOOKNAME>
    <SOURCE_WORKBOOKPATH>\\MSAD\ROOT\NA\NY\LIB\ER\RETAIL\Greenberger\Companies\GPS\Models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/MSResearch/Content/ExternalAssets/2015-02/Images/9_YvptcRskCTNYCahTDwsA--.png</TARGET_BINARYFULLNAME>
    <TARGET_STORYFULLNAME>/MSResearch/Content/ExternalAssets/2015-02/Sections/20150209_083523_Linking_Range_37.xml</TARGET_STORYFULLNAME>
    <TARGET_UUID>14bb525e-b0c5-11e4-9343-7c9184ca9b36</TARGET_UUID>
    <TRANSPARENTBACKGROUND>False</TRANSPARENTBACKGROUND>
    <TRANSPARENTPLOTAREA>False</TRANSPARENTPLOTAREA>
    <EXTRACTSOURCEMODE>CopyToClipboard</EXTRACTSOURCEMODE>
    <LINKSTATUS>Unknown</LINKSTATUS>
  </Link>
  <Link>
    <GUID>9ecd2875-645e-4231-a5d3-88fb21cfbd66</GUID>
    <SOURCE_ALTADDRESS>$A$7:$BH$62</SOURCE_ALTADDRESS>
    <SOURCETYPE>Table</SOURCETYPE>
    <SOURCE_OBJECTNAME>Linking_Range_20</SOURCE_OBJECTNAME>
    <OBJECTTYPE>Native</OBJECTTYPE>
    <SOURCE_SHEETCODE>Sheet19</SOURCE_SHEETCODE>
    <SOURCE_SHEETNAME>flow</SOURCE_SHEETNAME>
    <SOURCEAPPLICATION>EXCEL_SOURCE</SOURCEAPPLICATION>
    <UPDATEDAT>5/22/2015 2:46:34 PM</UPDATEDAT>
    <SOURCE_ISOUTOFDATE>False</SOURCE_ISOUTOFDATE>
    <SOURCE_WORKBOOKNAME>GPS.xls</SOURCE_WORKBOOKNAME>
    <SOURCE_WORKBOOKPATH>\\MSAD\ROOT\NA\NY\LIB\ER\RETAIL\Greenberger\Companies\GPS\Models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/MSResearch/Content/ExternalAssets/2014-08/Images/lV4soyG9-UGXvGwLVdPXPQ--.png</TARGET_BINARYFULLNAME>
    <TARGET_STORYFULLNAME>/MSResearch/Content/ExternalAssets/2014-08/Sections/Linking_Range_2-368.xml</TARGET_STORYFULLNAME>
    <TARGET_UUID>40ffd22a-2a03-11e4-bcee-a2c607d46481</TARGET_UUID>
    <LINKSTATUS>Unknown</LINKSTATUS>
  </Link>
  <Link>
    <GUID>3f0a2788-eb48-438c-a68c-676326511ea2</GUID>
    <SOURCE_ALTADDRESS>$A$8:$BH$62</SOURCE_ALTADDRESS>
    <SOURCETYPE>Table</SOURCETYPE>
    <SOURCE_OBJECTNAME>Linking_Range_22</SOURCE_OBJECTNAME>
    <OBJECTTYPE>Native</OBJECTTYPE>
    <SOURCE_SHEETCODE>Sheet19</SOURCE_SHEETCODE>
    <SOURCE_SHEETNAME>flow</SOURCE_SHEETNAME>
    <SOURCEAPPLICATION>EXCEL_SOURCE</SOURCEAPPLICATION>
    <UPDATEDAT>5/22/2015 2:46:37 PM</UPDATEDAT>
    <SOURCE_ISOUTOFDATE>False</SOURCE_ISOUTOFDATE>
    <SOURCE_WORKBOOKNAME>GPS.xls</SOURCE_WORKBOOKNAME>
    <SOURCE_WORKBOOKPATH>\\MSAD\ROOT\NA\NY\LIB\ER\RETAIL\Greenberger\Companies\GPS\Models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/MSResearch/Content/ExternalAssets/2014-08/Images/3f0a2788-eb48-438c-a68c-676326511ea2.png</TARGET_BINARYFULLNAME>
    <TARGET_UUID>671dae7c-1f41-11e4-9935-dcac4d73c9aa</TARGET_UUID>
    <TARGET_STORYFULLNAME>/MSResearch/Content/ExternalAssets/2014-08/Sections/Linking_Range_22-4030.xml</TARGET_STORYFULLNAME>
    <TARGET_LOID>4.0.2101222864</TARGET_LOID>
    <TRANSPARENTBACKGROUND>False</TRANSPARENTBACKGROUND>
    <TRANSPARENTPLOTAREA>False</TRANSPARENTPLOTAREA>
    <LINKSTATUS>Unknown</LINKSTATUS>
  </Link>
  <Link>
    <GUID>27fa927e-9910-4366-8064-fcc0d95b5410</GUID>
    <SOURCE_ALTADDRESS>$A$8:$BJ$60</SOURCE_ALTADDRESS>
    <SOURCETYPE>Table</SOURCETYPE>
    <SOURCE_OBJECTNAME>Linking_Range_38</SOURCE_OBJECTNAME>
    <OBJECTTYPE>Native</OBJECTTYPE>
    <SOURCE_SHEETCODE>Sheet19</SOURCE_SHEETCODE>
    <SOURCE_SHEETNAME>flow</SOURCE_SHEETNAME>
    <SOURCEAPPLICATION>EXCEL_SOURCE</SOURCEAPPLICATION>
    <UPDATEDAT>5/22/2015 2:47:18 PM</UPDATEDAT>
    <SOURCE_ISOUTOFDATE>False</SOURCE_ISOUTOFDATE>
    <SOURCE_WORKBOOKNAME>GPS.xls</SOURCE_WORKBOOKNAME>
    <SOURCE_WORKBOOKPATH>\\MSAD\ROOT\NA\NY\LIB\ER\RETAIL\Greenberger\Companies\GPS\Models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/MSResearch/Content/ExternalAssets/2015-02/Images/PR1VMFo2oUOLLfFfT6-ObA--.png</TARGET_BINARYFULLNAME>
    <TARGET_STORYFULLNAME>/MSResearch/Content/ExternalAssets/2015-02/Sections/20150209_083617_Linking_Range_38.xml</TARGET_STORYFULLNAME>
    <TARGET_UUID>35097c34-b0c5-11e4-9343-7c9184ca9b36</TARGET_UUID>
    <TRANSPARENTBACKGROUND>False</TRANSPARENTBACKGROUND>
    <TRANSPARENTPLOTAREA>False</TRANSPARENTPLOTAREA>
    <EXTRACTSOURCEMODE>CopyToClipboard</EXTRACTSOURCEMODE>
    <LINKSTATUS>Unknown</LINKSTATUS>
  </Link>
</lk:Links>
</file>

<file path=customXml/item2.xml><?xml version="1.0" encoding="utf-8"?>
<lkmtd:Metadata xmlns:lkmtd="thomsonreuters.linking.metadatachange">
  <MetadataChanged>1</MetadataChanged>
</lkmtd:Metadata>
</file>

<file path=customXml/itemProps1.xml><?xml version="1.0" encoding="utf-8"?>
<ds:datastoreItem xmlns:ds="http://schemas.openxmlformats.org/officeDocument/2006/customXml" ds:itemID="{AB068F13-28EB-4171-8340-6A4E4C874C1F}">
  <ds:schemaRefs>
    <ds:schemaRef ds:uri="thomsonreuters.linking.metadata"/>
  </ds:schemaRefs>
</ds:datastoreItem>
</file>

<file path=customXml/itemProps2.xml><?xml version="1.0" encoding="utf-8"?>
<ds:datastoreItem xmlns:ds="http://schemas.openxmlformats.org/officeDocument/2006/customXml" ds:itemID="{AD85847F-BEB1-4F8C-8964-D71F382EA9B6}">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129</vt:i4>
      </vt:variant>
    </vt:vector>
  </HeadingPairs>
  <TitlesOfParts>
    <vt:vector size="147" baseType="lpstr">
      <vt:lpstr>ImportantDisclosures</vt:lpstr>
      <vt:lpstr>BullBaseBear</vt:lpstr>
      <vt:lpstr>sumry</vt:lpstr>
      <vt:lpstr>segQtrSales</vt:lpstr>
      <vt:lpstr>qtrSales</vt:lpstr>
      <vt:lpstr>qtrP&amp;L</vt:lpstr>
      <vt:lpstr>yrSales</vt:lpstr>
      <vt:lpstr>yrP&amp;L</vt:lpstr>
      <vt:lpstr>Store New</vt:lpstr>
      <vt:lpstr>turn</vt:lpstr>
      <vt:lpstr>dtc</vt:lpstr>
      <vt:lpstr>work</vt:lpstr>
      <vt:lpstr>bal</vt:lpstr>
      <vt:lpstr>flow</vt:lpstr>
      <vt:lpstr>MWA Lease</vt:lpstr>
      <vt:lpstr>DCF</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'MWA Lease'!check</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Linking_11</vt:lpstr>
      <vt:lpstr>Linking_12</vt:lpstr>
      <vt:lpstr>Linking_13</vt:lpstr>
      <vt:lpstr>Linking_3</vt:lpstr>
      <vt:lpstr>Linking_4</vt:lpstr>
      <vt:lpstr>Linking_7</vt:lpstr>
      <vt:lpstr>Linking_8</vt:lpstr>
      <vt:lpstr>Linking_9</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Linking_Range_3</vt:lpstr>
      <vt:lpstr>Linking_Range_31</vt:lpstr>
      <vt:lpstr>Linking_Range_32</vt:lpstr>
      <vt:lpstr>Linking_Range_33</vt:lpstr>
      <vt:lpstr>Linking_Range_34</vt:lpstr>
      <vt:lpstr>Linking_Range_36</vt:lpstr>
      <vt:lpstr>Linking_Range_37</vt:lpstr>
      <vt:lpstr>Linking_Range_38</vt:lpstr>
      <vt:lpstr>Linking_Range_4</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flow!Print_Area</vt:lpstr>
      <vt:lpstr>'qtrP&amp;L'!Print_Area</vt:lpstr>
      <vt:lpstr>qtrSales!Print_Area</vt:lpstr>
      <vt:lpstr>segQtrSales!Print_Area</vt:lpstr>
      <vt:lpstr>sumry!Print_Area</vt:lpstr>
      <vt:lpstr>turn!Print_Area</vt:lpstr>
      <vt:lpstr>work!Print_Area</vt:lpstr>
      <vt:lpstr>'yrP&amp;L'!Print_Area</vt:lpstr>
      <vt:lpstr>yrSales!Print_Area</vt:lpstr>
      <vt:lpstr>bal!Print_Titles</vt:lpstr>
      <vt:lpstr>'qtrP&amp;L'!Print_Titles</vt:lpstr>
      <vt:lpstr>qtrSales!Print_Titles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'MWA Lease'!SedolTicker</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CSFB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2000-03-06T17:12:04Z</dcterms:created>
  <dc:creator>Brian Lloyd</dc:creator>
  <cp:lastModifiedBy>De Courreges, Edouard (Research)</cp:lastModifiedBy>
  <cp:lastPrinted>2018-03-02T13:51:43Z</cp:lastPrinted>
  <dcterms:modified xsi:type="dcterms:W3CDTF">2018-04-09T19:11:23Z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DealMaven.PresLink.LastVersion" pid="2">
    <vt:lpwstr/>
  </property>
  <property fmtid="{D5CDD505-2E9C-101B-9397-08002B2CF9AE}" name="LinkingAutoNameNumberLinking_Range_" pid="3">
    <vt:lpwstr>38</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760311</vt:lpwstr>
  </property>
  <property fmtid="{D5CDD505-2E9C-101B-9397-08002B2CF9AE}" name="ERModPubCompanyName" pid="7">
    <vt:lpwstr>Gap Inc</vt:lpwstr>
  </property>
  <property fmtid="{D5CDD505-2E9C-101B-9397-08002B2CF9AE}" name="MSDH34TAG" pid="8">
    <vt:lpwstr>.TEZUF76X5TAHATHESADREYAK-00-INB160+*94600-06=cd7cad7c/-3c29/-11e8/-b3f7/-7a79cfe26848,MD=20180409151909/-0400,ZZ=000Z-ed9a.</vt:lpwstr>
  </property>
</Properties>
</file>